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M - Resultado Final Pós Recur" sheetId="1" r:id="rId4"/>
    <sheet state="visible" name="bd_normalizado PJMC (769)" sheetId="2" r:id="rId5"/>
    <sheet state="hidden" name="Organização_Categorias_Colunas_" sheetId="3" r:id="rId6"/>
    <sheet state="hidden" name="Critérios de Desempate" sheetId="4" r:id="rId7"/>
    <sheet state="visible" name="Consulta Simples com Foto" sheetId="5" r:id="rId8"/>
    <sheet state="visible" name="Consulta Múltiplas Colunas" sheetId="6" r:id="rId9"/>
  </sheets>
  <definedNames>
    <definedName hidden="1" localSheetId="0" name="_xlnm._FilterDatabase">'DOM - Resultado Final Pós Recur'!$A$1:$L$653</definedName>
    <definedName hidden="1" localSheetId="1" name="_xlnm._FilterDatabase">'bd_normalizado PJMC (769)'!$A$1:$FC$770</definedName>
    <definedName hidden="1" localSheetId="2" name="_xlnm._FilterDatabase">'Organização_Categorias_Colunas_'!$A$1:$Q$658</definedName>
  </definedNames>
  <calcPr/>
</workbook>
</file>

<file path=xl/sharedStrings.xml><?xml version="1.0" encoding="utf-8"?>
<sst xmlns="http://schemas.openxmlformats.org/spreadsheetml/2006/main" count="71899" uniqueCount="15359">
  <si>
    <t>Nome</t>
  </si>
  <si>
    <t>Protocolo</t>
  </si>
  <si>
    <t>CPF</t>
  </si>
  <si>
    <t>Microrregião</t>
  </si>
  <si>
    <t>PCD</t>
  </si>
  <si>
    <t>PPI</t>
  </si>
  <si>
    <t>Tot. 1ª Fase</t>
  </si>
  <si>
    <t>Nota Dinâmica</t>
  </si>
  <si>
    <t>Nota Entrevista</t>
  </si>
  <si>
    <t>Nota Tot.</t>
  </si>
  <si>
    <t>Classif. Geral</t>
  </si>
  <si>
    <t>Classif. Microrregião</t>
  </si>
  <si>
    <t>VANESSA PIRES DA SILVA MARCAL</t>
  </si>
  <si>
    <t>32835686</t>
  </si>
  <si>
    <t>504.***.***-71</t>
  </si>
  <si>
    <t>ARICANDUVA-SÃO MATEUS-SAPOPEMBA-VILA PRUDENTE</t>
  </si>
  <si>
    <t>Não</t>
  </si>
  <si>
    <t>Sim</t>
  </si>
  <si>
    <t>ASHLEY NUNES GOMES DA COSTA</t>
  </si>
  <si>
    <t>32589535</t>
  </si>
  <si>
    <t>110.***.***-30</t>
  </si>
  <si>
    <t>CAMPO LIMPO-M'BOI-SANTO AMARO</t>
  </si>
  <si>
    <t>JENIFER THEODORO DA SILVA</t>
  </si>
  <si>
    <t>32836884</t>
  </si>
  <si>
    <t>468.***.***-01</t>
  </si>
  <si>
    <t>DANIELE LOPES MOTA</t>
  </si>
  <si>
    <t>32824628</t>
  </si>
  <si>
    <t>492.***.***-83</t>
  </si>
  <si>
    <t>NATHALLY DOS SANTOS VIEIRA</t>
  </si>
  <si>
    <t>32821773</t>
  </si>
  <si>
    <t>503.***.***-60</t>
  </si>
  <si>
    <t>KARINA RAMOS DE JESUS</t>
  </si>
  <si>
    <t>32751778</t>
  </si>
  <si>
    <t>425.***.***-39</t>
  </si>
  <si>
    <t>IPIRANGA-JABAQUARA-VILA MARIANA</t>
  </si>
  <si>
    <t>ELLAINNY BARRETO DOS SANTOS</t>
  </si>
  <si>
    <t>32618839</t>
  </si>
  <si>
    <t>497.***.***-66</t>
  </si>
  <si>
    <t>CIDADE TIRADENTES-GUAIANASES-ITAQUERA</t>
  </si>
  <si>
    <t>JHONES RODRIGUES DE SOUSA</t>
  </si>
  <si>
    <t>32560808</t>
  </si>
  <si>
    <t>476.***.***-47</t>
  </si>
  <si>
    <t>LAPA-PERUS-PIRITUBA</t>
  </si>
  <si>
    <t>GABRIELE SANTOS ROCHA</t>
  </si>
  <si>
    <t>32916198</t>
  </si>
  <si>
    <t>487.***.***-39</t>
  </si>
  <si>
    <t>DEBORA SANTANA DOS SANTOS</t>
  </si>
  <si>
    <t>32835059</t>
  </si>
  <si>
    <t>448.***.***-39</t>
  </si>
  <si>
    <t>FERNANDA ARRUDA KONO</t>
  </si>
  <si>
    <t>32743036</t>
  </si>
  <si>
    <t>459.***.***-55</t>
  </si>
  <si>
    <t>ERMELINO-ITAIM-SÃO MIGUEL</t>
  </si>
  <si>
    <t>LETICIA CAROLINA  GALVÃO LEITE</t>
  </si>
  <si>
    <t>32566601</t>
  </si>
  <si>
    <t>570.***.***-80</t>
  </si>
  <si>
    <t>FEUER MEIRELES</t>
  </si>
  <si>
    <t>32836726</t>
  </si>
  <si>
    <t>560.***.***-76</t>
  </si>
  <si>
    <t>CASA VERDE-FREGUESIA</t>
  </si>
  <si>
    <t>GABRIEL SOUZA BARBOSA</t>
  </si>
  <si>
    <t>32618553</t>
  </si>
  <si>
    <t>429.***.***-00</t>
  </si>
  <si>
    <t>LARISSA CAROLINE DOS SANTOS</t>
  </si>
  <si>
    <t>32836584</t>
  </si>
  <si>
    <t>354.***.***-86</t>
  </si>
  <si>
    <t>IGOR DA SILVA MACEDO</t>
  </si>
  <si>
    <t>32908657</t>
  </si>
  <si>
    <t>542.***.***-28</t>
  </si>
  <si>
    <t>CAILANE JESUS DA CONCEICAO</t>
  </si>
  <si>
    <t>32916030</t>
  </si>
  <si>
    <t>527.***.***-60</t>
  </si>
  <si>
    <t>LEONARDO FAVERO ROCHA</t>
  </si>
  <si>
    <t>32744928</t>
  </si>
  <si>
    <t>411.***.***-70</t>
  </si>
  <si>
    <t>CAPELA DO SOCORRO-PARELHEIROS</t>
  </si>
  <si>
    <t>THOMAS HENRIQUE ALVARENGA SANTOS</t>
  </si>
  <si>
    <t>32830958</t>
  </si>
  <si>
    <t>477.***.***-64</t>
  </si>
  <si>
    <t>ARUAN HENRIQUE DE ALVARENGA</t>
  </si>
  <si>
    <t>501.***.***-94</t>
  </si>
  <si>
    <t>BEATRIZ KAROLYNE MOREIRA DE OLIVEIRA QUEIROZ</t>
  </si>
  <si>
    <t>502.***.***-80</t>
  </si>
  <si>
    <t>AMANDA DOS REIS SANTOS</t>
  </si>
  <si>
    <t>32836847</t>
  </si>
  <si>
    <t>451.***.***-84</t>
  </si>
  <si>
    <t>CARLOS FELIPE FREITAS COSTA</t>
  </si>
  <si>
    <t>32836653</t>
  </si>
  <si>
    <t>512.***.***-98</t>
  </si>
  <si>
    <t>RAILTON FERNANDES BATISTA</t>
  </si>
  <si>
    <t>32607865</t>
  </si>
  <si>
    <t>130.***.***-01</t>
  </si>
  <si>
    <t>RAFAELA NATHALIA CAMPOS DA SILVA</t>
  </si>
  <si>
    <t>32740793</t>
  </si>
  <si>
    <t>467.***.***-60</t>
  </si>
  <si>
    <t>LEONARDO PEREIRA DOS  SANTOS</t>
  </si>
  <si>
    <t>32838620</t>
  </si>
  <si>
    <t>239.***.***-45</t>
  </si>
  <si>
    <t>GREGORYA BEATRIZ CALLE CABRERA</t>
  </si>
  <si>
    <t>32831762</t>
  </si>
  <si>
    <t>239.***.***-75</t>
  </si>
  <si>
    <t>KAIFY</t>
  </si>
  <si>
    <t>32553495</t>
  </si>
  <si>
    <t>538.***.***-43</t>
  </si>
  <si>
    <t>AMAZILIA DA SILVA FERREIRA</t>
  </si>
  <si>
    <t>32833131</t>
  </si>
  <si>
    <t>549.***.***-21</t>
  </si>
  <si>
    <t>MARIA LUIZA FROES SILVA</t>
  </si>
  <si>
    <t>32835372</t>
  </si>
  <si>
    <t>390.***.***-98</t>
  </si>
  <si>
    <t>POLIANA CINTO</t>
  </si>
  <si>
    <t>32831955</t>
  </si>
  <si>
    <t>059.***.***-76</t>
  </si>
  <si>
    <t>BEATRIZ DOMINGUES GOMES DE OLIVEIRA</t>
  </si>
  <si>
    <t>452.***.***-27</t>
  </si>
  <si>
    <t>FERNANDA OLIVEIRA LIMA</t>
  </si>
  <si>
    <t>32571228</t>
  </si>
  <si>
    <t>539.***.***-80</t>
  </si>
  <si>
    <t>JAÇANÃ-SANTANA-VILA MARIA</t>
  </si>
  <si>
    <t>KAROLINE MIRELLE CUSTODIO SILVA</t>
  </si>
  <si>
    <t>32914033</t>
  </si>
  <si>
    <t>446.***.***-01</t>
  </si>
  <si>
    <t>WESLEY BARBOSA SILVA</t>
  </si>
  <si>
    <t>32615189</t>
  </si>
  <si>
    <t>447.***.***-18</t>
  </si>
  <si>
    <t>SAM ALEHA VIEIRA DE OLIVEIRA</t>
  </si>
  <si>
    <t>32916162</t>
  </si>
  <si>
    <t>549.***.***-70</t>
  </si>
  <si>
    <t>RONALD NASCIMENTO GOMES</t>
  </si>
  <si>
    <t>32610050</t>
  </si>
  <si>
    <t>574.***.***-45</t>
  </si>
  <si>
    <t>CASSIO JOSE GONCALVES ARAUJO</t>
  </si>
  <si>
    <t>32831597</t>
  </si>
  <si>
    <t>475.***.***-30</t>
  </si>
  <si>
    <t>NAIURY SILVA SANTOS DE ARAUJO</t>
  </si>
  <si>
    <t>32653294</t>
  </si>
  <si>
    <t>443.***.***-05</t>
  </si>
  <si>
    <t>KALINE SANTOS DA  SILVA</t>
  </si>
  <si>
    <t>32623520</t>
  </si>
  <si>
    <t>480.***.***-75</t>
  </si>
  <si>
    <t>ALINE CRISTINA SILVA ANTONIO</t>
  </si>
  <si>
    <t>515.***.***-03</t>
  </si>
  <si>
    <t>RENAN FERREIRA LIMA DOS SANTOS</t>
  </si>
  <si>
    <t>32851242</t>
  </si>
  <si>
    <t>510.***.***-02</t>
  </si>
  <si>
    <t>IGOR OLIVEIRA MONTEIRO</t>
  </si>
  <si>
    <t>32806800</t>
  </si>
  <si>
    <t>520.***.***-32</t>
  </si>
  <si>
    <t>TAIPAN BITTENCOURT LIMA</t>
  </si>
  <si>
    <t>32675331</t>
  </si>
  <si>
    <t>479.***.***-02</t>
  </si>
  <si>
    <t>ANA QUEIZIA SILVA COSTA DE LIMA</t>
  </si>
  <si>
    <t>402.***.***-95</t>
  </si>
  <si>
    <t>JONATHAN THOMAZ PERES DA SILVA</t>
  </si>
  <si>
    <t>32907708</t>
  </si>
  <si>
    <t>426.***.***-33</t>
  </si>
  <si>
    <t>KALEF</t>
  </si>
  <si>
    <t>32895261</t>
  </si>
  <si>
    <t>050.***.***-95</t>
  </si>
  <si>
    <t>JULIA DE LIMA VIANA</t>
  </si>
  <si>
    <t>32908986</t>
  </si>
  <si>
    <t>537.***.***-03</t>
  </si>
  <si>
    <t>NATHALIA MARTINS DOS SANTOS</t>
  </si>
  <si>
    <t>32766750</t>
  </si>
  <si>
    <t>599.***.***-55</t>
  </si>
  <si>
    <t>GABRIEL VICTOR DE NAZARETH TEIXEIRA MACEDO</t>
  </si>
  <si>
    <t>32856978</t>
  </si>
  <si>
    <t>454.***.***-36</t>
  </si>
  <si>
    <t>MARIANA ELIAS THOME</t>
  </si>
  <si>
    <t>32553077</t>
  </si>
  <si>
    <t>511.***.***-93</t>
  </si>
  <si>
    <t>GUILHERME STIGLIANO HILLE</t>
  </si>
  <si>
    <t>32652065</t>
  </si>
  <si>
    <t>372.***.***-99</t>
  </si>
  <si>
    <t>MAGALI SARINA FERNANDEZ</t>
  </si>
  <si>
    <t>32805360</t>
  </si>
  <si>
    <t>800.***.***-33</t>
  </si>
  <si>
    <t>SÉ</t>
  </si>
  <si>
    <t>JANAINA DAMASCENO DE SA PEREIRA</t>
  </si>
  <si>
    <t>32914389</t>
  </si>
  <si>
    <t>078.***.***-33</t>
  </si>
  <si>
    <t>IZIS XAVIER</t>
  </si>
  <si>
    <t>32599073</t>
  </si>
  <si>
    <t>LAURA MELO CORDEIRO</t>
  </si>
  <si>
    <t>32798919</t>
  </si>
  <si>
    <t>466.***.***-37</t>
  </si>
  <si>
    <t>LUCAS ANTONIO VENTURA E SILVA</t>
  </si>
  <si>
    <t>32592780</t>
  </si>
  <si>
    <t>363.***.***-09</t>
  </si>
  <si>
    <t>GABRIELA QUEIROZ DE OLIVEIRA</t>
  </si>
  <si>
    <t>32574778</t>
  </si>
  <si>
    <t>499.***.***-97</t>
  </si>
  <si>
    <t>RAYLA NOGUEIRA OLIVEIRA</t>
  </si>
  <si>
    <t>32820463</t>
  </si>
  <si>
    <t>500.***.***-00</t>
  </si>
  <si>
    <t>KELI DA  SILVA SALES</t>
  </si>
  <si>
    <t>32825996</t>
  </si>
  <si>
    <t>511.***.***-36</t>
  </si>
  <si>
    <t>RIÚW DANTAS DE ALMEIDA</t>
  </si>
  <si>
    <t>32589612</t>
  </si>
  <si>
    <t>463.***.***-28</t>
  </si>
  <si>
    <t xml:space="preserve">LEONARDO LIMA SANTOS </t>
  </si>
  <si>
    <t>32716377</t>
  </si>
  <si>
    <t>458.***.***-41</t>
  </si>
  <si>
    <t>MARIANA CRISTINA MATUO RODRIGUES</t>
  </si>
  <si>
    <t>32835584</t>
  </si>
  <si>
    <t>446.***.***-64</t>
  </si>
  <si>
    <t>KAIO HENRIQUE DE SOUZA MONTEIRO</t>
  </si>
  <si>
    <t>32829035</t>
  </si>
  <si>
    <t>552.***.***-01</t>
  </si>
  <si>
    <t>CASSIA NUNES DA SILVA</t>
  </si>
  <si>
    <t>32916031</t>
  </si>
  <si>
    <t>118.***.***-50</t>
  </si>
  <si>
    <t>GIULIO ARUA DE HOLANDA SANTIAGO</t>
  </si>
  <si>
    <t>32555482</t>
  </si>
  <si>
    <t>089.***.***-92</t>
  </si>
  <si>
    <t>TACIANA OLIVEIRA IDEFONSO LOPES</t>
  </si>
  <si>
    <t>32554421</t>
  </si>
  <si>
    <t>522.***.***-77</t>
  </si>
  <si>
    <t>MARIA LUISA DA COSTA RIBEIRO</t>
  </si>
  <si>
    <t>32916339</t>
  </si>
  <si>
    <t>439.***.***-42</t>
  </si>
  <si>
    <t>MOOCA-PENHA</t>
  </si>
  <si>
    <t>GIOVANNA FERREIRA ROCHA</t>
  </si>
  <si>
    <t>32683375</t>
  </si>
  <si>
    <t>548.***.***-00</t>
  </si>
  <si>
    <t>LARISSA BELTRAN MARTINS</t>
  </si>
  <si>
    <t>32915784</t>
  </si>
  <si>
    <t>437.***.***-83</t>
  </si>
  <si>
    <t>NATALIA Sousa SANTOS</t>
  </si>
  <si>
    <t>32752630</t>
  </si>
  <si>
    <t>540.***.***-86</t>
  </si>
  <si>
    <t>HENRIQUE MATAQUEIRO DA SILVA</t>
  </si>
  <si>
    <t>32836661</t>
  </si>
  <si>
    <t>444.***.***-30</t>
  </si>
  <si>
    <t>VENUS SOARES VITORINO</t>
  </si>
  <si>
    <t>32552895</t>
  </si>
  <si>
    <t>494.***.***-00</t>
  </si>
  <si>
    <t>ANDRIELLE FERNANDES DANTAS</t>
  </si>
  <si>
    <t>32906046</t>
  </si>
  <si>
    <t>509.***.***-65</t>
  </si>
  <si>
    <t>CAIQUE GONCALVES DE MATOS</t>
  </si>
  <si>
    <t>32830691</t>
  </si>
  <si>
    <t>433.***.***-54</t>
  </si>
  <si>
    <t>FABIO DE SANTANA FERREIRA</t>
  </si>
  <si>
    <t>32915217</t>
  </si>
  <si>
    <t>862.***.***-64</t>
  </si>
  <si>
    <t>MURILLO DE OLIVEIRA CAMPOS</t>
  </si>
  <si>
    <t>32904357</t>
  </si>
  <si>
    <t>501.***.***-07</t>
  </si>
  <si>
    <t>YASMIM  SILVA LEITE</t>
  </si>
  <si>
    <t>32836895</t>
  </si>
  <si>
    <t>240.***.***-82</t>
  </si>
  <si>
    <t>PAULO HENRIQUE VICENTE BARBOSA</t>
  </si>
  <si>
    <t>32669994</t>
  </si>
  <si>
    <t>415.***.***-30</t>
  </si>
  <si>
    <t>JÚLIA CAROLINA VIEIRA PEREIRA</t>
  </si>
  <si>
    <t>32552283</t>
  </si>
  <si>
    <t>393.***.***-61</t>
  </si>
  <si>
    <t>EDUARDO ANDRE DOS SANTOS</t>
  </si>
  <si>
    <t>32916246</t>
  </si>
  <si>
    <t>462.***.***-08</t>
  </si>
  <si>
    <t>DAVI LUCAS GOMES CHAVES ALMEIDA</t>
  </si>
  <si>
    <t>32640119</t>
  </si>
  <si>
    <t>502.***.***-00</t>
  </si>
  <si>
    <t>LAIS ANSELMI</t>
  </si>
  <si>
    <t>32701364</t>
  </si>
  <si>
    <t>423.***.***-31</t>
  </si>
  <si>
    <t>BUTANTÃ-PINHEIROS</t>
  </si>
  <si>
    <t>JENNIFER WENNDY DE SOUZA PAULA</t>
  </si>
  <si>
    <t>32569141</t>
  </si>
  <si>
    <t>614.***.***-60</t>
  </si>
  <si>
    <t>LARISSA VITORIA APARECIDA DE AQUINO BRAZ</t>
  </si>
  <si>
    <t>32562122</t>
  </si>
  <si>
    <t>526.***.***-61</t>
  </si>
  <si>
    <t>VITORIA NIETO PIRES</t>
  </si>
  <si>
    <t>32806830</t>
  </si>
  <si>
    <t>414.***.***-62</t>
  </si>
  <si>
    <t>GRAZZ SILVA SOUZA</t>
  </si>
  <si>
    <t>32900694</t>
  </si>
  <si>
    <t>457.***.***-29</t>
  </si>
  <si>
    <t>LUCAS OLIVEIRA ROMUALDO</t>
  </si>
  <si>
    <t>32675207</t>
  </si>
  <si>
    <t>522.***.***-61</t>
  </si>
  <si>
    <t>SARAH SANTIAGO PEREIRA  SANTANA</t>
  </si>
  <si>
    <t>32737956</t>
  </si>
  <si>
    <t>519.***.***-98</t>
  </si>
  <si>
    <t>GIOVANA PRADO CONCEIÇÃO</t>
  </si>
  <si>
    <t>32596990</t>
  </si>
  <si>
    <t>512.***.***-85</t>
  </si>
  <si>
    <t>LAILA QUEZIA OLIVEIRA SILVA</t>
  </si>
  <si>
    <t>32556071</t>
  </si>
  <si>
    <t>499.***.***-69</t>
  </si>
  <si>
    <t>ADRIELE FERREIRA ELIAS</t>
  </si>
  <si>
    <t>32560114</t>
  </si>
  <si>
    <t>488.***.***-11</t>
  </si>
  <si>
    <t>MICHEL MORAES DE SOUZA SANTOS</t>
  </si>
  <si>
    <t>32611437</t>
  </si>
  <si>
    <t>514.***.***-54</t>
  </si>
  <si>
    <t>YASMIN LIMA ARAUJO</t>
  </si>
  <si>
    <t>32836535</t>
  </si>
  <si>
    <t>478.***.***-61</t>
  </si>
  <si>
    <t>SUZANA PEREIRA LEITE DA SILVA</t>
  </si>
  <si>
    <t>32760413</t>
  </si>
  <si>
    <t>458.***.***-63</t>
  </si>
  <si>
    <t>JHENIFER DELFINO</t>
  </si>
  <si>
    <t>32651355</t>
  </si>
  <si>
    <t>480.***.***-94</t>
  </si>
  <si>
    <t>RITA DE CASSIA BARBOSA SILVA</t>
  </si>
  <si>
    <t>32574084</t>
  </si>
  <si>
    <t>MOISES OLIVEIRA DA SILVA</t>
  </si>
  <si>
    <t>32827965</t>
  </si>
  <si>
    <t>465.***.***-90</t>
  </si>
  <si>
    <t>ALICE DOS SANTOS</t>
  </si>
  <si>
    <t>235.***.***-35</t>
  </si>
  <si>
    <t>MAYARA KELLY SANTOS SIMAO</t>
  </si>
  <si>
    <t>32830014</t>
  </si>
  <si>
    <t>439.***.***-35</t>
  </si>
  <si>
    <t>ANA JULIA ANDRADE ALCALAI</t>
  </si>
  <si>
    <t>32842532</t>
  </si>
  <si>
    <t>509.***.***-64</t>
  </si>
  <si>
    <t>MARE LOPES DOS SANTOS</t>
  </si>
  <si>
    <t>32562601</t>
  </si>
  <si>
    <t>495.***.***-88</t>
  </si>
  <si>
    <t>KAROLAYNE LUCIA DA SILVA FALEIA</t>
  </si>
  <si>
    <t>32831139</t>
  </si>
  <si>
    <t>505.***.***-19</t>
  </si>
  <si>
    <t>PAULO FERREIRA DA SILVA</t>
  </si>
  <si>
    <t>32791278</t>
  </si>
  <si>
    <t>BEATRIZ</t>
  </si>
  <si>
    <t>32582633</t>
  </si>
  <si>
    <t>461.***.***-45</t>
  </si>
  <si>
    <t>ANA PAULA MEDEIROS DOS SANTOS</t>
  </si>
  <si>
    <t>32789906</t>
  </si>
  <si>
    <t>488.***.***-52</t>
  </si>
  <si>
    <t>HANNA MIRANDA SABINO</t>
  </si>
  <si>
    <t>32576727</t>
  </si>
  <si>
    <t>476.***.***-46</t>
  </si>
  <si>
    <t>GIOVANNA RIBEIRO ALVES</t>
  </si>
  <si>
    <t>32758709</t>
  </si>
  <si>
    <t>514.***.***-01</t>
  </si>
  <si>
    <t>LAYSLA DOS  SANTOS ROBERTO</t>
  </si>
  <si>
    <t>32907208</t>
  </si>
  <si>
    <t>544.***.***-01</t>
  </si>
  <si>
    <t>MIRELE DE JESUS FERREIRA</t>
  </si>
  <si>
    <t>32831267</t>
  </si>
  <si>
    <t>084.***.***-64</t>
  </si>
  <si>
    <t>FRANCIELLE DOS SANTOS PINTO</t>
  </si>
  <si>
    <t>32799253</t>
  </si>
  <si>
    <t>493.***.***-60</t>
  </si>
  <si>
    <t>DERIK DA SILVA PIMENTA DE SOUZA</t>
  </si>
  <si>
    <t>32563796</t>
  </si>
  <si>
    <t>520.***.***-25</t>
  </si>
  <si>
    <t>LEO MESMO CARDOSO SANTOS</t>
  </si>
  <si>
    <t>32916156</t>
  </si>
  <si>
    <t>540.***.***-07</t>
  </si>
  <si>
    <t>JUAN PEDRO SANTANA BORGES DOS SANTOS</t>
  </si>
  <si>
    <t>32824941</t>
  </si>
  <si>
    <t>524.***.***-50</t>
  </si>
  <si>
    <t>JÔNATAS MURICY SANTOS</t>
  </si>
  <si>
    <t>32679377</t>
  </si>
  <si>
    <t>462.***.***-02</t>
  </si>
  <si>
    <t>KAIO EDUARDO MELO COSTA</t>
  </si>
  <si>
    <t>32729403</t>
  </si>
  <si>
    <t>509.***.***-00</t>
  </si>
  <si>
    <t>VANIA MORELIA RIVERO VARGAS</t>
  </si>
  <si>
    <t>32651256</t>
  </si>
  <si>
    <t>244.***.***-14</t>
  </si>
  <si>
    <t>FERNANDO ROSA DOS SANTOS</t>
  </si>
  <si>
    <t>32826426</t>
  </si>
  <si>
    <t>460.***.***-37</t>
  </si>
  <si>
    <t>MATHEUS VIANA DE SOUZA</t>
  </si>
  <si>
    <t>32559820</t>
  </si>
  <si>
    <t>455.***.***-62</t>
  </si>
  <si>
    <t>VANUZA ALVES RAMOS FERREIRA</t>
  </si>
  <si>
    <t>32554233</t>
  </si>
  <si>
    <t>437.***.***-06</t>
  </si>
  <si>
    <t>LETICIA DEANGELO SANTOS</t>
  </si>
  <si>
    <t>32697394</t>
  </si>
  <si>
    <t>070.***.***-98</t>
  </si>
  <si>
    <t>BEATRIZ CRISTINNI AZEVEDO DOS SANTOS</t>
  </si>
  <si>
    <t>539.***.***-28</t>
  </si>
  <si>
    <t>NIKO LEÃO DE ANDRADE RODRIGUES</t>
  </si>
  <si>
    <t>32791340</t>
  </si>
  <si>
    <t>495.***.***-10</t>
  </si>
  <si>
    <t>GUSTAVO ALVES SARTORELLI DE SOUZA</t>
  </si>
  <si>
    <t>32817344</t>
  </si>
  <si>
    <t>547.***.***-88</t>
  </si>
  <si>
    <t>ANA PAULA BELCHIOR</t>
  </si>
  <si>
    <t>32830015</t>
  </si>
  <si>
    <t>355.***.***-02</t>
  </si>
  <si>
    <t>EVELEN KARINA CARNEIRO DE CASTRO</t>
  </si>
  <si>
    <t>32908583</t>
  </si>
  <si>
    <t>031.***.***-41</t>
  </si>
  <si>
    <t>CARLA MARIA DOS SANTOS SILVA</t>
  </si>
  <si>
    <t>32907928</t>
  </si>
  <si>
    <t>459.***.***-71</t>
  </si>
  <si>
    <t>JAQUELINE RODRIGUES DA SILVA ANDRADE</t>
  </si>
  <si>
    <t>32916300</t>
  </si>
  <si>
    <t>424.***.***-74</t>
  </si>
  <si>
    <t>LUCAS HENRIQUE DE SOUZA</t>
  </si>
  <si>
    <t>32801894</t>
  </si>
  <si>
    <t>428.***.***-99</t>
  </si>
  <si>
    <t>JULIA BARBOSA DE ARAÚJO GÓES</t>
  </si>
  <si>
    <t>32835606</t>
  </si>
  <si>
    <t>430.***.***-96</t>
  </si>
  <si>
    <t>CAROLINA PAZ PROVASI</t>
  </si>
  <si>
    <t>32553132</t>
  </si>
  <si>
    <t>439.***.***-25</t>
  </si>
  <si>
    <t>ANNA KAROLINA SOUZA NASCIMENTO</t>
  </si>
  <si>
    <t>32836952</t>
  </si>
  <si>
    <t>436.***.***-01</t>
  </si>
  <si>
    <t>EMERSON DE SOUZA OLIVEIRA</t>
  </si>
  <si>
    <t>32559648</t>
  </si>
  <si>
    <t>433.***.***-46</t>
  </si>
  <si>
    <t>LALITA MADHAVA DIASSIS OLIVEIRA</t>
  </si>
  <si>
    <t>32770839</t>
  </si>
  <si>
    <t>180.***.***-81</t>
  </si>
  <si>
    <t>EDUARDO LIMA ARAUJO</t>
  </si>
  <si>
    <t>32836961</t>
  </si>
  <si>
    <t>131.***.***-75</t>
  </si>
  <si>
    <t>THAINÁ TEIXEIRA SILVA CAVANI</t>
  </si>
  <si>
    <t>32903792</t>
  </si>
  <si>
    <t>457.***.***-25</t>
  </si>
  <si>
    <t>LAURA CAMPANINI VIEIRA</t>
  </si>
  <si>
    <t>32609993</t>
  </si>
  <si>
    <t>508.***.***-12</t>
  </si>
  <si>
    <t>CAUANE OLIVEIRA DOS SANTOS</t>
  </si>
  <si>
    <t>32908759</t>
  </si>
  <si>
    <t>489.***.***-60</t>
  </si>
  <si>
    <t>CLAIRE OLIVEIRA COSTA STRAJANELI</t>
  </si>
  <si>
    <t>32800872</t>
  </si>
  <si>
    <t>230.***.***-35</t>
  </si>
  <si>
    <t>GUSTAVO SANTOS DO NASCIMENTO</t>
  </si>
  <si>
    <t>32822133</t>
  </si>
  <si>
    <t>544.***.***-97</t>
  </si>
  <si>
    <t>ASHLLEY DANDARA DA SILVA CHAWA</t>
  </si>
  <si>
    <t>32583258</t>
  </si>
  <si>
    <t>573.***.***-50</t>
  </si>
  <si>
    <t>IRA MARTINS LOPES</t>
  </si>
  <si>
    <t>32570124</t>
  </si>
  <si>
    <t>453.***.***-12</t>
  </si>
  <si>
    <t>JULIANA ZEBELIN SILVA</t>
  </si>
  <si>
    <t>32593806</t>
  </si>
  <si>
    <t>436.***.***-40</t>
  </si>
  <si>
    <t>LUIS GUILHERME TIBURCIO DA SILVA</t>
  </si>
  <si>
    <t>32772929</t>
  </si>
  <si>
    <t>331.***.***-24</t>
  </si>
  <si>
    <t>KAIK SA TELES RAMO</t>
  </si>
  <si>
    <t>32727890</t>
  </si>
  <si>
    <t>063.***.***-67</t>
  </si>
  <si>
    <t>HIAGO ALVES ELEUTERIO DE LIMA</t>
  </si>
  <si>
    <t>32562681</t>
  </si>
  <si>
    <t>601.***.***-67</t>
  </si>
  <si>
    <t>LETICIA DA SILVA BATISTA</t>
  </si>
  <si>
    <t>32618529</t>
  </si>
  <si>
    <t>549.***.***-84</t>
  </si>
  <si>
    <t>KETLIN VITÓRIA GOMES PEREIRA</t>
  </si>
  <si>
    <t>32884039</t>
  </si>
  <si>
    <t>514.***.***-85</t>
  </si>
  <si>
    <t>VITOR GABRIEL RAMALHO</t>
  </si>
  <si>
    <t>32895633</t>
  </si>
  <si>
    <t>AYANE OLIVEIRA ZACARIAS</t>
  </si>
  <si>
    <t>32555960</t>
  </si>
  <si>
    <t>473.***.***-50</t>
  </si>
  <si>
    <t>LUI CARRER</t>
  </si>
  <si>
    <t>32737919</t>
  </si>
  <si>
    <t>451.***.***-28</t>
  </si>
  <si>
    <t>ADRIANY STEPHANY FERREIRA SANTIAGO</t>
  </si>
  <si>
    <t>32915171</t>
  </si>
  <si>
    <t>475.***.***-56</t>
  </si>
  <si>
    <t>DANIEL HENRIQUE DA SILVA</t>
  </si>
  <si>
    <t>32825735</t>
  </si>
  <si>
    <t>540.***.***-94</t>
  </si>
  <si>
    <t>VIVIAN VIEIRA DE ALMEIDA ARAUJO ROQUE</t>
  </si>
  <si>
    <t>32818727</t>
  </si>
  <si>
    <t>473.***.***-83</t>
  </si>
  <si>
    <t>CRISTU DA SILVA</t>
  </si>
  <si>
    <t>32761792</t>
  </si>
  <si>
    <t>400.***.***-71</t>
  </si>
  <si>
    <t>SABRINA DOS SANTOS SILVA</t>
  </si>
  <si>
    <t>32649713</t>
  </si>
  <si>
    <t>516.***.***-02</t>
  </si>
  <si>
    <t>HERICA MAIRA DOMINGUES</t>
  </si>
  <si>
    <t>32828217</t>
  </si>
  <si>
    <t>482.***.***-02</t>
  </si>
  <si>
    <t>WESLEY TIAGO DE OLIIVEIRA FILHO</t>
  </si>
  <si>
    <t>32863842</t>
  </si>
  <si>
    <t>515.***.***-60</t>
  </si>
  <si>
    <t>MIRIA GALVAO FERNANDES</t>
  </si>
  <si>
    <t>32623937</t>
  </si>
  <si>
    <t>464.***.***-00</t>
  </si>
  <si>
    <t>KALIANE FERREIRA RODRIGUES</t>
  </si>
  <si>
    <t>32687380</t>
  </si>
  <si>
    <t>406.***.***-58</t>
  </si>
  <si>
    <t>THAIS DOS REIS VIEIRA</t>
  </si>
  <si>
    <t>32836428</t>
  </si>
  <si>
    <t>465.***.***-10</t>
  </si>
  <si>
    <t>JUAUM</t>
  </si>
  <si>
    <t>32844210</t>
  </si>
  <si>
    <t>485.***.***-19</t>
  </si>
  <si>
    <t>THAMIRES LOUZADO FERREIRA</t>
  </si>
  <si>
    <t>32795535</t>
  </si>
  <si>
    <t>444.***.***-52</t>
  </si>
  <si>
    <t>BEATRIZ BERTOLLI PAULINI</t>
  </si>
  <si>
    <t>32821428</t>
  </si>
  <si>
    <t>338.***.***-58</t>
  </si>
  <si>
    <t>LEANDRO CESAR TASSA GARCIA</t>
  </si>
  <si>
    <t>32593196</t>
  </si>
  <si>
    <t>439.***.***-43</t>
  </si>
  <si>
    <t>DENNER PEREIRA COSTA</t>
  </si>
  <si>
    <t>32836024</t>
  </si>
  <si>
    <t>102.***.***-54</t>
  </si>
  <si>
    <t xml:space="preserve">VITORIA  CORREA </t>
  </si>
  <si>
    <t>32553822</t>
  </si>
  <si>
    <t>572.***.***-24</t>
  </si>
  <si>
    <t>MIRANDA HELENA GONÇALVES SIQUEIRA</t>
  </si>
  <si>
    <t>32701780</t>
  </si>
  <si>
    <t>439.***.***-73</t>
  </si>
  <si>
    <t>WESLEY FELIX CERQUEIRA DOS SANTOS</t>
  </si>
  <si>
    <t>32915819</t>
  </si>
  <si>
    <t>485.***.***-12</t>
  </si>
  <si>
    <t>NATALIA MACIANA GONZAGA DE JESUS</t>
  </si>
  <si>
    <t>32892801</t>
  </si>
  <si>
    <t>360.***.***-82</t>
  </si>
  <si>
    <t>VILMA  LASSALLETTE DE ARAUJO</t>
  </si>
  <si>
    <t>32916128</t>
  </si>
  <si>
    <t>085.***.***-90</t>
  </si>
  <si>
    <t>JAHCOX</t>
  </si>
  <si>
    <t>32824203</t>
  </si>
  <si>
    <t>515.***.***-92</t>
  </si>
  <si>
    <t>GABRIELA SOUZA MORAIS GUIMARAES</t>
  </si>
  <si>
    <t>32571023</t>
  </si>
  <si>
    <t>468.***.***-74</t>
  </si>
  <si>
    <t>HIGOR BARBOSA DOS SANTOS</t>
  </si>
  <si>
    <t>32831314</t>
  </si>
  <si>
    <t>409.***.***-90</t>
  </si>
  <si>
    <t>LARISSA BONFIM AZEVEDO</t>
  </si>
  <si>
    <t>32556936</t>
  </si>
  <si>
    <t>473.***.***-56</t>
  </si>
  <si>
    <t>RICHARD DOURADO VASCONCELOS SILVA</t>
  </si>
  <si>
    <t>32873751</t>
  </si>
  <si>
    <t>117.***.***-11</t>
  </si>
  <si>
    <t>MARIA ISABELLA ELIZIO DO NASCIMENTO</t>
  </si>
  <si>
    <t>32676311</t>
  </si>
  <si>
    <t>421.***.***-01</t>
  </si>
  <si>
    <t>GABRIELA SIMOES GABIRA</t>
  </si>
  <si>
    <t>32831760</t>
  </si>
  <si>
    <t>372.***.***-01</t>
  </si>
  <si>
    <t>ISMAILLA CARNEIRO DA SILVA</t>
  </si>
  <si>
    <t>32727394</t>
  </si>
  <si>
    <t>517.***.***-93</t>
  </si>
  <si>
    <t>LIVIA CALEF FURLAN</t>
  </si>
  <si>
    <t>32582427</t>
  </si>
  <si>
    <t>553.***.***-08</t>
  </si>
  <si>
    <t>JULIA OLIVEIRA DOS SANTOS</t>
  </si>
  <si>
    <t>32915496</t>
  </si>
  <si>
    <t>528.***.***-22</t>
  </si>
  <si>
    <t>CAMILA REIMBERG DOS SANTOS</t>
  </si>
  <si>
    <t>32834296</t>
  </si>
  <si>
    <t>479.***.***-04</t>
  </si>
  <si>
    <t>DANIEL SOUZA DA SILVA</t>
  </si>
  <si>
    <t>32837519</t>
  </si>
  <si>
    <t>469.***.***-54</t>
  </si>
  <si>
    <t>ARIEL SANTOS</t>
  </si>
  <si>
    <t>32836623</t>
  </si>
  <si>
    <t>497.***.***-41</t>
  </si>
  <si>
    <t xml:space="preserve">PABLO DE ALMEIDA SILVA </t>
  </si>
  <si>
    <t>32584387</t>
  </si>
  <si>
    <t>120.***.***-83</t>
  </si>
  <si>
    <t>BARBARA DE ALMEIDA FERREIRA</t>
  </si>
  <si>
    <t>493.***.***-39</t>
  </si>
  <si>
    <t>THAIS PANTALEAO DE CAMARGO</t>
  </si>
  <si>
    <t>32915636</t>
  </si>
  <si>
    <t>412.***.***-30</t>
  </si>
  <si>
    <t>JOSÉ  WANDERSON REZENDE DA  SILVA</t>
  </si>
  <si>
    <t>32823023</t>
  </si>
  <si>
    <t>511.***.***-11</t>
  </si>
  <si>
    <t>ROBERT SOUSA DE ALMEIDA</t>
  </si>
  <si>
    <t>32831755</t>
  </si>
  <si>
    <t>498.***.***-11</t>
  </si>
  <si>
    <t>RAPHAEL TEIXEIRA DA SILVA</t>
  </si>
  <si>
    <t>32563274</t>
  </si>
  <si>
    <t>528.***.***-81</t>
  </si>
  <si>
    <t>GABRIELLI ALANE SANTIAGO LOPES</t>
  </si>
  <si>
    <t>32836812</t>
  </si>
  <si>
    <t>432.***.***-98</t>
  </si>
  <si>
    <t>GABRIELLA NUCCI DE OLIVEIRA</t>
  </si>
  <si>
    <t>32836175</t>
  </si>
  <si>
    <t>434.***.***-52</t>
  </si>
  <si>
    <t>LAISLA BAPTISTA MARTINS</t>
  </si>
  <si>
    <t>32709311</t>
  </si>
  <si>
    <t>527.***.***-47</t>
  </si>
  <si>
    <t>GABRIELLY JENIFER DE SOUZA VIEIRA</t>
  </si>
  <si>
    <t>32824210</t>
  </si>
  <si>
    <t>538.***.***-80</t>
  </si>
  <si>
    <t>STEPHANNIE ALVES CAVALCANTE</t>
  </si>
  <si>
    <t>32831135</t>
  </si>
  <si>
    <t>496.***.***-54</t>
  </si>
  <si>
    <t>GUSTAVO HERNANDES ANTUNES TEIXEIRA</t>
  </si>
  <si>
    <t>32782992</t>
  </si>
  <si>
    <t>457.***.***-09</t>
  </si>
  <si>
    <t>MATHEUS DE OLIVEIRA</t>
  </si>
  <si>
    <t>32916249</t>
  </si>
  <si>
    <t>539.***.***-60</t>
  </si>
  <si>
    <t>TAYNA SOUSA PEREIRA LIMA</t>
  </si>
  <si>
    <t>32910245</t>
  </si>
  <si>
    <t>502.***.***-70</t>
  </si>
  <si>
    <t>ISABELA TOBIAS LIMA DE MELO</t>
  </si>
  <si>
    <t>32775011</t>
  </si>
  <si>
    <t>556.***.***-59</t>
  </si>
  <si>
    <t>LETICIA PEREIRA DA SILVA REIS</t>
  </si>
  <si>
    <t>32573100</t>
  </si>
  <si>
    <t>337.***.***-84</t>
  </si>
  <si>
    <t>RHAYANE CONCEIÇÃO DE OLIVEIRA</t>
  </si>
  <si>
    <t>32598191</t>
  </si>
  <si>
    <t>560.***.***-23</t>
  </si>
  <si>
    <t>SOPHIA MACHADO NUNES</t>
  </si>
  <si>
    <t>32557276</t>
  </si>
  <si>
    <t>545.***.***-60</t>
  </si>
  <si>
    <t>TIAGO MARCENO DE OLIVEIRA SILVA</t>
  </si>
  <si>
    <t>32831055</t>
  </si>
  <si>
    <t>514.***.***-13</t>
  </si>
  <si>
    <t>BARBARA ABAYOMI DOS SANTOS</t>
  </si>
  <si>
    <t>32884284</t>
  </si>
  <si>
    <t>395.***.***-06</t>
  </si>
  <si>
    <t>RAYSSA HAGATHA SOUZA SANTOS</t>
  </si>
  <si>
    <t>32758770</t>
  </si>
  <si>
    <t>531.***.***-92</t>
  </si>
  <si>
    <t>KAYUA VIANA GOMES</t>
  </si>
  <si>
    <t>32916021</t>
  </si>
  <si>
    <t>503.***.***-59</t>
  </si>
  <si>
    <t>LUCAS FERNANDES DA SILVA</t>
  </si>
  <si>
    <t>32836390</t>
  </si>
  <si>
    <t>459.***.***-62</t>
  </si>
  <si>
    <t>LAURA ZANCANELLA SANTOS</t>
  </si>
  <si>
    <t>32831668</t>
  </si>
  <si>
    <t>452.***.***-04</t>
  </si>
  <si>
    <t>VITORIA MARIA CAMPOS DO NASCIMENTO</t>
  </si>
  <si>
    <t>32558630</t>
  </si>
  <si>
    <t>486.***.***-98</t>
  </si>
  <si>
    <t>RAYANE PEREIRA CANDIDO</t>
  </si>
  <si>
    <t>32702100</t>
  </si>
  <si>
    <t>453.***.***-13</t>
  </si>
  <si>
    <t>JULIA OLIVEIRA DA CRUZ</t>
  </si>
  <si>
    <t>32554545</t>
  </si>
  <si>
    <t>362.***.***-43</t>
  </si>
  <si>
    <t>ANA LUISA MARTINS DA SILVA</t>
  </si>
  <si>
    <t>32916316</t>
  </si>
  <si>
    <t>473.***.***-14</t>
  </si>
  <si>
    <t>BIANCA TORAZAN DA SILVA</t>
  </si>
  <si>
    <t>32766970</t>
  </si>
  <si>
    <t>446.***.***-08</t>
  </si>
  <si>
    <t>ALINE ANDRÉ SANTOS</t>
  </si>
  <si>
    <t>32874506</t>
  </si>
  <si>
    <t>498.***.***-35</t>
  </si>
  <si>
    <t>LARISSA BRAGA ARCANJO</t>
  </si>
  <si>
    <t>32865335</t>
  </si>
  <si>
    <t>531.***.***-01</t>
  </si>
  <si>
    <t>AIYRA PEREIRA DE SOUZA</t>
  </si>
  <si>
    <t>32903011</t>
  </si>
  <si>
    <t>436.***.***-74</t>
  </si>
  <si>
    <t>CARLA VITORIA CARDOSO DOS SANTOS</t>
  </si>
  <si>
    <t>32916202</t>
  </si>
  <si>
    <t>560.***.***-09</t>
  </si>
  <si>
    <t>ERIC SANTOS ROCHA</t>
  </si>
  <si>
    <t>32897531</t>
  </si>
  <si>
    <t>481.***.***-35</t>
  </si>
  <si>
    <t>KAIQUE  APARECIDO ABRAHÃO AMBRUSTER</t>
  </si>
  <si>
    <t>32913103</t>
  </si>
  <si>
    <t>502.***.***-96</t>
  </si>
  <si>
    <t>LETICIA DOMENES TOMAZ</t>
  </si>
  <si>
    <t>32789508</t>
  </si>
  <si>
    <t>484.***.***-71</t>
  </si>
  <si>
    <t>JULIA GONCALVES DA SILVA</t>
  </si>
  <si>
    <t>32826363</t>
  </si>
  <si>
    <t>465.***.***-88</t>
  </si>
  <si>
    <t>QUESIA PIRES DE VASCONCELOS</t>
  </si>
  <si>
    <t>32753344</t>
  </si>
  <si>
    <t>454.***.***-00</t>
  </si>
  <si>
    <t>QUEBRANTXY ANTONIO PEREIRA SILVA</t>
  </si>
  <si>
    <t>32819150</t>
  </si>
  <si>
    <t>454.***.***-46</t>
  </si>
  <si>
    <t>THAIANY CAMPOS SOARES ROQUE</t>
  </si>
  <si>
    <t>32670117</t>
  </si>
  <si>
    <t>464.***.***-27</t>
  </si>
  <si>
    <t>KAUÊ FERREIRA LIMA</t>
  </si>
  <si>
    <t>32915293</t>
  </si>
  <si>
    <t>335.***.***-58</t>
  </si>
  <si>
    <t>CAÍQUE RODRIGUES SALDANHA</t>
  </si>
  <si>
    <t>32560838</t>
  </si>
  <si>
    <t>490.***.***-27</t>
  </si>
  <si>
    <t>JENNIFER MENDES DE OLIVEIRA</t>
  </si>
  <si>
    <t>32836645</t>
  </si>
  <si>
    <t>519.***.***-99</t>
  </si>
  <si>
    <t>VICTOR  HUGO DOS  SANTOS FIDELIS</t>
  </si>
  <si>
    <t>32553250</t>
  </si>
  <si>
    <t>385.***.***-90</t>
  </si>
  <si>
    <t>PABLO LUIS JESUS SILVA</t>
  </si>
  <si>
    <t>32916237</t>
  </si>
  <si>
    <t>556.***.***-80</t>
  </si>
  <si>
    <t>LARISSA DOS SANTOS LACERDA</t>
  </si>
  <si>
    <t>32836779</t>
  </si>
  <si>
    <t>476.***.***-95</t>
  </si>
  <si>
    <t>LUZ COSTA MACEDO</t>
  </si>
  <si>
    <t>32569169</t>
  </si>
  <si>
    <t>427.***.***-50</t>
  </si>
  <si>
    <t>BIANCA GONÇALVES FERREIRA</t>
  </si>
  <si>
    <t>32835894</t>
  </si>
  <si>
    <t>489.***.***-09</t>
  </si>
  <si>
    <t>RAIANE MENDES DOURADO</t>
  </si>
  <si>
    <t>32557026</t>
  </si>
  <si>
    <t>506.***.***-70</t>
  </si>
  <si>
    <t>GABRIELLE NICOLE NASCIMENTO</t>
  </si>
  <si>
    <t>32752292</t>
  </si>
  <si>
    <t>377.***.***-50</t>
  </si>
  <si>
    <t>GABRIEL LUCAS DOS SANTOS PACHECO</t>
  </si>
  <si>
    <t>32610735</t>
  </si>
  <si>
    <t>042.***.***-10</t>
  </si>
  <si>
    <t>RUDÁ RAEL DA SILVA DAMASCENO</t>
  </si>
  <si>
    <t>32897478</t>
  </si>
  <si>
    <t>039.***.***-73</t>
  </si>
  <si>
    <t>IGOR GUILHERME MASCARENHAS REIS</t>
  </si>
  <si>
    <t>32916092</t>
  </si>
  <si>
    <t>471.***.***-94</t>
  </si>
  <si>
    <t>LUIZ HENRIQUE WEIMANN FURTADO</t>
  </si>
  <si>
    <t>32835471</t>
  </si>
  <si>
    <t>472.***.***-52</t>
  </si>
  <si>
    <t>MATHEUS NOVAIS LESSA</t>
  </si>
  <si>
    <t>32563945</t>
  </si>
  <si>
    <t>240.***.***-60</t>
  </si>
  <si>
    <t>MALCON RICARDO PEREIRA DA SILVA</t>
  </si>
  <si>
    <t>32715109</t>
  </si>
  <si>
    <t>474.***.***-13</t>
  </si>
  <si>
    <t>LAÍS HELENA DO NASCIMENTO BRITO</t>
  </si>
  <si>
    <t>32723387</t>
  </si>
  <si>
    <t>522.***.***-42</t>
  </si>
  <si>
    <t>LUIZ GUSTAVO LIMA SANTOS</t>
  </si>
  <si>
    <t>32902352</t>
  </si>
  <si>
    <t>456.***.***-48</t>
  </si>
  <si>
    <t>JOYCE ELVIRA DE OLIVEIRA PEREIRA MACHADO</t>
  </si>
  <si>
    <t>32916036</t>
  </si>
  <si>
    <t>407.***.***-74</t>
  </si>
  <si>
    <t>DRESSA DOURADO</t>
  </si>
  <si>
    <t>32816837</t>
  </si>
  <si>
    <t>479.***.***-21</t>
  </si>
  <si>
    <t>KAUÃ DOS SANTOS PRIETO CAGGIANO</t>
  </si>
  <si>
    <t>32860164</t>
  </si>
  <si>
    <t>523.***.***-65</t>
  </si>
  <si>
    <t>LARISSA COSTA DA SILVA</t>
  </si>
  <si>
    <t>32835430</t>
  </si>
  <si>
    <t>528.***.***-26</t>
  </si>
  <si>
    <t>CINTIA PEREIRA DA SILVA</t>
  </si>
  <si>
    <t>32835999</t>
  </si>
  <si>
    <t>468.***.***-35</t>
  </si>
  <si>
    <t>ERIC BALBINO ALVES</t>
  </si>
  <si>
    <t>32795896</t>
  </si>
  <si>
    <t>431.***.***-31</t>
  </si>
  <si>
    <t>KAUAN ALVES DE SOUZA</t>
  </si>
  <si>
    <t>32656467</t>
  </si>
  <si>
    <t>590.***.***-10</t>
  </si>
  <si>
    <t>SABRINA BARBOSA SILVA</t>
  </si>
  <si>
    <t>32831353</t>
  </si>
  <si>
    <t>529.***.***-02</t>
  </si>
  <si>
    <t>JOSÉ MAXSUEL CAMPOS XAVIER</t>
  </si>
  <si>
    <t>32907711</t>
  </si>
  <si>
    <t>486.***.***-60</t>
  </si>
  <si>
    <t>VINICIUS APOSTOLO GARCIA  MATTOS</t>
  </si>
  <si>
    <t>32825629</t>
  </si>
  <si>
    <t>457.***.***-23</t>
  </si>
  <si>
    <t>FERNANDA AMARAL BIANCHNI DA LUZ</t>
  </si>
  <si>
    <t>32563031</t>
  </si>
  <si>
    <t>513.***.***-38</t>
  </si>
  <si>
    <t>ELISSA GOMES OLIVEIRA DOS SANTOS</t>
  </si>
  <si>
    <t>32749781</t>
  </si>
  <si>
    <t>368.***.***-47</t>
  </si>
  <si>
    <t>MAYHARA RIBEIRO DA SILVA</t>
  </si>
  <si>
    <t>32838716</t>
  </si>
  <si>
    <t>417.***.***-10</t>
  </si>
  <si>
    <t>ALEXANDRE PRADO DE AGUIAR</t>
  </si>
  <si>
    <t>32558394</t>
  </si>
  <si>
    <t>405.***.***-21</t>
  </si>
  <si>
    <t>RHAYSSA SOARES SANTOS</t>
  </si>
  <si>
    <t>32762572</t>
  </si>
  <si>
    <t>475.***.***-61</t>
  </si>
  <si>
    <t>RAFAELA  VIEIRA DA CRUZ</t>
  </si>
  <si>
    <t>32845466</t>
  </si>
  <si>
    <t>432.***.***-32</t>
  </si>
  <si>
    <t>JÚLIA BEDÊ BARBOSA CASTRIGUINI</t>
  </si>
  <si>
    <t>32605181</t>
  </si>
  <si>
    <t>516.***.***-16</t>
  </si>
  <si>
    <t>MARIANA QUIRINO DO NASCIMENTO</t>
  </si>
  <si>
    <t>32563744</t>
  </si>
  <si>
    <t>521.***.***-39</t>
  </si>
  <si>
    <t>GABRIEL MELO OLIVEIRA SANTOS</t>
  </si>
  <si>
    <t>32701518</t>
  </si>
  <si>
    <t>538.***.***-30</t>
  </si>
  <si>
    <t>PIETRA SIQUEIRA BRITO</t>
  </si>
  <si>
    <t>32829364</t>
  </si>
  <si>
    <t>476.***.***-58</t>
  </si>
  <si>
    <t>ED WILSON THOMAZ SILVA DA CRUZ</t>
  </si>
  <si>
    <t>32882419</t>
  </si>
  <si>
    <t>492.***.***-81</t>
  </si>
  <si>
    <t>GUILHERME DA SILVA ALVES</t>
  </si>
  <si>
    <t>32818816</t>
  </si>
  <si>
    <t>504.***.***-41</t>
  </si>
  <si>
    <t>VINICIUS MENDONCA VERDERAME</t>
  </si>
  <si>
    <t>32902565</t>
  </si>
  <si>
    <t>339.***.***-67</t>
  </si>
  <si>
    <t>LETICIA POLATO</t>
  </si>
  <si>
    <t>32830083</t>
  </si>
  <si>
    <t>318.***.***-36</t>
  </si>
  <si>
    <t>SYLAS CASAES ROCHA</t>
  </si>
  <si>
    <t>32660801</t>
  </si>
  <si>
    <t>414.***.***-97</t>
  </si>
  <si>
    <t>JULIANA ROCHA DE LIMA</t>
  </si>
  <si>
    <t>32737891</t>
  </si>
  <si>
    <t>515.***.***-63</t>
  </si>
  <si>
    <t>ELLEN CRISTINE DE OLIVEIRA</t>
  </si>
  <si>
    <t>32835395</t>
  </si>
  <si>
    <t>535.***.***-80</t>
  </si>
  <si>
    <t>ALISSON NASCIMENTO DE LIMA</t>
  </si>
  <si>
    <t>32816052</t>
  </si>
  <si>
    <t>537.***.***-74</t>
  </si>
  <si>
    <t>GABRIELA BARBOSA MAGALHAES</t>
  </si>
  <si>
    <t>32836818</t>
  </si>
  <si>
    <t>468.***.***-30</t>
  </si>
  <si>
    <t>LUCAS QUEIROZ DA SILVA</t>
  </si>
  <si>
    <t>32568576</t>
  </si>
  <si>
    <t>557.***.***-85</t>
  </si>
  <si>
    <t>KAUAN PAIOLA SASSO</t>
  </si>
  <si>
    <t>32904174</t>
  </si>
  <si>
    <t>BEATRYS VITORIA GOUVEIA DA SILVA</t>
  </si>
  <si>
    <t>32916270</t>
  </si>
  <si>
    <t>532.***.***-13</t>
  </si>
  <si>
    <t>SUELLEN CAROLYNE COSME FELIX</t>
  </si>
  <si>
    <t>32690887</t>
  </si>
  <si>
    <t>471.***.***-21</t>
  </si>
  <si>
    <t>KAROLINA COELHO DE SANTANA</t>
  </si>
  <si>
    <t>32669486</t>
  </si>
  <si>
    <t>476.***.***-85</t>
  </si>
  <si>
    <t>LUCAS MATHEUS THEODORO GOMES DOS SANTOS</t>
  </si>
  <si>
    <t>32837028</t>
  </si>
  <si>
    <t>396.***.***-00</t>
  </si>
  <si>
    <t>PAULO MARQUES GOMES OLIVEIRA</t>
  </si>
  <si>
    <t>32584643</t>
  </si>
  <si>
    <t>497.***.***-64</t>
  </si>
  <si>
    <t>THAMIRIS LOPES DOS SANTOS</t>
  </si>
  <si>
    <t>32610610</t>
  </si>
  <si>
    <t>459.***.***-11</t>
  </si>
  <si>
    <t>NICKOLLAS VINICIUS BEZERRA RAMOS</t>
  </si>
  <si>
    <t>32552222</t>
  </si>
  <si>
    <t>527.***.***-50</t>
  </si>
  <si>
    <t>EMILLY VITORIA DE FRANCA PENHA</t>
  </si>
  <si>
    <t>32907912</t>
  </si>
  <si>
    <t>553.***.***-03</t>
  </si>
  <si>
    <t>SARAH FERNANDA NUNES AMPARADO</t>
  </si>
  <si>
    <t>32641005</t>
  </si>
  <si>
    <t>510.***.***-60</t>
  </si>
  <si>
    <t>DAVI SILVA</t>
  </si>
  <si>
    <t>32905300</t>
  </si>
  <si>
    <t>098.***.***-84</t>
  </si>
  <si>
    <t>LUANA XAVIER MARQUES</t>
  </si>
  <si>
    <t>32831600</t>
  </si>
  <si>
    <t>387.***.***-69</t>
  </si>
  <si>
    <t>MATHEUS SANTOS DE ALCANTARA</t>
  </si>
  <si>
    <t>32896597</t>
  </si>
  <si>
    <t>478.***.***-48</t>
  </si>
  <si>
    <t>TIFFANY FATIMA FLORES DIAS</t>
  </si>
  <si>
    <t>32913522</t>
  </si>
  <si>
    <t>513.***.***-93</t>
  </si>
  <si>
    <t>VICTOR LEONARDO BRAGA</t>
  </si>
  <si>
    <t>32911629</t>
  </si>
  <si>
    <t>554.***.***-06</t>
  </si>
  <si>
    <t>ZURI DE SOUZA PEREIRA</t>
  </si>
  <si>
    <t>32913541</t>
  </si>
  <si>
    <t>702.***.***-94</t>
  </si>
  <si>
    <t>JULIA NICOLLY DA  SILVA CAMPOS</t>
  </si>
  <si>
    <t>32831285</t>
  </si>
  <si>
    <t>518.***.***-48</t>
  </si>
  <si>
    <t>JOE BELFORT CRUZ SILVA</t>
  </si>
  <si>
    <t>32835236</t>
  </si>
  <si>
    <t>509.***.***-05</t>
  </si>
  <si>
    <t>LUCIO DALEIRO AYALA</t>
  </si>
  <si>
    <t>32858236</t>
  </si>
  <si>
    <t>491.***.***-80</t>
  </si>
  <si>
    <t>JEFFERSON FERREIRA GIL RODRIGUES</t>
  </si>
  <si>
    <t>32906054</t>
  </si>
  <si>
    <t>524.***.***-81</t>
  </si>
  <si>
    <t>MARYANNA VIEIRA KOWALISKI</t>
  </si>
  <si>
    <t>32744669</t>
  </si>
  <si>
    <t>444.***.***-10</t>
  </si>
  <si>
    <t>SCHELLY DA SILVA LIMA</t>
  </si>
  <si>
    <t>32914988</t>
  </si>
  <si>
    <t>524.***.***-00</t>
  </si>
  <si>
    <t>RAFAELA MARCELE SOARES DA SILVA</t>
  </si>
  <si>
    <t>32826634</t>
  </si>
  <si>
    <t>499.***.***-04</t>
  </si>
  <si>
    <t>KAROLLYNE LIMA BARBOSA</t>
  </si>
  <si>
    <t>32651550</t>
  </si>
  <si>
    <t>386.***.***-98</t>
  </si>
  <si>
    <t>RAYANE CRISTINA DA CONCEIÇÃO LIMA</t>
  </si>
  <si>
    <t>32825882</t>
  </si>
  <si>
    <t>181.***.***-01</t>
  </si>
  <si>
    <t>YASMIN FERREIRA VAZ CORDEIRO</t>
  </si>
  <si>
    <t>32849076</t>
  </si>
  <si>
    <t>551.***.***-57</t>
  </si>
  <si>
    <t>VINICIUS BARBOSA TEIXEIRA</t>
  </si>
  <si>
    <t>32661706</t>
  </si>
  <si>
    <t>462.***.***-96</t>
  </si>
  <si>
    <t>BRUNA</t>
  </si>
  <si>
    <t>32829255</t>
  </si>
  <si>
    <t>471.***.***-70</t>
  </si>
  <si>
    <t>OLIVER BARBOSA</t>
  </si>
  <si>
    <t>32835890</t>
  </si>
  <si>
    <t>583.***.***-97</t>
  </si>
  <si>
    <t>GABRIELA DOS SANTOS FELIX</t>
  </si>
  <si>
    <t>32661542</t>
  </si>
  <si>
    <t>503.***.***-85</t>
  </si>
  <si>
    <t>ELIZABETH NATHALIE GOMES VIZOKI</t>
  </si>
  <si>
    <t>32821588</t>
  </si>
  <si>
    <t>476.***.***-17</t>
  </si>
  <si>
    <t>JAMES BERNARDES DIAS</t>
  </si>
  <si>
    <t>32910912</t>
  </si>
  <si>
    <t>534.***.***-40</t>
  </si>
  <si>
    <t>DAYLA MARIANO DOS SANTOS</t>
  </si>
  <si>
    <t>32774097</t>
  </si>
  <si>
    <t>553.***.***-71</t>
  </si>
  <si>
    <t>JULIA DA SILVA BIAGGIOLI</t>
  </si>
  <si>
    <t>32909428</t>
  </si>
  <si>
    <t>484.***.***-13</t>
  </si>
  <si>
    <t>KAI RAYOFAIJI</t>
  </si>
  <si>
    <t>32913887</t>
  </si>
  <si>
    <t>508.***.***-75</t>
  </si>
  <si>
    <t>HEMILY VITÓRIA DE SOUZA MOTA</t>
  </si>
  <si>
    <t>32597100</t>
  </si>
  <si>
    <t>473.***.***-62</t>
  </si>
  <si>
    <t>LAÍS DA SILVA SANTANA SILVA</t>
  </si>
  <si>
    <t>32561929</t>
  </si>
  <si>
    <t>050.***.***-02</t>
  </si>
  <si>
    <t>RAQUEL STELA MOTA</t>
  </si>
  <si>
    <t>32897286</t>
  </si>
  <si>
    <t>512.***.***-35</t>
  </si>
  <si>
    <t>DANIEL SANTOS MENDONCA</t>
  </si>
  <si>
    <t>32915084</t>
  </si>
  <si>
    <t>CLAYTON MATHEUS SANTOS</t>
  </si>
  <si>
    <t>32887366</t>
  </si>
  <si>
    <t>459.***.***-44</t>
  </si>
  <si>
    <t>YASMIM MIRANDA CUNHA</t>
  </si>
  <si>
    <t>32601224</t>
  </si>
  <si>
    <t>240.***.***-14</t>
  </si>
  <si>
    <t>Thainá Franklim de Moares</t>
  </si>
  <si>
    <t>32597860</t>
  </si>
  <si>
    <t>520.***.***-45</t>
  </si>
  <si>
    <t>LEONARDO BRAYAN PEREIRA DA  SILVA</t>
  </si>
  <si>
    <t>32700678</t>
  </si>
  <si>
    <t>450.***.***-19</t>
  </si>
  <si>
    <t>BRUNA PESQUEIRA GOMES</t>
  </si>
  <si>
    <t>32751526</t>
  </si>
  <si>
    <t>516.***.***-10</t>
  </si>
  <si>
    <t>BYANKA MARTINS DOS SANTOS</t>
  </si>
  <si>
    <t>32696531</t>
  </si>
  <si>
    <t>541.***.***-32</t>
  </si>
  <si>
    <t>HUMBERTO ALVES CLETO VICENTE</t>
  </si>
  <si>
    <t>32831723</t>
  </si>
  <si>
    <t>468.***.***-07</t>
  </si>
  <si>
    <t>RAQUEL DE OLIVEIRA ZANGIROLANI</t>
  </si>
  <si>
    <t>32811626</t>
  </si>
  <si>
    <t>506.***.***-28</t>
  </si>
  <si>
    <t>LUANA CRISTINA ALVES LIMA DO NASCIMENTO</t>
  </si>
  <si>
    <t>32730813</t>
  </si>
  <si>
    <t>581.***.***-38</t>
  </si>
  <si>
    <t>ANA LUIZA BARBOSA DE MOURA ANTONIO</t>
  </si>
  <si>
    <t>32914047</t>
  </si>
  <si>
    <t>547.***.***-66</t>
  </si>
  <si>
    <t>LUCAS DE SOUZA LEANDRO</t>
  </si>
  <si>
    <t>32908120</t>
  </si>
  <si>
    <t>439.***.***-75</t>
  </si>
  <si>
    <t>GABRIEL FERREIRA DE ASSIS CANDIDO DA SILVA</t>
  </si>
  <si>
    <t>32915414</t>
  </si>
  <si>
    <t>487.***.***-95</t>
  </si>
  <si>
    <t>NERO SANTOS RIBEIRO</t>
  </si>
  <si>
    <t>32836951</t>
  </si>
  <si>
    <t>377.***.***-84</t>
  </si>
  <si>
    <t>MILENA LOPES ROSA</t>
  </si>
  <si>
    <t>32831412</t>
  </si>
  <si>
    <t>469.***.***-33</t>
  </si>
  <si>
    <t>BRITNEY RUTH AGUERO SAMUEL</t>
  </si>
  <si>
    <t>32915736</t>
  </si>
  <si>
    <t>494.***.***-42</t>
  </si>
  <si>
    <t>TATIANE  FURLANETO MAGALHÃES</t>
  </si>
  <si>
    <t>32907721</t>
  </si>
  <si>
    <t>479.***.***-07</t>
  </si>
  <si>
    <t>FERNANDO RODRIGUES FELIX</t>
  </si>
  <si>
    <t>32618319</t>
  </si>
  <si>
    <t>557.***.***-86</t>
  </si>
  <si>
    <t>ISABELA LUIZA EUGENIO</t>
  </si>
  <si>
    <t>32667072</t>
  </si>
  <si>
    <t>461.***.***-93</t>
  </si>
  <si>
    <t>KAUANNY NICOLY NASCIMENTO DOS  SANTOS</t>
  </si>
  <si>
    <t>32832411</t>
  </si>
  <si>
    <t>509.***.***-81</t>
  </si>
  <si>
    <t>NATHALY BRAGA DE BULHOES</t>
  </si>
  <si>
    <t>32577111</t>
  </si>
  <si>
    <t>545.***.***-59</t>
  </si>
  <si>
    <t>BRENDA MARIA DA COSTA CORREA</t>
  </si>
  <si>
    <t>32563033</t>
  </si>
  <si>
    <t>466.***.***-01</t>
  </si>
  <si>
    <t>GABRIEL DE SOUZA PRADO</t>
  </si>
  <si>
    <t>32897477</t>
  </si>
  <si>
    <t>454.***.***-19</t>
  </si>
  <si>
    <t>LARISSA SILVA MARTINS</t>
  </si>
  <si>
    <t>32578709</t>
  </si>
  <si>
    <t>497.***.***-22</t>
  </si>
  <si>
    <t>BEATRIZ DA SILVA VIEIRA</t>
  </si>
  <si>
    <t>32825848</t>
  </si>
  <si>
    <t>400.***.***-07</t>
  </si>
  <si>
    <t>MILENA SILVA</t>
  </si>
  <si>
    <t>32808281</t>
  </si>
  <si>
    <t>559.***.***-36</t>
  </si>
  <si>
    <t>LUCAS PENTEADO DE MATOS</t>
  </si>
  <si>
    <t>32817402</t>
  </si>
  <si>
    <t>540.***.***-96</t>
  </si>
  <si>
    <t>ANTONIO ELTON PEREIRA BORGES</t>
  </si>
  <si>
    <t>32913773</t>
  </si>
  <si>
    <t>059.***.***-80</t>
  </si>
  <si>
    <t>LÍVIA KAUANE SALES SILVA</t>
  </si>
  <si>
    <t>32763966</t>
  </si>
  <si>
    <t>489.***.***-81</t>
  </si>
  <si>
    <t>LAUANY ROSA  DE  SOUZA  MOREIRA</t>
  </si>
  <si>
    <t>32675909</t>
  </si>
  <si>
    <t>501.***.***-96</t>
  </si>
  <si>
    <t>JOYCINEIDE SOARES  MACHADO</t>
  </si>
  <si>
    <t>32673712</t>
  </si>
  <si>
    <t>452.***.***-65</t>
  </si>
  <si>
    <t>STELLA CRISTINA ISMAEL DE SOUZA</t>
  </si>
  <si>
    <t>32828010</t>
  </si>
  <si>
    <t>496.***.***-63</t>
  </si>
  <si>
    <t>THAIS DIAS GOMES VITORIA</t>
  </si>
  <si>
    <t>32563083</t>
  </si>
  <si>
    <t>543.***.***-64</t>
  </si>
  <si>
    <t>ISABELA MARIA DIAS MORELLI</t>
  </si>
  <si>
    <t>32915909</t>
  </si>
  <si>
    <t>436.***.***-70</t>
  </si>
  <si>
    <t>CAMILA APARECIDA BIAGE DA SILVA</t>
  </si>
  <si>
    <t>32835535</t>
  </si>
  <si>
    <t>343.***.***-31</t>
  </si>
  <si>
    <t>CARINA NERES FARIAS</t>
  </si>
  <si>
    <t>32836147</t>
  </si>
  <si>
    <t>526.***.***-07</t>
  </si>
  <si>
    <t>EVANDRO BARBOSA CARVALHO</t>
  </si>
  <si>
    <t>32569744</t>
  </si>
  <si>
    <t>507.***.***-36</t>
  </si>
  <si>
    <t>MILA RIZZUTO DE OLIVEIRA</t>
  </si>
  <si>
    <t>32835707</t>
  </si>
  <si>
    <t>083.***.***-73</t>
  </si>
  <si>
    <t>MAYARA FREIRE DOS SANTOS</t>
  </si>
  <si>
    <t>32916258</t>
  </si>
  <si>
    <t>523.***.***-37</t>
  </si>
  <si>
    <t>BRUNA KAROLINA VASCONCELOS</t>
  </si>
  <si>
    <t>460.***.***-69</t>
  </si>
  <si>
    <t>TIAGO BANHOS DE  SOUZA</t>
  </si>
  <si>
    <t>32761670</t>
  </si>
  <si>
    <t>365.***.***-92</t>
  </si>
  <si>
    <t>RODRIGO FERREIRA SOUTO</t>
  </si>
  <si>
    <t>32568637</t>
  </si>
  <si>
    <t>KAROLINIE MIKAELLY BARBOSA DA SILVA</t>
  </si>
  <si>
    <t>32553552</t>
  </si>
  <si>
    <t>239.***.***-17</t>
  </si>
  <si>
    <t>ADRIANA DOMINGUEZ MEJIA</t>
  </si>
  <si>
    <t>32599019</t>
  </si>
  <si>
    <t>237.***.***-70</t>
  </si>
  <si>
    <t>SOL NUNES FERREIRA</t>
  </si>
  <si>
    <t>32830017</t>
  </si>
  <si>
    <t>361.***.***-10</t>
  </si>
  <si>
    <t>SYSLANE MARQUES DE SOUZA SALES</t>
  </si>
  <si>
    <t>32822835</t>
  </si>
  <si>
    <t>457.***.***-97</t>
  </si>
  <si>
    <t xml:space="preserve">FILIPE FERNANDES ABREU </t>
  </si>
  <si>
    <t>32599652</t>
  </si>
  <si>
    <t>480.***.***-90</t>
  </si>
  <si>
    <t>KÁMILAH ROSARIO SANTOS</t>
  </si>
  <si>
    <t>32844312</t>
  </si>
  <si>
    <t>481.***.***-98</t>
  </si>
  <si>
    <t>GIULIA PAVANI DOS SANTOS</t>
  </si>
  <si>
    <t>32836725</t>
  </si>
  <si>
    <t>450.***.***-01</t>
  </si>
  <si>
    <t>NATHAN DA COSTA PEDRO</t>
  </si>
  <si>
    <t>32908554</t>
  </si>
  <si>
    <t>536.***.***-23</t>
  </si>
  <si>
    <t>CAMILA MARTINS DINIZ DE SOUZA</t>
  </si>
  <si>
    <t>32749859</t>
  </si>
  <si>
    <t>163.***.***-10</t>
  </si>
  <si>
    <t>MAYSA SALES DO NASCIMENTO</t>
  </si>
  <si>
    <t>32831697</t>
  </si>
  <si>
    <t>540.***.***-89</t>
  </si>
  <si>
    <t>DANDARA OLIVEIRA PEREIRA</t>
  </si>
  <si>
    <t>32576383</t>
  </si>
  <si>
    <t>578.***.***-89</t>
  </si>
  <si>
    <t>WERICK SILVA  DOS  SANTOS GOMES</t>
  </si>
  <si>
    <t>32836791</t>
  </si>
  <si>
    <t>525.***.***-51</t>
  </si>
  <si>
    <t>FERNANDA  GONCALVES  DE  MELLO</t>
  </si>
  <si>
    <t>32560421</t>
  </si>
  <si>
    <t>482.***.***-07</t>
  </si>
  <si>
    <t>NYCHOLAS ALVES DE LIMA</t>
  </si>
  <si>
    <t>32617081</t>
  </si>
  <si>
    <t>501.***.***-73</t>
  </si>
  <si>
    <t>AMANDA CAROLINE SOARES DE ALMEIDA</t>
  </si>
  <si>
    <t>32897002</t>
  </si>
  <si>
    <t>048.***.***-20</t>
  </si>
  <si>
    <t>GLENDA HANNA DOS SANTOS PAIVA NUNES</t>
  </si>
  <si>
    <t>32825096</t>
  </si>
  <si>
    <t>402.***.***-43</t>
  </si>
  <si>
    <t>THAINA FERNANDA GOMES DA SILVA</t>
  </si>
  <si>
    <t>32875645</t>
  </si>
  <si>
    <t>522.***.***-98</t>
  </si>
  <si>
    <t>MAYRA BESSA LIGER</t>
  </si>
  <si>
    <t>32875766</t>
  </si>
  <si>
    <t>434.***.***-47</t>
  </si>
  <si>
    <t>VITÓRIA PEREZ MARTINS DA SILVA</t>
  </si>
  <si>
    <t>32911986</t>
  </si>
  <si>
    <t>365.***.***-71</t>
  </si>
  <si>
    <t>TOMAS FELIX DA SILVA</t>
  </si>
  <si>
    <t>32888905</t>
  </si>
  <si>
    <t>491.***.***-71</t>
  </si>
  <si>
    <t>RUDA BEZERRA REIS CARDOSO DO SANTOS</t>
  </si>
  <si>
    <t>32907779</t>
  </si>
  <si>
    <t>503.***.***-79</t>
  </si>
  <si>
    <t>PEDRO HENRIQUE MOURA RODRIGUES</t>
  </si>
  <si>
    <t>32644322</t>
  </si>
  <si>
    <t>492.***.***-51</t>
  </si>
  <si>
    <t>WELLINGTON SIMOES BISPO</t>
  </si>
  <si>
    <t>32914508</t>
  </si>
  <si>
    <t>228.***.***-48</t>
  </si>
  <si>
    <t>KAIKY SILVA DE FARIAS</t>
  </si>
  <si>
    <t>32915973</t>
  </si>
  <si>
    <t>536.***.***-80</t>
  </si>
  <si>
    <t>CAMILA SUZANE OLIVEIRA DE SOUZA</t>
  </si>
  <si>
    <t>32866430</t>
  </si>
  <si>
    <t>518.***.***-37</t>
  </si>
  <si>
    <t>MONIQUI GOMES DO NASCIMENTO</t>
  </si>
  <si>
    <t>32787756</t>
  </si>
  <si>
    <t>527.***.***-00</t>
  </si>
  <si>
    <t>JULIANA SOARES DE SOUZA</t>
  </si>
  <si>
    <t>32804550</t>
  </si>
  <si>
    <t>506.***.***-29</t>
  </si>
  <si>
    <t>GABRIELA FERRAZ TROQUE</t>
  </si>
  <si>
    <t>32583962</t>
  </si>
  <si>
    <t>498.***.***-59</t>
  </si>
  <si>
    <t>JHELSSY VANESSA BEYUMA CHOQUE</t>
  </si>
  <si>
    <t>32912392</t>
  </si>
  <si>
    <t>235.***.***-09</t>
  </si>
  <si>
    <t>RATZ DANIEL ROMANO BARRETO</t>
  </si>
  <si>
    <t>32819749</t>
  </si>
  <si>
    <t>442.***.***-80</t>
  </si>
  <si>
    <t>ANNE CAROLINE PAZ FERREIRA</t>
  </si>
  <si>
    <t>32831779</t>
  </si>
  <si>
    <t>038.***.***-93</t>
  </si>
  <si>
    <t>ANA CAROLINA MOREIRA DE ARAUJO</t>
  </si>
  <si>
    <t>32916227</t>
  </si>
  <si>
    <t>520.***.***-83</t>
  </si>
  <si>
    <t>ANDREZA SILVA DE ANDRADE</t>
  </si>
  <si>
    <t>519.***.***-97</t>
  </si>
  <si>
    <t>VICTORIA MIRYA RODRIGUES</t>
  </si>
  <si>
    <t>32571057</t>
  </si>
  <si>
    <t>543.***.***-03</t>
  </si>
  <si>
    <t>SABRINA SANTANA DOS SANTOS</t>
  </si>
  <si>
    <t>32828724</t>
  </si>
  <si>
    <t>240.***.***-61</t>
  </si>
  <si>
    <t>RENATA OLIVEIRA SOUZA</t>
  </si>
  <si>
    <t>32914452</t>
  </si>
  <si>
    <t>480.***.***-89</t>
  </si>
  <si>
    <t>JOICE MIRANDA CARVALHO</t>
  </si>
  <si>
    <t>32831939</t>
  </si>
  <si>
    <t>510.***.***-06</t>
  </si>
  <si>
    <t>GUILHERME SILVA DE OLIVEIRA</t>
  </si>
  <si>
    <t>32836616</t>
  </si>
  <si>
    <t>474.***.***-75</t>
  </si>
  <si>
    <t>DOUGLAS AGUIRRE SOLARES</t>
  </si>
  <si>
    <t>32570480</t>
  </si>
  <si>
    <t>491.***.***-26</t>
  </si>
  <si>
    <t>WILLY ARLEY SOARES CALDAS</t>
  </si>
  <si>
    <t>32835815</t>
  </si>
  <si>
    <t>426.***.***-12</t>
  </si>
  <si>
    <t>ANA BEATRIZ THOMAZINO RIBEIRO DA SILVA</t>
  </si>
  <si>
    <t>32737757</t>
  </si>
  <si>
    <t>447.***.***-07</t>
  </si>
  <si>
    <t>YASMIN VALE SANTOS</t>
  </si>
  <si>
    <t>32822784</t>
  </si>
  <si>
    <t>432.***.***-47</t>
  </si>
  <si>
    <t>JOYCE VICENTE DE SOUZA</t>
  </si>
  <si>
    <t>32837772</t>
  </si>
  <si>
    <t>500.***.***-65</t>
  </si>
  <si>
    <t>GABRIEL BISPO SENA</t>
  </si>
  <si>
    <t>32904774</t>
  </si>
  <si>
    <t>502.***.***-04</t>
  </si>
  <si>
    <t>MATHEUS VINÍCIUS GOMES MENDONÇA</t>
  </si>
  <si>
    <t>32751213</t>
  </si>
  <si>
    <t>445.***.***-11</t>
  </si>
  <si>
    <t>HELOISA DE SOUZA DA SILVA</t>
  </si>
  <si>
    <t>32554879</t>
  </si>
  <si>
    <t>518.***.***-29</t>
  </si>
  <si>
    <t>LAVI AZÚLYS PEREIRA DE LIMA</t>
  </si>
  <si>
    <t>32826114</t>
  </si>
  <si>
    <t>511.***.***-19</t>
  </si>
  <si>
    <t>ISABELLE RODRIGUES DE MORAES</t>
  </si>
  <si>
    <t>32836690</t>
  </si>
  <si>
    <t>532.***.***-08</t>
  </si>
  <si>
    <t>KAUÃ ALVES TEOTONIO</t>
  </si>
  <si>
    <t>32893707</t>
  </si>
  <si>
    <t>492.***.***-50</t>
  </si>
  <si>
    <t>CATHARINA GABRIELLE DOS SANTOS</t>
  </si>
  <si>
    <t>32915431</t>
  </si>
  <si>
    <t>GRAZIELA DIAS PEREIRA</t>
  </si>
  <si>
    <t>32609187</t>
  </si>
  <si>
    <t>085.***.***-67</t>
  </si>
  <si>
    <t>GLORIA MARIA CARDOSO DA SILVA</t>
  </si>
  <si>
    <t>32905285</t>
  </si>
  <si>
    <t>448.***.***-67</t>
  </si>
  <si>
    <t>CAMILA MARQUES SOUTO</t>
  </si>
  <si>
    <t>32768152</t>
  </si>
  <si>
    <t>444.***.***-13</t>
  </si>
  <si>
    <t>RAQUEL DA SILVA FERNANDES</t>
  </si>
  <si>
    <t>32836968</t>
  </si>
  <si>
    <t>480.***.***-02</t>
  </si>
  <si>
    <t>CLAUDIA GAMA TELES</t>
  </si>
  <si>
    <t>32902930</t>
  </si>
  <si>
    <t>362.***.***-99</t>
  </si>
  <si>
    <t>DONATELLA MAGNO DOS SANTOS</t>
  </si>
  <si>
    <t>32624691</t>
  </si>
  <si>
    <t>020.***.***-80</t>
  </si>
  <si>
    <t>KHAUA MORAIS REIS</t>
  </si>
  <si>
    <t>32577112</t>
  </si>
  <si>
    <t>593.***.***-75</t>
  </si>
  <si>
    <t>GABRIELLE SILVA SANTOS</t>
  </si>
  <si>
    <t>32671684</t>
  </si>
  <si>
    <t>523.***.***-78</t>
  </si>
  <si>
    <t>LUNA SILVA</t>
  </si>
  <si>
    <t>32748501</t>
  </si>
  <si>
    <t>445.***.***-71</t>
  </si>
  <si>
    <t>AMANDA SALES NASCIMENTO LUNA</t>
  </si>
  <si>
    <t>32618165</t>
  </si>
  <si>
    <t>526.***.***-57</t>
  </si>
  <si>
    <t>GABRIELA MARQUES CHAVONGA</t>
  </si>
  <si>
    <t>32710372</t>
  </si>
  <si>
    <t>452.***.***-85</t>
  </si>
  <si>
    <t>GABRIELA DOMINGUES DA SILVA</t>
  </si>
  <si>
    <t>32833372</t>
  </si>
  <si>
    <t>526.***.***-23</t>
  </si>
  <si>
    <t>CARLOS EDUARDO DE CASTRO GUERRA</t>
  </si>
  <si>
    <t>32726986</t>
  </si>
  <si>
    <t>555.***.***-80</t>
  </si>
  <si>
    <t>CASTIEL DE SOUSA MACHADO</t>
  </si>
  <si>
    <t>32651811</t>
  </si>
  <si>
    <t>391.***.***-95</t>
  </si>
  <si>
    <t>MATEUS LUIZ SAMPAIO</t>
  </si>
  <si>
    <t>32568455</t>
  </si>
  <si>
    <t>456.***.***-31</t>
  </si>
  <si>
    <t>CA MORAIS</t>
  </si>
  <si>
    <t>32817328</t>
  </si>
  <si>
    <t>442.***.***-69</t>
  </si>
  <si>
    <t>NELIDA SANTOS SILVA</t>
  </si>
  <si>
    <t>32630448</t>
  </si>
  <si>
    <t>487.***.***-60</t>
  </si>
  <si>
    <t>DANIEL REGINA DE ALEXANDRE SILVA</t>
  </si>
  <si>
    <t>32826607</t>
  </si>
  <si>
    <t>428.***.***-13</t>
  </si>
  <si>
    <t>MARIA CLARA BATISTA DOS ANJOS CANGUSSU</t>
  </si>
  <si>
    <t>32913910</t>
  </si>
  <si>
    <t>MARISSA STHEFANIE DA SILVA RAMOS</t>
  </si>
  <si>
    <t>32916333</t>
  </si>
  <si>
    <t>424.***.***-75</t>
  </si>
  <si>
    <t>RUBY MAXIMO DOS SANTOS FIGUEIREDO</t>
  </si>
  <si>
    <t>32562414</t>
  </si>
  <si>
    <t>519.***.***-51</t>
  </si>
  <si>
    <t>MARTIN CARVALHO</t>
  </si>
  <si>
    <t>32831527</t>
  </si>
  <si>
    <t>470.***.***-71</t>
  </si>
  <si>
    <t>MARIA ELOISA SENA LIMA DE SALES</t>
  </si>
  <si>
    <t>32829114</t>
  </si>
  <si>
    <t>574.***.***-03</t>
  </si>
  <si>
    <t>CIBELE MAXIMO DA SILVA</t>
  </si>
  <si>
    <t>32834222</t>
  </si>
  <si>
    <t>469.***.***-70</t>
  </si>
  <si>
    <t>HELOISA DE JESUS RIBEIRO</t>
  </si>
  <si>
    <t>32915672</t>
  </si>
  <si>
    <t>500.***.***-02</t>
  </si>
  <si>
    <t>GABRIELLY NUNES DE FREITAS FARIAS</t>
  </si>
  <si>
    <t>32851832</t>
  </si>
  <si>
    <t>493.***.***-88</t>
  </si>
  <si>
    <t>MARCO AUGUSTO DE SOUSA SILVA</t>
  </si>
  <si>
    <t>32836679</t>
  </si>
  <si>
    <t>518.***.***-31</t>
  </si>
  <si>
    <t>JULIA DE  OLIVEIRA  SILVA</t>
  </si>
  <si>
    <t>32763326</t>
  </si>
  <si>
    <t>544.***.***-89</t>
  </si>
  <si>
    <t>KETLEN LIZANDRA DA SILVA SOUZA</t>
  </si>
  <si>
    <t>32752430</t>
  </si>
  <si>
    <t>432.***.***-58</t>
  </si>
  <si>
    <t>RYAN SILVA FELIX</t>
  </si>
  <si>
    <t>32603213</t>
  </si>
  <si>
    <t>460.***.***-48</t>
  </si>
  <si>
    <t>GABRIEL NATEL TAVARES</t>
  </si>
  <si>
    <t>32796221</t>
  </si>
  <si>
    <t>426.***.***-41</t>
  </si>
  <si>
    <t>RIAN NOGUEIRA FELIX</t>
  </si>
  <si>
    <t>32826697</t>
  </si>
  <si>
    <t>537.***.***-27</t>
  </si>
  <si>
    <t>JESSICA ANDRADE</t>
  </si>
  <si>
    <t>32913098</t>
  </si>
  <si>
    <t>361.***.***-00</t>
  </si>
  <si>
    <t>ÁRYS DE JESUS OLIVEIRA ROCHA</t>
  </si>
  <si>
    <t>581.***.***-54</t>
  </si>
  <si>
    <t>ANA BEATRIZ SILVA CORREIA</t>
  </si>
  <si>
    <t>32571322</t>
  </si>
  <si>
    <t>506.***.***-97</t>
  </si>
  <si>
    <t>PAULO HENRIQUE MEDEIROS MACHADO</t>
  </si>
  <si>
    <t>32596401</t>
  </si>
  <si>
    <t>496.***.***-83</t>
  </si>
  <si>
    <t>BEATRIZ MARTINS SCARCELLI</t>
  </si>
  <si>
    <t>32835552</t>
  </si>
  <si>
    <t>444.***.***-60</t>
  </si>
  <si>
    <t>AKIN CANDIDO DE LIMA</t>
  </si>
  <si>
    <t>32807631</t>
  </si>
  <si>
    <t>400.***.***-14</t>
  </si>
  <si>
    <t>JENIFFER GOMES LIMA</t>
  </si>
  <si>
    <t>32915966</t>
  </si>
  <si>
    <t>444.***.***-03</t>
  </si>
  <si>
    <t>KAIQUE DA SILVA ANDRADE PEREIRA</t>
  </si>
  <si>
    <t>32578121</t>
  </si>
  <si>
    <t>462.***.***-25</t>
  </si>
  <si>
    <t>SARAH DE  CARVALHO E SILVA</t>
  </si>
  <si>
    <t>32877007</t>
  </si>
  <si>
    <t>451.***.***-98</t>
  </si>
  <si>
    <t>GIULLIA DE CAMPOS</t>
  </si>
  <si>
    <t>32553761</t>
  </si>
  <si>
    <t>543.***.***-60</t>
  </si>
  <si>
    <t>RENATO PIMENTA DOS SANTOS</t>
  </si>
  <si>
    <t>32906960</t>
  </si>
  <si>
    <t>241.***.***-35</t>
  </si>
  <si>
    <t>DIEGO GIOVANNINI CORREA</t>
  </si>
  <si>
    <t>32864258</t>
  </si>
  <si>
    <t>496.***.***-64</t>
  </si>
  <si>
    <t>CHARLIE CIRINO FERREIRA DIAS</t>
  </si>
  <si>
    <t>32603040</t>
  </si>
  <si>
    <t>361.***.***-09</t>
  </si>
  <si>
    <t>YAZZ DA SILVA FAZZIO</t>
  </si>
  <si>
    <t>32913115</t>
  </si>
  <si>
    <t>103.***.***-18</t>
  </si>
  <si>
    <t>ANA LUIZA SILVA ARDUINO</t>
  </si>
  <si>
    <t>32907932</t>
  </si>
  <si>
    <t>459.***.***-79</t>
  </si>
  <si>
    <t>CATHARINE ZENOBI ROMANO</t>
  </si>
  <si>
    <t>32558039</t>
  </si>
  <si>
    <t>504.***.***-93</t>
  </si>
  <si>
    <t>KELVIN MERAKIIH AGUIAR DA SILVA</t>
  </si>
  <si>
    <t>32578883</t>
  </si>
  <si>
    <t>510.***.***-71</t>
  </si>
  <si>
    <t>OTAVIO MARQUES DE ALMEIDA RODRIGUES</t>
  </si>
  <si>
    <t>32914786</t>
  </si>
  <si>
    <t>472.***.***-54</t>
  </si>
  <si>
    <t>LAURA COELHO DO VALE</t>
  </si>
  <si>
    <t>32881208</t>
  </si>
  <si>
    <t>135.***.***-81</t>
  </si>
  <si>
    <t>GLEICE APARECIDA DE DEUS</t>
  </si>
  <si>
    <t>32836348</t>
  </si>
  <si>
    <t>532.***.***-03</t>
  </si>
  <si>
    <t>EMILLYM VITORIA BARBOSA DE SOUZA</t>
  </si>
  <si>
    <t>32813718</t>
  </si>
  <si>
    <t>468.***.***-42</t>
  </si>
  <si>
    <t>KAIQUE DIAS SANTOS DA SILVEIRA</t>
  </si>
  <si>
    <t>32903803</t>
  </si>
  <si>
    <t>400.***.***-05</t>
  </si>
  <si>
    <t>ANA  BEATRIZ DE SOUZA SILVA</t>
  </si>
  <si>
    <t>32825953</t>
  </si>
  <si>
    <t>405.***.***-09</t>
  </si>
  <si>
    <t>EVELYN PEREIRA BRITO DE LUZ</t>
  </si>
  <si>
    <t>32553358</t>
  </si>
  <si>
    <t>104.***.***-52</t>
  </si>
  <si>
    <t>RENAN GABRIEL ALMEIDA SILVA</t>
  </si>
  <si>
    <t>32831165</t>
  </si>
  <si>
    <t>506.***.***-84</t>
  </si>
  <si>
    <t>PEDRO DE SOUZA COELHO NETO</t>
  </si>
  <si>
    <t>32556435</t>
  </si>
  <si>
    <t>444.***.***-20</t>
  </si>
  <si>
    <t>LUCAS EMANUEL DOS SANTOS ALVES</t>
  </si>
  <si>
    <t>32831841</t>
  </si>
  <si>
    <t>533.***.***-26</t>
  </si>
  <si>
    <t>INAIÊ PEREIRA DOS SANTOS VIEIRA</t>
  </si>
  <si>
    <t>32836500</t>
  </si>
  <si>
    <t>129.***.***-11</t>
  </si>
  <si>
    <t>MARIA CLARA PURIDADE DE BRITO</t>
  </si>
  <si>
    <t>32834807</t>
  </si>
  <si>
    <t>576.***.***-79</t>
  </si>
  <si>
    <t>AMANDA TRINDADE DA SILVA</t>
  </si>
  <si>
    <t>32581813</t>
  </si>
  <si>
    <t>471.***.***-71</t>
  </si>
  <si>
    <t>RAFHAEL MATOS LEITE</t>
  </si>
  <si>
    <t>32753731</t>
  </si>
  <si>
    <t>491.***.***-81</t>
  </si>
  <si>
    <t>JULIO MARTINS SANTOS DE JESUS</t>
  </si>
  <si>
    <t>32603952</t>
  </si>
  <si>
    <t>462.***.***-74</t>
  </si>
  <si>
    <t>HILÁRIA DA LUZ SOARES</t>
  </si>
  <si>
    <t>32908684</t>
  </si>
  <si>
    <t>477.***.***-42</t>
  </si>
  <si>
    <t>ABRAAO FRANCO VANIQUE DA ROCHA</t>
  </si>
  <si>
    <t>32896896</t>
  </si>
  <si>
    <t>499.***.***-85</t>
  </si>
  <si>
    <t>ANA PAULA SEMIAO SOUZA</t>
  </si>
  <si>
    <t>32915733</t>
  </si>
  <si>
    <t>137.***.***-50</t>
  </si>
  <si>
    <t>JOÃO VITOR SANTANA NUNES</t>
  </si>
  <si>
    <t>32830548</t>
  </si>
  <si>
    <t>490.***.***-59</t>
  </si>
  <si>
    <t>PEDRO HENRIQUE SOARES DE FARIAS FRANÇA</t>
  </si>
  <si>
    <t>32697311</t>
  </si>
  <si>
    <t>540.***.***-00</t>
  </si>
  <si>
    <t>GIOVANA SANTOS CLARO</t>
  </si>
  <si>
    <t>32883511</t>
  </si>
  <si>
    <t>239.***.***-80</t>
  </si>
  <si>
    <t>LAURA MANOEL MELO</t>
  </si>
  <si>
    <t>32911647</t>
  </si>
  <si>
    <t>468.***.***-25</t>
  </si>
  <si>
    <t>LINCOLN THOMAS ROCHA FERREIRA</t>
  </si>
  <si>
    <t>32836865</t>
  </si>
  <si>
    <t>485.***.***-09</t>
  </si>
  <si>
    <t>THALIA SOUZA CARVALHO</t>
  </si>
  <si>
    <t>32841902</t>
  </si>
  <si>
    <t>362.***.***-44</t>
  </si>
  <si>
    <t>REBECCA MARIA DA CRUZ OLIVEIRA</t>
  </si>
  <si>
    <t>32553241</t>
  </si>
  <si>
    <t>403.***.***-20</t>
  </si>
  <si>
    <t>ANA CAROLINE DIAS ARAUJO</t>
  </si>
  <si>
    <t>32828972</t>
  </si>
  <si>
    <t>448.***.***-80</t>
  </si>
  <si>
    <t>CLARA MARIA GOMES FREIRE</t>
  </si>
  <si>
    <t>32639128</t>
  </si>
  <si>
    <t>487.***.***-31</t>
  </si>
  <si>
    <t>MARIA VITÓRIA DO NASCIMENTO</t>
  </si>
  <si>
    <t>32835869</t>
  </si>
  <si>
    <t>471.***.***-09</t>
  </si>
  <si>
    <t>JACKELYNE CABRAL DE MOURA</t>
  </si>
  <si>
    <t>32571844</t>
  </si>
  <si>
    <t>479.***.***-66</t>
  </si>
  <si>
    <t>GIOVANNA DA SILVA EUGENIO</t>
  </si>
  <si>
    <t>32836460</t>
  </si>
  <si>
    <t>239.***.***-00</t>
  </si>
  <si>
    <t>CATERINE REIS DE SOUZA</t>
  </si>
  <si>
    <t>32635798</t>
  </si>
  <si>
    <t>450.***.***-17</t>
  </si>
  <si>
    <t>RAI DIAS DE FIGUEIREDO</t>
  </si>
  <si>
    <t>32578791</t>
  </si>
  <si>
    <t>502.***.***-38</t>
  </si>
  <si>
    <t>BEATRIZ APARECIDA TEIXEIRA</t>
  </si>
  <si>
    <t>502.***.***-92</t>
  </si>
  <si>
    <t>ISABELLA BIANCA REGO SILVA</t>
  </si>
  <si>
    <t>32556260</t>
  </si>
  <si>
    <t>524.***.***-21</t>
  </si>
  <si>
    <t>NATALIA RODRIGUES ALVES DE SOUZA</t>
  </si>
  <si>
    <t>32826804</t>
  </si>
  <si>
    <t>428.***.***-80</t>
  </si>
  <si>
    <t>RAFAELA LOPES DA SILVA</t>
  </si>
  <si>
    <t>32802504</t>
  </si>
  <si>
    <t>LUCAS DA CRUZ RIBEIRO</t>
  </si>
  <si>
    <t>32836322</t>
  </si>
  <si>
    <t>396.***.***-63</t>
  </si>
  <si>
    <t>TAISA GABRIELLE ALBUQUERQUE GENDA</t>
  </si>
  <si>
    <t>32915182</t>
  </si>
  <si>
    <t>507.***.***-32</t>
  </si>
  <si>
    <t>DENER DE JESUS ALVARES</t>
  </si>
  <si>
    <t>32838582</t>
  </si>
  <si>
    <t>468.***.***-54</t>
  </si>
  <si>
    <t>JENIFFER MARIA RAMOS</t>
  </si>
  <si>
    <t>32914729</t>
  </si>
  <si>
    <t>575.***.***-62</t>
  </si>
  <si>
    <t>BRUNA STEPHANI LESSA DAS VIRGENS</t>
  </si>
  <si>
    <t>32682767</t>
  </si>
  <si>
    <t>488.***.***-09</t>
  </si>
  <si>
    <t>MARINA RODRIGUES DA SILVA</t>
  </si>
  <si>
    <t>32836835</t>
  </si>
  <si>
    <t>LENISE DOS SANTOS MONTEIRO</t>
  </si>
  <si>
    <t>32662851</t>
  </si>
  <si>
    <t>370.***.***-22</t>
  </si>
  <si>
    <t>MAIARA NATALY DA SILVA OLIVEIRA</t>
  </si>
  <si>
    <t>32812102</t>
  </si>
  <si>
    <t>540.***.***-03</t>
  </si>
  <si>
    <t>MOARA IBOTIRA MUNIS ALMEIDA</t>
  </si>
  <si>
    <t>32910438</t>
  </si>
  <si>
    <t>527.***.***-09</t>
  </si>
  <si>
    <t>GIOVANA DE SOUZA BORGES</t>
  </si>
  <si>
    <t>32836826</t>
  </si>
  <si>
    <t>511.***.***-08</t>
  </si>
  <si>
    <t>AGATHA MUTINHO GONCALVEZ</t>
  </si>
  <si>
    <t>32851466</t>
  </si>
  <si>
    <t>524.***.***-95</t>
  </si>
  <si>
    <t>THIAGO DE JESUS BASTOS</t>
  </si>
  <si>
    <t>32837515</t>
  </si>
  <si>
    <t>457.***.***-21</t>
  </si>
  <si>
    <t>GABRIEL PEDRO FARIA</t>
  </si>
  <si>
    <t>32905615</t>
  </si>
  <si>
    <t>481.***.***-60</t>
  </si>
  <si>
    <t>ROGERIO MOTA SANTOS</t>
  </si>
  <si>
    <t>32800351</t>
  </si>
  <si>
    <t>399.***.***-92</t>
  </si>
  <si>
    <t>KARINA ERNESTINA DE SOUZA DE  OLIVEIRA</t>
  </si>
  <si>
    <t>32906228</t>
  </si>
  <si>
    <t>453.***.***-58</t>
  </si>
  <si>
    <t>KAUE RODRIGUES SIQUEIRA</t>
  </si>
  <si>
    <t>32801852</t>
  </si>
  <si>
    <t>445.***.***-76</t>
  </si>
  <si>
    <t>ZILMARC GONÇALVES PAULINODE SOUSA FILHO</t>
  </si>
  <si>
    <t>32817399</t>
  </si>
  <si>
    <t>106.***.***-13</t>
  </si>
  <si>
    <t>YASMIN AIRES CAVALCANTI MOREIRA</t>
  </si>
  <si>
    <t>32769836</t>
  </si>
  <si>
    <t>427.***.***-67</t>
  </si>
  <si>
    <t>MARIA ISABEL SILVA DOS SANTOS</t>
  </si>
  <si>
    <t>32831373</t>
  </si>
  <si>
    <t>418.***.***-95</t>
  </si>
  <si>
    <t>JHENYCE DE JESUS ROCHA DO PATROCINIO</t>
  </si>
  <si>
    <t>32881342</t>
  </si>
  <si>
    <t>439.***.***-39</t>
  </si>
  <si>
    <t>VICTORIA MENEZES BARRETO</t>
  </si>
  <si>
    <t>32916146</t>
  </si>
  <si>
    <t>508.***.***-06</t>
  </si>
  <si>
    <t>DANILO SILVA DOS ANJOS</t>
  </si>
  <si>
    <t>32913158</t>
  </si>
  <si>
    <t>399.***.***-07</t>
  </si>
  <si>
    <t>JOAO PEDRO SOUZA ALEVATO ALVIM</t>
  </si>
  <si>
    <t>32913946</t>
  </si>
  <si>
    <t>509.***.***-40</t>
  </si>
  <si>
    <t>MISU</t>
  </si>
  <si>
    <t>32834714</t>
  </si>
  <si>
    <t>501.***.***-76</t>
  </si>
  <si>
    <t>PAULO VICTOR RODRIGUES DA SILVA</t>
  </si>
  <si>
    <t>32590910</t>
  </si>
  <si>
    <t>494.***.***-58</t>
  </si>
  <si>
    <t>ELIVELTON LEONEL DA SILVA</t>
  </si>
  <si>
    <t>32834347</t>
  </si>
  <si>
    <t>492.***.***-07</t>
  </si>
  <si>
    <t>LUIZ AUGUSTO SANTOS ALMEIDA</t>
  </si>
  <si>
    <t>32567031</t>
  </si>
  <si>
    <t>063.***.***-11</t>
  </si>
  <si>
    <t>GLEICE ESPINDOLA BARBOSA</t>
  </si>
  <si>
    <t>32561705</t>
  </si>
  <si>
    <t>482.***.***-81</t>
  </si>
  <si>
    <t>CAROLINE FRANÇA DA SILVA</t>
  </si>
  <si>
    <t>32831138</t>
  </si>
  <si>
    <t>489.***.***-80</t>
  </si>
  <si>
    <t>RUI FRANÇA TAVARES</t>
  </si>
  <si>
    <t>32821848</t>
  </si>
  <si>
    <t>519.***.***-17</t>
  </si>
  <si>
    <t>THAMYRES DA SILVA OLIVEIRA</t>
  </si>
  <si>
    <t>32822428</t>
  </si>
  <si>
    <t>405.***.***-62</t>
  </si>
  <si>
    <t>BIANCA DA SILVA COELHO</t>
  </si>
  <si>
    <t>32681816</t>
  </si>
  <si>
    <t>544.***.***-64</t>
  </si>
  <si>
    <t>JULIA SANTOS ARAUJO</t>
  </si>
  <si>
    <t>32552398</t>
  </si>
  <si>
    <t>564.***.***-38</t>
  </si>
  <si>
    <t>SABRINA SANTANA DE JESUS</t>
  </si>
  <si>
    <t>32604068</t>
  </si>
  <si>
    <t>439.***.***-03</t>
  </si>
  <si>
    <t>GUSTAVO TIGRE DA SILVA</t>
  </si>
  <si>
    <t>32744814</t>
  </si>
  <si>
    <t>427.***.***-33</t>
  </si>
  <si>
    <t>RICHARD  MAXUWEL DOS  SANTOS  GERALDO</t>
  </si>
  <si>
    <t>32616548</t>
  </si>
  <si>
    <t>448.***.***-88</t>
  </si>
  <si>
    <t>SABRINA CORREIA DE MELLO</t>
  </si>
  <si>
    <t>32783413</t>
  </si>
  <si>
    <t>464.***.***-20</t>
  </si>
  <si>
    <t>ANA CLARA BORSETTO PEREIRA</t>
  </si>
  <si>
    <t>32780965</t>
  </si>
  <si>
    <t>487.***.***-99</t>
  </si>
  <si>
    <t>ANNA BEATRIZ GONCALVES ROMAO</t>
  </si>
  <si>
    <t>32916131</t>
  </si>
  <si>
    <t>538.***.***-44</t>
  </si>
  <si>
    <t>IVY SOPHIA GOMES AMORIM</t>
  </si>
  <si>
    <t>32827803</t>
  </si>
  <si>
    <t>063.***.***-75</t>
  </si>
  <si>
    <t>MARIANA ISABEL VIEIRA DA SILVA LYRA</t>
  </si>
  <si>
    <t>32833452</t>
  </si>
  <si>
    <t>484.***.***-60</t>
  </si>
  <si>
    <t>LAIS ESTELA FONTANA</t>
  </si>
  <si>
    <t>32560403</t>
  </si>
  <si>
    <t>526.***.***-85</t>
  </si>
  <si>
    <t>GUILHERME ALEXANDRE RODRIGUES DA SILVA</t>
  </si>
  <si>
    <t>32692877</t>
  </si>
  <si>
    <t>510.***.***-76</t>
  </si>
  <si>
    <t>HELENA GUNDIM MULLER</t>
  </si>
  <si>
    <t>32896795</t>
  </si>
  <si>
    <t>418.***.***-51</t>
  </si>
  <si>
    <t>LETÍCIA ALVES DA SILVA</t>
  </si>
  <si>
    <t>32749353</t>
  </si>
  <si>
    <t>461.***.***-65</t>
  </si>
  <si>
    <t>VINICIUS GOMES SILVA</t>
  </si>
  <si>
    <t>32611538</t>
  </si>
  <si>
    <t>237.***.***-85</t>
  </si>
  <si>
    <t>GIOVANA CHAMAS VILLEGAS CARVALHO</t>
  </si>
  <si>
    <t>32829725</t>
  </si>
  <si>
    <t>424.***.***-85</t>
  </si>
  <si>
    <t>LEONARDO RODRIGUES OLIVEIRA</t>
  </si>
  <si>
    <t>32573977</t>
  </si>
  <si>
    <t>546.***.***-17</t>
  </si>
  <si>
    <t>ELLEN CAMPOS JACINTO</t>
  </si>
  <si>
    <t>32875421</t>
  </si>
  <si>
    <t>426.***.***-23</t>
  </si>
  <si>
    <t xml:space="preserve">AMANDA RODRIGUES FERREIRA </t>
  </si>
  <si>
    <t>32916032</t>
  </si>
  <si>
    <t>515.***.***-45</t>
  </si>
  <si>
    <t>SARA CRISTINA ELIAS PORFIRIO</t>
  </si>
  <si>
    <t>32637708</t>
  </si>
  <si>
    <t>431.***.***-27</t>
  </si>
  <si>
    <t>ANDREIA BEL SIMO</t>
  </si>
  <si>
    <t>32632178</t>
  </si>
  <si>
    <t>400.***.***-43</t>
  </si>
  <si>
    <t>KAROLINE RODRIGUES CARVALHO</t>
  </si>
  <si>
    <t>32592766</t>
  </si>
  <si>
    <t>514.***.***-61</t>
  </si>
  <si>
    <t>KARINA DOS  SANTOS  DA  SILVA</t>
  </si>
  <si>
    <t>32831250</t>
  </si>
  <si>
    <t>359.***.***-59</t>
  </si>
  <si>
    <t>NATALIA ARAUJO FREITAS</t>
  </si>
  <si>
    <t>32602539</t>
  </si>
  <si>
    <t>528.***.***-83</t>
  </si>
  <si>
    <t>JOAO VITOR FERREIRA DE MACEDO</t>
  </si>
  <si>
    <t>32780093</t>
  </si>
  <si>
    <t>438.***.***-22</t>
  </si>
  <si>
    <t>JAQUELINE FERNANDES DA SILVA</t>
  </si>
  <si>
    <t>32874563</t>
  </si>
  <si>
    <t>452.***.***-23</t>
  </si>
  <si>
    <t>LETICIA FURLAN NUNES</t>
  </si>
  <si>
    <t>32916306</t>
  </si>
  <si>
    <t>516.***.***-00</t>
  </si>
  <si>
    <t>WENDY LIN MONTEIRO SOARES</t>
  </si>
  <si>
    <t>32688923</t>
  </si>
  <si>
    <t>431.***.***-20</t>
  </si>
  <si>
    <t>KEVIN NASCIMENTO SANTOS DE ALMEIDA</t>
  </si>
  <si>
    <t>32836667</t>
  </si>
  <si>
    <t>448.***.***-58</t>
  </si>
  <si>
    <t>SABRINA DA ROCHA SOUSA</t>
  </si>
  <si>
    <t>32837876</t>
  </si>
  <si>
    <t>475.***.***-33</t>
  </si>
  <si>
    <t>LAVINIA FERREIRA DOS SANTOS</t>
  </si>
  <si>
    <t>32835421</t>
  </si>
  <si>
    <t>529.***.***-01</t>
  </si>
  <si>
    <t>EMMANUELLY BERBEL DOS SANTOS</t>
  </si>
  <si>
    <t>32916325</t>
  </si>
  <si>
    <t>459.***.***-06</t>
  </si>
  <si>
    <t>GABRIEL ALVES OLIVEIRA</t>
  </si>
  <si>
    <t>32836488</t>
  </si>
  <si>
    <t>408.***.***-08</t>
  </si>
  <si>
    <t>WALISON MOURA BRAZ</t>
  </si>
  <si>
    <t>32626130</t>
  </si>
  <si>
    <t>470.***.***-17</t>
  </si>
  <si>
    <t>ALEXANDRE DA ROCHA SANTOS</t>
  </si>
  <si>
    <t>32638213</t>
  </si>
  <si>
    <t>115.***.***-30</t>
  </si>
  <si>
    <t>CAROLINA DAVID SALICINI</t>
  </si>
  <si>
    <t>32616141</t>
  </si>
  <si>
    <t>367.***.***-81</t>
  </si>
  <si>
    <t>TAWANE SILVA RAMOS</t>
  </si>
  <si>
    <t>32836923</t>
  </si>
  <si>
    <t>500.***.***-58</t>
  </si>
  <si>
    <t>LUANA MELINKA CARCAMO ARANDA</t>
  </si>
  <si>
    <t>32834376</t>
  </si>
  <si>
    <t>413.***.***-09</t>
  </si>
  <si>
    <t>VICTOR BARTHOLOMEU DA CRUZ LIMA MEDEIROS</t>
  </si>
  <si>
    <t>32838154</t>
  </si>
  <si>
    <t>123.***.***-98</t>
  </si>
  <si>
    <t>FELIPE IVO DE SALES</t>
  </si>
  <si>
    <t>32553310</t>
  </si>
  <si>
    <t>EDUARDO GONCALVES MARQUES SILVA</t>
  </si>
  <si>
    <t>32819162</t>
  </si>
  <si>
    <t>325.***.***-96</t>
  </si>
  <si>
    <t>JOÃO PEDRO  CARDOSO  DA SILVA</t>
  </si>
  <si>
    <t>32905918</t>
  </si>
  <si>
    <t>239.***.***-02</t>
  </si>
  <si>
    <t>ELISA MAYARA DA SILVA OLIVEIRA</t>
  </si>
  <si>
    <t>32600975</t>
  </si>
  <si>
    <t>444.***.***-36</t>
  </si>
  <si>
    <t>JULYA CRISTINA NASCIMENTO DE GOES</t>
  </si>
  <si>
    <t>32916006</t>
  </si>
  <si>
    <t>506.***.***-47</t>
  </si>
  <si>
    <t>PEDRO DE MOURA MENDES</t>
  </si>
  <si>
    <t>32831132</t>
  </si>
  <si>
    <t>425.***.***-85</t>
  </si>
  <si>
    <t>LETICIA CRISTINA DA SILVA</t>
  </si>
  <si>
    <t>32827354</t>
  </si>
  <si>
    <t>436.***.***-39</t>
  </si>
  <si>
    <t>VITORIA DELLEVEDOVE MOREIRA</t>
  </si>
  <si>
    <t>32577611</t>
  </si>
  <si>
    <t>381.***.***-82</t>
  </si>
  <si>
    <t>Stephanie Barros Silva</t>
  </si>
  <si>
    <t>32838653</t>
  </si>
  <si>
    <t>422.***.***-07</t>
  </si>
  <si>
    <t>MARIA EDUARDA ALVES CIPRIANO</t>
  </si>
  <si>
    <t>32838159</t>
  </si>
  <si>
    <t>424.***.***-38</t>
  </si>
  <si>
    <t>JULIANA MENDES SANTIAGO</t>
  </si>
  <si>
    <t>32869515</t>
  </si>
  <si>
    <t>403.***.***-71</t>
  </si>
  <si>
    <t>LUCA MARTINS PALHARES</t>
  </si>
  <si>
    <t>32658286</t>
  </si>
  <si>
    <t>538.***.***-88</t>
  </si>
  <si>
    <t>LEONARDO CARNEIRO DE LIMA</t>
  </si>
  <si>
    <t>32780935</t>
  </si>
  <si>
    <t>424.***.***-93</t>
  </si>
  <si>
    <t>LUIZA CAMARGO DE ASSIS</t>
  </si>
  <si>
    <t>32568835</t>
  </si>
  <si>
    <t>516.***.***-06</t>
  </si>
  <si>
    <t>BRENO MAXIMO DOS SANTOS VIEIRA</t>
  </si>
  <si>
    <t>32828964</t>
  </si>
  <si>
    <t>527.***.***-06</t>
  </si>
  <si>
    <t>JOSE ARAUJO DOMINGOS</t>
  </si>
  <si>
    <t>32901166</t>
  </si>
  <si>
    <t>465.***.***-41</t>
  </si>
  <si>
    <t>CATARINA VICTORIA REIS DE LIMA</t>
  </si>
  <si>
    <t>32831099</t>
  </si>
  <si>
    <t>423.***.***-38</t>
  </si>
  <si>
    <t>YASMIN MAGALHAES DOS SANTOS OLIVEIRA</t>
  </si>
  <si>
    <t>32784342</t>
  </si>
  <si>
    <t>456.***.***-23</t>
  </si>
  <si>
    <t>LAYLA CESARE TRINDADE</t>
  </si>
  <si>
    <t>32907447</t>
  </si>
  <si>
    <t>475.***.***-99</t>
  </si>
  <si>
    <t>THIAGO MACEDO DE QUEIROZ SILVA</t>
  </si>
  <si>
    <t>32609574</t>
  </si>
  <si>
    <t>524.***.***-65</t>
  </si>
  <si>
    <t>MICHELLY SOARES RODRIGUES</t>
  </si>
  <si>
    <t>32828198</t>
  </si>
  <si>
    <t>536.***.***-12</t>
  </si>
  <si>
    <t>ANANDA GREGIO CAPALBO</t>
  </si>
  <si>
    <t>32903300</t>
  </si>
  <si>
    <t>483.***.***-10</t>
  </si>
  <si>
    <t>ISADORA OLIVEIRA AMORIM</t>
  </si>
  <si>
    <t>32834857</t>
  </si>
  <si>
    <t>504.***.***-70</t>
  </si>
  <si>
    <t>JULIANA ANDREZ SILVA</t>
  </si>
  <si>
    <t>32836823</t>
  </si>
  <si>
    <t>507.***.***-30</t>
  </si>
  <si>
    <t xml:space="preserve">LUCAS SILVA DA COSTA </t>
  </si>
  <si>
    <t>32872895</t>
  </si>
  <si>
    <t>427.***.***-06</t>
  </si>
  <si>
    <t>MATHEUS LUCENA ADY DOS SANTOS</t>
  </si>
  <si>
    <t>32800399</t>
  </si>
  <si>
    <t>478.***.***-96</t>
  </si>
  <si>
    <t>PENELLOPE CARVALHO NYFFENEGGER SANTOS</t>
  </si>
  <si>
    <t>32685542</t>
  </si>
  <si>
    <t>CARINA GIOVANA SANTOS</t>
  </si>
  <si>
    <t>32828094</t>
  </si>
  <si>
    <t>455.***.***-88</t>
  </si>
  <si>
    <t>LYVIA EMANUELLY SOUZA ALVES</t>
  </si>
  <si>
    <t>32813614</t>
  </si>
  <si>
    <t>057.***.***-32</t>
  </si>
  <si>
    <t>GABRIEL CERQUEIRA EMIDIO</t>
  </si>
  <si>
    <t>32834394</t>
  </si>
  <si>
    <t>488.***.***-23</t>
  </si>
  <si>
    <t>MÊNADE ANASTÁCIO EDUARDO</t>
  </si>
  <si>
    <t>32807371</t>
  </si>
  <si>
    <t>MARCELLO LIMA</t>
  </si>
  <si>
    <t>32825280</t>
  </si>
  <si>
    <t>496.***.***-44</t>
  </si>
  <si>
    <t>JUAN MATIAS DE LUCENA PEDROZO</t>
  </si>
  <si>
    <t>32651424</t>
  </si>
  <si>
    <t>498.***.***-75</t>
  </si>
  <si>
    <t>FERNANDO NOBRE CANDIDO</t>
  </si>
  <si>
    <t>32912050</t>
  </si>
  <si>
    <t>CAROLINA MARIA DOS SANTOS LOPES</t>
  </si>
  <si>
    <t>32830648</t>
  </si>
  <si>
    <t>401.***.***-05</t>
  </si>
  <si>
    <t>VINICIUS ARMANDO GONZALES DO NASCIMENTO</t>
  </si>
  <si>
    <t>32838141</t>
  </si>
  <si>
    <t>503.***.***-50</t>
  </si>
  <si>
    <t>LUCAS VILLACA DA SILVA</t>
  </si>
  <si>
    <t>32821489</t>
  </si>
  <si>
    <t>410.***.***-10</t>
  </si>
  <si>
    <t>PAULO HENRIQUE CORREA AZEVEDO</t>
  </si>
  <si>
    <t>32851965</t>
  </si>
  <si>
    <t>349.***.***-09</t>
  </si>
  <si>
    <t>RAPHAELLA CRISTINA  NASCIMENTO DE  MELLO</t>
  </si>
  <si>
    <t>32828850</t>
  </si>
  <si>
    <t>496.***.***-31</t>
  </si>
  <si>
    <t>JESSICA DE  JESUS  NASCIMENTO</t>
  </si>
  <si>
    <t>32831321</t>
  </si>
  <si>
    <t>468.***.***-22</t>
  </si>
  <si>
    <t>GABRIEL MENDONÇA SANTOS</t>
  </si>
  <si>
    <t>32834641</t>
  </si>
  <si>
    <t>498.***.***-07</t>
  </si>
  <si>
    <t>GABRIEL ALVES DA  SILVA  BARROS</t>
  </si>
  <si>
    <t>32886854</t>
  </si>
  <si>
    <t>504.***.***-81</t>
  </si>
  <si>
    <t>RENATO BRITO GAMA</t>
  </si>
  <si>
    <t>32655525</t>
  </si>
  <si>
    <t>494.***.***-90</t>
  </si>
  <si>
    <t>JONATHAN DUTRA DANTAS DA SILVA</t>
  </si>
  <si>
    <t>32907411</t>
  </si>
  <si>
    <t>481.***.***-90</t>
  </si>
  <si>
    <t>MARIA PAULA COCCI MUFFATO</t>
  </si>
  <si>
    <t>32818247</t>
  </si>
  <si>
    <t>488.***.***-70</t>
  </si>
  <si>
    <t>MYA JOAQUIM</t>
  </si>
  <si>
    <t>32835560</t>
  </si>
  <si>
    <t>537.***.***-14</t>
  </si>
  <si>
    <t>LUCIA ROSA DA SILVA</t>
  </si>
  <si>
    <t>32701016</t>
  </si>
  <si>
    <t>044.***.***-41</t>
  </si>
  <si>
    <t>ADRIELLY RODRIGUES DE QUEIROZ</t>
  </si>
  <si>
    <t>469.***.***-24</t>
  </si>
  <si>
    <t>JOÃO DE ARAUJO CORDEIRO</t>
  </si>
  <si>
    <t>32904968</t>
  </si>
  <si>
    <t>484.***.***-50</t>
  </si>
  <si>
    <t>LETICIA DOS SANTOS GARCIA</t>
  </si>
  <si>
    <t>32552335</t>
  </si>
  <si>
    <t>441.***.***-70</t>
  </si>
  <si>
    <t>JAYRA JULIA OLIVEIRA DE SOUZA</t>
  </si>
  <si>
    <t>32834724</t>
  </si>
  <si>
    <t>503.***.***-44</t>
  </si>
  <si>
    <t>CAROLINA THAIS MARIA RODRIGUES ASSUNCAO</t>
  </si>
  <si>
    <t>32762934</t>
  </si>
  <si>
    <t>340.***.***-02</t>
  </si>
  <si>
    <t>EDUARDO SENNA DA FONSECA</t>
  </si>
  <si>
    <t>32586593</t>
  </si>
  <si>
    <t>472.***.***-30</t>
  </si>
  <si>
    <t>TIAGO NOVAIS SOUZA</t>
  </si>
  <si>
    <t>32560425</t>
  </si>
  <si>
    <t>457.***.***-83</t>
  </si>
  <si>
    <t>LIVIA VITORIA DOS SANTOS BARBOSA</t>
  </si>
  <si>
    <t>32598764</t>
  </si>
  <si>
    <t>444.***.***-41</t>
  </si>
  <si>
    <t xml:space="preserve">LETICIA OLIVEIRA LIMA </t>
  </si>
  <si>
    <t>32560288</t>
  </si>
  <si>
    <t>352.***.***-22</t>
  </si>
  <si>
    <t>JULIUS VINICIUS DE CARVALHO ALVES</t>
  </si>
  <si>
    <t>32916224</t>
  </si>
  <si>
    <t>435.***.***-80</t>
  </si>
  <si>
    <t>DIEGO SOUZA GAMA</t>
  </si>
  <si>
    <t>32745101</t>
  </si>
  <si>
    <t>424.***.***-76</t>
  </si>
  <si>
    <t>JULIANA ARAUJO SILVA</t>
  </si>
  <si>
    <t>32831860</t>
  </si>
  <si>
    <t>476.***.***-59</t>
  </si>
  <si>
    <t>BARBARA STEFANY TAVARES DOS SANTOS</t>
  </si>
  <si>
    <t>32836266</t>
  </si>
  <si>
    <t>487.***.***-50</t>
  </si>
  <si>
    <t>GUILHERME RODRIGUES DE SOUZA</t>
  </si>
  <si>
    <t>32916072</t>
  </si>
  <si>
    <t>488.***.***-61</t>
  </si>
  <si>
    <t>ALASKA ASSIS</t>
  </si>
  <si>
    <t>32834648</t>
  </si>
  <si>
    <t>460.***.***-80</t>
  </si>
  <si>
    <t>LUIZA BEATRIZ MASIERO DE CASTRO</t>
  </si>
  <si>
    <t>32913309</t>
  </si>
  <si>
    <t>441.***.***-22</t>
  </si>
  <si>
    <t>RODRIGO DA SILVA SANTOS</t>
  </si>
  <si>
    <t>32887256</t>
  </si>
  <si>
    <t>456.***.***-12</t>
  </si>
  <si>
    <t>ARTEMIZ DOS ANJOS VICTOR</t>
  </si>
  <si>
    <t>32844867</t>
  </si>
  <si>
    <t>545.***.***-76</t>
  </si>
  <si>
    <t>NAIARA MOURA DA CUNHA</t>
  </si>
  <si>
    <t>32711337</t>
  </si>
  <si>
    <t>241.***.***-41</t>
  </si>
  <si>
    <t>ALEX</t>
  </si>
  <si>
    <t>32602994</t>
  </si>
  <si>
    <t>510.***.***-62</t>
  </si>
  <si>
    <t>NATHAN SOARES CALDAS</t>
  </si>
  <si>
    <t>32915762</t>
  </si>
  <si>
    <t>426.***.***-10</t>
  </si>
  <si>
    <t>SABRINA SANTANA DA SILVA</t>
  </si>
  <si>
    <t>32835109</t>
  </si>
  <si>
    <t>109.***.***-16</t>
  </si>
  <si>
    <t>BRUNA ALEXANDRE DA SILVA</t>
  </si>
  <si>
    <t>32651412</t>
  </si>
  <si>
    <t>455.***.***-69</t>
  </si>
  <si>
    <t>YAN MACHADO RUFFO</t>
  </si>
  <si>
    <t>32702614</t>
  </si>
  <si>
    <t>415.***.***-37</t>
  </si>
  <si>
    <t>RAFAELA THAIS RIBEIRO NOGUEIRA</t>
  </si>
  <si>
    <t>32837221</t>
  </si>
  <si>
    <t>GABRIELE MIRANDA SILVA</t>
  </si>
  <si>
    <t>32915788</t>
  </si>
  <si>
    <t>435.***.***-95</t>
  </si>
  <si>
    <t>GAL RODRIGUES</t>
  </si>
  <si>
    <t>32845672</t>
  </si>
  <si>
    <t>437.***.***-05</t>
  </si>
  <si>
    <t>ARTHUR NASCIMENTO ASSAD</t>
  </si>
  <si>
    <t>32915880</t>
  </si>
  <si>
    <t>525.***.***-04</t>
  </si>
  <si>
    <t>AURORA CAPPELLO VINCI DE MORAES</t>
  </si>
  <si>
    <t>32716485</t>
  </si>
  <si>
    <t>112.***.***-14</t>
  </si>
  <si>
    <t>CLAUDIO MOISES MUTOMBO LEKADIANO</t>
  </si>
  <si>
    <t>32906418</t>
  </si>
  <si>
    <t>242.***.***-71</t>
  </si>
  <si>
    <t>PEDRO SOARES DE SANTANA</t>
  </si>
  <si>
    <t>32916280</t>
  </si>
  <si>
    <t>343.***.***-07</t>
  </si>
  <si>
    <t>ANDREIA VITORIA DOS SANTOS DA SILVA</t>
  </si>
  <si>
    <t>32650655</t>
  </si>
  <si>
    <t>447.***.***-50</t>
  </si>
  <si>
    <t>MONICA ISABELA MAIA</t>
  </si>
  <si>
    <t>32790969</t>
  </si>
  <si>
    <t>465.***.***-01</t>
  </si>
  <si>
    <t>LAYS OLIVEIRA COSTA VENANCIO</t>
  </si>
  <si>
    <t>32833700</t>
  </si>
  <si>
    <t>132.***.***-31</t>
  </si>
  <si>
    <t>VITORIA REGINA FERREIRA MARTINS</t>
  </si>
  <si>
    <t>32915852</t>
  </si>
  <si>
    <t>376.***.***-66</t>
  </si>
  <si>
    <t>THIAGO LUIZ COSTA COELHO</t>
  </si>
  <si>
    <t>32831718</t>
  </si>
  <si>
    <t>529.***.***-03</t>
  </si>
  <si>
    <t>GRAZIELE DE LIMA</t>
  </si>
  <si>
    <t>32830530</t>
  </si>
  <si>
    <t>479.***.***-89</t>
  </si>
  <si>
    <t>RAUL OLIVEIRA ARAUJO DA SILVA</t>
  </si>
  <si>
    <t>32896528</t>
  </si>
  <si>
    <t>480.***.***-54</t>
  </si>
  <si>
    <t>GABRIELLA CARLI MENDES</t>
  </si>
  <si>
    <t>32915933</t>
  </si>
  <si>
    <t>119.***.***-40</t>
  </si>
  <si>
    <t>BÁRBARA BEATRIZ LOW</t>
  </si>
  <si>
    <t>32829842</t>
  </si>
  <si>
    <t>476.***.***-38</t>
  </si>
  <si>
    <t>PEDRO ROCHA PEREIRA NETO</t>
  </si>
  <si>
    <t>32914843</t>
  </si>
  <si>
    <t>529.***.***-17</t>
  </si>
  <si>
    <t>DANILO GABRIEL DE MORAES</t>
  </si>
  <si>
    <t>32833334</t>
  </si>
  <si>
    <t>375.***.***-60</t>
  </si>
  <si>
    <t>CAIO MENEZES CALDAS</t>
  </si>
  <si>
    <t>32831478</t>
  </si>
  <si>
    <t>323.***.***-03</t>
  </si>
  <si>
    <t>GUILHERME COLLA DAMIANI</t>
  </si>
  <si>
    <t>32876888</t>
  </si>
  <si>
    <t>227.***.***-88</t>
  </si>
  <si>
    <t>GABRIEL DE ARAUJO LEAL SILVA</t>
  </si>
  <si>
    <t>32814418</t>
  </si>
  <si>
    <t>449.***.***-07</t>
  </si>
  <si>
    <t>NYX SPINOLA</t>
  </si>
  <si>
    <t>32764022</t>
  </si>
  <si>
    <t>498.***.***-94</t>
  </si>
  <si>
    <t>ANA BEATRIZ AVANTAGGIATO OLIVEIRA SILVA</t>
  </si>
  <si>
    <t>32886278</t>
  </si>
  <si>
    <t>479.***.***-59</t>
  </si>
  <si>
    <t>MARIA VERONICA DA SILVA PACHECO</t>
  </si>
  <si>
    <t>32586253</t>
  </si>
  <si>
    <t>552.***.***-28</t>
  </si>
  <si>
    <t>ace_cond_autorizacao_uso_imagem_sim</t>
  </si>
  <si>
    <t>ace_cond_declaro_familia_baixa_renda</t>
  </si>
  <si>
    <t>ace_cond_receber_emails_cultura_sp</t>
  </si>
  <si>
    <t>dc_nome</t>
  </si>
  <si>
    <t>dc_nome_completo</t>
  </si>
  <si>
    <t>dc_nome_publicado_inscricao_fase1</t>
  </si>
  <si>
    <t>dc_nome_social</t>
  </si>
  <si>
    <t>dc_upd_nome_atualizado_14082024</t>
  </si>
  <si>
    <t>id_chv_cpf</t>
  </si>
  <si>
    <t>id_chv_email</t>
  </si>
  <si>
    <t>id_chv_foto_3_4</t>
  </si>
  <si>
    <t>sp156_data_abertura</t>
  </si>
  <si>
    <t>sp156_data_atualizacao</t>
  </si>
  <si>
    <t>sp156_data_finalizacao</t>
  </si>
  <si>
    <t>sp156_protocolo_solicitacao</t>
  </si>
  <si>
    <t>trat_bd_duplicado</t>
  </si>
  <si>
    <t>trat_bd_idade_anos</t>
  </si>
  <si>
    <t>trat_bd_idade_dias</t>
  </si>
  <si>
    <t>trat_bd_idade_fim_insc</t>
  </si>
  <si>
    <t>trat_bd_idade_ref</t>
  </si>
  <si>
    <t>trat_bd_nome_publicado</t>
  </si>
  <si>
    <t>avc_obs_primeira_fase</t>
  </si>
  <si>
    <t>avc_observacoes_fase1</t>
  </si>
  <si>
    <t>avc_c1_fase1</t>
  </si>
  <si>
    <t>avc_c2_fase1</t>
  </si>
  <si>
    <t>avc_c3_fase1</t>
  </si>
  <si>
    <t>avc_c4_fase1</t>
  </si>
  <si>
    <t>avc_nota_total_fase1</t>
  </si>
  <si>
    <t>avc_colaboracao_fase2_etapa1_dinamica</t>
  </si>
  <si>
    <t>avc_comunicacao_fase2_etapa1_dinamica</t>
  </si>
  <si>
    <t>avc_engajamento_fase2_etapa1_dinamica</t>
  </si>
  <si>
    <t>avc_estrategia_fase2_etapa1_dinamica</t>
  </si>
  <si>
    <t>avc_lideranca_fase2_etapa1_dinamica</t>
  </si>
  <si>
    <t>avc_trabalho_pressao_fase2_etapa1_dinamica</t>
  </si>
  <si>
    <t>avc_total_fase2_etapa1_dinamica</t>
  </si>
  <si>
    <t>avc_disponibilidade_atividades_rotina_cultura</t>
  </si>
  <si>
    <t>avc_iniciativa_abertura_formacao_cultural</t>
  </si>
  <si>
    <t>avc_relacao_dinamica_cultural_territorio</t>
  </si>
  <si>
    <t>avc_total_entrevistas_fase2_etapa2</t>
  </si>
  <si>
    <t>avc_nota_fase2</t>
  </si>
  <si>
    <t>avc_nota_total_final_classificação</t>
  </si>
  <si>
    <t>avc_ordem_fase1</t>
  </si>
  <si>
    <t>avc_class_geral_fase2_etapa1_entrevista</t>
  </si>
  <si>
    <t>avc_class_micro_fase2_etapa1_entrevista</t>
  </si>
  <si>
    <t>avc_obs_dinamicas_fase2_etapa1_dinamica</t>
  </si>
  <si>
    <t>dc_autodeclaracao_cor_raca_etnia</t>
  </si>
  <si>
    <t>dc_bairro</t>
  </si>
  <si>
    <t>dc_cep</t>
  </si>
  <si>
    <t>dc_complemento</t>
  </si>
  <si>
    <t>dc_data_nascimento</t>
  </si>
  <si>
    <t>dc_distrito</t>
  </si>
  <si>
    <t>dc_identidade_genero</t>
  </si>
  <si>
    <t>dc_logradouro</t>
  </si>
  <si>
    <t>dc_numero</t>
  </si>
  <si>
    <t>dc_rg_rne</t>
  </si>
  <si>
    <t>dc_telefone</t>
  </si>
  <si>
    <t>dc_upd_atualizacao_endereco_email_14082024</t>
  </si>
  <si>
    <t>dc_upd_atualizacao_numero_celular_whatsapp_14082024</t>
  </si>
  <si>
    <t>dc_cursando_superior_bolsa_prouni_fies</t>
  </si>
  <si>
    <t>dc_cursou_ensino_medio_publico_privado</t>
  </si>
  <si>
    <t>dc_emia</t>
  </si>
  <si>
    <t>dc_ensino_medio_publico_privado_afirmativo</t>
  </si>
  <si>
    <t>dc_esta_estudando</t>
  </si>
  <si>
    <t>dc_fabricas_cultura</t>
  </si>
  <si>
    <t>dc_faixa_renda_familiar_pessoa</t>
  </si>
  <si>
    <t>dc_formacao_superior_tecnico_sim_nao</t>
  </si>
  <si>
    <t>dc_identificacao_territorio_residencia_idrgp_c3</t>
  </si>
  <si>
    <t>dc_inserir_link_perfil_redes_sociais</t>
  </si>
  <si>
    <t>dc_macrorregiao</t>
  </si>
  <si>
    <t>dc_macrorregiao2</t>
  </si>
  <si>
    <t>dc_maior_nivel_escolaridade_concluido</t>
  </si>
  <si>
    <t>dc_microrregiao</t>
  </si>
  <si>
    <t>dc_nome_curso</t>
  </si>
  <si>
    <t>dc_numero_cad_unico</t>
  </si>
  <si>
    <t>dc_nunca_participou</t>
  </si>
  <si>
    <t>dc_oficinas_bibliotecas</t>
  </si>
  <si>
    <t>dc_oficinas_casas_cultura</t>
  </si>
  <si>
    <t>dc_oficinas_centros_culturais</t>
  </si>
  <si>
    <t>dc_oficinas_ceus</t>
  </si>
  <si>
    <t>dc_oficinas_formacao_cultural</t>
  </si>
  <si>
    <t>dc_outros</t>
  </si>
  <si>
    <t>dc_participou_programa_jovem_monitor_cultural_anteriores</t>
  </si>
  <si>
    <t>dc_pcd</t>
  </si>
  <si>
    <t>dc_pia</t>
  </si>
  <si>
    <t>dc_piapi</t>
  </si>
  <si>
    <t>dc_possui_filhos</t>
  </si>
  <si>
    <t>avc_nota_filhos_fase1</t>
  </si>
  <si>
    <t>dc_ppi</t>
  </si>
  <si>
    <t>dc_projeto_guri</t>
  </si>
  <si>
    <t>dc_rede_daora</t>
  </si>
  <si>
    <t>dc_situacao_trabalho</t>
  </si>
  <si>
    <t>dc_subprefeitura</t>
  </si>
  <si>
    <t>dc_tipo_deficiencia</t>
  </si>
  <si>
    <t>dc_tipo_formacao</t>
  </si>
  <si>
    <t>dc_vocacional</t>
  </si>
  <si>
    <t>opc_insc_acervos_patrimonio_historico</t>
  </si>
  <si>
    <t>opc_insc_acervos_patrimonio_historico_2</t>
  </si>
  <si>
    <t>opc_insc_administracao_gestao_cultura</t>
  </si>
  <si>
    <t>opc_insc_administracao_gestao_cultura_2</t>
  </si>
  <si>
    <t>opc_insc_apresentacao_carta_video</t>
  </si>
  <si>
    <t>opc_insc_atendimento_publico</t>
  </si>
  <si>
    <t>opc_insc_atendimento_publico_2</t>
  </si>
  <si>
    <t>opc_insc_comunicacao_redes</t>
  </si>
  <si>
    <t>opc_insc_comunicacao_redes_2</t>
  </si>
  <si>
    <t>opc_insc_concorrer_vagas_pcd</t>
  </si>
  <si>
    <t>opc_insc_concorrer_vagas_pretos</t>
  </si>
  <si>
    <t>opc_insc_primeiro_espaco_cultural_preferencial</t>
  </si>
  <si>
    <t>opc_insc_programacao_producao_eventos_culturais</t>
  </si>
  <si>
    <t>opc_insc_programacao_producao_eventos_culturais_2</t>
  </si>
  <si>
    <t>opc_insc_segundo_espaco_cultural_preferencial</t>
  </si>
  <si>
    <t>opc_insc_terceiro_espaco_cultural_preferencial</t>
  </si>
  <si>
    <t>hist_sel_confirmacao_presenca_dinamica</t>
  </si>
  <si>
    <t>hist_sel_data_dinamica</t>
  </si>
  <si>
    <t>hist_sel_dinamica</t>
  </si>
  <si>
    <t>hist_sel_horario_dinamica</t>
  </si>
  <si>
    <t>hist_sel_local_dinamica</t>
  </si>
  <si>
    <t>hist_sel_nome_avaliador</t>
  </si>
  <si>
    <t>hist_sel_turma_dinamica</t>
  </si>
  <si>
    <t>hist_sel_turma_dinamica_2</t>
  </si>
  <si>
    <t>hist_sel_carta_apresentacao_de_onde_vim</t>
  </si>
  <si>
    <t>hist_sel_carta_apresentacao_onde_estou</t>
  </si>
  <si>
    <t>hist_sel_carta_apresentacao_para_onde_vou</t>
  </si>
  <si>
    <t>hist_sel_data_entrevista_fase2_etapa2</t>
  </si>
  <si>
    <t>hist_sel_horario_entrevista_fase2_etapa2</t>
  </si>
  <si>
    <t>hist_sel_inserir_link_video_apresentacao</t>
  </si>
  <si>
    <t>hist_sel_reagendamento_turma</t>
  </si>
  <si>
    <t>hist_sel_sala_entrevista_fase2_etapa2</t>
  </si>
  <si>
    <t>hist_sel_turma_entrevista_fase2_etapa2</t>
  </si>
  <si>
    <t>dup_avc_c2_fase1</t>
  </si>
  <si>
    <t>dup_diversidade</t>
  </si>
  <si>
    <t>dup_escolaridade</t>
  </si>
  <si>
    <t>dup_filhos</t>
  </si>
  <si>
    <t>dup_renda</t>
  </si>
  <si>
    <t>dup_dinamica</t>
  </si>
  <si>
    <t>dup_hist_sel_data_dinamica</t>
  </si>
  <si>
    <t>dup_hist_sel_dinamica</t>
  </si>
  <si>
    <t>dup_hist_sel_horario_dinamica</t>
  </si>
  <si>
    <t>dup_hist_sel_local_dinamica</t>
  </si>
  <si>
    <t>avc_total_fase2_dinâmica</t>
  </si>
  <si>
    <t>dup_entrevista</t>
  </si>
  <si>
    <t>dup_ace_cond_declaro_familia_baixa_renda</t>
  </si>
  <si>
    <t>dup_dc_autodeclaracao_cor_raca_etnia</t>
  </si>
  <si>
    <t>dup_dc_bairro</t>
  </si>
  <si>
    <t>dup_dc_cpf</t>
  </si>
  <si>
    <t>dup_dc_distrito</t>
  </si>
  <si>
    <t>dup_dc_identidade_genero</t>
  </si>
  <si>
    <t>dup_dc_subprefeitura</t>
  </si>
  <si>
    <t>dup_dc_tipo_deficiencia</t>
  </si>
  <si>
    <t>dup_id_chv_cpf</t>
  </si>
  <si>
    <t>dup_id_chv_cpf_2</t>
  </si>
  <si>
    <t>dup_id_chv_foto_3_4</t>
  </si>
  <si>
    <t>dup_idade</t>
  </si>
  <si>
    <t>dup_opc_insc_concorrer_vagas_pcd</t>
  </si>
  <si>
    <t>dup_territorio</t>
  </si>
  <si>
    <t>id_chv_master_protocolo</t>
  </si>
  <si>
    <t>err_dc_numero_cid</t>
  </si>
  <si>
    <t>id_chv_cpf_master</t>
  </si>
  <si>
    <t>avc_final_credenciados</t>
  </si>
  <si>
    <t>avc_final_credenciados_obs</t>
  </si>
  <si>
    <t>SIM</t>
  </si>
  <si>
    <t>on</t>
  </si>
  <si>
    <t>vanessapires221@gmail.com</t>
  </si>
  <si>
    <t>https://yz2spukd8h-jbrk7pf7uvw.s3.amazonaws.com/2024/06/0CcKHuZDIU2x6Bn8wZUsbSO1ucMxdNyuH8r7qjY2e9s%3D.jpg</t>
  </si>
  <si>
    <t>23 anos, 4 meses, 27 dias</t>
  </si>
  <si>
    <t>Parda</t>
  </si>
  <si>
    <t>Jardim da Laranjeira (Zona Leste)</t>
  </si>
  <si>
    <t>08381-130</t>
  </si>
  <si>
    <t>126</t>
  </si>
  <si>
    <t>SÃO MATEUS</t>
  </si>
  <si>
    <t>Mulher (Cisgênero)</t>
  </si>
  <si>
    <t>Rua Ilha do Abrigo</t>
  </si>
  <si>
    <t>56835705X</t>
  </si>
  <si>
    <t>(11) 98944-3014</t>
  </si>
  <si>
    <t>VANESSAPIRES221@GMAIL.COM</t>
  </si>
  <si>
    <t>Não estou cursando superior</t>
  </si>
  <si>
    <t>Público</t>
  </si>
  <si>
    <t>Privado pagante</t>
  </si>
  <si>
    <t>Até R$ 706,00 por pessoa (baixa renda, conforme Lei nº 13.841, de 7 de junho de 2004 - n° do CadÚnico obrigatório nessa opção)</t>
  </si>
  <si>
    <t>CURSANDO</t>
  </si>
  <si>
    <t>5</t>
  </si>
  <si>
    <t>LESTE</t>
  </si>
  <si>
    <t>Médio</t>
  </si>
  <si>
    <t>GESTÃO PUBLICA</t>
  </si>
  <si>
    <t>066677136-76</t>
  </si>
  <si>
    <t>Nunca participei do Programa Jovem Monitor Cultural</t>
  </si>
  <si>
    <t>Desempregado e procurando emprego</t>
  </si>
  <si>
    <t>SÃO MATEUS (IGUATEMI, SÃO RAFAEL, SÃO MATEUS)</t>
  </si>
  <si>
    <t>Tecnólogo</t>
  </si>
  <si>
    <t>Carta de apresentação</t>
  </si>
  <si>
    <t>CASA DE CULTURA HIP-HOP LESTE</t>
  </si>
  <si>
    <t>CASA DE CULTURA GUAIANASES</t>
  </si>
  <si>
    <t>P</t>
  </si>
  <si>
    <t>09h às 13h</t>
  </si>
  <si>
    <t>CENTRO CULTURAL DA PENHA</t>
  </si>
  <si>
    <t>CAROLINA, LEANDRO E ANTÔNIA VIEIRA</t>
  </si>
  <si>
    <t>Meu nome é Vanessa Pires da Silva Marçal, e esta carta visa compartilhar minha trajetória, minhas realizações atuais e minhas aspirações futuras no campo da produção cultural.  Nasci em 22 de janeiro de 2001, em São Paulo. Desde a infância, sempre fui fascinada pelas artes, especialmente pela música. Aos 12 anos, comecei a tocar violão, o que marcou o início da minha jornada artística e revelou minha paixão pela música. Aos 16 anos, em 2017, dei um passo significativo ao me tornar produtora de eventos. Durante este período, desenvolvi habilidades essenciais em organização e atenção aos detalhes. Em 2019, decidi focar meus esforços na minha comunidade no Jardim Iguatemi, atuando como produtora</t>
  </si>
  <si>
    <t>Atualmente, sou uma figura central na cena cultural de São Paulo. Minha produtora artística, fundada com o apoio do programa VAI após um período desafiador de maternidade, é um ponto de referência para artistas independentes. Minha dedicação e paixão se refletem na criação de oportunidades e na promoção de eventos culturais que têm um impacto transformador na vida da minha comunidade. Através de iniciativas culturais, busco continuamente inspirar e apoiar talentos locais, contribuindo para um cenário artístico mais vibrante e inclusivo.</t>
  </si>
  <si>
    <t>Meu objetivo ao participar do Programa Jovem Monitor Cultural é obter a qualificação necessária para levar minha carreira em produção cultural a um novo patamar. Estou determinada a expandir minhas habilidades, adquirir novos conhecimentos e fortalecer minha capacidade de gerir projetos culturais de maior impacto. Com essa qualificação, planejo não apenas continuar meu trabalho atual, mas também explorar novas formas de integrar a cultura na vida da comunidade, promovendo a inclusão e a diversidade. Acredito que esta oportunidade me permitirá contribuir ainda mais para o desenvolvimento cultural de São Paulo, criando um legado duradouro na minha área de atuação.</t>
  </si>
  <si>
    <t>3) Quinta, 26/09</t>
  </si>
  <si>
    <t>16h às 16h40</t>
  </si>
  <si>
    <t>SEDE PJMC</t>
  </si>
  <si>
    <t/>
  </si>
  <si>
    <t>504.266.978-71</t>
  </si>
  <si>
    <t>sim</t>
  </si>
  <si>
    <t>Ashley Nunes Gomes Da Costa</t>
  </si>
  <si>
    <t>ASHLEY</t>
  </si>
  <si>
    <t>Ashley</t>
  </si>
  <si>
    <t>ashleyfotosoficial@gmail.com</t>
  </si>
  <si>
    <t>https://yz2spukd8h-jbrk7pf7uvw.s3.amazonaws.com/2024/04/BYlJqhfQcU9J%2Bt%2Biw9AQETkrorONE4WInyS/5diDuHU%3D.pdf</t>
  </si>
  <si>
    <t>20 anos, 0 meses, 0 dias</t>
  </si>
  <si>
    <t>Preta</t>
  </si>
  <si>
    <t>Jardim Irapiranga</t>
  </si>
  <si>
    <t>05891-240</t>
  </si>
  <si>
    <t>Casa</t>
  </si>
  <si>
    <t>CAPÃO REDONDO</t>
  </si>
  <si>
    <t>Rua Fábio Barbosa Lima</t>
  </si>
  <si>
    <t>314</t>
  </si>
  <si>
    <t>393243230</t>
  </si>
  <si>
    <t>(11) 96451-7075</t>
  </si>
  <si>
    <t xml:space="preserve">Não </t>
  </si>
  <si>
    <t>https://www.instagram.com/_ashley_oficial_/</t>
  </si>
  <si>
    <t>SUL</t>
  </si>
  <si>
    <t>21210459320</t>
  </si>
  <si>
    <t>CAMPO LIMPO (CAMPO LIMPO, CAPÃO REDONDO, VILA ANDRADE)</t>
  </si>
  <si>
    <t>-</t>
  </si>
  <si>
    <t>Cursos livres - formação artística</t>
  </si>
  <si>
    <t>Vídeo</t>
  </si>
  <si>
    <t>CASA DE CULTURA CAMPO LIMPO</t>
  </si>
  <si>
    <t>CASA DE CULTURA M'BOI MIRIM</t>
  </si>
  <si>
    <t>CEU CAPÃO REDONDO</t>
  </si>
  <si>
    <t>CENTRO CULTURAL SANTO AMARO</t>
  </si>
  <si>
    <t>Raphaellie, Evandro, Tatto, Francine, Romildo</t>
  </si>
  <si>
    <t>1) Terça, 24/09</t>
  </si>
  <si>
    <t>13h às 13h40</t>
  </si>
  <si>
    <t>https://drive.google.com/file/d/17MHIjFfHou2Uyy0I6W6boOEzUngX8Fwe/view?usp=drive_link</t>
  </si>
  <si>
    <t>CAFÉ - OLIDO</t>
  </si>
  <si>
    <t>110.932.374-30</t>
  </si>
  <si>
    <t>Jenifer Theoddoro Da Silva</t>
  </si>
  <si>
    <t>jenifer.mae.da.marelua@gmail.com</t>
  </si>
  <si>
    <t>https://yz2spukd8h-jbrk7pf7uvw.s3.amazonaws.com/2024/06/8C8IfM29dMER0jVSRS8MoxsamrsQlU8Fm3RATOt2TTQ%3D.jpg</t>
  </si>
  <si>
    <t>26 anos, 1 meses, 10 dias</t>
  </si>
  <si>
    <t>Parque Independência</t>
  </si>
  <si>
    <t>05880-320</t>
  </si>
  <si>
    <t>JARDIM ÂNGELA</t>
  </si>
  <si>
    <t>Rua Mário Totta</t>
  </si>
  <si>
    <t>548</t>
  </si>
  <si>
    <t>37.704.782-x</t>
  </si>
  <si>
    <t>(11) 94950-1561</t>
  </si>
  <si>
    <t>JENIFER.MAE.DA.MARILUA@GMAIL.COM</t>
  </si>
  <si>
    <t>https://www.instagram.com/jenifer_marrua/</t>
  </si>
  <si>
    <t>268.53261.77-0</t>
  </si>
  <si>
    <t>M'BOI MIRIM (JARDIM ÂNGELA, JARDIM SÃO LUÍS)</t>
  </si>
  <si>
    <t>BIBLIOTECA HELENA SILVEIRA</t>
  </si>
  <si>
    <t>BIBLIOTECA MARCOS REY</t>
  </si>
  <si>
    <t>CENTRO CULTURAL OLIDO</t>
  </si>
  <si>
    <t>Natan e Bruno</t>
  </si>
  <si>
    <t>15h às 15h40</t>
  </si>
  <si>
    <t>https://drive.google.com/file/d/1kS2yL4suXWS_MTlzSwtBv4fbycpCwIO7/view?usp=drivesdk</t>
  </si>
  <si>
    <t>SUL - 5</t>
  </si>
  <si>
    <t>468.891.458-01</t>
  </si>
  <si>
    <t>Daniele Lopes Mota</t>
  </si>
  <si>
    <t>trabalhosdaniele4@gmail.com</t>
  </si>
  <si>
    <t>https://yz2spukd8h-jbrk7pf7uvw.s3.amazonaws.com/2024/05/8awaw/XoFJmBHSP4Ne8e26wjt6Q0OGZkYaAV8HZXAhM%3D.png</t>
  </si>
  <si>
    <t>23 anos, 4 meses, 14 dias</t>
  </si>
  <si>
    <t>Chácara Santa Maria</t>
  </si>
  <si>
    <t>05879-470</t>
  </si>
  <si>
    <t>Rua das Perobeiras</t>
  </si>
  <si>
    <t>844</t>
  </si>
  <si>
    <t>509234185</t>
  </si>
  <si>
    <t>(11) 91417-8545</t>
  </si>
  <si>
    <t>TECNICO EM AUXILIAR DE ENFERMAGEM</t>
  </si>
  <si>
    <t>082301359</t>
  </si>
  <si>
    <t>Cursos livres - outros</t>
  </si>
  <si>
    <t>CEU FEITIÇO DA VILA</t>
  </si>
  <si>
    <t>CASA DE CULTURA PAÇO CULTURAL JULIO GUERRA (CASA AMARELA)</t>
  </si>
  <si>
    <t>Raphaellie, Gustavo, Elizabete, Flávia, Ana Paula</t>
  </si>
  <si>
    <t>10h às 10h40</t>
  </si>
  <si>
    <t>https://photos.app.goo.gl/Ub9A2UzqnzxWjviu9</t>
  </si>
  <si>
    <t>492.983.758-83</t>
  </si>
  <si>
    <t>Nathally Dos Santos Vieira</t>
  </si>
  <si>
    <t>nathallysvieira@gmail.com</t>
  </si>
  <si>
    <t>https://yz2spukd8h-jbrk7pf7uvw.s3.amazonaws.com/2024/05/fn5gPvRh8vt/bdA%2BxYGVOFa9UViZnAQ7KHK3ZNJZbeY%3D.jpg</t>
  </si>
  <si>
    <t>22 anos, 7 meses, 6 dias</t>
  </si>
  <si>
    <t>Vila Indiana</t>
  </si>
  <si>
    <t>05585-020</t>
  </si>
  <si>
    <t>Rua Maestro Carlos Cruz</t>
  </si>
  <si>
    <t>168</t>
  </si>
  <si>
    <t>539322635</t>
  </si>
  <si>
    <t>(11) 97402-1757</t>
  </si>
  <si>
    <t>https://www.linkedin.com/in/nathallyvieira/</t>
  </si>
  <si>
    <t>Médio-Técnico</t>
  </si>
  <si>
    <t>TÉNICO EM INFORMÁTICA E BACHARELADO EM GEOGRAFIA</t>
  </si>
  <si>
    <t>20142889789</t>
  </si>
  <si>
    <t>Superior - Graduação</t>
  </si>
  <si>
    <t>TEATRO MUNICIPAL PAULO EIRÓ</t>
  </si>
  <si>
    <t>MUSEU DA CIDADE DE SÃO PAULO</t>
  </si>
  <si>
    <t>FERNANDA, LEANDRO, SANDRA</t>
  </si>
  <si>
    <t>https://youtu.be/jdVnIeGjHmc?si=fyPyMcf_38bvWyPx</t>
  </si>
  <si>
    <t>503.690.708-60</t>
  </si>
  <si>
    <t>ativamina@gmail.com</t>
  </si>
  <si>
    <t>https://yz2spukd8h-jbrk7pf7uvw.s3.amazonaws.com/2024/05/DAtrP4P%2BGUHCKBEyQCkp6%2BldM7rDMJRGG9Dm8waPUUs%3D.jpg</t>
  </si>
  <si>
    <t>28 anos, 3 meses, 25 dias</t>
  </si>
  <si>
    <t>Eldorado</t>
  </si>
  <si>
    <t>04476-321</t>
  </si>
  <si>
    <t>Casa 4</t>
  </si>
  <si>
    <t>CIDADE ADEMAR</t>
  </si>
  <si>
    <t>Rua Quinze</t>
  </si>
  <si>
    <t>08</t>
  </si>
  <si>
    <t>381232220</t>
  </si>
  <si>
    <t>(11) 98750-9718</t>
  </si>
  <si>
    <t>https://beacons.ai/3kvolts</t>
  </si>
  <si>
    <t>TECNICO EM ELETROMECANICA</t>
  </si>
  <si>
    <t>065956671-00</t>
  </si>
  <si>
    <t>CIDADE ADEMAR (CIDADE ADEMAR, PEDREIRA)</t>
  </si>
  <si>
    <t>Médio - Técnico</t>
  </si>
  <si>
    <t>CEU ALVARENGA</t>
  </si>
  <si>
    <t>CEU CAMINHO DO MAR</t>
  </si>
  <si>
    <t>CENTRO DE CULTURAS NEGRAS DO JABAQUARA - MÃE SYLVIA DE OXALÁ</t>
  </si>
  <si>
    <t>14h às 18h</t>
  </si>
  <si>
    <t>Fernanda, Gustavo, Neide</t>
  </si>
  <si>
    <t>Eu sou Karina Ramos, Nasci na cidade de Diadema, sou a 6ª filha de uma familia com 7 irmãos.   Por falta de condições financeiras e pscicologicas de minha mãe biologica fui adotada logo na maternidade.  Desde então moro na região de eldorado/pedreira.  Trabalho desde os 13 anos.  Hoje tenho 28, sou mãe solo de uma menina de 8 anos.   Sou do movimento hip-hop, canto e componho a 3 anos.</t>
  </si>
  <si>
    <t>Atualmente, estou desempregada e dependo do Bolsa Família como minha principal fonte de renda. Recebo ocasionalmente valores provenientes de minha música e criação de conteúdo. Iniciei minha jornada profissional aos 13 anos e trabalhei em diversas áreas, desde vendas comerciais até estética, incluindo experiência em regime CLT a partir dos 18 anos.</t>
  </si>
  <si>
    <t>Busco me capacitar para transmitir a arte com conhecimento e relevância social.   Pretendo escrever músicas baseadas em minhas vivências, inspirando outros jovens.   Almejo compartilhar conhecimentos com crianças que sonham em ser artistas, promovendo o valor da educação em todas as idades.   Entendo que o conhecimento é essencial para garantir segurança na vida de minha filha e obter recursos para nosso futuro.  Pretendo futuramente me formar em pedagogia e me tornar arte-educadora.</t>
  </si>
  <si>
    <t>425.627.908-39</t>
  </si>
  <si>
    <t>Ellainny Barreto Dos Santos</t>
  </si>
  <si>
    <t>ellainnybarreto02@hotmail.com</t>
  </si>
  <si>
    <t>https://yz2spukd8h-jbrk7pf7uvw.s3.amazonaws.com/2024/04/ZapEeeS%2BGiRRIswVYvm4Ss7RI8hR7VyY%2BNR/hFW9qKI%3D.jpeg</t>
  </si>
  <si>
    <t>22 anos, 9 meses, 12 dias</t>
  </si>
  <si>
    <t>superior pedagogia</t>
  </si>
  <si>
    <t>Branca</t>
  </si>
  <si>
    <t>Cidade Antônio Estevão de Carvalho</t>
  </si>
  <si>
    <t>08226-014</t>
  </si>
  <si>
    <t>Fundos</t>
  </si>
  <si>
    <t>ITAQUERA</t>
  </si>
  <si>
    <t>Rua Cintra</t>
  </si>
  <si>
    <t>377</t>
  </si>
  <si>
    <t>548413502</t>
  </si>
  <si>
    <t>(11) 94960-5018</t>
  </si>
  <si>
    <t>tecnico</t>
  </si>
  <si>
    <t>informatica</t>
  </si>
  <si>
    <t>074722488-94</t>
  </si>
  <si>
    <t>ITAQUERA (CIDADE LÍDER, ITAQUERA, JOSÉ BONIFÁCIO, PARQUE DO CARMO)</t>
  </si>
  <si>
    <t>CEU AZUL DA COR DO MAR</t>
  </si>
  <si>
    <t>BIBLIOTECA SÉRGIO BUARQUE DE HOLANDA</t>
  </si>
  <si>
    <t>CASA DE CULTURA SÃO MIGUEL PAULISTA - ANTÔNIO MARCOS</t>
  </si>
  <si>
    <t>Me chamo Ellainny, tenho 22 anos e sou uma paulistana de coração, nascida e criada na cidade de São Paulo. Atualmente, moro em Itaquera com meu companheiro e nossa bebê de 1 ano. Desde criança, valorizei o conhecimento e a diversidade da sociedade, destacando-me na escola pela comunicação. Minha mãe, apesar das limitações financeiras, sempre me incentivou a participar de cursos públicos, como teatro, violão, ginástica artística e informática nos telecentros e CÉUS próximos a mim. Essas experiências enriqueceram minha perspectiva, tornando-me um reflexo dos contrastes e da riqueza cultural de São Paulo.</t>
  </si>
  <si>
    <t>Minha jornada até aqui foi marcada por experiências que moldaram quem sou hoje.   Atualmente estou desempregada e dedico o meu tempo e energia a maternidade, nos tempos livres eu estudo e sempre estou lendo. Agora, estou pronta para embarcar em uma nova etapa, buscando novas oportunidades e desafios que me permitam crescer profissionalmente e proporcionar um futuro brilhante para minha família.</t>
  </si>
  <si>
    <t>Escrevo sobre a minha trajetória com gratidão e orgulho, pois mesmo não estando onde quero, sinto gratidão por ter chegado até aqui. Sei que com esforço e dedicação, em breve alcançarei meus sonhos e objetivos. Estou ansiosa para direcionar meu futuro para áreas que me permitam crescer, enquanto equilibro minhas responsabilidades como esposa e mãe. Estou comprometida em encontrar um ambiente de trabalho que valorize minhas habilidades e ofereça oportunidades de desenvolvimento, enquanto mantenho um equilíbrio saudável entre minha vida pessoal e profissional.</t>
  </si>
  <si>
    <t>11h às 11h40</t>
  </si>
  <si>
    <t>497.719.458-66</t>
  </si>
  <si>
    <t>Jhones Rodrigues De Sousa</t>
  </si>
  <si>
    <t>jhonasrs12@gmail.com</t>
  </si>
  <si>
    <t>https://yz2spukd8h-jbrk7pf7uvw.s3.amazonaws.com/2024/04/UNNajdtKEeyeasMmXVS48xqynWHC5OyL4NqfixRcjm8%3D.jpg</t>
  </si>
  <si>
    <t>27 anos, 11 meses, 16 dias</t>
  </si>
  <si>
    <t>Parque Taipas</t>
  </si>
  <si>
    <t>02987-171</t>
  </si>
  <si>
    <t>JARAGUÁ</t>
  </si>
  <si>
    <t>Homem (Cisgênero)</t>
  </si>
  <si>
    <t>Rua pioneiros</t>
  </si>
  <si>
    <t>14</t>
  </si>
  <si>
    <t>556216490</t>
  </si>
  <si>
    <t>(11) 96020-2749</t>
  </si>
  <si>
    <t>jhonesrs12@gmail.com</t>
  </si>
  <si>
    <t>11-987439074</t>
  </si>
  <si>
    <t>4</t>
  </si>
  <si>
    <t>NOROESTE</t>
  </si>
  <si>
    <t>*</t>
  </si>
  <si>
    <t>15412776608</t>
  </si>
  <si>
    <t>PIRITUBA/JARAGUÁ (PIRITUBA, JARAGUÁ E SÃO DOMINGOS)</t>
  </si>
  <si>
    <t>BIBLIOTECA ÉRICO VERÍSSIMO</t>
  </si>
  <si>
    <t>CENTRO CULTURAL DA VILA ITORORÓ</t>
  </si>
  <si>
    <t>CENTRO CULTURAL TENDAL DA LAPA</t>
  </si>
  <si>
    <t>NORTE</t>
  </si>
  <si>
    <t>CENTRO CULTURAL DA JUVENTUDE</t>
  </si>
  <si>
    <t>Me chamo jhones Rodrigues de sousa tenho 27 anos sou do Piauí Teresina mas moro em são Paulo com minha família faz alguns anos pai de um filho Marcus dayo me internei pela vaga pelas oportunidades que posso criar dentro da área artística já que atuo no ramo como músico artista mas especificamente na música , e também para um desenvolvimento social e aprender com todos dentro do ambiente.</t>
  </si>
  <si>
    <t>476.351.738-47</t>
  </si>
  <si>
    <t>Gabriele Santos Rocha</t>
  </si>
  <si>
    <t>GABRIELE</t>
  </si>
  <si>
    <t>Gabriele</t>
  </si>
  <si>
    <t>gabizele49@gmail.com</t>
  </si>
  <si>
    <t>https://yz2spukd8h-jbrk7pf7uvw.s3.amazonaws.com/2024/06/9sUYdivv/3QhxFtFd%2BVC6FvkXOXUNSt0p5LJ39dKmiE%3D.jpg</t>
  </si>
  <si>
    <t>24 anos, 10 meses, 5 dias</t>
  </si>
  <si>
    <t>Jardim Novo Santo Amaro</t>
  </si>
  <si>
    <t>05820-140</t>
  </si>
  <si>
    <t>Primeira casa do escadão</t>
  </si>
  <si>
    <t>JARDIM SÃO LUÍS</t>
  </si>
  <si>
    <t>Rua Francesco Durante</t>
  </si>
  <si>
    <t>03</t>
  </si>
  <si>
    <t>545812975</t>
  </si>
  <si>
    <t>(11) 91446-8328</t>
  </si>
  <si>
    <t>16058061793</t>
  </si>
  <si>
    <t>Trabalhando</t>
  </si>
  <si>
    <t>CENTRO CULTURAL DE SANTO AMARO</t>
  </si>
  <si>
    <t>Raphaellie, Gustavo, João, Cintia Lia, Cintia Mendes</t>
  </si>
  <si>
    <t>Eu nasci em Vitória da Conquista-BA, mas quando tinha 4 anos de idade vim com minha mãe morar em São Paulo na casa do meu pai e da minha tia. Cresci dentro do poliamor, pois meu pai tinha dois relacionamentos, com a minha mãe e com a minha tia irmã da minha mãe. Imagina como era viver nessa família composta por 5 irmãos, sendo que dois deles é meu primo e também irmão. A nossa história é divertida, é diferente, mas eu tenho muito orgulho e sinto privilegiada por ter nascido nessa família, porque além do pai incrível que nós temos, nunca deixamos essa diferença acabar com a nossa união.</t>
  </si>
  <si>
    <t>Nesse momento da minha vida eu permaneço na mesma casa que vivi desde os meus 4 anos. Cheguei a fazer o Projeto Espetáculo durante dois anos (2017 e 2018) na Fábrica de Cultura do Jardim São Luís, também fiz outros ateliês como o circo e escrita criativa. Depois passei a estudar na Escola livre de teatro de Santo André, comecei no ano de 2019 e terminei no final de 2022. Atualmente eu estou trabalhando temporariamente no Museu das Favelas como orientadora de Público e dentro do Museu estou aprendendo cada vez mais a resgatar as memorias (histórias) que não nos contam dentro da escola.</t>
  </si>
  <si>
    <t>Como eu disse, estou trabalhando temporariamente no Museu, mas uma hora esse contrato vai acabar e gostaria de permanecer trabalhando num lugar artistico, pois tem a ver comigo, com a minha identidade. E eu sempre quis fazer o Jovem Monitor só que das duas vezes que tentei, infelizmente não fui aprovada. Mas jamais irei desistir, porque eu sei que se me derem essa oportunidade vou conseguir alcançar os sonhos que eu almejo dentro dos espaços culturais e esse projeto consegue me formar fazendo com que meus sonhos se tornem reais.</t>
  </si>
  <si>
    <t>14h às 14h40</t>
  </si>
  <si>
    <t>487.289.178-39</t>
  </si>
  <si>
    <t>Débora Santana Dos Santos</t>
  </si>
  <si>
    <t>santana.admdebora@gmail.com</t>
  </si>
  <si>
    <t>https://yz2spukd8h-jbrk7pf7uvw.s3.amazonaws.com/2024/06/jwE6ok4vWD%2B42oLR3haRO3vnePQzlcAoUjBsW3hUL%2BA%3D.jpeg</t>
  </si>
  <si>
    <t>27 anos, 4 meses, 20 dias</t>
  </si>
  <si>
    <t>04476-490</t>
  </si>
  <si>
    <t>Viela 500</t>
  </si>
  <si>
    <t>PEDREIRA</t>
  </si>
  <si>
    <t>Estrada Água Santa</t>
  </si>
  <si>
    <t>7</t>
  </si>
  <si>
    <t>389194074</t>
  </si>
  <si>
    <t>(11) 95994-3506</t>
  </si>
  <si>
    <t>6346914499</t>
  </si>
  <si>
    <t>EMIA JABAQUARA</t>
  </si>
  <si>
    <t>2) Quarta, 25/09</t>
  </si>
  <si>
    <t>09h10 às 09h50</t>
  </si>
  <si>
    <t>https://drive.google.com/file/d/1nKE--s7Y7btA1PHuvcpFKz6cVN-xPudq/view?usp=drive_link</t>
  </si>
  <si>
    <t>448.124.848-39</t>
  </si>
  <si>
    <t>Fernanda Arruda Kono</t>
  </si>
  <si>
    <t>fe.kono.arruda@gmail.com</t>
  </si>
  <si>
    <t>https://yz2spukd8h-jbrk7pf7uvw.s3.amazonaws.com/2024/05/RpBIOeEZ0Yr3OTKK9GxKJfw4LuGCIyRJeUnA%2B/CSb78%3D.jpg</t>
  </si>
  <si>
    <t>22 anos, 7 meses, 17 dias</t>
  </si>
  <si>
    <t>Jd São Vicente</t>
  </si>
  <si>
    <t>08021-480</t>
  </si>
  <si>
    <t>SÃO MIGUEL</t>
  </si>
  <si>
    <t>Rua José Ferreira Crespo</t>
  </si>
  <si>
    <t>153</t>
  </si>
  <si>
    <t>502515090</t>
  </si>
  <si>
    <t>(11) 97447-7914</t>
  </si>
  <si>
    <t>fe.comkono.arruda@gmail.com</t>
  </si>
  <si>
    <t>06084354300</t>
  </si>
  <si>
    <t>SÃO MIGUEL (SÃO MIGUEL, JARDIM HELENA, VILA JACUÍ)</t>
  </si>
  <si>
    <t>CEU VILA CURUÇÁ</t>
  </si>
  <si>
    <t>CEU PARQUE VEREDAS</t>
  </si>
  <si>
    <t>Cresci em São Miguel paulista com uma família presente e acolhedora, tive a oportunidade de acolher amigos dentro de casa em momentos de precisão pois apesar de simples venho de uma família com princípios bons e honestos. Minha mãe é professora e meu pai é do tipo que faz todos os tipos de serviços, e puder moldar uma personalidade que contempla a sede de conhecimento da minha mãe e a coragem e habilidade pra por as coisas em prática de meu pai. São sem dúvidas minha base.</t>
  </si>
  <si>
    <t>Hoje sou mãe de uma menininha de 3 anos, sou separada do pai dela e apesar de não receber pensão dele pois ele não tem a condição pra isso, ele é muito participativo na vida dela o que já me satisfaz muito. Trabalho autônomo, fazendo cerâmica e faço freelances para me manter e conseguir cuidar dela nos momentos de necessidade, ela tem algumas questões psicológicas que estamos investigando, e por isso fica difícil me encaixar no padrão do CLT, onde não tenho abertura pra dar todos os cuidados necessários à minha pequena.</t>
  </si>
  <si>
    <t>Busco construir uma base sólida pra mim e para minha pequena através de trabalhos que nos edifiquem e acrescentem tanto em nossas vidas quanto na dos próximos, que sejamos sempre úteis àqueles que precisam de nós e possamos construir uma sociedade consciente e crítica através dos projetos culturais, do contato e da vivência em conjunto, da troca. Espero poder agregar e acolher, aprender e ensinar.</t>
  </si>
  <si>
    <t>459.058.988-55</t>
  </si>
  <si>
    <t>LETICIA CAROLINA GALVAO LEITE</t>
  </si>
  <si>
    <t>leticia.carolina.glm@gmail.com</t>
  </si>
  <si>
    <t>https://yz2spukd8h-jbrk7pf7uvw.s3.amazonaws.com/2024/04/KbjWNlNPWZDE258lAANqzmG/By5H//g8ph4nq4LQd%2BU%3D.png</t>
  </si>
  <si>
    <t>19 anos, 8 meses, 28 dias</t>
  </si>
  <si>
    <t>TÉCNICO CONCLUIDO</t>
  </si>
  <si>
    <t>Jardim da Conquista (Zona Leste)</t>
  </si>
  <si>
    <t>08343-540</t>
  </si>
  <si>
    <t>Travessa Um Tango Para Tereza</t>
  </si>
  <si>
    <t>8</t>
  </si>
  <si>
    <t>580506733</t>
  </si>
  <si>
    <t>(11) 98561-9031</t>
  </si>
  <si>
    <t>LETICIA.CAROLINA.GLM@GMAIL.COM</t>
  </si>
  <si>
    <t>TÉCNICO</t>
  </si>
  <si>
    <t>https://linktr.ee/admin</t>
  </si>
  <si>
    <t>PÓS  PRODUÇÃO</t>
  </si>
  <si>
    <t>16512212992</t>
  </si>
  <si>
    <t>CEU SÃO MATEUS</t>
  </si>
  <si>
    <t>CASA DE CULTURA SÃO MATEUS</t>
  </si>
  <si>
    <t>CEU ARICANDUVA</t>
  </si>
  <si>
    <t>JANAINA, RAQUEL ANDRADE, ALESSANDRA NORONHA, CAROLINE PAZINI, CLAUDIA LECINIO</t>
  </si>
  <si>
    <t>Meu nome é Leticia Carolina Galvão Leite, nasci e cresci na periferia de são mateus extremo leste. sou uma multiartista e tenho 19 anos e sou uma pessoa muito esforçada e batalhadora que já enfrentou e superou muita coisa apesar de ser nova ainda  e quero poder passar esse exemplo para as pessoas pela frente, eu cresci participando de projetos culturais e até hoje continuo participar quando eu consigo eu acredito que a arte pode salvar vidas</t>
  </si>
  <si>
    <t>no momento estou desempregada em busca do primeiro emprego, já fiz muitos cursos envolvido a arte e quero poder investir na minha educação e consegui mais oportunidades, acabo de me formar no audiovisual pelo instituto criar, tv cinema e novas mídias, participo de saraus como o sarau do seu Camilo e sarau da dona irene que fica na biblioteca do céu são Mateus..</t>
  </si>
  <si>
    <t>É essa paixão pela arte e pelo poder transformador da educação que me impulsiona a buscar este papel como arte educadora. Acredito firmemente que a arte é uma ferramenta poderosa para capacitar indivíduos e comunidades, oferecendo não apenas conhecimento técnico, mas também um meio de autoexpressão, autoconhecimento e conexão com o mundo ao nosso redor.</t>
  </si>
  <si>
    <t>570.696.518-80</t>
  </si>
  <si>
    <t>PEDRO MEIRELES FERREIRA</t>
  </si>
  <si>
    <t>FeuerPedro Meireles Ferreira</t>
  </si>
  <si>
    <t>Feuer Meireles</t>
  </si>
  <si>
    <t>feuermeireles@outlook.com</t>
  </si>
  <si>
    <t>https://yz2spukd8h-jbrk7pf7uvw.s3.amazonaws.com/2024/06/Nf00zoTZcQgyGgzjQn%2B62QVMIRCLICR6LP85zr4ZCyk%3D.jpg</t>
  </si>
  <si>
    <t>20 anos, 3 meses, 24 dias</t>
  </si>
  <si>
    <t>Parque Monteiro Soares</t>
  </si>
  <si>
    <t>02736-070</t>
  </si>
  <si>
    <t>FREGUESIA DO Ó</t>
  </si>
  <si>
    <t>Mulher (Transgênero)</t>
  </si>
  <si>
    <t>Rua Miguel Helou</t>
  </si>
  <si>
    <t>577819550</t>
  </si>
  <si>
    <t>(11) 94468-2659</t>
  </si>
  <si>
    <t>11-944682659</t>
  </si>
  <si>
    <t>Privado com bolsa integral</t>
  </si>
  <si>
    <t>https://www.linkedin.com/in/TZIAF</t>
  </si>
  <si>
    <t>teatro - tecnico</t>
  </si>
  <si>
    <t>7834209868</t>
  </si>
  <si>
    <t>FREGUESIA DO Ó / BRASILÂNDIA (FREGUESIA DO Ó, BRASILÂNDIA)</t>
  </si>
  <si>
    <t>CENTRO CULTURAL DA JUVENTUDE - RUTH CARDOSO</t>
  </si>
  <si>
    <t>CENTRO CULTURAL DA CIDADE DE SÃO PAULO - CCSP</t>
  </si>
  <si>
    <t>https://youtu.be/ub4pre...</t>
  </si>
  <si>
    <t>560.490.378-76</t>
  </si>
  <si>
    <t>ANNE SOUZA BARBOSA</t>
  </si>
  <si>
    <t>Anne Souza Barbosa</t>
  </si>
  <si>
    <t>Gabriel Souza Barbosa</t>
  </si>
  <si>
    <t>gabsbarbosa1603@gmail.com</t>
  </si>
  <si>
    <t>https://yz2spukd8h-jbrk7pf7uvw.s3.amazonaws.com/2024/04/MsuwU7ihkuBWdwO4x0cgABOaZ0vYl9brJ6Fq9UWp0Fg%3D.jpg</t>
  </si>
  <si>
    <t>21 anos, 3 meses, 2 dias</t>
  </si>
  <si>
    <t>Vila Cruz das Almas</t>
  </si>
  <si>
    <t>02804-020</t>
  </si>
  <si>
    <t>Casa 10</t>
  </si>
  <si>
    <t>Não-binária</t>
  </si>
  <si>
    <t>Travessa Ângela Lopes</t>
  </si>
  <si>
    <t>75</t>
  </si>
  <si>
    <t>392516421</t>
  </si>
  <si>
    <t>(11) 96178-6129</t>
  </si>
  <si>
    <t>11-961786129</t>
  </si>
  <si>
    <t>sim-tec</t>
  </si>
  <si>
    <t>teatro</t>
  </si>
  <si>
    <t>066850799-32</t>
  </si>
  <si>
    <t>EMIA NORTE (BRASILÂNDIA)</t>
  </si>
  <si>
    <t>TEATRO MUNICIPAL ALFREDO MESQUITA</t>
  </si>
  <si>
    <t>Olá, eu sou o Gabriel, tenho 21 anos, sou uma pessoa transmasculina. Nasci em São Paulo, na Freguesia do Ó, e foi aqui que vivi toda a minha vida. Comecei a frequentar a escola com 3 anos. Aos 11, tive a oportunidade de participar de uma oficina de teatro oferecida pela escola, onde experienciei meu primeiro contato significativo com a cultura, já que desde o primeiro dia, sabia que era o que queria fazer pelo resto da vida. Enquanto me desenvolvia, frequentei o máximo de espaços culturais que consegui, fiz oficinas de teatro, assisti peças e participei de eventos em diversos centros culturais. Fiz meu ensino médio integrado ao técnico de meio ambiente e, logo em seguida, técnico em teatro.</t>
  </si>
  <si>
    <t>Atualmente, trabalho no Museu da Imigração como orientador de público. Ademais, busco estar sempre presente na cena cultural, principalmente na música underground brasileira e no teatro, enquanto procuro oportunidades para continuar fomentando meu sonho de construir uma carreira na área da cultura. Minha sede de continuar estudando é o que me motiva a seguir buscando novas experiências todos os dias.</t>
  </si>
  <si>
    <t>A partir daqui, pretendo cursar licenciatura em artes cênicas e me especializar em arte educação. Tenho o sonho de dar aula, principalmente para crianças pequenas, já que entendo a arte educação como uma ferramenta emancipadora, que pode ajudar a dar forma às vozes do povo periférico, que é quem eu pretendo alcançar, tanto com a minha arte, quanto com o ensino. Além disso, fazer pesquisa acadêmica, e construir uma carreira como ator de teatro de grupo são outros desejos que pretendo buscar. Por fim, trabalhar na cultura de forma ativa e continuar aprendendo sobre ela é algo urgente para mim, por isso, acredito que fazer parte do PJMC será extremamente enriquecedor para a minha jornada.</t>
  </si>
  <si>
    <t>429.601.868-00</t>
  </si>
  <si>
    <t>Larissa Caroline Dos Santos</t>
  </si>
  <si>
    <t>larissacarolinedossantos1@gmail.com</t>
  </si>
  <si>
    <t>https://yz2spukd8h-jbrk7pf7uvw.s3.amazonaws.com/2024/06/yryfnvjuQSAZ4nTCZqBuofvnmLm70l09Vl3Uk6gfNYI%3D.jpeg</t>
  </si>
  <si>
    <t>24 anos, 7 meses, 10 dias</t>
  </si>
  <si>
    <t>Jardim São Paulo(Zona Leste)</t>
  </si>
  <si>
    <t>08465-312</t>
  </si>
  <si>
    <t>Casa 3</t>
  </si>
  <si>
    <t>CIDADE TIRADENTES</t>
  </si>
  <si>
    <t>Rua Dom Basílio</t>
  </si>
  <si>
    <t>271</t>
  </si>
  <si>
    <t>388254361</t>
  </si>
  <si>
    <t>(11) 99423-3793</t>
  </si>
  <si>
    <t>LARISSACAROLINE0811@GMAIL.COM</t>
  </si>
  <si>
    <t>3</t>
  </si>
  <si>
    <t>6287255404</t>
  </si>
  <si>
    <t>CIDADE TIRADENTES (CIDADE TIRADENTES)</t>
  </si>
  <si>
    <t>CEU INÁCIO MONTEIRO</t>
  </si>
  <si>
    <t>CENTRO DE FORMAÇÃO CULTURAL CIDADE TIRADENTES - CFCCT</t>
  </si>
  <si>
    <t>https://drive.google.com/file/d/1btbGtI7M5Z-4taxdERSZX_fnWhAY2B4t/view?usp=sharing</t>
  </si>
  <si>
    <t>PAISSANDÚ - OLIDO</t>
  </si>
  <si>
    <t>354.259.798-86</t>
  </si>
  <si>
    <t>Igor Da Silva Macedo</t>
  </si>
  <si>
    <t>igorbrando123@gmail.com</t>
  </si>
  <si>
    <t>https://yz2spukd8h-jbrk7pf7uvw.s3.amazonaws.com/2024/06/BWPc0pqzfwCqvIProIUykLgw6urf%2Bl7EGLNzFZaESmk%3D.jpg</t>
  </si>
  <si>
    <t>19 anos, 8 meses, 0 dias</t>
  </si>
  <si>
    <t>Jardim Paulistano (Zona Norte)</t>
  </si>
  <si>
    <t>02814-160</t>
  </si>
  <si>
    <t>BRASILÂNDIA</t>
  </si>
  <si>
    <t>Brasilândia</t>
  </si>
  <si>
    <t>29</t>
  </si>
  <si>
    <t>578024949</t>
  </si>
  <si>
    <t>(11) 96146-8250</t>
  </si>
  <si>
    <t>11-961468250</t>
  </si>
  <si>
    <t>https://www.instagram.com/rojirojiuau/?igsh=MXN1eXdsdnFtbGtvZQ%3D%3D</t>
  </si>
  <si>
    <t>tec - quimica</t>
  </si>
  <si>
    <t>041389691-95</t>
  </si>
  <si>
    <t>CASA DE CULTURA BRASILÂNDIA</t>
  </si>
  <si>
    <t>CASA DE CULTURA FREGUESIA DO Ó - SALVADOR LIGABUE</t>
  </si>
  <si>
    <t>CASA DE CULTURA TREMEMBÉ</t>
  </si>
  <si>
    <t>https://www.youtube.com/shorts/m1pI8wQcFjk</t>
  </si>
  <si>
    <t>542.564.928-28</t>
  </si>
  <si>
    <t>Cailane Jesus Da Conceição</t>
  </si>
  <si>
    <t>cailanejesuscontato@gmail.com</t>
  </si>
  <si>
    <t>https://yz2spukd8h-jbrk7pf7uvw.s3.amazonaws.com/2024/06/6diHJ6J3OjxsRfJxKAKJ1T5qxzCGyZvZy%2BJkUPH7sYI%3D.jpg</t>
  </si>
  <si>
    <t>20 anos, 5 meses, 7 dias</t>
  </si>
  <si>
    <t>Vila Santa Lúcia</t>
  </si>
  <si>
    <t>04937-010</t>
  </si>
  <si>
    <t>Rua Professor Barroso do Amaral</t>
  </si>
  <si>
    <t>414</t>
  </si>
  <si>
    <t>52516080 2</t>
  </si>
  <si>
    <t>(11) 91046-8490</t>
  </si>
  <si>
    <t>https://www.instagram.com/cailane.pipi?igsh=MXYweG5wa2hxcXh4Yw==</t>
  </si>
  <si>
    <t>TECNICO EM TEATRO</t>
  </si>
  <si>
    <t>163.00488.73-0</t>
  </si>
  <si>
    <t>CEU GUARAPIRANGA</t>
  </si>
  <si>
    <t>Raphaellie, Evandro, Neide, Valéria</t>
  </si>
  <si>
    <t>São Paulo, 17 de Junho de 2024.  Me Cailane Jesus, tenho 20 anos, nascida no estado da Bahia e criada na grande São Paulo desde pequena, atualmente moro no extremo sul da capital. No momento sou estudante de técnico em teatro na Etec de artes no período matutino. Venho por meio desta carta demonstrar profundo interesse por esta oportunidade, visando meu desenvolvimento profissional na área cultural.</t>
  </si>
  <si>
    <t>Os aparelhos culturais da Cidade de São Paulo foram extremamente importantes para minha construção como artista. O Programa vocacional e a Fábrica de Cultura foram um dos primeiros lugares que frequentei, iniciando essa trajetória. Um lugar foi me levando a outro. Atualmente sou estudante técnico em teatro, no entanto ano de 2023 pude realizar uma formação em direção de arte no Instituto Criar de TV, Cinema e Novas Mídias, onde tive contato com o audiovisual.</t>
  </si>
  <si>
    <t>Minhas experiências como frequentadora em centros culturais, estudante de teatro e audiovisual me trouxeram ferramentas que poderão ser aplicadas como uma jovem monitora cultural. Trabalhar em prol da cultura é uma forma de me manter ativa naquilo em que acredito, ajudando a transformar a vida de diversas pessoas através desse mecanismo que é tão rico e importante para a sociedade.</t>
  </si>
  <si>
    <t>527.007.188-60</t>
  </si>
  <si>
    <t>Leonardo Favero Rocha</t>
  </si>
  <si>
    <t>LEO</t>
  </si>
  <si>
    <t>Leo</t>
  </si>
  <si>
    <t>leo_faviro@hotmail.com</t>
  </si>
  <si>
    <t>https://yz2spukd8h-jbrk7pf7uvw.s3.amazonaws.com/2024/05/aUUS1UmSk6aM6w9Z5voIhLjrbLyS7DhhE/c08slBnrs%3D.jpeg</t>
  </si>
  <si>
    <t>25 anos, 2 meses, 19 dias</t>
  </si>
  <si>
    <t>CURSANDO SUPERIOR EM PRODUÇÃO CULTURAL</t>
  </si>
  <si>
    <t>Jardim Castro Alves</t>
  </si>
  <si>
    <t>04842-510</t>
  </si>
  <si>
    <t>GRAJAÚ</t>
  </si>
  <si>
    <t>Rua Olney Cazarre</t>
  </si>
  <si>
    <t>20</t>
  </si>
  <si>
    <t>36651183x</t>
  </si>
  <si>
    <t>(11) 96841-3518</t>
  </si>
  <si>
    <t>https://www.instagram.com/mcda4i20/</t>
  </si>
  <si>
    <t>TÉCNICO EM PRODUÇÃO AUDIOVISUAL, SUPERIOR EM PRODUÇÃO CULTURAL</t>
  </si>
  <si>
    <t>08279871020</t>
  </si>
  <si>
    <t>CAPELA DO SOCORRO (CIDADE DUTRA, GRAJAÚ, SOCORRO)</t>
  </si>
  <si>
    <t>CENTRO CULTURAL GRAJAÚ - PALHAÇO CAREQUINHA</t>
  </si>
  <si>
    <t>CASA DE CULTURA HIP-HOP SUL</t>
  </si>
  <si>
    <t>CASA DE CULTURA PARELHEIROS</t>
  </si>
  <si>
    <t>Olá, sou Leonardo, venho da favela do Grajaú, onde moro desde criança, sempre tive muito anseio por arte e pela cultura, mas infelizmente sempre fui travado e barrado de fluir minhas ideias e vontades por causa dos meus pais, eles nunca acreditaram no plano de eu me tornar artista, então passei muito tempo da minha vida seguindo os caminhos que eles achavam melhores pra mim, mas nunca consegui me adaptar em nada, sempre senti que eu estava meio deslocado, mas não por eu não sentir que as pessoas não gostam de mim, mas sim por eu sempre pensar muito diferente de todo mundo e sentir que ninguem entenderia minhas questões por não terem o mesmo estilo de vida do que eu...</t>
  </si>
  <si>
    <t>Hoje eu já me sinto orgulhoso de dizer que sou produtor audiovisual e produtor/compositor musical, gosto de fazer musicas puxadas pro rap, rock e reagge, eu corri atras de tudo por conta própria e sempre buscando conhecimento de forma gratuita, e pude ter a oportunidade de desenvolver meus projetos proprios na base do improviso e gambiarra rsrs, me fez entender que pra ser artista basta por a mao na massa, uma super produção vem como consequencia do esforço e da qualidade do seu trabalho, entao estou nesse caminho pra me expandir profissionalmente no meio artistico e construir meus projetos cada vez melhor.</t>
  </si>
  <si>
    <t>meu sonho é investir num sistema de som pra eu poder tocar minhas musicas pela cidade de são paulo, atraindo publico, gerando circulação economica e trazendo cultura pra favela, sempre puxando filosofias sociais pra juventude aprender cada vez mais sobre seus direitos e o poder popular que juntos podemos ter. Também tenho um sonho de criar meu estudio de produção de filmes e documentarios, gosto de explorar minha capacidade de construir historias e adoro documentar conhecimentos que considero importante pras pessoas.</t>
  </si>
  <si>
    <t>411.281.488-70</t>
  </si>
  <si>
    <t>IYALODE ALVARENGA SANTOS</t>
  </si>
  <si>
    <t>Iyalode Alvarenga Santos</t>
  </si>
  <si>
    <t>Thomas Henrique Alvarenga Santos</t>
  </si>
  <si>
    <t>iyalodealvarenga09@gmail.com</t>
  </si>
  <si>
    <t>https://yz2spukd8h-jbrk7pf7uvw.s3.amazonaws.com/2024/06/%2BM2BAOwYDHCUCcz2YlpXxNsI15tg4cWH7qLTRT1SKXg%3D.jpg</t>
  </si>
  <si>
    <t>25 anos, 9 meses, 15 dias</t>
  </si>
  <si>
    <t>Vila Palmeiras</t>
  </si>
  <si>
    <t>02725-000</t>
  </si>
  <si>
    <t>casa azul</t>
  </si>
  <si>
    <t>Homem (Transgênero)</t>
  </si>
  <si>
    <t>Avenida Antônio Munhoz Bonilha</t>
  </si>
  <si>
    <t>764</t>
  </si>
  <si>
    <t>545554044</t>
  </si>
  <si>
    <t>(11) 91667-6901</t>
  </si>
  <si>
    <t>IYALUDEALVARENGA09@GMAIL.COM</t>
  </si>
  <si>
    <t>***</t>
  </si>
  <si>
    <t>13728019797</t>
  </si>
  <si>
    <t>BIBLIOTECA JAYME CORTEZ</t>
  </si>
  <si>
    <t>Meu nome e Thomas tenho 25 anos, estou no começo da minha transição de mudança de gênero e sigo na busca de conquista todos os meus objetivos , sou homem sonhador , por que me vejo realizado todos eles , independente do tempo que demore, o importante e não desistir. O professor antes foi aluno , O chefe foi funcionário.  Todos conseguem basta insistir.</t>
  </si>
  <si>
    <t>Hoje moro com os meu pais , mas pretendo seguir meu caminho novamente , pois voltei para trás por falta de trabalho não consegui seguir com meu cantinho. A falta que mas tenho e das minhas coisas, que conquistei com meu suor , mas por preconceito o homofobia eu perdi meu serviço e segui na busca por algo novamente o me integrar na área de trabalho novamente, assim terei minhas coisas de novo.</t>
  </si>
  <si>
    <t>Tenho o grande Foco em voltar para área de trabalho e quando conseguir mata minha Saudade de salvador e dos meu parentes que ainda mora lá.  Quero ajuda minha mãe a arrumar a casinha dela e seguir conquistando a minha. O meu para onde vou e muito grande , pois penso em ajudar os meus e o próximo assim , como faço todo em agosto , levando comida as pessoas de rua e roupas. Gostaria também de ajudar pessoas em situações como a minha de transição , mas um dia há deu conseguir.</t>
  </si>
  <si>
    <t>477.182.538-64</t>
  </si>
  <si>
    <t>Aruan Henrique De Alvarenga</t>
  </si>
  <si>
    <t>aruanalvarenga@gmail.com</t>
  </si>
  <si>
    <t>https://yz2spukd8h-jbrk7pf7uvw.s3.amazonaws.com/2024/06/EG5mfIZc19NVFUVrac9yVyaBRMK%2B7OIHQFqj48JKK7M%3D.jpeg</t>
  </si>
  <si>
    <t>21 anos, 10 meses, 20 dias</t>
  </si>
  <si>
    <t>Itaquera</t>
  </si>
  <si>
    <t>08290-000</t>
  </si>
  <si>
    <t>Apartamento 32</t>
  </si>
  <si>
    <t>Rua Victório Santim</t>
  </si>
  <si>
    <t>(11) 96301-4559</t>
  </si>
  <si>
    <t>https://www.instagram.com/alva.negra/</t>
  </si>
  <si>
    <t>Danca</t>
  </si>
  <si>
    <t>CASA DE CULTURA ITAQUERA - RAUL SEIXAS</t>
  </si>
  <si>
    <t>TEATRO MUNICIPAL FLÁVIO IMPÉRIO</t>
  </si>
  <si>
    <t>p</t>
  </si>
  <si>
    <t>Nascido da Zona Leste de São Paulo, Aruan começa a contar sua história quando fica órfão aos 3 anos de idade. Quando este fato acontece, ele é adotado por Pai Jorge, um senhor pai de santo, que o acolhe dentro de um terreiro de candomblé, fazendo sua infância ser narrada através de ritos e festejos afrobrasileiros. Aos 13 anos, Pai Jorge também falece, fazendo então Aruan se tornar herdeiro de um grande axé.</t>
  </si>
  <si>
    <t>Aruan tem sua trajetória no mundo artístico se aventurando nos palcos e em produções de telas audiovisuais. Para isso, trabalhou em companhias de teatro, cursou produção audiovisual, formou-se em dança e foi contemplado em Fomentos da prefeitura de São Paulo. Aruan tem sede de levar suas vivencias de terreiro para a academia e para o mundo.    Paralelamente com esta construção, Aruan atingiu o sacerdócio, tornando-se recém Pai de Santo, dando continuidade ao legado adquirido não somente na arte como no sagrado também.</t>
  </si>
  <si>
    <t>Aruan almeja, juntamente com a sua representatividade de comunidade-terreiro, buscar um mundo onde toda arte e cultura preta seja vivenciada, de maneira facilitadora.     Desde cedo, Aruan entende que arte e ancestralidade devem coexistir em um corpo ou território. O artista acredita que o futuro é algo ancestral, algo aprendido com Ailton Krenak. Então, se jovens souberem da força de sua comunidade, o futuro será garantido.    Já dizia a filosofia africana de “Ubuntu” - Eu sou para que sejamos.</t>
  </si>
  <si>
    <t>32831786</t>
  </si>
  <si>
    <t>501.297.468-94</t>
  </si>
  <si>
    <t>Beatriz Karolyne Moreira De Oliveira Queiroz</t>
  </si>
  <si>
    <t>BEATRIZ KAROLYNE</t>
  </si>
  <si>
    <t>Beatriz Karolyne</t>
  </si>
  <si>
    <t>biakarol54@gmail.com</t>
  </si>
  <si>
    <t>https://yz2spukd8h-jbrk7pf7uvw.s3.amazonaws.com/2024/06/vy5WuOnneBtMZTdbMniUH8gBJG/Hc/9lQuTN%2B8S1CC0%3D.jpg</t>
  </si>
  <si>
    <t>21 anos, 6 meses, 19 dias</t>
  </si>
  <si>
    <t>Conjunto Residencial José Bonifácio</t>
  </si>
  <si>
    <t>08250-650</t>
  </si>
  <si>
    <t>Apto 54C</t>
  </si>
  <si>
    <t>JOSÉ BONIFÁCIO</t>
  </si>
  <si>
    <t>Rua Sílvio Barbini</t>
  </si>
  <si>
    <t>38.924.518-5</t>
  </si>
  <si>
    <t>(11) 96349-8215</t>
  </si>
  <si>
    <t>https://www.instagram.com/beakarolyne?igsh=MjN6dHJjaWFqMGVq</t>
  </si>
  <si>
    <t xml:space="preserve">Cursando Teatro musical na São Paulo escola de dança </t>
  </si>
  <si>
    <t>CEU JAMBEIRO</t>
  </si>
  <si>
    <t>CENTRO DE REFERÊNCIA DA DANÇA DA CIDADE DE SÃO PAULO - CRD</t>
  </si>
  <si>
    <t>https://drive.google.com/file/d/1bvWsA4rGGGGjhPV8cwYLyOsb-1wG_-6t/view?usp=drivesdk</t>
  </si>
  <si>
    <t>32831602</t>
  </si>
  <si>
    <t>502.089.058-80</t>
  </si>
  <si>
    <t>GIULIA NONATO PINTO</t>
  </si>
  <si>
    <t>Giulia Nonato Pinto</t>
  </si>
  <si>
    <t>JULIA</t>
  </si>
  <si>
    <t>Julia</t>
  </si>
  <si>
    <t>472.***.***-09</t>
  </si>
  <si>
    <t>giulia.nautram@gmail.com</t>
  </si>
  <si>
    <t>https://yz2spukd8h-jbrk7pf7uvw.s3.amazonaws.com/2024/04/rcM%2BwHjAb3cpgEQGSfSAM0CJisk10VzrUZX/bD/0dTA%3D.jpeg</t>
  </si>
  <si>
    <t>32647921</t>
  </si>
  <si>
    <t>25 anos, 11 meses, 20 dias</t>
  </si>
  <si>
    <t>Verificar identidade de gênero (RG)</t>
  </si>
  <si>
    <t>É MULHER CIS, ERROU NA HORA DA INSCRIÇÃO</t>
  </si>
  <si>
    <t>Jardim Mabel</t>
  </si>
  <si>
    <t>08121-620</t>
  </si>
  <si>
    <t>ITAIM PAULISTA</t>
  </si>
  <si>
    <t>Rua Eugênio Darodes</t>
  </si>
  <si>
    <t>62</t>
  </si>
  <si>
    <t>525183528</t>
  </si>
  <si>
    <t>(11) 95347-7430</t>
  </si>
  <si>
    <t>GIULIA.NAUTRAM@GMAIL.COM</t>
  </si>
  <si>
    <t>16315692657</t>
  </si>
  <si>
    <t>ITAIM PAULISTA (ITAIM PAULISTA, VILA CURUÇA)</t>
  </si>
  <si>
    <t>CASA DE CULTURA ITAIM PAULISTA</t>
  </si>
  <si>
    <t>GABRIELLA, VALDIRENE, CLAUDIA, MARCOS</t>
  </si>
  <si>
    <t>venho do extremo leste de São Paulo, onde se aprende muito com a vida e geralmente na dor! Vim da onde eu venho, me traz mais força para chegar aonde eu quero chegar. Lado bom de ser periférica é que posso conhecer os dois lados da vida, o lado "ruim" já aprendi a conviver, agora quero o lado "bom" da vida onde se tem paz sem discriminação, violência, abusos de poder e entre outros.</t>
  </si>
  <si>
    <t>Estou na fase dos 25 anos com uma filha de 6 meses, essa fase abriu meus olhos com o sofrimento que passei! Essa fase me deu uma sede imensa de crescer, aprender e conhecer mais sobre a vida para dar a melhor, mais leve, e mais completa educação para a minha filha, o ser que eu gerei e que devo sucesso a ela e sucesso terei. Bem vinda nova fase, obrigada sofrimento eu estou ainda mais motivada a crescer e evoluir.</t>
  </si>
  <si>
    <t>Os meu planos estão nas mãos de Deus, tenho em mente plano 1,2,3,4... Porém em todos vou dar partida e Deus vai me dar o chão, planos de uma vida estável para mim, e minha filha e tenho certeza que teremos. Acima de tudo educação e conhecimento sobre tudo, para onde eu vou é um caminho que não sei onde vai dar mas vai ser bem trilhado e muito bem apreciado e nisso vou ter muitos conhecimentos.</t>
  </si>
  <si>
    <t>472.875.238-09</t>
  </si>
  <si>
    <t>não</t>
  </si>
  <si>
    <t>Outras desclassificações decididas pela comissão: GABRIEL GUIETTE MOTA; GIULIA NONATO PINTO; RAMONNA MOURA DE OLIVEIRA; AMOREYRA MOREIRA; MARIA EDUARDA TERTO MARTINS; GABRIEL NOGUEIRA SANTOS; ANA GABRIELA SARZO CHIPANA; ALEXAINY MIRYAN FARIAS TORRES.</t>
  </si>
  <si>
    <t>AMANDA REIS DOS SANTOS OLIVEIRA</t>
  </si>
  <si>
    <t>Amanda Reis Dos Santos Oliveira</t>
  </si>
  <si>
    <t>AMANDA</t>
  </si>
  <si>
    <t>Amanda</t>
  </si>
  <si>
    <t>amandinhareis_1@hotmail.com</t>
  </si>
  <si>
    <t>https://yz2spukd8h-jbrk7pf7uvw.s3.amazonaws.com/2024/06/J044SZ0/ZB/GrF9Mi9Fk5UekVD9MHO7oBTCrg8VSIzc%3D.jpg</t>
  </si>
  <si>
    <t>29 anos, 0 meses, 20 dias</t>
  </si>
  <si>
    <t>Juliana/Tatiana/Melina</t>
  </si>
  <si>
    <t>Nossa Senhora do Ó</t>
  </si>
  <si>
    <t>02925-160</t>
  </si>
  <si>
    <t>Rua Antonieta Leitão</t>
  </si>
  <si>
    <t>171</t>
  </si>
  <si>
    <t>433475432</t>
  </si>
  <si>
    <t>(11) 96364-9278</t>
  </si>
  <si>
    <t>Privado</t>
  </si>
  <si>
    <t>https://www.instagram.com/axmands/</t>
  </si>
  <si>
    <t xml:space="preserve">não </t>
  </si>
  <si>
    <t>23853089948</t>
  </si>
  <si>
    <t>BIBLIOTECA AFONSO SCHMIDT</t>
  </si>
  <si>
    <t>BIBLIOTECA THALES CASTANHO DE ANDRADE</t>
  </si>
  <si>
    <t>nasci da barriga de uma mulher guarulhense que antes dela veio da barriga da mulher firme das secas, em contraste se entrelaçou com meu pai e sua familia nascidos na doçura de minas gerais.  guarulhos foi meu lar até eu me mudar para capital, onde resido até hoje. minha mãe diz que quando criança, eu era muito quieta mas vivia dançando, foi assim que a arte apareceu pra mim, sua primeira forma..</t>
  </si>
  <si>
    <t>sou uma adulta de 20 anos sinto meus pés no chão. as vezes acompanhada, as vezes isolada, engolida facilmente pela melancolia da cidade, trabalho dentro de casa mas as ruas me chamam para lhes fazer companhia. a procura de perder meus dias de sol trabalhando presencialmente, dou espaço para a arte preencher meus dias, em conjunto com meus amigos, seja pintando ou escrevendo.</t>
  </si>
  <si>
    <t>nessa vida passageira, quero deixar rastros de alegria e tranquilidade, permitir ao máximo a existencia do universo que as pessoas carregam dentro delas. aprender com meus irmãos e cuidar do ambiente que nos cerca. parafraseando falamansa: "pro vento que traz sofrimento que sopre pra outro lugar, pro vento que traz amor, não vejo a hora de você chegar".</t>
  </si>
  <si>
    <t>451.600.448-84</t>
  </si>
  <si>
    <t>Carlos Felipe Freitas Costa</t>
  </si>
  <si>
    <t>carlosfelipefreitas9@gmail.com</t>
  </si>
  <si>
    <t>https://yz2spukd8h-jbrk7pf7uvw.s3.amazonaws.com/2024/06/KDaIA6xL0T28ReMR3nDN%2BoCX7uTDYDOE0QOGETHHVas%3D.jpeg</t>
  </si>
  <si>
    <t>23 anos, 1 meses, 0 dias</t>
  </si>
  <si>
    <t>nenhuma   formacao</t>
  </si>
  <si>
    <t>União de Vila Nova</t>
  </si>
  <si>
    <t>08072-160</t>
  </si>
  <si>
    <t>Rua Rio Corumbataí</t>
  </si>
  <si>
    <t>111</t>
  </si>
  <si>
    <t>39016556-6</t>
  </si>
  <si>
    <t>(11) 95894-3403</t>
  </si>
  <si>
    <t>20070623729</t>
  </si>
  <si>
    <t>TEATRO MUNICIPAL ARTHUR AZEVEDO</t>
  </si>
  <si>
    <t>Carolina</t>
  </si>
  <si>
    <t>https://youtu.be/4vz3tGBwb9M?si=jG5KXPHuTvpLenBr</t>
  </si>
  <si>
    <t>512.332.778-98</t>
  </si>
  <si>
    <t>Railton Fernandes Batista</t>
  </si>
  <si>
    <t>TOM</t>
  </si>
  <si>
    <t>Tom</t>
  </si>
  <si>
    <t>missoesnaopara2019@gmail.com</t>
  </si>
  <si>
    <t>https://yz2spukd8h-jbrk7pf7uvw.s3.amazonaws.com/2024/04/2hYClDOPCaLLaGDdR8VLWlzYZI%2BGkuIvTPo9dAWTBaY%3D.jpg</t>
  </si>
  <si>
    <t>27 anos, 9 meses, 2 dias</t>
  </si>
  <si>
    <t>Jardim dos Francos</t>
  </si>
  <si>
    <t>02874-140</t>
  </si>
  <si>
    <t>casa dos fundos</t>
  </si>
  <si>
    <t>Rua Agenor Alves Meira</t>
  </si>
  <si>
    <t>36</t>
  </si>
  <si>
    <t>65613456</t>
  </si>
  <si>
    <t>(11) 99266-1110</t>
  </si>
  <si>
    <t>MISSOESNAOPARA2019@GMAIL.COM</t>
  </si>
  <si>
    <t>https://www.instagram.com</t>
  </si>
  <si>
    <t>011165954</t>
  </si>
  <si>
    <t>Natural de Bom Sucesso, Minas Gerais, e aos 27 anos de idade. Sou um jovem negro do interior de Minas Gerais, que busca por profissionalizar em educador, mentor social para atender uma demanda de meu território e das demais localidades em vulnerabilidade social. Meu objetivo pessoal e profissional se alinham na construção de caminhos sustentáveis para que pessoas da minha quebrada -das que conheço e/ou um dia conhecerei,- tenham oportunidade de dignidade, acesso às informações e conhecimentos, e consigam, dessa forma, transformar suas realidade e contribuam para o desenvolvimento local e regional. A Cultura é uma porta incrível pra este novo e quero assim fazer parte.</t>
  </si>
  <si>
    <t>Com grande experiência na área de voluntariado em mais de 10 Estados brasileiros, tenho dedicado a serviços de recreação e limpeza nos últimos anos. Atualmente estou na busca de recolocação profissional alinhado com meu plano de carreira. Gestão Empresarial e DCMT - Desenvolvimento de competência para o marcado de trabalho (cursando) - Instituto Seja.</t>
  </si>
  <si>
    <t>Tenho o objetivo de crescer na empresa na medida em que percorro uma trilha de desenvolvimento que me possibilite a formação e qualificação gradual, Tenho Interesse em ingressar em cursos correlacionados a Assistência Social, Educador Social, Relações Públicas, Psicologia, etc… Assim como disse para as pessoas ao meu redor, é justo compartilhar com vocês: em ditado popular, é como se fosse um sonho. Quando recebi o edital e incentivos de pessoas me indicando a inscrição, falando que “é a sua cara”, ao ler atentamente as atribuições e produtos que devem ser entregues, fiquei entusiasmado com a oportunidade de existir um cargo que contemple o plano de desenvolvimento profissional.</t>
  </si>
  <si>
    <t>130.006.506-01</t>
  </si>
  <si>
    <t>RAFAELA</t>
  </si>
  <si>
    <t>rafaela.nathaliajb@gmail.com</t>
  </si>
  <si>
    <t>https://yz2spukd8h-jbrk7pf7uvw.s3.amazonaws.com/2024/05/jRePoL84QQiggrYn0WhAMf45B8mNHV2M0SnexaTmVIg%3D.jpg</t>
  </si>
  <si>
    <t>25 anos, 10 meses, 19 dias</t>
  </si>
  <si>
    <t>Vila Bonilha</t>
  </si>
  <si>
    <t>02917-060</t>
  </si>
  <si>
    <t>casa 1</t>
  </si>
  <si>
    <t>PIRITUBA</t>
  </si>
  <si>
    <t>Rua Antônio Armando</t>
  </si>
  <si>
    <t>161</t>
  </si>
  <si>
    <t>399219444</t>
  </si>
  <si>
    <t>(11) 98842-9305</t>
  </si>
  <si>
    <t>RAFAELA.NATHALIAJB@GMAIL.COM</t>
  </si>
  <si>
    <t>SIM - TEC</t>
  </si>
  <si>
    <t>https://www.instagram.com/rafonaaa</t>
  </si>
  <si>
    <t>EVENTOS</t>
  </si>
  <si>
    <t>08078391595</t>
  </si>
  <si>
    <t>CASA DE CULTURA PERUS</t>
  </si>
  <si>
    <t>Venho da zona norte de São Paulo, Pirituba.   Tenho muitos sonhos e planos como todo jovem, acredito que parte deles venho realizando. Saber quem você é e traçar uma rota aonde quer chegar, é o ponto que te faz não desistir nunca dos planos, metas e sonhos. Desde criança eu adorava ver os artistas da minha região e da minha família e foi daí que eu vim, filho da arte.</t>
  </si>
  <si>
    <t>467.372.208-60</t>
  </si>
  <si>
    <t>LEONARDO PEREIRA DOS SANTOS</t>
  </si>
  <si>
    <t>Leonardo Pereira Dos Santos</t>
  </si>
  <si>
    <t>eupereira2001@gmail.com</t>
  </si>
  <si>
    <t>https://yz2spukd8h-jbrk7pf7uvw.s3.amazonaws.com/2024/06/Q2TVmoDYyUkFyPWWUjV32Js9tJTZ6GpdjzEuXkfOrGY%3D.jpg</t>
  </si>
  <si>
    <t>22 anos, 6 meses, 6 dias</t>
  </si>
  <si>
    <t>CURSANDO TÉCNICO DE PRODUÇÃO CULTURAL</t>
  </si>
  <si>
    <t>Vila Jurema</t>
  </si>
  <si>
    <t>08130-160</t>
  </si>
  <si>
    <t>Rua Barão do Alto Muriaé</t>
  </si>
  <si>
    <t>529871312</t>
  </si>
  <si>
    <t>(11) 96031-1498</t>
  </si>
  <si>
    <t xml:space="preserve">EUPEREIRA2001@GMAIL.COM </t>
  </si>
  <si>
    <t>https://www.instagram.com/leupereneleu?igsh=NHV6MzlvMjd0ajRx</t>
  </si>
  <si>
    <t>TEATRO,INDUSTRIAL</t>
  </si>
  <si>
    <t>7111772369</t>
  </si>
  <si>
    <t>CEU TRÊS PONTES</t>
  </si>
  <si>
    <t>Sou nascido em São Mateus e criado em Itaquaquecetuba e Itaim Paulista, lugares que estou em um trânsito constante desde pequeno. Meu primeiro contato com o mundo da arte e da cultura começa na Secretária de Cultura de Itaquaquecetuba com um curso de teatro (2013), onde fiquei por quatro anos estudando. Anos mais tarde entro para o Projeto Espetáculo da Fábrica de Cultura do Itaim Paulista no ano de 2019 e 2020, processos que foram fundamentais na minha trajetória enquanto ator e artista. Então inicio a formação no Curso Técnico em Teatro pela Etec de artes (2022), minha última formação.</t>
  </si>
  <si>
    <t>Atuo diariamente na construção de uma Ocupação Cultural em Itaquaquecetuba, na Ocupação de Moradia da Kaplast, uma fábrica de plástico abandonada. A Ocupação  Cultural vem acontecendo através de uma Pesquisa em artes chamada Embrião eXfera hYbrida que, através da Lei Paulo Gustavo (2023), conta com três produções de audiovisuais. Nesse meio tempo, pude atuar como Assistente de Produção de Set, Direção de Arte, Cenotécnico e em funções administrativas e operacionais. E sigo com estudos que conversam com as linguagens dos três audiovisuais; Teatro, Dança e Cinema.</t>
  </si>
  <si>
    <t>Tenho como objetivo começar uma futura pesquisa que me permita explorar um pouco mais de todas as linguagens que já experimentei até aqui, que me torne um Agente Cultural, um Assistente de Produção Cultural e Entretenimento e um artista capacitado. Como forma de entender isso e tornar uma realidade, pretendo estar estudando pelo Instituto de Teatro Brasileiro com a formação em Práticas Técnicas para as Artes Cênicas e atuando em espaços culturais. Me interessa estabelecer uma relação profunda e técnica com a rotina e o funcionamento de um equipamento cultural para fins artísticos, culturais e sociais.</t>
  </si>
  <si>
    <t>239.115.338-45</t>
  </si>
  <si>
    <t>Gregorya Beatriz Calle Cabrera</t>
  </si>
  <si>
    <t>gregoryabeatriz@gmail.com</t>
  </si>
  <si>
    <t>https://yz2spukd8h-jbrk7pf7uvw.s3.amazonaws.com/2024/06/VJrKwkJ7M3ggXTmnjP3VC1J4WgHJ5EWPJCcu8XA0HmI%3D.jpeg</t>
  </si>
  <si>
    <t>18 anos, 6 meses, 11 dias</t>
  </si>
  <si>
    <t>atualamente  cursando   audio e  visual tv e  cinema</t>
  </si>
  <si>
    <t>Vila Carolina</t>
  </si>
  <si>
    <t>08040-090</t>
  </si>
  <si>
    <t>Rua Guaxinim</t>
  </si>
  <si>
    <t>38</t>
  </si>
  <si>
    <t>636469621</t>
  </si>
  <si>
    <t>(11) 95462-3127</t>
  </si>
  <si>
    <t>https://www.instagram.com/gregoryabcc?igsh=aDBhZjllcnVtN2F0</t>
  </si>
  <si>
    <t>audio e  visual radio tv e  cinema</t>
  </si>
  <si>
    <t>044314733-78</t>
  </si>
  <si>
    <t>Ainda não trabalho</t>
  </si>
  <si>
    <t>CEU PARQUE SÃO CARLOS</t>
  </si>
  <si>
    <t xml:space="preserve">Janaina, Nathalia e Viviane </t>
  </si>
  <si>
    <t>https://youtu.be/SxE88MoGH-A</t>
  </si>
  <si>
    <t>239.858.748-75</t>
  </si>
  <si>
    <t>GILSON DOS SANTOS OLIVEIRA</t>
  </si>
  <si>
    <t>Gilson Dos Santos Oliveira</t>
  </si>
  <si>
    <t>Kaify</t>
  </si>
  <si>
    <t>oliveiragilson167@gmail.com</t>
  </si>
  <si>
    <t>https://yz2spukd8h-jbrk7pf7uvw.s3.amazonaws.com/2024/04/F/FiGrPkO%2Bm4CymUF4zvbGE1Mj4apTcqOd/mK0OWM%2BY%3D.jpg</t>
  </si>
  <si>
    <t>22 anos, 1 meses, 28 dias</t>
  </si>
  <si>
    <t>USANDO NOME SOCIAL DIFERENTE DO DOCUMENTO</t>
  </si>
  <si>
    <t>Jardim Ibirapuera</t>
  </si>
  <si>
    <t>05814-180</t>
  </si>
  <si>
    <t>Rua João Galvão Bueno Trigueirinho</t>
  </si>
  <si>
    <t>10</t>
  </si>
  <si>
    <t>601663032</t>
  </si>
  <si>
    <t>(11) 99248-9006</t>
  </si>
  <si>
    <t>https://www.instagram.com/kaify.cache?igsh=MWdlNGVsNXh5NDdjZQ==</t>
  </si>
  <si>
    <t>16338879370</t>
  </si>
  <si>
    <t>CASA DE CULTURA SANTO AMARO - MANOEL CARDOSO DE MENDONÇA</t>
  </si>
  <si>
    <t>Me chamo Gilson, também conhecido como Kaify. Sou Gay, nascido na região do Guarapiranga, zona sul de São Paulo. Sou apaixonado por moda, arte e cultura, venho com um grande propósito de fazer uma grande diferença principalmente na casa de Cultura do M boi Mirim   ansioso para promover a diversidade afro-brasileira e compartilhar minha criatividade.</t>
  </si>
  <si>
    <t>Atualmente, estou enraizado na comunidade do jardim São Luiz localizado na zona Sul de São Paulo.   Me relaciono com o território através do envolvimento em projetos culturais locais, apoiando eventos e iniciativas que são realizadas em nossa região.     Acredito no poder da cultura para fortalecer os laços comunitários e enriquecer a vida de todos.!</t>
  </si>
  <si>
    <t>Tenho o firme propósito de expandir meus horizontes culturais e aprofundar meu envolvimento na cena artística local e regional.    Por isso, gostaria sinceramente de participar do Programa Jovem Monitor Cultural.    Vejo esta oportunidade como uma porta de entrada para novas experiências, aprendizados e conexões no mundo da arte e da cultura. Estou ansioso para contribuir com minha energia, criatividade e paixão para promover o desenvolvimento cultural em nossa comunidade e além.</t>
  </si>
  <si>
    <t>538.432.228-43</t>
  </si>
  <si>
    <t>Amazilia Da Silva Ferreira</t>
  </si>
  <si>
    <t>silvaamazilia05@gmail.com</t>
  </si>
  <si>
    <t>https://yz2spukd8h-jbrk7pf7uvw.s3.amazonaws.com/2024/06/GygXTrV83GkxhgQUbmmXbKoLcptpxBV8KmRvCGn2o98%3D.jpeg</t>
  </si>
  <si>
    <t>19 anos, 3 meses, 22 dias</t>
  </si>
  <si>
    <t>Jardim Santa Terezinha (Pedreira)</t>
  </si>
  <si>
    <t>04474-160</t>
  </si>
  <si>
    <t>Rua dos Dourados</t>
  </si>
  <si>
    <t>53</t>
  </si>
  <si>
    <t>551465864</t>
  </si>
  <si>
    <t>(11) 94596-9412</t>
  </si>
  <si>
    <t>7751620358</t>
  </si>
  <si>
    <t>BIBLIOTECA PAULO DUARTE</t>
  </si>
  <si>
    <t>Eu nasci na Zona Sul de São Paulo, moro na mesma casinha de tijolinhos laranja. Com a família por perto, nós  juntavamos em comemoração, preenchidas por música e diversão, com cada um mostrando seu talento, tornando os dias mais leves e divertidos.    Quando tinha 6 anos entrei na CCA Casa dos Curumins e lá me envolvi em diversas atividades, sendo musicais, culturais e artísticas que me ajudaram a me tornar a pessoa que sou hoje.    Comecei a estudar percussão bem nova, o que logo virou uma paixão, fui convidada a entrar na banda dos curumins, fui a primeira percussionista, e durante todo o tempo que fiquei fui a única menina na percussão.</t>
  </si>
  <si>
    <t>Assim que me formei na escola corri para realizar os objetivos que criei no meu último ano. Conquistei o principal uma bolsa no Senac, no curso técnico em teatro para me tornar dubladora. Me apaixonei, pelo ambiente com desenhos em cada canto, o cheiro de arte no ar, além dos professores e materiais desafiadoras.     A cada matéria percebi que tinham diversas possibilidades, que poderia seguir por diversas áreas dentro do teatro, e voltar aos palcos foi uma vitória e um reencontro e pretendo continuar estudando teatro.    Além do teatro, fiz parte da organização do Slam Rasta por um período, e adorei, e me levou a pesquisar mais sobre projetos culturais.</t>
  </si>
  <si>
    <t>Pretendo continuar estudando teatro, em uma faculdade. Quero me especializar como atriz e professora. Também tenho o sonho de  fazer licenciatura em história, seguida de uma pós em história da arte e unir minhas paixões.    Gostaria de trabalhar como produtora cultural, desenvolvendo projetos para compartilhar arte com a minha comunidade, provocando reflexões e garantindo acesso a quem não tem. Quero trabalhar com arte e cultura, independente das dificuldades.    Estar em lugares que transpiram arte, que me acolham, e onde eu possa fazer  tentando diferença nas minhas possibilidades.    Sei que talvez seja muita coisa, mas vou me esforçar ao máximo para conseguir estudar e trabalhar com o que amo.</t>
  </si>
  <si>
    <t>549.156.128-21</t>
  </si>
  <si>
    <t>Maria Luiza Froes Silva</t>
  </si>
  <si>
    <t>mariaaluizafroes@gmail.com</t>
  </si>
  <si>
    <t>https://yz2spukd8h-jbrk7pf7uvw.s3.amazonaws.com/2024/06/fCwjs7TO1T1A7KzTARV%2BK5ADSkS0GTv8ujmpQ90GZ8s%3D.png</t>
  </si>
  <si>
    <t>19 anos, 1 meses, 17 dias</t>
  </si>
  <si>
    <t>Jardim Rodolfo Pirani</t>
  </si>
  <si>
    <t>08310-490</t>
  </si>
  <si>
    <t>Casa 6</t>
  </si>
  <si>
    <t>Rua Quaresma Delgado</t>
  </si>
  <si>
    <t>374</t>
  </si>
  <si>
    <t>566997289</t>
  </si>
  <si>
    <t>(11) 94737-4685</t>
  </si>
  <si>
    <t>MARIAALUIZAFROES@GMAIL.COM</t>
  </si>
  <si>
    <t>https://youtube.com/@mariaaluizafroes?si=6rYiqsqjDxXaMqTT</t>
  </si>
  <si>
    <t>132637 10817</t>
  </si>
  <si>
    <t>ARQUIVO HISTÓRICO DE SÃO PAULO (SÉ)</t>
  </si>
  <si>
    <t>JANAINA, JANAINA SANTOS, CLEÓ DA SILVA E PAULA FELICE</t>
  </si>
  <si>
    <t>De onde eu vim? Pergunta um tanto quanto interessante, se eu olhar desde o começo de onde eu vim, poderia dizer que vim de raízes nordestinas, indígenas e africanas, peguei partes dessas raízes e hoje sou em, atualmente resido em São Mateus, mas sou natural de Diadema. Vim de cada peça de espaço onde me criei. Vim de lutas dolorosas dos meu antepassados, vim através de sonhos de um povo que sonhava com a liberdade de seu povo e de sua cultura.</t>
  </si>
  <si>
    <t>Estou atualmente, em busca de realizar os meus sonhos, enfrentando o medo de tentar e não dar certo, estou tentando me encontrar não somente através dos meu sonhos mas do que eu realmente quero ser e me tornar, estou em busca de quebrar esse medo e incerteza, estou em busca de mim e dos meus sonhos. Onde estou atualmente não é onde eu imaginava que estaria de fato mas acredito que às coisas acontecem aos poucos, a vida é uma escada o pouco de degraus que subo já é uma vitória.</t>
  </si>
  <si>
    <t>Vou para o mundo artístico, vou me tornar uma diretora e atriz de cimena, mas também quero fazer uma faculdade além das artes, pois gosto de tantas coisas, quero ir rumo a melhoria de vida, minha e dos meu familiares. Vou fazer o meu melhor para que isso não fiquei só no meu imaginar e aconteça de fato. Vou conhecer outros países, cultural, pessoas através do meu trabalho.</t>
  </si>
  <si>
    <t>390.890.488-98</t>
  </si>
  <si>
    <t>Poliana Cinto</t>
  </si>
  <si>
    <t>cintopolianam@gmail.com</t>
  </si>
  <si>
    <t>https://yz2spukd8h-jbrk7pf7uvw.s3.amazonaws.com/2024/06/X6MJamFTOQrRitvM4FQ16uj6C71eEGD4oqgKjcLF8nw%3D.jpg</t>
  </si>
  <si>
    <t>26 anos, 3 meses, 22 dias</t>
  </si>
  <si>
    <t>MULHER CIS</t>
  </si>
  <si>
    <t>Jardim Brasília (Zona Leste)</t>
  </si>
  <si>
    <t>03585-120</t>
  </si>
  <si>
    <t>CIDADE LÍDER</t>
  </si>
  <si>
    <t>Rua Antônio Ramalho</t>
  </si>
  <si>
    <t>159</t>
  </si>
  <si>
    <t>66.890.697-9</t>
  </si>
  <si>
    <t>(11) 95467-0347</t>
  </si>
  <si>
    <t>CONTATO.POLLI.SOM@GMAIL.COM</t>
  </si>
  <si>
    <t>https://www.instagram.com/polli.som?igsh=MWJ6bHZucGVtMHRrdg==</t>
  </si>
  <si>
    <t>NAO</t>
  </si>
  <si>
    <t>6573253841</t>
  </si>
  <si>
    <t>CENTRO CULTURAL DA VILA FORMOSA</t>
  </si>
  <si>
    <t>GABRIELA, NATHÁLIA, CLAUDIA E JOÃO</t>
  </si>
  <si>
    <t>Me chamo Poliana (Pólli), tenho 26 anos, sou cantora, compositora, poetisa e multi-instrumentista autodidata. Nascida em Assis - SP mas criada no interior do Mato Grosso.  Cresci no meio musical graças ao estabelecimento que meu pai trabalhava, que recebia artistas locais e sempre fui influenciada a cantar pela minha família.  A primeira vez que subi em um palco foi aos 2 anos de idade. Quando maior, comecei a me apresentar em concursos de canto da região onde morava, chegando à conquistar boas colocações e premiações em muitas delas, mas por se tratar de uma região do centro-oeste, não encontrava ali um espaço para cantar músicas que saíssem do estilo mais consumido pela região: o sertanejo.</t>
  </si>
  <si>
    <t>Resolvi aos 20 anos me mudar pra São Paulo sozinha e logo conheci a arte de rua que me sustenta aqui por todos esses anos.    Apesar de todos os desafios em ser um artista de rua, foi graças a ela que conheci artistas incríveis que me proporcionaram algumas boas parcerias. Além do meu trabalho solo, em que lancei minha primeira música autoral recentemente como um presente do produtor do estúdio, também sou integrante de uma banda formada por músicos do metrô onde misturamos RAP com ritmos característicos do Brasil e já chegamos a nos apresentar no Sesc 24 de maio graças à um concurso de artistas de rua em que conquistamos o 3° lugar.</t>
  </si>
  <si>
    <t>Com meu lançamento, tenho tentado ser mais presente nas redes sociais, o que ainda é um desafio pra mim, que me cobro muito como artista.   Venho buscando me aperfeiçoar cada vez mais para entregar bons conteúdos nos palcos e nas redes, que hoje também têm capacidade de mudar a vida de um artista.   Não acredito em milagres e nem que serei "descoberta" por alguém que invista na minha carreira, mas acredito que boas relações são sim capazes de realizar sonhos, e que conhecimento nunca é demais, e é isso que venho buscando: aprimorar meus conhecimentos na música, na arte, no gerenciamento da minha carreira, no meu desempenho de palco e em tudo que envolva levar meu sonho adiante!</t>
  </si>
  <si>
    <t>059.302.831-76</t>
  </si>
  <si>
    <t>Beatriz Domingues Gomes De Oliveira</t>
  </si>
  <si>
    <t>bea domingues.go@outlook.com</t>
  </si>
  <si>
    <t>https://yz2spukd8h-jbrk7pf7uvw.s3.amazonaws.com/2024/05/wWlu5/KFZ3JPi2b6OTSDc3bn9Pt2fIDdn8qci4VtX6g%3D.jpg</t>
  </si>
  <si>
    <t>23 anos, 10 meses, 14 dias</t>
  </si>
  <si>
    <t>COHAB Juscelino Kubitscheck</t>
  </si>
  <si>
    <t>08465-110</t>
  </si>
  <si>
    <t>42a</t>
  </si>
  <si>
    <t>Rua Fernando Augsburgo</t>
  </si>
  <si>
    <t>(11) 97520-2776</t>
  </si>
  <si>
    <t>adminitracao</t>
  </si>
  <si>
    <t>060738701-75</t>
  </si>
  <si>
    <t>CEU ÁGUA AZUL</t>
  </si>
  <si>
    <t>Olá!   Sou a Beatriz Domingues, sempre morei na região da extrema zona leste, entre Vila Yolanda, Guaianases e COHAB Juscelino kubitscheck. Cresci frequentando O CFCCT - Centro de Formação Cultural Cidade Tiradentes, no qual fiz parte do Slam Ct, e alguns projetos de artes visuais. Fiz bastante teatro e o âmbito cultural do meu bairro sempre me cativou, sempre tive interesse de trazer mais, de estudar e fazer mais por todos que residem ali.</t>
  </si>
  <si>
    <t>Após começar a trabalhar, frequentei diversos empregos freelancers em eventos grandes e pequenos. Me identifiquei com produção de eventos mas ainda não estou na área. Estou há quase 3 anos como garçonete fazendo diversos trabalhos e estudando para voltar para o âmbito cultural. Esses anos como garçonete puderam me fazer aperfeiçoar alguns skills como proatividade, eficiência, resolução de problemas e conflitos e criatividade para montar projetos, uma vez que sempre fico à frente de operações em eventos.</t>
  </si>
  <si>
    <t>Minha visão está em prosseguir com eventos porém adentrar na área de produção, ver de perto como funcionam os bastidores e fazer as coisas acontecerem, principalmente para o distrito que eu resido. Conheci excelentes profissionais e acredito que tanto minha experiência quanto o programa jovem monitor cultural podem ser percursores para esse objetivo.</t>
  </si>
  <si>
    <t>32716773</t>
  </si>
  <si>
    <t>452.141.288-27</t>
  </si>
  <si>
    <t>Fernanda Oliveira Lima</t>
  </si>
  <si>
    <t>FERNANDA</t>
  </si>
  <si>
    <t>Fernanda</t>
  </si>
  <si>
    <t>fo1703902@gmail.com</t>
  </si>
  <si>
    <t>https://yz2spukd8h-jbrk7pf7uvw.s3.amazonaws.com/2024/04/X/6Hqb3oKZHRDwVfJE205NtiksSxvPX4AXbc1LMP%2BjA%3D.jpg</t>
  </si>
  <si>
    <t>18 anos, 9 meses, 14 dias</t>
  </si>
  <si>
    <t>Vila Ayrosa</t>
  </si>
  <si>
    <t>02288-022</t>
  </si>
  <si>
    <t>Viela</t>
  </si>
  <si>
    <t>TREMEMBÉ</t>
  </si>
  <si>
    <t>Rua João Frederico Agrícola</t>
  </si>
  <si>
    <t>35</t>
  </si>
  <si>
    <t>58845641X</t>
  </si>
  <si>
    <t>(11) 96348-7223</t>
  </si>
  <si>
    <t>f1170392@gmail.com</t>
  </si>
  <si>
    <t>11-963487223</t>
  </si>
  <si>
    <t>https://www.instagram.com/itnandx?igsh=amE3cnloeXJjemM2</t>
  </si>
  <si>
    <t xml:space="preserve">aprendizagem </t>
  </si>
  <si>
    <t>066081219-38</t>
  </si>
  <si>
    <t>JAÇANÃ / TREMEMBÉ (JAÇANÃ, TREMEMBÉ)</t>
  </si>
  <si>
    <t>CEU JAÇANÃ</t>
  </si>
  <si>
    <t>BIBLIOTECA SYLVIA ORTHOF</t>
  </si>
  <si>
    <t>Olá, eu vim de baixo, do pouco. Fui acostumada a viver com o pouco que tínhamos com minha mãe trabalhando de cozinheira em restaurante, e meu pai pedreiro! Aprendi desde nova que tenho que correr atrás de tudo se quiser conseguir algo  na vida. Eu e minha família estamos em São Paulo a mais 13 anos, vivendo sempre com pouco mas, sempre com muito carinho, respeito e união.</t>
  </si>
  <si>
    <t>Estou atualmente parada no tempo decidindo pra onde eu vou, o que vou cursar, porque nada é mais importante do que colocar o meu sonho de ser uma jornalista esportiva em prática, estou insegura com essa vida de adulta, porque estou patada sem estudar, somente existindo, queria ter a oportunidade de conseguir ajudar a minha família, como eles sempre me ajudaram e me apoiaram.</t>
  </si>
  <si>
    <t>Pretendo conseguir as melhores coisas pra minha família, construir meu futuro com meu diploma de jornalismo, conquistar minha estabilidade e independência financeira! Conseguir um bom emprego enquanto estudo está nos meus planos de estudante, mas como ainda não aconteceu, eles seguem no papel. Mas vou lutar para que isso realmente aconteça, ficar estagnada não é uma opção.</t>
  </si>
  <si>
    <t>539.382.468-80</t>
  </si>
  <si>
    <t>Karoline Mirelle Custódio Silva</t>
  </si>
  <si>
    <t>KAROL CUST</t>
  </si>
  <si>
    <t>Karol Cust</t>
  </si>
  <si>
    <t>karolcust23@gmail.com</t>
  </si>
  <si>
    <t>https://yz2spukd8h-jbrk7pf7uvw.s3.amazonaws.com/2024/06/JXsXb9RCnx3j6VYTGt9J5Tm38xBxnz4O%2Bp3t4fxbcyY%3D.jpg</t>
  </si>
  <si>
    <t>28 anos, 9 meses, 10 dias</t>
  </si>
  <si>
    <t>Vila Zat</t>
  </si>
  <si>
    <t>02977-080</t>
  </si>
  <si>
    <t>Apto 35 Torre B</t>
  </si>
  <si>
    <t>Rua Porto de Palos</t>
  </si>
  <si>
    <t>31</t>
  </si>
  <si>
    <t>421473083</t>
  </si>
  <si>
    <t>(11) 98463-2401</t>
  </si>
  <si>
    <t>https://www.instagram.com/karol_cust/</t>
  </si>
  <si>
    <t xml:space="preserve">tec - informatica </t>
  </si>
  <si>
    <t>055369430-81</t>
  </si>
  <si>
    <t>https://drive.google.com/file/d/16cAI2z_LOZAlYx2rl466q_3_CbwSmNHQ/view</t>
  </si>
  <si>
    <t>446.246.728-01</t>
  </si>
  <si>
    <t>Wesley Barbosa Silva</t>
  </si>
  <si>
    <t>barbosawesley805@gmail.com</t>
  </si>
  <si>
    <t>https://yz2spukd8h-jbrk7pf7uvw.s3.amazonaws.com/2024/04/OOBQ%2Bd%2BmGayRuhv%2B1w4/9y6TKGw4SsTPiPGY3JL1tvs%3D.jpg</t>
  </si>
  <si>
    <t>27 anos, 4 meses, 17 dias</t>
  </si>
  <si>
    <t>Cidade São Mateus</t>
  </si>
  <si>
    <t>03960-010</t>
  </si>
  <si>
    <t>Rua Archângelo Archina</t>
  </si>
  <si>
    <t>495</t>
  </si>
  <si>
    <t>377116427</t>
  </si>
  <si>
    <t>(11) 98227-7371</t>
  </si>
  <si>
    <t>BARBOSAWESLEY805@GMAIL.COM</t>
  </si>
  <si>
    <t>https://www.linkedin.com/in/wesbarbosa/</t>
  </si>
  <si>
    <t>20415813195</t>
  </si>
  <si>
    <t xml:space="preserve">JANAINA, LEANDRO, MADELINE CECIM, ISAAC BRAGA E MARIA DE LURDES DA SILVA FERREIRA </t>
  </si>
  <si>
    <t>Sou o Wesley, nasci em Santo André, vivi 21 anos na Cidade Tiradentes e sempre em contato com a cena cultural de lá.   Entre o ensino fundamental e o ensino médio participando de oficinas teatrais, apresentações de teatro e dança, inclusive nas escolas em que estudei. Já participei de teatro Vocacional no CEU Agua Azul e fiz uma mini tour de apresentações do musical "Grease - Nos Tempos da Brilhantina"  pelos CEU's da ZL durante o ensino fundamental.   Antes e durante a pandemia participei de alguns coletivos e projetos que me ajudaram a entender melhor o que de fato preciso para concretizar aquilo que desejo da vida.</t>
  </si>
  <si>
    <t>Moro hoje em São Mateus já faz uns 5 anos, estou desempregado, mas ainda na esperança de continuar nessa caminhada cultural porque é isso que me traz o anseio pela vida, sem contar que já aprendi muito com as experiências que tive ate o momento e sei que conhecimento é o que não vai faltar nessa jornada. Quero sempre estar trocando com quem cruzar meu caminho.</t>
  </si>
  <si>
    <t>Apesar dos desafios, tenho muita vontade de aprender cada vez mais, quem sabe me tornando um educador, um artista na frente e atrás dos palcos ou quem sabe os dois, já que esse é o caminho que venho trilhando desde que me conheço por gente.   Sei que o PJMC é o caminho que preciso para me dar sabedoria e oportunidades de conhecer como faz arte de verdade e como trazer meus desejos a realização.</t>
  </si>
  <si>
    <t>447.597.768-18</t>
  </si>
  <si>
    <t>SAMARA VIEIRA DE OLIVEIRA</t>
  </si>
  <si>
    <t>Samara Vieira De Oliveira</t>
  </si>
  <si>
    <t>Sam Aleha Vieira De Oliveira</t>
  </si>
  <si>
    <t>samalehacontato@gmail.com</t>
  </si>
  <si>
    <t>https://yz2spukd8h-jbrk7pf7uvw.s3.amazonaws.com/2024/06/jUUeJN5tKaYBq/j1AkzhppaIUAsjzo3EsyBu6iRHm5s%3D.jpg</t>
  </si>
  <si>
    <t>20 anos, 1 meses, 21 dias</t>
  </si>
  <si>
    <t>Jardim Colonial</t>
  </si>
  <si>
    <t>04821-040</t>
  </si>
  <si>
    <t>Outra</t>
  </si>
  <si>
    <t>Rua Castro Menezes</t>
  </si>
  <si>
    <t>177</t>
  </si>
  <si>
    <t>53131151-X</t>
  </si>
  <si>
    <t>(11) 94454-6314</t>
  </si>
  <si>
    <t>https://www.instagram.com/_star.sam?igsh=MTAyNmZmZGtoZTloaA==</t>
  </si>
  <si>
    <t>23732083205</t>
  </si>
  <si>
    <t>Procurando o primeiro trabalho</t>
  </si>
  <si>
    <t>https://docs.google.com/document/d/1fDeodxRo0l438Zh4xYxnlgQxHmOxWRxLIksLqQT5S10/edit?usp=drivesdk                                                                                                                                                                              Oi, oi! Aqui deixo o link da minha primeira carta 'pra vocês da equipe JMC e agradeço desde já sua atenção.</t>
  </si>
  <si>
    <t>https://docs.google.com/document/d/10PET5u3BPpv4_dKXgO6TFJ6vieHrINovflJWv8d1zm8/edit?usp=drivesdk                                                                                                                                                                              Oi, oi! Aqui deixo o link da minha segunda carta 'pra vocês da equipe JMC e agradeço desde já sua atenção.</t>
  </si>
  <si>
    <t>https://docs.google.com/document/d/1V2dzyU9I1Wxl4oEfD4FJyhFx1Zf9AiM1xjwDwkQvMrM/edit?usp=drivesdk                                                                                                                                                                              Oi, oi! Aqui deixo o link da minha última carta 'pra vocês da equipe JMC e agradeço desde já sua atenção.</t>
  </si>
  <si>
    <t>549.712.118-70</t>
  </si>
  <si>
    <t>Ronald Nascimento Gomes</t>
  </si>
  <si>
    <t>ronaldgomesnascimento@gmail.com</t>
  </si>
  <si>
    <t>https://yz2spukd8h-jbrk7pf7uvw.s3.amazonaws.com/2024/04/vHlOQgEkT7y9L2Ioy0cqAGHsl6LmcSKTOJzSPiosG%2BQ%3D.jpg</t>
  </si>
  <si>
    <t>19 anos, 7 meses, 22 dias</t>
  </si>
  <si>
    <t>Paraisópolis</t>
  </si>
  <si>
    <t>05663-010</t>
  </si>
  <si>
    <t>viela são jorge, casa 1</t>
  </si>
  <si>
    <t>VILA ANDRADE</t>
  </si>
  <si>
    <t>Rua Herbert Spencer</t>
  </si>
  <si>
    <t>530</t>
  </si>
  <si>
    <t>528517132</t>
  </si>
  <si>
    <t>(11) 97021-0618</t>
  </si>
  <si>
    <t>https://www.instagram.com/ronalld_gomezz/?igsh=aXg1cGhpcmloeDY1</t>
  </si>
  <si>
    <t>16690155022</t>
  </si>
  <si>
    <t>Nasci no Piauí (Piripiri), mas duas semanas depois fui morar no Rio de Janeiro, fiquei uma boa parte da minha fase bebê/criança, e depois vim morar em São Paulo (Paraisópolis),  com 8 anos, e estou morando aqui até hoje recente, conheço uma boa parte dos três estados que já convivi, tanto cultural, costumes, gírias e etc… e por incrível que pareça aqui na cidade grande (sp) tem muito “a viver”, conforme dos lugares, lazeres, cursos, empresas, oportunidades de emprego e por ai em diante.</t>
  </si>
  <si>
    <t>Cheguei em São Paulo em 2013 e nisso moro em Paraisópolis a mais de 10 anos, com isso, conheço bem onde convivo e sou agradecido por morar, numa comunidade da paz de histórias e de bastante cultura, e a segunda maior favela de São Paulo. E, foi nesse lugar que acabei descobrindo os hobbies que eu tenho e gosto como : xadrez, dança, música, esportes, desenho e poesia. Os cursos que tem na comunidade são bem interessantes para crianças e jovens que queiram seguir sua vida com mais possibilidades. E foi pelos cursos que fiz que acabei conhecendo lugares, museus, eventos, parques incríveis em SP.</t>
  </si>
  <si>
    <t>Quero seguir minha vida na arte da cultura, buscando conhecer mais, daquilo que gosto e desejo, quero passar por vários processos na vida, como saber isso e aquilo, o errado e o certo e seguir em frente. Gosto bastante de me relacionar com pessoas, de fazer elas rirem, criando vínculos na vida, assim por diante. E com base nisso eu possa me tornar uma pessoa cada vez melhor para realizar meu sonho.</t>
  </si>
  <si>
    <t>574.195.348-45</t>
  </si>
  <si>
    <t>Cássio José Gonçalves Araújo</t>
  </si>
  <si>
    <t>cassio.jose.ismart@gmail.com</t>
  </si>
  <si>
    <t>https://yz2spukd8h-jbrk7pf7uvw.s3.amazonaws.com/2024/06/UKpKT6aW27o7OPXlmIvGDdDBvFGOXhPRqV%2BdZlQqWl8%3D.jpeg</t>
  </si>
  <si>
    <t>20 anos, 3 meses, 26 dias</t>
  </si>
  <si>
    <t>Vila Gilda</t>
  </si>
  <si>
    <t>04953-040</t>
  </si>
  <si>
    <t>Rua Engenheiro Milton de Alvarenga Peixoto</t>
  </si>
  <si>
    <t>209</t>
  </si>
  <si>
    <t>391564432</t>
  </si>
  <si>
    <t>(11) 98657-0235</t>
  </si>
  <si>
    <t>https://www.instagram.com/cassio_z/</t>
  </si>
  <si>
    <t>BACHARELADO EM ENGENHARIA ELETRONICA</t>
  </si>
  <si>
    <t>082047003-18</t>
  </si>
  <si>
    <t>https://youtu.be/SfHRYU87zrY</t>
  </si>
  <si>
    <t>475.442.538-30</t>
  </si>
  <si>
    <t>Naiury Silva Santos De Araujo</t>
  </si>
  <si>
    <t>NAIURY ARAUJO</t>
  </si>
  <si>
    <t>Naiury Araujo</t>
  </si>
  <si>
    <t>naiurys1@gmail.com</t>
  </si>
  <si>
    <t>https://yz2spukd8h-jbrk7pf7uvw.s3.amazonaws.com/2024/04/xG2%2BOPW8bTpI5I3jwNNfgUUZc/NEXW8bG61yR9OWfH0%3D.jpg</t>
  </si>
  <si>
    <t>22 anos, 9 meses, 22 dias</t>
  </si>
  <si>
    <t>Jardim Santa Lucrécia</t>
  </si>
  <si>
    <t>05185-440</t>
  </si>
  <si>
    <t>casa 8</t>
  </si>
  <si>
    <t>Rua Acaricuara</t>
  </si>
  <si>
    <t>390</t>
  </si>
  <si>
    <t>377901702</t>
  </si>
  <si>
    <t>(11) 98190-5594</t>
  </si>
  <si>
    <t>NAIURYS1@GMAIL.COM</t>
  </si>
  <si>
    <t>https://www.instagram.com/naiuryarauj/</t>
  </si>
  <si>
    <t>CENOGRAFIA E FIGURINO</t>
  </si>
  <si>
    <t>23886364905</t>
  </si>
  <si>
    <t>CEU PÊRA MARMELO</t>
  </si>
  <si>
    <t>BIBLIOTECA PADRE JOSÉ DE ANCHIETA</t>
  </si>
  <si>
    <t>CEU PERUS</t>
  </si>
  <si>
    <t>https://drive.google.com/file/d/1jBtqy67alFSBwJDYcY_IZdtF5qD0lQuN/view?usp=sharing</t>
  </si>
  <si>
    <t>443.067.518-05</t>
  </si>
  <si>
    <t>KALINE SANTOS DA SILVA</t>
  </si>
  <si>
    <t>Kaline Santos Da SIlva</t>
  </si>
  <si>
    <t>contatokalinarte20@gmail.com</t>
  </si>
  <si>
    <t>https://yz2spukd8h-jbrk7pf7uvw.s3.amazonaws.com/2024/04//QVVVaMHVcLKjrnTuDuCbrpsSdleyc2R3h26dKCkcWU%3D.jpeg</t>
  </si>
  <si>
    <t>23 anos, 8 meses, 22 dias</t>
  </si>
  <si>
    <t>MULTIMIDEAS PARA  DANÇA,SAO PAULO ESCOLA DE  DANÇA</t>
  </si>
  <si>
    <t>Amarela</t>
  </si>
  <si>
    <t>Vila Carmosina</t>
  </si>
  <si>
    <t>08295-005</t>
  </si>
  <si>
    <t>Prefiro não declarar</t>
  </si>
  <si>
    <t>Avenida Miguel Ignácio Curi</t>
  </si>
  <si>
    <t>376273008</t>
  </si>
  <si>
    <t>(11) 93951-1942</t>
  </si>
  <si>
    <t>CONTATOKALINARTE20@GMAIL.COM</t>
  </si>
  <si>
    <t>https://www.instagram.com/petit_kali?igsh=bGMxcWlkaTZiZ3Jh</t>
  </si>
  <si>
    <t>TEATRO</t>
  </si>
  <si>
    <t>4913818082</t>
  </si>
  <si>
    <t>CAROLINA, RAQUEL, MIRIAN E CAROLINE PAZINI</t>
  </si>
  <si>
    <t>Kali Silva, filhe de mãe e pai nordestinos, mora na região leste de São Paulo e começou a estudar arte em 2018 a entendendo também de forma profissional. Desde então se dedica a entender áreas acerca das artes do corpo em geral e atualmente audiovisual.     Recentemente (março 2024) passou a integrar o elenco do Grupo Corpo Molde, e anteriormente sua última investida tem sido também a área técnica de iluminação e audiovisual com o curso de luz com Tomate Saraiva e de Multimídia para dança com a São Paulo Escola de Dança desde 2022.</t>
  </si>
  <si>
    <t>Com isso, começa a integrar a Sobreceus, Cia de teatro - com o recém projeto “Arte como liberdade”, contemplado pela 20° edição do Programa de Valorização das Iniciativas Culturais 1.    Sua última apresentação de dança foi a peça “Cecília: para não deixar de dizer” contemplada pelo Programa de Valorização das Iniciativas Culturais 1 de 2022, com o Coletivo Corpo Solo da qual é Intérprete- criadora e iluminadora.  Em outros trabalhos mais recentes se destaca como atriz, cenógrafa e iluminadora na peça  "LÁVOUEU" da Cia Entrecaos em 2022, participa de processos criativos em circo, sob orientação de Leandro Hoehne e Marcius Vinicius na Fábrica de Cultura Parque Belém.</t>
  </si>
  <si>
    <t>Foi intérprete criadora nas apresentações dos ateliês de dança contemporânea, danças urbanas, coral e teatro resultando nos espetáculos ''Terra'', ''Memórias são como portais" e "Maneiras para adiar o fim do mundo'' (2018-2019). Em 2019 também criou a Qbradak com o intuito de difundir a reciclagem de peças de roupa a partir da customização delas com pintura, com a qual trabalhou mais tarde como designer gráfico para Cia.mes.     Minha pretensão com o Programa é me auto desenvolver enquanto artista, na formação teórico-prática que ele tem a oferecer e para ajudar na manutenção e permanência de espaços artísticos que já foram minha porta de entrada para estudar e entender a arte como profissão.</t>
  </si>
  <si>
    <t>480.868.578-75</t>
  </si>
  <si>
    <t>Aline Cristina Silva Antonio</t>
  </si>
  <si>
    <t>contatoalinecristina2030@gmail.com</t>
  </si>
  <si>
    <t>https://yz2spukd8h-jbrk7pf7uvw.s3.amazonaws.com/2024/06/2O4/E0JbYVXjp9/klBJadGsYbxRzZZ7edZzAsvphEQo%3D.jpg</t>
  </si>
  <si>
    <t>24 anos, 1 meses, 26 dias</t>
  </si>
  <si>
    <t>Cidade Popular</t>
  </si>
  <si>
    <t>08460-520</t>
  </si>
  <si>
    <t>torre 10 apto 22</t>
  </si>
  <si>
    <t>GUAIANASES</t>
  </si>
  <si>
    <t>Rua Raposo da Fonseca</t>
  </si>
  <si>
    <t>(11) 98521-7872</t>
  </si>
  <si>
    <t>tecnica</t>
  </si>
  <si>
    <t>Teatro</t>
  </si>
  <si>
    <t>GUAIANASES (LAJEADO, GUAIANASES)</t>
  </si>
  <si>
    <t>Gabriella Beira, Kelly, Valdirene</t>
  </si>
  <si>
    <t>Prezados,  Sou Aline Cristina e resido em Guaianases/Zona Leste. Como uma jovem que cresceu imersa no mundo das artes tenho o prazer de compartilhar um pouco sobre minha jornada até aqui e minhas aspirações para o futuro. Cresci e fui educada por uma mulher guerreira chamada Eliana a qual sinto orgulho de ter sido filha nessa existência, pois com o incentivo dela desenvolvi uma paixão por diversas formas de expressão artística. Ao longo dos anos, participei de projetos e eventos culturais visam a paz mundial que me proporcionaram experiências enriquecedoras e que transformaram minha vida. E como skatista, descobri  na liberdade das pistas uma forma de expressar minha criatividade.</t>
  </si>
  <si>
    <t>Acredito firmemente na importância de fortalecer os laços entre os indivíduos e as manifestações culturais de nossa região. Como atriz, encontrei na arte dramática uma maneira de explorar a complexidade humana e provocar reflexões sobre a vida e a sociedade. Além disso, minha jornada como trancista é uma oportunidade de celebrar a beleza e a diversidade dos cabelos afro e também de me conectar com a história e a cultura do povo negro. Mantenho uma forte conexão com a comunidade local. Participo ativamente de iniciativas locais, seja apoiando eventos culturais, colaborando com artistas locais ou promovendo a valorização do nosso patrimônio cultural.</t>
  </si>
  <si>
    <t>A arte e a cultura não são apenas formas de entretenimento, mas ferramentas poderosas para promover a inclusão, a diversidade e o diálogo em nossa sociedade. O Programa Jovem Monitor Cultural representa para mim uma oportunidade única de expandir meus horizontes, aprimorar minhas habilidades e contribuir de forma ainda mais significativa para o desenvolvimento cultural de nossa região. Estou ansiosa para participar das atividades propostas pelo programa, aprender com outros jovens talentosos e juntos, trabalhar para construir um futuro mais vibrante e inspirador para todos.</t>
  </si>
  <si>
    <t>32831770</t>
  </si>
  <si>
    <t>515.435.818-03</t>
  </si>
  <si>
    <t>Renan Ferreira Lima Dos Santos</t>
  </si>
  <si>
    <t>renanfl2004@gmail.com</t>
  </si>
  <si>
    <t>https://yz2spukd8h-jbrk7pf7uvw.s3.amazonaws.com/2024/06/6Xfqz%2BuUg61nhaRM7V1ctFoZLDuAmRqKHrVyi14sdIw%3D.jpg</t>
  </si>
  <si>
    <t>19 anos, 6 meses, 11 dias</t>
  </si>
  <si>
    <t>Cidade Nova Heliópolis</t>
  </si>
  <si>
    <t>04236-190</t>
  </si>
  <si>
    <t>Prédio verde</t>
  </si>
  <si>
    <t>SACOMÃ</t>
  </si>
  <si>
    <t>Rua da Fantasia</t>
  </si>
  <si>
    <t>25</t>
  </si>
  <si>
    <t>559890941</t>
  </si>
  <si>
    <t>(11) 98448-8500</t>
  </si>
  <si>
    <t>TECNICO EM ANALISe E DESENVOLVIMENTO DE SISTEMAS</t>
  </si>
  <si>
    <t>2,848443739</t>
  </si>
  <si>
    <t>IPIRANGA (CURSINO, IPIRANGA, SACOMÃ)</t>
  </si>
  <si>
    <t>CASA DE CULTURA IPIRANGA - CHICO SCIENCE</t>
  </si>
  <si>
    <t>Meu nome é Renan Ferreira, tenho 19 anos, sou natural de São Paulo e durante toda a minha vida vivi na comunidade de Heliópolis. Cresci tendo todo o suporte necessário da minha mãe e do meu pai, fazendo com que eu conseguisse terminar o ensino médio sem dificuldades e criasse um apego grande por computadores e jogos eletrônicos, o que fez com que eu desenvolvesse uma paixão grande por competições de E-sports. Isso me ajudou a entender que eu não deveria ser mediano em nada que fizesse, então busco incessantemente a melhora em tudo que me julgo bom.</t>
  </si>
  <si>
    <t>Atualmente, faço o curso de Desenvolvimento de sistemas na ETEC Heliópolis e faço estágio no Instituto Velho Amigo, um núcleo de convivência para pessoas idosas, aonde eu auxilio oficinas de inclusão digital para pessoas acima de 60 anos conhecerem o computador, a sua história, e como utilizar as ferramentas básicas dele, diminuindo assim a vulnerabilidade delas na sociedade.</t>
  </si>
  <si>
    <t>Neste ano, farei o ENEM e espero um bom resultado. Após a finalização do meu curso, irei escolher se vou prestar o vestibular da FATEC Ipiranga, para fazer o Ensino superior de Análises e desenvolvimento de sistemas, ou se irei iniciar uma faculdade fora da área de T.I, de História, Sociologia, tendo em vista que apesar de gostar muito de utilizar computadores e conhecer mais sobre eles, tenho muita facilidade e afeição por matérias de humanas, tendo interesse em  bem grande Geopolítica. Espero conseguir competir profissionalmente nos E-sports também, sei que é uma missão difícil, mas conseguirei administrar meu tempo com organização suficiente.</t>
  </si>
  <si>
    <t>510.740.328-02</t>
  </si>
  <si>
    <t>Igor Oliveira Monteiro</t>
  </si>
  <si>
    <t>igor.monteiro726@gmail.com</t>
  </si>
  <si>
    <t>https://yz2spukd8h-jbrk7pf7uvw.s3.amazonaws.com/2024/05/hW3Rd%2BIzXfHG3MmRSRSf6oePwr203tIhkC5tOv%2BizNI%3D.jpeg</t>
  </si>
  <si>
    <t>21 anos, 7 meses, 27 dias</t>
  </si>
  <si>
    <t>Jardim Peri Alto</t>
  </si>
  <si>
    <t>02672-120</t>
  </si>
  <si>
    <t>CACHOEIRINHA</t>
  </si>
  <si>
    <t>Rua Doutor Francisco Eugênio do Amaral</t>
  </si>
  <si>
    <t>100</t>
  </si>
  <si>
    <t>55.412.699-0</t>
  </si>
  <si>
    <t>(11) 96722-7300</t>
  </si>
  <si>
    <t>igorlomiler@gmail.com</t>
  </si>
  <si>
    <t>11-967227300</t>
  </si>
  <si>
    <t>sim - incompleto</t>
  </si>
  <si>
    <t>https://www.instagram.com/igoliveira/</t>
  </si>
  <si>
    <t>grad - administraçao</t>
  </si>
  <si>
    <t>005094258-10</t>
  </si>
  <si>
    <t>CASA VERDE / CACHOEIRINHA (CASA VERDE, CACHOEIRINHA, LIMÃO)</t>
  </si>
  <si>
    <t>olá, meu nome é Igor Oliveira Monteiro, tenho 21 anos e resido no extremo da Zona Norte no bairro do Jardim Peri Alto, município da Cachoeirinha. nascido e criado aqui, tenho muitas vivências e conhecimentos acerca do bairro.   venho de um berço carregado de cultura onde consigo transitar tranquilamente entre elas. no currículo tenho como formação complementar: auxiliar de administração, gestão empresarial, auxiliar de escritório, DJ, trancista e cantor.   desse mesmo lugar que venho, sei que para eu ter o que quero preciso batalhar muito pra isso e muitas vezes, sair da minha zona de conforto. tenho como experiência: vendedor, atendente, caixa, monitor, garçom e aprendiz escriturário.</t>
  </si>
  <si>
    <t>atualmente, moro com meus pais e irmão mais novo. estou recém desempregado e fazendo um curso de DJ, expandindo mais meus conhecimentos sobre as pistas de dança e estudando um futuro hobby ou talvez emprego fixo. continuo lendo muito e visitando amigos e quando dá, vou para meus lugares favoritos pra tirar um lazer tais quais: baladas, cinema, teatro, piscina…</t>
  </si>
  <si>
    <t>viso estar empregado atuando nessa vaga de emprego. isso me abriria um leque de possibilidades futuras e muita experiência para que eu consiga trabalhar no meio cultural, seja ele sendo artista (DJ, fotógrafo, produtor…) ou guiando, instruindo e induzindo as pessoas à arte que é o que eu pretendo fazer neste momento.  quero mostrar que sou capaz de viver do que a gente se interessa e gosta. quero ser referência para aqueles que querem também fazer parte do meio cultural. plano b: administração.</t>
  </si>
  <si>
    <t>520.010.398-32</t>
  </si>
  <si>
    <t>Taipan Bittencourt Lima</t>
  </si>
  <si>
    <t>DANTE B LIMA</t>
  </si>
  <si>
    <t>Dante B Lima</t>
  </si>
  <si>
    <t>taipanlima@gmail.com</t>
  </si>
  <si>
    <t>https://yz2spukd8h-jbrk7pf7uvw.s3.amazonaws.com/2024/05/ljsHzCm2%2BBhNUmiU9i3qR10LEMD0fEdQxzN0okN9G2w%3D.jpeg</t>
  </si>
  <si>
    <t>21 anos, 5 meses, 17 dias</t>
  </si>
  <si>
    <t>Chácara Santana</t>
  </si>
  <si>
    <t>05831-000</t>
  </si>
  <si>
    <t>SANTO AMARO</t>
  </si>
  <si>
    <t>Rua Humberto de Almeida</t>
  </si>
  <si>
    <t>522</t>
  </si>
  <si>
    <t>633044751</t>
  </si>
  <si>
    <t>(11) 99233-0523</t>
  </si>
  <si>
    <t>1</t>
  </si>
  <si>
    <t>https://www.instagram.com/taipanbittencourt/</t>
  </si>
  <si>
    <t>21348718295</t>
  </si>
  <si>
    <t>SANTO AMARO (CAMPO BELO, CAMPO GRANDE, SANTO AMARO)</t>
  </si>
  <si>
    <t>Eu me chamo Taipan Bittencourt, tenho 21 anos e sou um homem trans negro nascido em Pernambues, nas periferias de Salvador na Bahia, onde fui criado e morei por 10 anos até mudar para a capital de São paulo com minha família, em busca de melhores oportunidades de trabalho e qualidade de vida. Desde a infância sempre fui independente buscando participar de projetos culturais e ongs. sendo um corpo trans no mundo sempre me movimentei através da arte.</t>
  </si>
  <si>
    <t>Atualmente residindo em São Paulo sempre transitei por muitos lugares de trabalho, sou multiartista independente com interresse em diversas áreas da produção cultural e áudio visual pois vindo de uma região periferica percebo a necessidade de cultura, informação e movimento, principalmente para a população negra, trans e de baixa renda onde o acesso é precário.</t>
  </si>
  <si>
    <t>Meu interesse é grande em ingressar numa nova oportunidade de aprendizado, ainda mais em um lugar onde eu possa ser respeitado sendo uma pessoa trans, e possa expandir meu conhecimento profissional me tirando das nargens da pobreza, pois a meritocracia é falha e todos somos dignos de receber educação e cultura, sou artista mal estruturado na sociedade e venho da necessidade de estudar como forma de sobrevivência e ser livre pelo conhecimento pois só ele libertara.</t>
  </si>
  <si>
    <t>479.081.968-02</t>
  </si>
  <si>
    <t xml:space="preserve">sim </t>
  </si>
  <si>
    <t>Ana Queizia Silva Costa De Lima</t>
  </si>
  <si>
    <t>ana.limasilvac@gmail.com</t>
  </si>
  <si>
    <t>https://yz2spukd8h-jbrk7pf7uvw.s3.amazonaws.com/2024/04/v1ePu77F79dJ3RrQtBMgTLSQlsDLhe9WnEmwSthYVwQ%3D.jpg</t>
  </si>
  <si>
    <t>22 anos, 10 meses, 19 dias</t>
  </si>
  <si>
    <t>Cidade Tiradentes</t>
  </si>
  <si>
    <t>08471-539</t>
  </si>
  <si>
    <t>apartamento 13A</t>
  </si>
  <si>
    <t>Rua José de Ribera</t>
  </si>
  <si>
    <t>39246570X</t>
  </si>
  <si>
    <t>(11) 96285-5799</t>
  </si>
  <si>
    <t>Técnico em Recursos Humanos</t>
  </si>
  <si>
    <t>Não está trabalhando e não está procurando emprego</t>
  </si>
  <si>
    <t>LÍBERO - NÚCLEO DAS CASAS DE CULTURA</t>
  </si>
  <si>
    <t>Apesar de ser jovem,trago comigo uma paixão genuína pelo novo e tudo o que ele   pode proporcionar. e isso com certeza vem de berço, já que minha família sempre me ensinou a arriscar porque por mais que não seja como eu imaginei o importante sempre vai ser a experiência e o crescimento   proporcionado. Crescer numa região considerada a mais perigosa de São Paulo (senão uma das mais perigosas) ensina bastante coisa, como por exemplo, cada dia é único e precisa ser vivido à sua maneira, pois assim como cada pessoa tem gostos diferentes, a vida também obedece e nisso aprendi a conhecer a cultura nas suas mais diversas formas (já que ela não é apenas aquilo que nos convém).</t>
  </si>
  <si>
    <t>Nas horas vagas aproveito pra aprimorar um conhecimento que parece escasso nos tempos atuais: é preciso ter filtro para não acreditar em tudo o que é postado. e, por estar em um momento de transição na minha vida, tudo o que tenho aprendido vem do online e da interação física com os meus pets e família estou aprendendo que momentos assim antecedem algum tipo de transformação, seja para uma condição financeira mais estável, seja pra uma cor de cabelo nova. já que mudanças bagunçam tudo o que temos como alicerce e mostram o que realmente vale a pena manter.</t>
  </si>
  <si>
    <t>o futuro é bem imprevisível e me valer dessa máxima poderia encerrar por aqui esta carta, no entanto nada me impede de planejar o que espero que aconteça, mesmo sendo completamente diferente do que ocorrerá. tenho planos num futuro breve de iniciar uma graduação na área da saúde, seja em biomedicina ou psicologia, visto que as duas áreas me interessam pela forma como, ao seu modo, ajudam vidas, pois mexendo com a mente de alguém é possível destruir ou reconstruir, e isso vale pro material genético também. para o meu profissional pretendo seguir na área e colocar em práticas os conhecimentos adquiridos. e, por fim, continuar dedicando tempos ao meus hobbies atuais (artesanato e leitura).</t>
  </si>
  <si>
    <t>32604202</t>
  </si>
  <si>
    <t>402.788.138-95</t>
  </si>
  <si>
    <t>Jonathan Thomaz Peres Da Silva</t>
  </si>
  <si>
    <t>JONATHAN THOMAZ</t>
  </si>
  <si>
    <t>Jonathan Thomaz</t>
  </si>
  <si>
    <t>jonathanthomaz0@gmail.com</t>
  </si>
  <si>
    <t>https://yz2spukd8h-jbrk7pf7uvw.s3.amazonaws.com/2024/06/HeELksyDu6OmfdgK7eYutjTYy6/nbxTv9uYVK2t0fV4%3D.jpg</t>
  </si>
  <si>
    <t>29 anos, 3 meses, 17 dias</t>
  </si>
  <si>
    <t>Jardim Pirituba</t>
  </si>
  <si>
    <t>02984-020</t>
  </si>
  <si>
    <t>Rua Arroio do Tigre</t>
  </si>
  <si>
    <t>64</t>
  </si>
  <si>
    <t>428093991</t>
  </si>
  <si>
    <t>(11) 97845-6130</t>
  </si>
  <si>
    <t xml:space="preserve">sim - incompleto </t>
  </si>
  <si>
    <t xml:space="preserve">grad - licenciatura em geografia </t>
  </si>
  <si>
    <t>20070133071</t>
  </si>
  <si>
    <t>Ola, meu nome é Jonathan, tenho 29 anos, nasci e fui criado em são paulo, sou marceneiro de profissão e fui ativista politico durante a juventude, tenho um filho e sou divorciado. Estudei em escolas publicas por toda a vida, incluindo o superior. Sempre tive contato com leitura e cultura em espaços publicos, incluindo a biblioteca Erico Verissimo, a qual frequento desde criança.</t>
  </si>
  <si>
    <t>Atualmente, solicitei dispensa de um emprego CLT por motivos pessoais, não consegui me readaptar ao regime de produção em uma marcenaria em que me acidentei a cerca de um ano e estou buscando novas oportunidades, sempre gostei de história, leitura e tenho um curso em geografia não finalizado devido a pandemia. Uma amiga me indicou o programa e achei interessante trabalhar na gestão cultural da minha cidade, por isso estou fazendo minha inscrição</t>
  </si>
  <si>
    <t>Pretendo viajar a america latina dentro de 10 anos, e tenho me programado pra isso dentro do q é possível, atualmente preciso de estabilidade financeira e moradia, mas fora de um regime de trabalho que me prenda, acho que o programa pode me proporcionar novas experiências pessoais e um fôlego no quesito financeiro. Espero poder integrar o quadro no próximo ano.</t>
  </si>
  <si>
    <t>426.279.568-33</t>
  </si>
  <si>
    <t>ALEF CASTRO GONCALVES</t>
  </si>
  <si>
    <t>Alef Castro Gonçalves</t>
  </si>
  <si>
    <t>Kalef</t>
  </si>
  <si>
    <t>kalefcastro0@gmail.com</t>
  </si>
  <si>
    <t>https://yz2spukd8h-jbrk7pf7uvw.s3.amazonaws.com/2024/06/fBm5jTArbcsn9%2BmDE9EYL265LDvzqLV99X4wxRnXl7w%3D.jpeg</t>
  </si>
  <si>
    <t>26 anos, 1 meses, 30 dias</t>
  </si>
  <si>
    <t>Nome que consta no RG: Alef Castro Gonçalves</t>
  </si>
  <si>
    <t>Jardim Maria Estela</t>
  </si>
  <si>
    <t>04181-160</t>
  </si>
  <si>
    <t>bloco a02</t>
  </si>
  <si>
    <t>Rua Silas</t>
  </si>
  <si>
    <t>76</t>
  </si>
  <si>
    <t>64449007x</t>
  </si>
  <si>
    <t>(11) 97733-8859</t>
  </si>
  <si>
    <t>https://linkin.bio/kalef/</t>
  </si>
  <si>
    <t>LICENCIATURA EM COMUNICAÇÃO</t>
  </si>
  <si>
    <t>21256733573</t>
  </si>
  <si>
    <t>CEU PARQUE BRISTOL</t>
  </si>
  <si>
    <t>CEU HELIÓPOLIS</t>
  </si>
  <si>
    <t>Natural de Vitória da conquista, com 26 anos, desde 2018 em são paulo em busca de educação e arte, estudei Educomunicação na USP (faltando apenas entregar um TCC para formação), no momento com o curso trancado para conseguir um tempo a mais e conseguir dar atenção a outras áreas da minha vida. Trabalhei para ONG sendo estagiário de comunicação, no fim do meu contrato de 2 anos, percebi que queria me dedicar mais ainda a cultura.</t>
  </si>
  <si>
    <t>Sou um artista gay independente, cantor na área do funk. Busco sempre conhecimentos para impulsionar minha arte e ajudar meus amigos que também estão em busca do mesmo que eu, formação cultural para potencializar uns aos outros. Ja que somos pessoas perifericas, majoritariamente pretas. Atualmente vivo de freelas em restaurantes para sobreviver enquanto a cultura não rende, não estou atrás de um CLT porque sei como isso vai sugar meus dias ao invés de me ajudar ou potencializar meus sonhos.</t>
  </si>
  <si>
    <t>Meu objetivo é ganhar poder (conhecimento) o suficiente para tornar a cultura a meu favor, viver da cultura, seja aplicando em mim ou em outros de alguma maneira. Ao me formar no curso de Educomunicação, acredito que a junção de  conhecimentos sobre comunicação e educação, mais formação cultural vai agregar de forma horizontal na minha vida e de outros.</t>
  </si>
  <si>
    <t>050.477.115-95</t>
  </si>
  <si>
    <t>Júlia De Lima Viana</t>
  </si>
  <si>
    <t>amocapivarinhas@gmail.com</t>
  </si>
  <si>
    <t>https://yz2spukd8h-jbrk7pf7uvw.s3.amazonaws.com/2024/06/9Cym62gc2GVG9vhQEVfd7Pj/jyfiaseCqfKw0IZ6SH8%3D.jpg</t>
  </si>
  <si>
    <t>20 anos, 3 meses, 1 dias</t>
  </si>
  <si>
    <t>Jardim Guarani</t>
  </si>
  <si>
    <t>02851-070</t>
  </si>
  <si>
    <t>Rua Manoel Nascimento Pinto</t>
  </si>
  <si>
    <t>701</t>
  </si>
  <si>
    <t>538844802</t>
  </si>
  <si>
    <t>(11) 95709-1508</t>
  </si>
  <si>
    <t>https://instagram.com/julia.gov.br</t>
  </si>
  <si>
    <t>22021887102</t>
  </si>
  <si>
    <t>BIBLIOTECA MUNICIPAL MÁRIO DE ANDRADE</t>
  </si>
  <si>
    <t>Pequena, já rasurava nas paredes, no chão, nos papéis, onde quer que fosse — mesmo quando não aconselhado, até proibido — o que logo conheceria como linguagem. Rabiscava muito "Júlia", meu nome, costume que peguei da minha vó. Como afeição à expressão veio comigo do berço, penso que a literatura também me é mãe, pois me escutam ao me ler, pois minha escrita também é, pessoalmente, meu choro da vida. Assim, meu interesse casou com o ateliê de leitura e escrita da Fábrica de Cultura, onde pude exercitar o que gosto com muito mais propriedade e suporte. Após o fim dos encontros, mantive o que aprendi neles. Ainda produzo poesias e outros textos, mesmo amadora, sem os compartilhar com o mundo.</t>
  </si>
  <si>
    <t>Natural de São Paulo, resido no Jardim Guarani. Nos últimos anos, os laços que tenho com minha comunidade foram cultivados principalmente nos equipamentos culturais próximos à minha casa. Costumo ir em oficinas e apresentações, mostras de processos, eventos e bibliotecas. Ainda por aqui, faço parte de um projeto comunitário de distribuição periódica de marmitas que começou em 2021 com conhecidos.</t>
  </si>
  <si>
    <t>Vejo no Programa a oportunidade de contribuir com a democratização aos equipamentos culturais, identidade nossa que, na periferia, ainda é impopular para muitos. É a chance de retribuir com carinho o acolhimento que tive nos lugares em que pude ocupar espaço enquanto participo da inclusão social de tantas pessoas, assim como participaram da minha, vindo a me tornar capaz e apta a também desenvolver meios que aproximam da arte.</t>
  </si>
  <si>
    <t>537.130.858-03</t>
  </si>
  <si>
    <t>Nathália Martins Dos Santos</t>
  </si>
  <si>
    <t>nathaliamartins6321@gmail.com</t>
  </si>
  <si>
    <t>https://yz2spukd8h-jbrk7pf7uvw.s3.amazonaws.com/2024/05/Ysun4P/ZfQBFWVYFPq8w3mnfAhj8owbA9PkI0QWx0aI%3D.jpg</t>
  </si>
  <si>
    <t>20 anos, 1 meses, 7 dias</t>
  </si>
  <si>
    <t>Fazenda da Juta</t>
  </si>
  <si>
    <t>03977-457</t>
  </si>
  <si>
    <t>Travessa Eugênio Hostos</t>
  </si>
  <si>
    <t>96</t>
  </si>
  <si>
    <t>63501628-X</t>
  </si>
  <si>
    <t>(11) 96319-6880</t>
  </si>
  <si>
    <t>NATHALIAMARTINS6321@GMAIL.COM</t>
  </si>
  <si>
    <t>CURSANDOI</t>
  </si>
  <si>
    <t>https://www.instagram.com/nmartins.1?igsh=OGJvOXJhdzZqZWJy</t>
  </si>
  <si>
    <t>TEATRO NA ELT</t>
  </si>
  <si>
    <t>026475421-20</t>
  </si>
  <si>
    <t>GABRIELA, NATHÁLIA, AUREA E CIDA</t>
  </si>
  <si>
    <t>https://drive.google.com/file/d/14nVdMPC2YYPpDTd89sMXHT78IpJ1LyF5/view?usp=drivesdk</t>
  </si>
  <si>
    <t>599.217.698-55</t>
  </si>
  <si>
    <t>Gabriel Victor De Nazareth Teixeira Macedo</t>
  </si>
  <si>
    <t>gabrielnazareth049@gmail.com</t>
  </si>
  <si>
    <t>https://yz2spukd8h-jbrk7pf7uvw.s3.amazonaws.com/2024/06/p98FSiqZSQB6aByqox7OlHhyEVNMEO4VFrwjd9W/HrM%3D.jpeg</t>
  </si>
  <si>
    <t>20 anos, 6 meses, 14 dias</t>
  </si>
  <si>
    <t>Formacao concluida em Fotografia</t>
  </si>
  <si>
    <t>Jardim Santa Adélia</t>
  </si>
  <si>
    <t>03974-150</t>
  </si>
  <si>
    <t>SAPOPEMBA</t>
  </si>
  <si>
    <t>Rua Rubens Cotrim</t>
  </si>
  <si>
    <t>108</t>
  </si>
  <si>
    <t>563958893</t>
  </si>
  <si>
    <t>(11) 96163-8770</t>
  </si>
  <si>
    <t>Técnico</t>
  </si>
  <si>
    <t>2</t>
  </si>
  <si>
    <t>Fotografia</t>
  </si>
  <si>
    <t>23686009494</t>
  </si>
  <si>
    <t>VILA PRUDENTE / SAPOPEMBA (SÃO LUCAS, VILA PRUDENTE, SAPOPEMBA)</t>
  </si>
  <si>
    <t>https://drive.google.com/file/d/1901U7bbvIXqpfTFqtQvdP-3eiKnrk4iL/view?usp=drive_link</t>
  </si>
  <si>
    <t>454.805.018-36</t>
  </si>
  <si>
    <t>Mariana Elias Thomé</t>
  </si>
  <si>
    <t>contatamari@gmai.com</t>
  </si>
  <si>
    <t>https://yz2spukd8h-jbrk7pf7uvw.s3.amazonaws.com/2024/04/twnA7WowervzxikOb6n91Me9pMwKYJSQkKuJB7uOTHQ%3D.JPG</t>
  </si>
  <si>
    <t>22 anos, 0 meses, 29 dias</t>
  </si>
  <si>
    <t>Vila Isolina Mazzei</t>
  </si>
  <si>
    <t>02083-000</t>
  </si>
  <si>
    <t>VILA GUILHERME</t>
  </si>
  <si>
    <t>Rua Cristóvão Lins</t>
  </si>
  <si>
    <t>276</t>
  </si>
  <si>
    <t>594823365</t>
  </si>
  <si>
    <t>(11) 97020-8539</t>
  </si>
  <si>
    <t>CONTATAMARI@GMAIL.COM</t>
  </si>
  <si>
    <t>https://www.instagram.com/maricleideee?igsh=MW16eXJzZnE2ZmlsMQ%3D%3D&amp;utm_source=qr</t>
  </si>
  <si>
    <t>PRODUCAO AUDIOVISUAL E CULTURAL</t>
  </si>
  <si>
    <t>7042770773</t>
  </si>
  <si>
    <t>VILA MARIA / VILA GUILHERME (VILA MARIA, VILA GUILHERME, VILA MEDEIROS)</t>
  </si>
  <si>
    <t>CASA DE CULTURA VILA GUILHERME - CASARÃO</t>
  </si>
  <si>
    <t>LÍBERO - ASSESSORIA DE PROGRAMAÇÃO DO HIP-HOP</t>
  </si>
  <si>
    <t>LÍBERO - PROGRAMA MUNICIPAL DE APOIO A PROJETOS CULTURAIS - PROMAC</t>
  </si>
  <si>
    <t>https://www.youtube.com/watch?v=wwTBekFScAs&amp;t=1s</t>
  </si>
  <si>
    <t>511.690.498-93</t>
  </si>
  <si>
    <t>Guilherme Stigliano Hille</t>
  </si>
  <si>
    <t>guilhermestigliano@hotmail.com</t>
  </si>
  <si>
    <t>https://yz2spukd8h-jbrk7pf7uvw.s3.amazonaws.com/2024/04/E2ARncZHotVXkg7DfmNfJzWzHqPl072EZCqGUEyejlc%3D.jpg</t>
  </si>
  <si>
    <t>22 anos, 7 meses, 25 dias</t>
  </si>
  <si>
    <t>Jardim Brasil (Zona Norte)</t>
  </si>
  <si>
    <t>02227-050</t>
  </si>
  <si>
    <t>JAÇANÃ</t>
  </si>
  <si>
    <t>Rua Arabana</t>
  </si>
  <si>
    <t>34</t>
  </si>
  <si>
    <t>379527054</t>
  </si>
  <si>
    <t>(11) 94067-0555</t>
  </si>
  <si>
    <t>11-940670555</t>
  </si>
  <si>
    <t>238.24494.32-5</t>
  </si>
  <si>
    <t>https://drive.google.com/file/d/1btpmUxrZfM2mNOp5GMZ0KKduIyZbfgqC/view?usp=drivesdk</t>
  </si>
  <si>
    <t>372.054.178-99</t>
  </si>
  <si>
    <t>Magali Sarina Fernandez</t>
  </si>
  <si>
    <t>sarinafernandez66@gmail.com</t>
  </si>
  <si>
    <t>https://yz2spukd8h-jbrk7pf7uvw.s3.amazonaws.com/2024/05/dyhtA3AWuH9z03nxCy5Kv1KVrIeA9XRSrOzTJRQLr/Q%3D.png</t>
  </si>
  <si>
    <t>27 anos, 2 meses, 13 dias</t>
  </si>
  <si>
    <t>Sé</t>
  </si>
  <si>
    <t>01005-030</t>
  </si>
  <si>
    <t>Rua do Ouvidor</t>
  </si>
  <si>
    <t>63</t>
  </si>
  <si>
    <t>F824382B</t>
  </si>
  <si>
    <t>(11) 96158-3982</t>
  </si>
  <si>
    <t>CENTRO</t>
  </si>
  <si>
    <t>21328831851</t>
  </si>
  <si>
    <t>SÉ (BELA VISTA, BOM RETIRO, CAMBUCI, CONSOLAÇÃO, LIBERDADE, REPÚBLICA, SANTA CECÍLIA, SÉ)</t>
  </si>
  <si>
    <t>˜=</t>
  </si>
  <si>
    <t>LÍBERO - COORDENAÇÃO DE PROGRAMAÇÃO CULTURAL - CPROG</t>
  </si>
  <si>
    <t>CENTRO DE MEMÓRIA DO CIRCO</t>
  </si>
  <si>
    <t>CENTRO-OESTE</t>
  </si>
  <si>
    <t>Jussara/Sátiro/Gabriela/Natan</t>
  </si>
  <si>
    <t>Olá, sou Magali Sarina Fernandez, tenho 27 anos e sou mãe solteira com 2 filhos. Sou uma artista multifacetada. Vivo uma ocupação artística, a maior da América Latina. Faço parte de um coletivo circense 6. /12. Fazemos circos sociais em favelas e locais onde a arte ainda não está disponível. Chega com o objetivo de aumentar a arte em todos os lugares e torná-la acessível a todas as pessoas .Tenho muito interesse em participar do programa para meu crescimento pessoal continuar estudando e me profissionalizar mais com a cultura.   Neste momento existe varias oficinas dissociação com diversos projetos abertos ao público no centro cultural rua do ouvidor 63.</t>
  </si>
  <si>
    <t>Estou em São Paulo trabalhando de forma independente, sou malabarista, faço oficinas de pino, professora de chines, oficinas de marketing digital para circo, serigrafia, confecção de roupas circenses, apareço todos os meses nos picadeiros abertos no memorial do circo.   treinamento de monociclo   e monociclo girafa, pego escritórios de bola de contato com e sem peso, brinco com bambolês.   Morei muito tempo no Nordeste e Norte do Brasil. Há 4 anos viajei para diversos países da América Latina.</t>
  </si>
  <si>
    <t>Tenho uma visão de vida para poder continuar crescendo, estudando e trabalhando para um futuro melhor para minha família e meus filhos. Estou sendo o ganha-pão da minha mãe que também é imigrante e poder dar-lhe um maior conforto. de vida, outra qualidade para poder aproveitar a vida de uma forma diferente.   Terminei meus estudos na Argentina em 2015, então por maternidade não terminei meus estudos na faculdade, e quero muito continuar estudando e trabalhando em meus projetos pessoais para meu bem-estar psicológico e emocional.</t>
  </si>
  <si>
    <t>800.981.599-33</t>
  </si>
  <si>
    <t>Janaina Damasceno De Sa Pereira</t>
  </si>
  <si>
    <t>janaina.damasceno10@gmail.com</t>
  </si>
  <si>
    <t>https://yz2spukd8h-jbrk7pf7uvw.s3.amazonaws.com/2024/06/jCL040PZp0V9oSkUTaCnjozQ6TKXMlIyTJ2lhcocFFM%3D.JPG</t>
  </si>
  <si>
    <t>23 anos, 0 meses, 21 dias</t>
  </si>
  <si>
    <t>Vila Leopoldina</t>
  </si>
  <si>
    <t>05317-030</t>
  </si>
  <si>
    <t>A</t>
  </si>
  <si>
    <t>VILA LEOPOLDINA</t>
  </si>
  <si>
    <t>Rua Japiacu</t>
  </si>
  <si>
    <t>629917802</t>
  </si>
  <si>
    <t>(11) 95423-5761</t>
  </si>
  <si>
    <t>11-954235761</t>
  </si>
  <si>
    <t>sim - tec</t>
  </si>
  <si>
    <t>https://www.instagram.com/fly_janna?igsh=MXVldjJtOXR4ZXQwbQ%3D%3D&amp;utm_source=qr</t>
  </si>
  <si>
    <t>tec - modelagem do vestuario e teatro</t>
  </si>
  <si>
    <t>16263135027</t>
  </si>
  <si>
    <t>LAPA (BARRA FUNDA, JAGUARÉ, LAPA, PERDIZES, VILA LEOPOLDINA)</t>
  </si>
  <si>
    <t>TEATRO MUNICIPAL CACILDA BECKER</t>
  </si>
  <si>
    <t>Me chamo Janaina damasceno tenho 23 anos, mulher preta, nordestina, quilombola, modelo, atriz e trançista. Nasci no interior da cidade de Isaias Coelho no estado do Piauí, vim pra São Paulo com minha família aos 15 anos em busca de melhores oportunidades e condições de vida, atualmente moro na favela do 9, localizada próximo a Ceagesp na cidade de São Paulo. Chegando aqui consegui dar continuidade aos estudos, fiz alguns cursos livre na ONG (Associação Nossa Turma), que foi onde tive maior contato com esse meio artístico cultura, através de debates, exposições e idas a teatros.  Formação:  Técnico em modelagem do vestuário pela ETEC Carlos de Campos  Técnico em Teatro pelo SENAC Lapa Scipião</t>
  </si>
  <si>
    <t>Atualmente sou integrante de alguns coletivos que atuam de diversas formas dentro da favela do nove, com foco em compartilhar o nosso conhecimento e fomentar a arte periférica dentro da quebrada trazendo visibilidade de forma coletiva, por meio de encontros para a oficina e colagem de lambe lambe e feira cultural . sendo esses coletivos: Jayy Tranças, Dinegro Lambe e Duafe Atemporal.</t>
  </si>
  <si>
    <t>Quero participar do programa jovem monitor cultural porque acredito que esse programa vai me possibilitar maior desenvolvimento e envolvimento com o meio artístico cultural, através de uma formação profissional com experiências enriquecedoras e assim poder fomenta ainda mais a arte como forma de expressão dentro da quebrada. dessa maneira  se torna muito importante para minha formação profissional e pessoal.</t>
  </si>
  <si>
    <t>078.058.433-33</t>
  </si>
  <si>
    <t>RAFAEL XAVIER DA SILVA JUNIOR</t>
  </si>
  <si>
    <t>Rafael Xavier Da Silva Junior</t>
  </si>
  <si>
    <t>IZIS</t>
  </si>
  <si>
    <t>Izis</t>
  </si>
  <si>
    <t>rafa011.rxsj@gmail.com</t>
  </si>
  <si>
    <t>https://yz2spukd8h-jbrk7pf7uvw.s3.amazonaws.com/2024/04/CpKS4bdzzFnqrIvWUWS5GNo8D5B8fXUrF%2BQS3dWcfnU%3D.jpg</t>
  </si>
  <si>
    <t>21 anos, 2 meses, 7 dias</t>
  </si>
  <si>
    <t>COMEÇOU ADMINISTRAÇÃO MAS NÃO TERMINOU... NÃO MOSTROU OS DOCUMENTOS NÃO SEI O NOME DE REGRISTRO.</t>
  </si>
  <si>
    <t>08250-690</t>
  </si>
  <si>
    <t>24c</t>
  </si>
  <si>
    <t>Rua Domingos Lisboa</t>
  </si>
  <si>
    <t>104</t>
  </si>
  <si>
    <t>544936036</t>
  </si>
  <si>
    <t>(11) 95897-1097</t>
  </si>
  <si>
    <t>RAFA011.RXSJ@GMAIL.COM</t>
  </si>
  <si>
    <t>https://www.instagram.com/shine.od?igsh=MWtvcTV6OTRzbHAxag==</t>
  </si>
  <si>
    <t>072401935-94</t>
  </si>
  <si>
    <t>GABRIELLA, VALDIRENE, CÍCERA, DANIELA</t>
  </si>
  <si>
    <t>Antes de dizer de onde vim, onde estou e pra onde vou, eu preciso dizer quem sou. Meu chamo Izis, acebei de fazer 21 anos, vim e sou da Zona leste de São paulo nascida em uma familia composta por mulheres fortes, pretas e ancestrais que até hoje sustentam oque me foi ensinado de como oque é ser uma familia e dentro dessa familia a cultura sempre esteve presente nas minhas vivências, seja no ambito religioso com todos os ensinamentos e tradições das religiões de matriz africana que minha avó paterna seguia dentro de seu ilê axé e o samba e mpb que ecoava em todas as festas da minha familia materna que é repleta de musicos e artistas então de onde vim sempre estive envolta de cultura.</t>
  </si>
  <si>
    <t>Hoje depois de muito tentar seguir algo mais lógico a cultura mais uma vez veio de encontra a mim e hoje faço parte da cultura e comunidade Ballroom um cultura preta, latina, trans, periférica e ancestral, que hoje é lugar de grande pluralidade de corpos e onde me encontrei uma   pessoa Trans Não binaria e ser um corpo preto dentro desses recortes é algo muito grande e ser acolhida por essa comunidade foi muito importante pra me ver como uma existência potente, hoje exerço minha cultura performando vogue femme que é uma dança criada por mulheres trans e travestis e isso e tão importante pra mim que só me certifica mais e mais que estou onde devo estar, graças a Orixá estou onde deveria.</t>
  </si>
  <si>
    <t>O pensamento e o objetivo de para onde eu vou é um caminho que eu sempre confio nas mãos dos orixás, mas hoje não consigo me ver mais em outro lugar se não for atuando em áreas culturais, vivendo a cultura, facilitando o acesso das pessoas a ela e a tornando cada vez mais acessível e respeitada, por isso hoje meu primeiro objetivo de pra onde ir é conseguir passar nesse edital e depois ir um passo de cada vez até meu objetivo.</t>
  </si>
  <si>
    <t>VERDE - OLIDO</t>
  </si>
  <si>
    <t>479.150.528-02</t>
  </si>
  <si>
    <t>Laura Melo Cordeiro</t>
  </si>
  <si>
    <t>LAURA</t>
  </si>
  <si>
    <t>Laura</t>
  </si>
  <si>
    <t>llauramelocordeiro@gmail.com</t>
  </si>
  <si>
    <t>https://yz2spukd8h-jbrk7pf7uvw.s3.amazonaws.com/2024/05/93P%2B4vSeLlfyIoW74AdayG39wdqvr2cSvIC2HuNGcuI%3D.jpeg</t>
  </si>
  <si>
    <t>21 anos, 8 meses, 5 dias</t>
  </si>
  <si>
    <t>Jardim Pérola III</t>
  </si>
  <si>
    <t>08473-851</t>
  </si>
  <si>
    <t>Rua Atirim</t>
  </si>
  <si>
    <t>387311270</t>
  </si>
  <si>
    <t>(11) 98378-6775</t>
  </si>
  <si>
    <t>LAURAMELOCORDEIRO@GMAIL.COM</t>
  </si>
  <si>
    <t>AUXILIAR  ADMINISTRATIVO</t>
  </si>
  <si>
    <t>01733367012</t>
  </si>
  <si>
    <t>Me chamo Laura e tenho 22 anos. Originária da cidade de Tiradentes, minha origem é um ponto de partida para uma infinidade de reflexões que podemos conduzir a diversos destinos. Há sete anos, mergulhei no universo das artes visuais. Iniciei minha jornada artística com a poesia e, ao longo do tempo, desenvolvi habilidades como pintura e me formei em direção de arte. Minha jornada teve início na periferia do extremo leste de São Paulo, um ambiente repleto de cultura. Participei de diversas exposições, destacando-se minha presença na Casa de Cultura, no MAC do Ibirapuera e na Pinacoteca de São Paulo.</t>
  </si>
  <si>
    <t>Atualmente, estou totalmente dedicada ao meu crescimento pessoal e profissional. Estou empenhada em desenvolver habilidades que ainda não possuo e aprimorar aquelas que já tenho. Por esse motivo, estou sempre buscando oportunidades e cursos que me permitam chegar aonde sonho. Recentemente, concluí um curso de moldes de gesso e marcenaria na USP. Meu objetivo imediato é me inscrever no programa Jovem Monitor, com o intuito de aproveitar ao máximo tudo o que vocês têm a oferecer. Estou ansiosa para embarcar nessa jornada e explorar todas as oportunidades disponíveis.</t>
  </si>
  <si>
    <t>Meu sonho sempre foi seguir a carreira artística e me formar em Artes Visuais. Tenho o objetivo de inspirar pessoas, compartilhando meu conhecimento e ajudando-os a alcançar seus próprios sonhos. Penso na ideia de ser professora, impulsionada pelo desejo de impactar vidas, especialmente daqueles que enfrentam dificuldades de acesso a oportunidades. Além disso, consigo imaginar minhas obras em galerias, ou até mesmo participando da produção e direção de filmes e documentários. Almejo expressar minhas ideias e perspectivas, provocando reflexões e mudanças significativas na sociedade. Minha ideia permanece fortemente ligada a um compromisso de usar minha arte para o bem.</t>
  </si>
  <si>
    <t>466.762.158-37</t>
  </si>
  <si>
    <t>Lucas Antônio Ventura E Silva</t>
  </si>
  <si>
    <t>lucasventuraesilva2002@gmail.com</t>
  </si>
  <si>
    <t>https://yz2spukd8h-jbrk7pf7uvw.s3.amazonaws.com/2024/04/NZOq%2BSn8PkA8Pw7uy4vjCHZiGuNFdhkX6zRzd%2BocjqE%3D.pdf</t>
  </si>
  <si>
    <t>Jardim Grimaldi</t>
  </si>
  <si>
    <t>03922-060</t>
  </si>
  <si>
    <t>Casa 02</t>
  </si>
  <si>
    <t>Rua Luiz Maronez</t>
  </si>
  <si>
    <t>274</t>
  </si>
  <si>
    <t>39584535-X</t>
  </si>
  <si>
    <t>(11) 93381-7049</t>
  </si>
  <si>
    <t>23641940229</t>
  </si>
  <si>
    <t>CEU SAPOPEMBA</t>
  </si>
  <si>
    <t xml:space="preserve">CAROLINA, EDNAR MOURA, ISAAC BRAGA, BRUNA BERLLINI, PAULA FELICE </t>
  </si>
  <si>
    <t>https://drive.google.com/file/d/1dB_ZgUh6TXqsGFI5_mw58oQAlvFA9qvN/view?usp=drive_link</t>
  </si>
  <si>
    <t>363.256.588-09</t>
  </si>
  <si>
    <t>Gabriela Queiroz De Oliveira</t>
  </si>
  <si>
    <t>gabrielaqueirozoliv@gmail.com</t>
  </si>
  <si>
    <t>https://yz2spukd8h-jbrk7pf7uvw.s3.amazonaws.com/2024/04/X29%2BSXfU1KzYG91NE0BOIzRA06zYL%2BTa1VzcM8m4RlE%3D.jpeg</t>
  </si>
  <si>
    <t>21 anos, 10 meses, 27 dias</t>
  </si>
  <si>
    <t>Campos Eliseos</t>
  </si>
  <si>
    <t>01205-000</t>
  </si>
  <si>
    <t>Avenida Rio Branco</t>
  </si>
  <si>
    <t>504292079</t>
  </si>
  <si>
    <t>(11) 98631-1059</t>
  </si>
  <si>
    <t>GABRIELAQUEIROZOLIV@GMAIL.COM</t>
  </si>
  <si>
    <t>https://www.instagram.com/gabriela_queiroz___?igsh=NmltdnE2MGhpNzR0&amp;utm_source=qr</t>
  </si>
  <si>
    <t>062324242-71</t>
  </si>
  <si>
    <t>Natan, Sula e Eliezer</t>
  </si>
  <si>
    <t>Ao considerar a oportunidade de me juntar à equipe PJMC é inevitável refletir sobre a jornada que me trouxe até aqui e as experiências que moldaram quem eu sou hoje. Vindo da Zona sul de uma comunidade vibrante e diversificada, aprendi desde cedo o valor do trabalho árduo, resiliência e da busca pelo conhecimento.  Crescer no centro da cidade me ensinou a valorizar as conexões humanas e a importância de se adaptar a diferentes ambientes. Essas lições foram fundamentais em minha trajetória profissional, onde pude aplicar minha paixão pela cultura e minha sede por aprender constantemente.</t>
  </si>
  <si>
    <t>o longo dos últimos 3 anos, estive focada no vestibular e tive a oportunidade de aprimorar minhas habilidades em comunicação, escrita e organização enquanto colaborava em projetos desafiadores e de impacto. Meu objetivo é conseguir um emprego que me dê liberdade de  tempo para continuar com os estudos e ainda consiga adquirir mais conhecimento.  Agradeço a oportunidade de apresentar minha candidatura e estou disponível para discutir mais detalhes sobre como minhas habilidades e experiências se alinham às necessidades do projeto.</t>
  </si>
  <si>
    <t>Meu objetivo mais sólido é fazer faculdade de direito na USP e após uma cuidadosa reflexão sobre meus objetivos e aspirações futuras, estou determinada a buscar oportunidades que me permitam crescer pessoal e profissionalmente, e acredito que o PJMC é o lugar ideal para isso.   Agradeço antecipadamente pela consideração da minha candidatura e estou disponível para discutir como posso contribuir para os objetivos do projeto, estou pronta para começar essa próxima etapa e aguardo ansiosamente a oportunidade de trabalhar e estudar com vocês.   .  Atenciosamente,   Gabriela Queiroz   .  .  .</t>
  </si>
  <si>
    <t>CENTRO - 2</t>
  </si>
  <si>
    <t>499.625.168-97</t>
  </si>
  <si>
    <t>Rayla Nogueira Oliveira</t>
  </si>
  <si>
    <t>raylanogueiran03@gmail.com</t>
  </si>
  <si>
    <t>https://yz2spukd8h-jbrk7pf7uvw.s3.amazonaws.com/2024/05/jRpT9PC53x%2BC2pb%2B%2BF4xpjaMyAxD1N5Fb6URFEbukrk%3D.jpg</t>
  </si>
  <si>
    <t>24 anos, 10 meses, 19 dias</t>
  </si>
  <si>
    <t>04476-000</t>
  </si>
  <si>
    <t>Rua Josephina Gianinni Elias-Dona Bimba</t>
  </si>
  <si>
    <t>87</t>
  </si>
  <si>
    <t>53.923.564-7</t>
  </si>
  <si>
    <t>(11) 96760-6541</t>
  </si>
  <si>
    <t>TÉCNICO EM TEATRO</t>
  </si>
  <si>
    <t>166.87710.08-8</t>
  </si>
  <si>
    <t>TEATRO MUNICIPAL JOÃO CAETANO</t>
  </si>
  <si>
    <t>Me chamo Rayla Nogueira Oliveira, tenho 24 anos, sou nascida e criada numa favela no extremo Sul de SP. Desde pequena sempre tive a arte pulsando em mim mas não tínhamos muitos recursos ou acessos aqui na região. Mais tarde, na adolescência descobri o CEU Alvarenga próximo de casa, lá comecei aulas de balé e, assim, a dança me pegou. Após uns anos sai do Balé e criei um grupo de dança com uns amigos onde continuamos usando os espaços do CEU para ensaiar. Depois de algumas idas e vindas decidi tentar algo que sempre tive vontade e fiz uma oficina de jogos teatrais numa fabrica de cultura. Foi aí que me apaixonei pelo Teatro e consegui uma bolsa de estudos no Senac.</t>
  </si>
  <si>
    <t>Atualmente moro no mesmo local onde nasci. Aqui já esta bem mais desenvolvido, porém, sinto que ainda falta mais cultura para as pessoas. As atividades culturais aqui geralmente são feitas pelas escolas próximas ou pela associação de moradores que tem um espaço para esportes. Temos o CEU Alvarenga e o CEU Caminho do Mar que são os locais mais próximos aonde tem shows de musica, o recreio nas férias e teatro. Eu mesma a primeira vez que fui a um teatro foi em um CEU,  são os locais que mais dão acesso a arte e cultura da região. Apesar disso é muito concorrido e sinto que poderiam haver mais opções de espaços para a comunidade com bibliotecas, locais para oficinas, ensaios e apresentações.</t>
  </si>
  <si>
    <t>Participar do programa Jovem Monitor cultural para mim é uma oportunidade de entender e conhecer mais a fundo a cultura da minha cidade e da minha região, de poder a partir disso colaborar para levar mais arte e mais alegria para as pessoas. De aprender sobre projetos e poder continuar desenvolvendo minha arte que foi descoberta em mim tão aos pouquinhos e a partir de pequenas chances que fui tendo. Quero então poder dar essa chance de pensar para as outras pessoas também.</t>
  </si>
  <si>
    <t>500.645.158-00</t>
  </si>
  <si>
    <t>KELI DA SILVA SALES</t>
  </si>
  <si>
    <t>Keli Da Silva Sales</t>
  </si>
  <si>
    <t>kelisales04@gmail.com</t>
  </si>
  <si>
    <t>https://yz2spukd8h-jbrk7pf7uvw.s3.amazonaws.com/2024/05/rUsOvMOdWcvhv1iqvl9Tor4DvzOHJ%2BKJBFzke0Hn9HY%3D.jpeg</t>
  </si>
  <si>
    <t>19 anos, 6 meses, 23 dias</t>
  </si>
  <si>
    <t>SE  AUTODECLARA PRETA</t>
  </si>
  <si>
    <t>Jd vitoria</t>
  </si>
  <si>
    <t>08473-745</t>
  </si>
  <si>
    <t>casa</t>
  </si>
  <si>
    <t>Rua cachoeirinha</t>
  </si>
  <si>
    <t>11</t>
  </si>
  <si>
    <t>545655894</t>
  </si>
  <si>
    <t>(11) 98187-2931</t>
  </si>
  <si>
    <t>KELISALES04@GMAIL.COM</t>
  </si>
  <si>
    <t>https://www.instagram.com/keli_salles_?igsh=MTNmb3ZwODd5ZHp3eA%3D%3D&amp;utm_source=qr</t>
  </si>
  <si>
    <t>SEGURANÇA  DO  TRABALHO</t>
  </si>
  <si>
    <t>03097964401</t>
  </si>
  <si>
    <t>https://youtu.be/TEf5wfP3KMg?feature=shared</t>
  </si>
  <si>
    <t>511.252.388-36</t>
  </si>
  <si>
    <t>hilary dantas de almeida</t>
  </si>
  <si>
    <t>Hilary Dantas De Almeida</t>
  </si>
  <si>
    <t>RIUW DANTAS DE ALMEIDA</t>
  </si>
  <si>
    <t>Riuw Dantas De Almeida</t>
  </si>
  <si>
    <t>riohl.riohl06@gmail.com</t>
  </si>
  <si>
    <t>https://yz2spukd8h-jbrk7pf7uvw.s3.amazonaws.com/2024/04/AjgJxVfhbIvz0ZIp8h0NpMCIS18prIsNhIzNbKH90Sw%3D.jpg</t>
  </si>
  <si>
    <t>22 anos, 0 meses, 7 dias</t>
  </si>
  <si>
    <t>Jardim Avenida</t>
  </si>
  <si>
    <t>05798-100</t>
  </si>
  <si>
    <t>Rua Gérson Marques da Silva</t>
  </si>
  <si>
    <t>158</t>
  </si>
  <si>
    <t>570526231</t>
  </si>
  <si>
    <t>(11) 96467-6304</t>
  </si>
  <si>
    <t>riohl.kali@gmail.com</t>
  </si>
  <si>
    <t>https://www.instagram.com/iamriuw/</t>
  </si>
  <si>
    <t>TÉCNICO EM DANÇA</t>
  </si>
  <si>
    <t>22023459086</t>
  </si>
  <si>
    <t>Meu nome é Riuw, sou uma pessoa de gênero fluído e tenho 21 anos, nasci aqui no capão redondo e aqui fui criado e estou até hoje. Minha família vem de uma cidade de Iracema - Ceará. Tenho muito apreço e me relaciono muito com este território através da arte, acompanhando eventos e conhecendo e aprendendo com artistas daqui.   Tive formação em teatro, dança e também pude me formar através do Instituto Criar em audiovisual, onde colaborei na construção de curtas metragens, participei na parte de produção e assistência de direção em produtoras no ramo no ramo de audiovisual, também atuei com o coletivo de produção ThgVest na construção do curta ‘’Dente por dente, olho por olho e nós por nós”.</t>
  </si>
  <si>
    <t>Atualmente estou me formando em circo, estou me desenvolvendo já faz 2 anos e meio, tive a oportunidade de fazer parte da formação de circo Folia mas por questão de saúde não pude mais continuar no projeto. No momento de hoje estou sem envolvimento em nenhum coletivo, apenas estudando por conta própria e desenvolvendo maneiras autónomas para gerar renda, a artes visuais é uma delas. Sou a primeira pessoa da minha família a seguir estudando nas áreas da arte graças às instituições de formações e cursos sociais aqui da zona sul, pretendo me desenvolver cada vez mais para a construção de uma carreira próspera.</t>
  </si>
  <si>
    <t>Futuramente gostaria de poder desenvolver cada vez mais trabalhos artísticos e poder aprender a produzir projetos com grandes investimentos que se relaciona com o território onde moro, estar com o pjmc fará grande diferença nessa caminhada que quero seguir, pois acredito no potencial do projeto e nos aprendizados que pode me proporcionar.   Também tenho vontade de seguir no ramo da educação como oficineiro com acrobacias e brincadeiras circenses para crianças. Bom, até então é isso que eu almejo para o meu futuro mais próximo, acho que o que mais dificulta isso atualmente é a falta de acesso financeiro.</t>
  </si>
  <si>
    <t>463.552.668-28</t>
  </si>
  <si>
    <t>LEONARDO LIMA SANTOS</t>
  </si>
  <si>
    <t>Leonardo Lima Santos</t>
  </si>
  <si>
    <t>leonardols.limasantos@gmail.com</t>
  </si>
  <si>
    <t>https://yz2spukd8h-jbrk7pf7uvw.s3.amazonaws.com/2024/05/1dD5YfL7G4p0IvbgfN47dsLQz5IcrPusnHwcPZRKr2Y%3D.jpg</t>
  </si>
  <si>
    <t>27 anos, 3 meses, 16 dias</t>
  </si>
  <si>
    <t>Jardim Palmares (Zona Norte)</t>
  </si>
  <si>
    <t>02328-170</t>
  </si>
  <si>
    <t>viela 4</t>
  </si>
  <si>
    <t>Rua Primavera</t>
  </si>
  <si>
    <t>381465780</t>
  </si>
  <si>
    <t>(11) 98899-6523</t>
  </si>
  <si>
    <t>LEONARDOLS.LIMASANTOS@GMAIL.COM</t>
  </si>
  <si>
    <t>https://www.instagram.com/emocionadinhu/</t>
  </si>
  <si>
    <t>CURSANDO - DESIGNER GRAFICO</t>
  </si>
  <si>
    <t>081168347-89</t>
  </si>
  <si>
    <t>Eu me chamo Leonardo, sou um transmasculino negro e nascido e criado dentro da periferia de São Paulo, antes morava na José Bonifácio, porém faz 1 ano e pouco que estou morando no Jaçanã. Eu sempre fui um jovem engajado em questões sociais, tenho uma certa ativação nesse campo, por isso já cursei por um tempo a faculdade de Serviço Social, porém devido a pandemia acabei trancando, mas foi o meu movimento pelas lutas que carrego no corpo que fez eu adentrar a este curso e também alcançar e auxiliar pessoas parecidas comigo.</t>
  </si>
  <si>
    <t>Atualmente eu acabei de finalizar um curso técnico no Senac de Design Gráfico que eu fui contemplado com uma bolsa de 100% e é por meio desse curso, como também minhas habilidades de ilustração digital que tiro o meu sustento, já que me encontro desempregado. No entanto eu sou apaixonado pela arte e suas expressões e como ela pode falar por mim e por muitos, por isso uso tanto o design quanto a ilustração como forma de expressar minha existencia, quanto um jovem trans, negro, de periferia e que é macumbeiro, então através da minha arte conto a minha história e dos meus ancestrais, e com o auxilio do meu terreiro consigo transformar essa movimentação lá dentro, dando voz aos meus.</t>
  </si>
  <si>
    <t>Meu desejo e meus movimentos atuais estão dentro do terreiro junto a minha arte, então o lugar que quero ir é abrir portas para pessoas trans pretas macumbeiras dentro do terreiro, quero contar nossa história e dos nossos ancestrais, quero que ali se torne um coletivo de potencia de corpos marginalizados. Também quero me formar dentro de uma faculdade, realizar algum curso voltado ao design, publicidade ou multimídia, mas se não der certo minha entrada na faculdade esse ano pretendo voltar para o Senac e realizar o curso de multimídia, que é também uma área que tenho muito gosto, principalmente por envolver animação, enfim, esse sou eu.</t>
  </si>
  <si>
    <t>458.480.208-41</t>
  </si>
  <si>
    <t>Mariana Cristina Matuo Rodrigues</t>
  </si>
  <si>
    <t>mariana.matuocr@gmail.com</t>
  </si>
  <si>
    <t>https://yz2spukd8h-jbrk7pf7uvw.s3.amazonaws.com/2024/06/rVXgmwVd1iheHBjoUHZkl6u0NLBSHYNqRYt94nxyPBM%3D.pdf</t>
  </si>
  <si>
    <t>28 anos, 11 meses, 27 dias</t>
  </si>
  <si>
    <t>Aclimação</t>
  </si>
  <si>
    <t>01532-001</t>
  </si>
  <si>
    <t>Apartamento 74 Bloco A</t>
  </si>
  <si>
    <t>LIBERDADE</t>
  </si>
  <si>
    <t>Rua Castro Alves</t>
  </si>
  <si>
    <t>493104501</t>
  </si>
  <si>
    <t>(19) 98328-2752</t>
  </si>
  <si>
    <t xml:space="preserve">Técnico </t>
  </si>
  <si>
    <t>https://www.instagram.com/marianamatuo6/</t>
  </si>
  <si>
    <t xml:space="preserve">Regência </t>
  </si>
  <si>
    <t>20212542286</t>
  </si>
  <si>
    <t>#ERROR!</t>
  </si>
  <si>
    <t>Natalia/Morizi/Gabriela/Natan</t>
  </si>
  <si>
    <t>https://youtu.be/fUufT6tu9ss</t>
  </si>
  <si>
    <t>446.863.428-64</t>
  </si>
  <si>
    <t>Kaio Henrique De Souza Monteiro</t>
  </si>
  <si>
    <t>henriquekaio2001@gmail.com</t>
  </si>
  <si>
    <t>https://yz2spukd8h-jbrk7pf7uvw.s3.amazonaws.com/2024/06/kHJ0vIbWrDdTv5JzWN4XB282rcLu%2BGbXeQobTIRWZnA%3D.jpeg</t>
  </si>
  <si>
    <t>22 anos, 10 meses, 3 dias</t>
  </si>
  <si>
    <t>Jardim sidney, São Paulo</t>
  </si>
  <si>
    <t>02781-030</t>
  </si>
  <si>
    <t>viela sem nome</t>
  </si>
  <si>
    <t>rua laranjeiras do sul</t>
  </si>
  <si>
    <t>07</t>
  </si>
  <si>
    <t>527244181</t>
  </si>
  <si>
    <t>(11) 98302-3140</t>
  </si>
  <si>
    <t xml:space="preserve">tec - palhaço </t>
  </si>
  <si>
    <t>16267469663</t>
  </si>
  <si>
    <t>oi meu nome e Kaio tenho 22 anos e por muito tempo morei em franco da rocha e la foi onde comecei a me envolver com a cultura  através das oficinas culturais desde 2019 comecei a me envolver fortemente na cultura local entrei na oficinas de circo, dança de salão , teatro e palhaço e desde então a cultura tem sido minha paixão  nela me entendi como pessoa lgbt ,negra , cis , e me politizei  todo este processo me fez enfrentar muito problemas e me desenvolver como ser humano.</t>
  </si>
  <si>
    <t>Atualmente eu estudo numa formação para jovens nos doutores da alegria está formação tem me ajudado muito como artista através dela tenho crescido artisticamente e entrado em contato com diversas formas de fazer arte e realidades das mais variadas tem sido um processo incrível e desafiador, mas este processo esta chegando ao fim neste ano de 2024 e por, mas que tenha aprendido bastante gostaria de aprender mais e ter estabilidade financeira para poder desenvolver meus trabalhos com o meu coletivo anônimos e poder continuar investindo nos meus estudos com dança e circo.</t>
  </si>
  <si>
    <t>Eu quero continuar estudando, tem muitos lugares que gostaria de entrar para continuar minha pesquisa gostaria de fazer humor na “sp” e gostaria de entrar numa escola de dança, tem várias coisas que gostaria de aprender ainda e também quero de focar no meu coletivo e me estruturar na arte e acredito que entrando no projeto do jovem monitor cultural poderia ter a estabilidade de um trabalho que da para fazer em conjunto com meus projetos.</t>
  </si>
  <si>
    <t>552.104.518-01</t>
  </si>
  <si>
    <t>Cássia Nunes Da Silva</t>
  </si>
  <si>
    <t>cassianunes.silva@hotmail.com</t>
  </si>
  <si>
    <t>https://yz2spukd8h-jbrk7pf7uvw.s3.amazonaws.com/2024/06/yBh9eBxFjrZqk2wowCSb%2B/oZpilheC1hFGEOzVrxNqk%3D.jpg</t>
  </si>
  <si>
    <t>25 anos, 11 meses, 13 dias</t>
  </si>
  <si>
    <t>PERI</t>
  </si>
  <si>
    <t>04426-010</t>
  </si>
  <si>
    <t>Casa 5</t>
  </si>
  <si>
    <t>Rua Giuseppe Boschi</t>
  </si>
  <si>
    <t>330</t>
  </si>
  <si>
    <t>67.055.636-1</t>
  </si>
  <si>
    <t>(11) 95271-2281</t>
  </si>
  <si>
    <t>https://www.instagram.com/cassians_?igsh=Zmhvc3Bta2NwM3R5</t>
  </si>
  <si>
    <t>TECNICO EM ALIMENTOS</t>
  </si>
  <si>
    <t>16416600936</t>
  </si>
  <si>
    <t>LÍBERO - SUPERVISÃO DE FORMAÇÃO CULTURAL - SFC</t>
  </si>
  <si>
    <t>https://youtu.be/jvLvnf77Hqo?si=al251xDJN31zz0Qo</t>
  </si>
  <si>
    <t>118.766.146-50</t>
  </si>
  <si>
    <t>Giulio Aruã De Holanda Santiago</t>
  </si>
  <si>
    <t>contatogiulioarua@gmail.com</t>
  </si>
  <si>
    <t>https://yz2spukd8h-jbrk7pf7uvw.s3.amazonaws.com/2024/04/6DtU6l0Q8wEN7apjpfYXtamt5lJvNbF4RI7QkWhS6Fo%3D.png</t>
  </si>
  <si>
    <t>25 anos, 5 meses, 30 dias</t>
  </si>
  <si>
    <t>Santana</t>
  </si>
  <si>
    <t>02013-050</t>
  </si>
  <si>
    <t>CAE JOÃO NERY</t>
  </si>
  <si>
    <t>SANTANA</t>
  </si>
  <si>
    <t>Rua Carlos Escobar</t>
  </si>
  <si>
    <t>86</t>
  </si>
  <si>
    <t>62.954.076-7</t>
  </si>
  <si>
    <t>(11) 97991-5387</t>
  </si>
  <si>
    <t>11-979915387</t>
  </si>
  <si>
    <t>https://www.instagram.com/principedasruas?igsh=bDhrYWR0cXRjbGZx</t>
  </si>
  <si>
    <t>nao</t>
  </si>
  <si>
    <t>201.31684.86-2</t>
  </si>
  <si>
    <t>SANTANA / TUCURUVI (SANTANA, TUCURUVI, MANDAQUI)</t>
  </si>
  <si>
    <t>https://youtu.be/7daDA9a-IuE?si=T_Ew1Dq9h3YUgZOk</t>
  </si>
  <si>
    <t>089.414.855-92</t>
  </si>
  <si>
    <t>TACIANA OLIVEIRA ILDEFONSO LOPES</t>
  </si>
  <si>
    <t>Taciana Oliveira Ildefonso Lopes</t>
  </si>
  <si>
    <t>bytacianalopes@gmail.com</t>
  </si>
  <si>
    <t>https://yz2spukd8h-jbrk7pf7uvw.s3.amazonaws.com/2024/04/8wtcNbmpNVLwbdrHfwRLC0OWOF0mGbWHuCu1hYguwuM%3D.jpeg</t>
  </si>
  <si>
    <t>21 anos, 6 meses, 11 dias</t>
  </si>
  <si>
    <t>GESTÃO  FINANCEIRA  CURSANDO</t>
  </si>
  <si>
    <t>Jardim Vera Cruz (Zona Leste)</t>
  </si>
  <si>
    <t>08330-140</t>
  </si>
  <si>
    <t>Rua Francisco Lustosa</t>
  </si>
  <si>
    <t>386996568</t>
  </si>
  <si>
    <t>(11) 95970-0703</t>
  </si>
  <si>
    <t>TACIANALOPES403@GMAIL.COM</t>
  </si>
  <si>
    <t>Cursando superior com bolsa integral (100%) do Prouni</t>
  </si>
  <si>
    <t xml:space="preserve">TÉCNICO </t>
  </si>
  <si>
    <t>https://www.instagram.com/tacianallopes/</t>
  </si>
  <si>
    <t>Superior</t>
  </si>
  <si>
    <t>MARKETING</t>
  </si>
  <si>
    <t>16687767462</t>
  </si>
  <si>
    <t>BIBLIOTECA MILTON SANTOS</t>
  </si>
  <si>
    <t>CEU SÃO RAFAEL</t>
  </si>
  <si>
    <t xml:space="preserve">JANAINA IKENWACHUKWU, CLAUDIA LECINIO, KAYQUE SILVA DOS SANTOS E EVANDRO SILVEIRA </t>
  </si>
  <si>
    <t>Olá. Me chamo Taciana Lopes, sou residente do distrito de São Mateus, localizado na zona leste de São Paulo. Logo, sendo uma periférica, fui me envolvendo com aspectos culturais e educacionais logo depois da maioridade, quando fui conhecer a fundo movimentos sociais e outros tipos de atividades relacionadas. Sempre fui uma pessoa estudiosa, interessada pelas culturas, que adora escrever, conhecer diferentes áreas.</t>
  </si>
  <si>
    <t>Com isso, iniciei com movimento negro, para ingressar no ensino superior, a UNEafro Brasil pelo núcleo Ilda Martins próximo de São Mateus, adentrando também representação da juventude do meu núcleo pelo movimento e conforme essa experiência, me desdobrei ainda mais e, também, para conhecer e aprender outras áreas: tive uma vivência estudantil de ida ao Rio de Janeiro, realizado pela 13ª Bienal dos Estudantes, fiz formações de território e história pelo coletivo CPDOC Guaianás, realizei curso livre profissionalizante de dublagem pela BKS Dublagens, conclui oficinas pelo São Mateus em Movimento, em audiovisual denominado Trajetos y Afetos, com práticas e conteúdos voltado a cinegrafia</t>
  </si>
  <si>
    <t>Laboratório de Líderes do século XXI, projeto voltado a juventude de periferia de São Mateus e liderança comprometida com seu território, com foco nas desigualdades socias e comunicação. Ademais, as minhas vivências mudaram minha percepção enquanto jovem, pois a experiência cultural e social mudou a perspectiva enquanto uma pessoa periférica, já que não somos estimulados a conhecer a próprio território que se vive e fincar raízes em termo de conhecimento da sua comunidade. Por conta disso, desejo dar continuidade nesses movimentos. Em suma, me interesso nesse segmento porque tenho interesse amplo sobre as culturas e suas especificidades. Além de que, cada experiência traz um conhecimento.</t>
  </si>
  <si>
    <t>522.045.878-77</t>
  </si>
  <si>
    <t>Maria Luisa Da Costa Ribeiro</t>
  </si>
  <si>
    <t>costamari13085@gmail.com</t>
  </si>
  <si>
    <t>https://yz2spukd8h-jbrk7pf7uvw.s3.amazonaws.com/2024/06/Ch3rP0FosfZt3Lc9glg4vyw%2BFHIcRq1IKeOz4GhzIAw%3D.jpeg</t>
  </si>
  <si>
    <t>18 anos, 8 meses, 5 dias</t>
  </si>
  <si>
    <t>Jardim Jaú (Zona Leste)</t>
  </si>
  <si>
    <t>03702-050</t>
  </si>
  <si>
    <t>PENHA</t>
  </si>
  <si>
    <t>Rua Alberto Colombero</t>
  </si>
  <si>
    <t>114</t>
  </si>
  <si>
    <t>521906684</t>
  </si>
  <si>
    <t>(11) 95913-2943</t>
  </si>
  <si>
    <t>TEC EM ADM</t>
  </si>
  <si>
    <t>08373430032</t>
  </si>
  <si>
    <t>PENHA (ARTUR ALVIM, CANGAÍBA, PENHA, VILA MATILDE)</t>
  </si>
  <si>
    <t>BIBLIOTECA JOSÉ PAULO PAES</t>
  </si>
  <si>
    <t>Sou a Maria Luísa, tenho 18 anos e minha história começa na zona Leste de São Paulo, onde nasci e fui criada, no bairro da Penha.   Fui criada com muito amor e resiliência por uma mãe solo, aprendi desde cedo a valorizar cada oportunidade, e a enfrentar as dificuldades com determinação.  Sou a caçula de quatro irmãos, uma posição que me ensinou muito, a compartilhar, a amar, e ser amada.  Sou apaixonada pela arte em geral, desde canto e dança, até livros e teatro.   Leio muito desde criança e meu lugar favorito é a biblioteca.   Danço desde que canto.   Comecei com ginástica ritimo, ballet e jazz, e segui para o circo numa fábrica de cultura, onde também fiz dança contemporânea.</t>
  </si>
  <si>
    <t>Aos 18 anos, me encontro agora morando na Penha com minha mãe, explorando quem sou, e o que desejo, especialmente descobrindo meu sonhos, e buscando realizar alguns que sempre tive, como cantar.   No início do ano enfrentei uma doença incrivelmente dolorosa e difícil, a herpes Zoster, e recentemente descobri que tenho TDAH e autismo, o que tem me ajudado a entender como me "encaixo" no mundo.   Apesar dos desafios que venho enfrentado, tenho aprendido muito sobre mim, e sobre o mundo, e encontro na música uma forma de expressão e também uma jornada de auto descoberta.  Experimento diversos tipo de arte, e aprendo muito com cada uma, pretendo seguir adquirindo mais conhecinenti sobre arte em nov</t>
  </si>
  <si>
    <t>Desde muito pequena, meu sonho sempre foi cantar.  Então nos próximos anos, pretendo explorar esse desejo com determinação e paixão, buscar oportunidades para me aprimorar e compartilhar minha voz com o mundo.  Além disso, tenho o sonho de explorar o mundo.  Meu objetivo é conhecer o Brasil e, em seguida, a Europa, desejo absorver diversas culturas e fazer voluntariado ao longo do caminho. Meu objetivo é descobrir a cultura que mais se conecte com meu coração e, eventualmente, estabelecer raízes neste lugar.   Para facilitar, tenho estudado inglês, pois essa língua não é apenas uma ferramenta para comunicação, mas também uma porta de entrada para adquirir novos conhecimentos e oportunidades em t</t>
  </si>
  <si>
    <t>439.601.438-42</t>
  </si>
  <si>
    <t>GIOVANNA ROCHA PEREIRA</t>
  </si>
  <si>
    <t>Giovanna Rocha Pereira</t>
  </si>
  <si>
    <t>giovannarochaoliv@hotmail.com</t>
  </si>
  <si>
    <t>https://yz2spukd8h-jbrk7pf7uvw.s3.amazonaws.com/2024/05/ebj9SyVIwaA7NAdN34LLBlw9oKj8Ywku2DyjHiK7nb4%3D.pdf</t>
  </si>
  <si>
    <t>19 anos, 3 meses, 9 dias</t>
  </si>
  <si>
    <t>Jardim Shangrilá (Zona Sul)</t>
  </si>
  <si>
    <t>04852-000</t>
  </si>
  <si>
    <t>Rua Engenheiro Guaracy Torres</t>
  </si>
  <si>
    <t>499</t>
  </si>
  <si>
    <t>558195763</t>
  </si>
  <si>
    <t>(11) 98307-1751</t>
  </si>
  <si>
    <t>16299972107</t>
  </si>
  <si>
    <t>CEU NAVEGANTES</t>
  </si>
  <si>
    <t>Me chamo Giovanna Rocha Pereira, tenho 19 anos e sou residente do bairro do Grajaú, extremo sul de São Paulo. Possuo origem humilde e fui criada por mãe solo em conjunto de outros dois irmãos - uma menina de 5 anos e um irmão mais velho, de 23 anos, com quem moro atualmente. Me formei numa escola pública do bairro, onde conheci pessoas que tiveram total influência no meu futuro,  que me auxiliaram a descobrir minhas paixões acadêmicas e me incentivaram a e valorizar o meu potencial, apesar dos parcos recursos econômicos. Nesse sentido, apesar das dificuldades em que estive submetida ao longo desses 19 anos, nunca deixei de ter vontade de aprender e, principalmente, de evoluir como pessoa.</t>
  </si>
  <si>
    <t>Atualmente, sou vestibulanda e, devido à grande quantidade de cursinhos pré-vestibular que prestei, possuo facilidade em escrita e aptidão para planejamentos e organização. Ademais, também tenho habilidades e gosto por trabalhos artísticos, artesanais e manuais.  Desejo prestar ciências biológicas ou ciências sociais que, apesar de serem cursos de áreas divergentes, representam alguns de meus interesses e valores. Por fim, estou em fase de descoberta pessoal, e em função dessas condições, ambiciono vivenciar novas experiências marcantes dentro da minha vida profissional, bem como o desejo de conhecer outras realidades sociais e lidar com um público amplo.</t>
  </si>
  <si>
    <t>Acima da vontade de possuir qualquer ganho material no meu futuro emprego, aspiro atuar em uma área que dê algum tipo de retorno para a sociedade, tanto no aspecto cultural, quanto social. E, acredito que os cursos acadêmicos de meu interesse, alinhados à minha vontade de trabalhar como jovem monitora cultural, estejam em consonância com esse objetivo proposto.</t>
  </si>
  <si>
    <t>548.455.408-00</t>
  </si>
  <si>
    <t>Larissa Beltran Martins</t>
  </si>
  <si>
    <t>larissa.bmart@gmail.com</t>
  </si>
  <si>
    <t>https://yz2spukd8h-jbrk7pf7uvw.s3.amazonaws.com/2024/06/JeFPjEoOaMFhhYZahuwvTUyn3ak7UALmRAlB9noNhRs%3D.jpg</t>
  </si>
  <si>
    <t>21 anos, 7 meses, 1 dias</t>
  </si>
  <si>
    <t>Tremembé</t>
  </si>
  <si>
    <t>02376-020</t>
  </si>
  <si>
    <t>Rua Francisco Inglês</t>
  </si>
  <si>
    <t>236</t>
  </si>
  <si>
    <t>53.075.469-1</t>
  </si>
  <si>
    <t>(11) 94529-7932</t>
  </si>
  <si>
    <t>https://www.instagram.com/beltran.laris_?igsh=dWd1M3cxdno0MXBm</t>
  </si>
  <si>
    <t xml:space="preserve">tec - administração e audiovisual </t>
  </si>
  <si>
    <t>8238528577</t>
  </si>
  <si>
    <t>Venho da periferia da zona norte de São Paulo, da Vila Albertina, onde criei raízes e fui uma criança artista. Desde pequena participando dos projetos sociais do meu bairro tive contato com a cultura e aprendi junto dos meus a importância da sua valorização e seu papel como agente de mudança numa sociedade, principalmente quando ela acontece junto das crianças de uma comunidade. Lembro de brincar na rua e de que andar pelo meu bairro apenas observando as pessoas, as casas, o movimento, pra mim era brincar também. Sempre fui muito imaginativa, acredito que até hoje eu seja, e consigo transpor em forma de arte. Por isso devo muito a minha criança, agradeço e alimento ela com meus sonhos.</t>
  </si>
  <si>
    <t>Hoje, me torno uma mulher artista e artesã a cada dia. Sou uma curiosa nata e tenho sede de aprender e partilhar, é isso que me motiva. Como arte educadora faço parte de um coletivo cultural que atua com oficinas de arte na rua para crianças de quebradas em São Paulo, explicando e assegurando os direitos presentes no Estatuto da Criança e do Adolescente, e atuo na produção cultural do Quilombo Urbano São Benedito que me acolhe a cada dia. Meu sonho de criança sempre foi um dia ser artista, como aqueles que eu tanto admirava e conhecia, hoje sei que minha criança, que muitas vezes se sentia sozinha, anda comigo para onde quer que eu vá, e isso me faz feliz.</t>
  </si>
  <si>
    <t>Quero ir para lugares que me cabem, me respeitam e me acolhem. A cultura e a arte são parte da minha vida e do meu eu, é assim que eu quero seguir. Como mulher, busco trazer representatividade feminina para cenada arte, que é tão masculina e elitista, seja em forma de graffiti, pintura ou escultura. Quero estar em espaços que eu possa partilhar e aprender, deixar um pouquinho de mim em cada lugar que passo. Dito isso, meu principal objetivo é ser verdadeira comigo mesma e com tudo que sou e pretendo me tornar nessa minha caminhada. Que seja como for, mas que seja sincero.</t>
  </si>
  <si>
    <t>437.444.468-83</t>
  </si>
  <si>
    <t>Natalia Santos</t>
  </si>
  <si>
    <t>Ntalia Souza De Jesus Santos</t>
  </si>
  <si>
    <t>NATALIA SANTOS</t>
  </si>
  <si>
    <t>2002natalia.santos@gmail.com</t>
  </si>
  <si>
    <t>https://yz2spukd8h-jbrk7pf7uvw.s3.amazonaws.com/2024/05/Qcp1ur%2BjlTeju5%2BH7vd6tMqV0RrcvpDcnXNeMK4ZjEg%3D.jpg</t>
  </si>
  <si>
    <t>22 anos, 3 meses, 9 dias</t>
  </si>
  <si>
    <t>Campos Elíseos</t>
  </si>
  <si>
    <t>01203-001</t>
  </si>
  <si>
    <t>101</t>
  </si>
  <si>
    <t>REPÚBLICA</t>
  </si>
  <si>
    <t>Rua Conselheiro Nébias</t>
  </si>
  <si>
    <t>235</t>
  </si>
  <si>
    <t>668377094</t>
  </si>
  <si>
    <t>(11) 95168-7104</t>
  </si>
  <si>
    <t>083867325</t>
  </si>
  <si>
    <t>Natan/Cristine/Iago/Maria Izabel</t>
  </si>
  <si>
    <t>Sou uma mulher preta nordestina, nascida em Salvador, Bahia. Lugar que morro de saudades todos os dias. Nasci em uma familia simples no cabula periferia de salvador, cresci em uma casa de dois comodos com minha mãe e dois irmãos. Sempre cuidei deles, pois minha mãe sempre trabalhou muito, infelizmente não tivemos pai presente. Porem mesmo as adversidades da vida, conseguimos mudar um pouco de vida.</t>
  </si>
  <si>
    <t>Atualmente moro sozinha, no bairro da republica em São Paulo. Me mudei há alguns anos com o dinheiro que juntei sendo garçonete, no meio disso ganhei uma bolda para estudar fotografia no senac, e desde então me desdobro em mil para finalizar o curso com excelencia e conseguir começar a investir nos materiais. Infelizmente não pude continuar no trabalho pois não tinha como conciliar, para pagar minhas contas e aluguel, faço freelas de atendente e limpeza.</t>
  </si>
  <si>
    <t>Estou me encaminhando para felicidade. Ganhar dinheiro e pagar minhas contas será alcançar felicidade plena para mi, sou completamente apaixonada e modéstia a parte, sou incrivelmente boa no que faço. Então é fácil vislumbrar o sucesso, mesmo tudo sendo muito dificil e caro no mundo do audiovisual. Depois que terminar o curso de fotografia, pretendo cursar audiovisual. Então se fosse para responder objetivamente para onde vou, vou para a fotografia.</t>
  </si>
  <si>
    <t>540.417.578-86</t>
  </si>
  <si>
    <t>Henrique Mataqueiro Da Silva</t>
  </si>
  <si>
    <t>henriqueaiala0800@gmail.com</t>
  </si>
  <si>
    <t>https://yz2spukd8h-jbrk7pf7uvw.s3.amazonaws.com/2024/06/OGvlR9iQ1AfyK03%2BIfEbSIDk2uIU2FI8DXB8SlIwidY%3D.pdf</t>
  </si>
  <si>
    <t>21 anos, 1 meses, 25 dias</t>
  </si>
  <si>
    <t>SE MUDOU PARA VILA ALPINA</t>
  </si>
  <si>
    <t>Vila Industrial</t>
  </si>
  <si>
    <t>03253-020</t>
  </si>
  <si>
    <t>Casa-02</t>
  </si>
  <si>
    <t>SÃO LUCAS</t>
  </si>
  <si>
    <t>Rua Dois Irmãos</t>
  </si>
  <si>
    <t>162</t>
  </si>
  <si>
    <t>567609480</t>
  </si>
  <si>
    <t>(19) 98189-5495</t>
  </si>
  <si>
    <t>HENRIQUEAIALA0800@GMAIL.COM</t>
  </si>
  <si>
    <t>3869349247</t>
  </si>
  <si>
    <t>Olá, meu nome é Henrique Mataqueiro da Silva, nasci em 24 de abril de 2003 na cidade de São Paulo, já morei em muitos endereços pela cidade devido a mudanças, quando meus pais se divorciaram morei 6 anos na cidade de Indaiatuba morando com parentes e em casas alugadas, no começo da pandemia saimos de Indaiatuba e voltamos a São Paulo devido uma proposta de emprego de minha Mãe, tal proposta que não durou muito tempo.    Dês de sempre fui muito ligado em relação a cultura e a arte, consumindo diversas mídias que variam a livros, quadrinhos, filmes desenhos animados e etc. Ao me identificar comecei a praticar desenho e escrita, pois criar novas ideias para me expressar sempre foi minha paixão.</t>
  </si>
  <si>
    <t>Atualmente estou morando na cidade de São Paulo, na Vila industrial, Zona leste. Nos últimos anos passei por muitos momentos de auto conhecimento, pois pela maior parte da minha vida quis ser um cientista por querer descobrir como as coisas funcionam e de criar novas soluções, devido a desilusões no decorrer do caminho e de muita reflexão, me toquei que o  que realmente aprecio é o arte, pois é algo que sempre esteve presente em minha vida, jamais deixei de desenhar e escrever, continuo estudando novas técnicas de desenho e escrita para virar um animador, fiz o vestibular novamente para artes visuais, acabei não conseguindo desta vez, mas continuo tentando enquanto procuro emprego.</t>
  </si>
  <si>
    <t>Depois de finalmente encontrar meu propósito e paixão, desejo muito encontrar algum caminho na arte e na cultura para viver nesse meio, quero fazer histórias em quadrinhos, conseguir estudar artes e animação para entrar nesse mercado pois tenho muita coisa para mostrar, e apesar das dificuldades sempre continuarei tentando pois a arte é a forma transcendental de experimentação dos conceitos do universo.</t>
  </si>
  <si>
    <t>444.587.578-30</t>
  </si>
  <si>
    <t>GABRIELLA SOARES VITORINO</t>
  </si>
  <si>
    <t>Gabriella Soares Vitorino</t>
  </si>
  <si>
    <t>VENUS VIORINO</t>
  </si>
  <si>
    <t>Venus Viorino</t>
  </si>
  <si>
    <t>venusvitorino@gmail.com</t>
  </si>
  <si>
    <t>https://yz2spukd8h-jbrk7pf7uvw.s3.amazonaws.com/2024/04/18oHr6SSuPjlKuzcgHk2cZbMqWo/HY0RjFGZd9CDSUo%3D.jpeg</t>
  </si>
  <si>
    <t>26 anos, 7 meses, 26 dias</t>
  </si>
  <si>
    <t>Vila Gustavo</t>
  </si>
  <si>
    <t>02206-010</t>
  </si>
  <si>
    <t>TUCURUVI</t>
  </si>
  <si>
    <t>Rua da Grota</t>
  </si>
  <si>
    <t>255</t>
  </si>
  <si>
    <t>52557957-6</t>
  </si>
  <si>
    <t>(11) 94843-4613</t>
  </si>
  <si>
    <t>VENOSVITORINO@GMAIL.COM</t>
  </si>
  <si>
    <t>https://www.instagram.com/venusvitorino/</t>
  </si>
  <si>
    <t>TEC - MARKETING, MUSICA, TATTOAGEM</t>
  </si>
  <si>
    <t>20444136074</t>
  </si>
  <si>
    <t>https://www.youtube.com/watch?v=nYeYw-7eGCk</t>
  </si>
  <si>
    <t>494.131.968-00</t>
  </si>
  <si>
    <t>Andrielle Fernandes Dantas</t>
  </si>
  <si>
    <t>andrielledantas@hotmail.com</t>
  </si>
  <si>
    <t>https://yz2spukd8h-jbrk7pf7uvw.s3.amazonaws.com/2024/06/Sm5heDYKe17Nqx9V3mB5gud5yEmVl%2BDRGn0K%2BIK/d54%3D.jpeg</t>
  </si>
  <si>
    <t>21 anos, 8 meses, 17 dias</t>
  </si>
  <si>
    <t>Jardim dos Ipês</t>
  </si>
  <si>
    <t>08161-440</t>
  </si>
  <si>
    <t>Rua Francisca Manrique Guerra</t>
  </si>
  <si>
    <t>554687471</t>
  </si>
  <si>
    <t>(11) 98823-2504</t>
  </si>
  <si>
    <t>063493852-50</t>
  </si>
  <si>
    <t>Sou uma mulher negra do extremo da zona leste de São Paulo, do bairro Itaim Paulista. Cresci em uma comunidade carente, mas, cheia de força, onde aprendi a valorizar a resiliência e a determinação. Viver no Itaim Paulista me ensinou a importância da comunidade e da solidariedade. Desde jovem, sempre fui curiosa e apaixonada por aprender coisas novas. A cultura e a história do meu bairro sempre foram uma fonte de inspiração para mim. A convivência com diferentes pessoas e histórias de vida me moldaram para ser a pessoa que sou hoje. Tenho muito orgulho das minhas raízes e acredito que elas me deram uma base sólida para enfrentar os desafios da vida.</t>
  </si>
  <si>
    <t>Atualmente, estou em uma fase de transição e crescimento pessoal e profissional. Estou trabalhando e, ao mesmo tempo, buscando novas oportunidades de educação para expandir meus horizontes e conhecimentos. Além de meu trabalho, estou constantemente me inscrevendo em cursos e participando de workshops para me manter atualizada e competitiva no mercado. A educação é uma prioridade para mim, pois acredito que é uma ferramenta poderosa para transformação pessoal e social. Essa busca contínua por conhecimento reflete minha determinação em crescer e fazer a diferença em minha carreira e na minha comunidade.</t>
  </si>
  <si>
    <t>Meu objetivo é continuar me especializando e contribuir de maneira significativa para a minha área de atuação. Quero me tornar uma referência no meu campo e usar meu conhecimento para promover mudanças positivas. Estou em constante busca por novos desafios que me permitam crescer e fazer a diferença na minha comunidade e além. Acredito que, com dedicação e esforço, posso alcançar meus objetivos e inspirar outras pessoas ao longo do caminho. Quero mostrar que, independentemente de onde você vem, é possível alcançar grandes feitos com determinação e trabalho duro. Meu sonho é não só crescer profissionalmente, mas também impactar positivamente as pessoas ao me redor.</t>
  </si>
  <si>
    <t>509.071.958-65</t>
  </si>
  <si>
    <t>caique.g.matos@gmail.com</t>
  </si>
  <si>
    <t>https://yz2spukd8h-jbrk7pf7uvw.s3.amazonaws.com/2024/06/bxsRT/wTdeVurPuvWEeVVwdXrBQ5pTgRn/focKKf0LQ%3D.jpg</t>
  </si>
  <si>
    <t>23 anos, 10 meses, 13 dias</t>
  </si>
  <si>
    <t>nenhuma  formacao</t>
  </si>
  <si>
    <t>Jardim Camargo Novo</t>
  </si>
  <si>
    <t>08141-530</t>
  </si>
  <si>
    <t>Rua Mixira</t>
  </si>
  <si>
    <t>363</t>
  </si>
  <si>
    <t>39.039.612-6</t>
  </si>
  <si>
    <t>(11) 91364-2107</t>
  </si>
  <si>
    <t>https://www.instagram.com/caiqueg.matos?igsh=MjlqdzNnajN5aDYw</t>
  </si>
  <si>
    <t>058227942-97</t>
  </si>
  <si>
    <t>Sou do Itaim Paulista, zona leste de SP, tenho 23 anos e sou dançarino desde os 15. venho participando em oficinas em casas e fábricas de cultura e workshops em eventos de danças urbanas, onde aprendi as técnicas de Popping, Locking, Hip Hop, entre outras danças . Durando o ano de 2019 dei aula pelo período de 1 ano no CCA nossa senhora da aparecida no Parque Novo Mundo, no mesmo ano entrei como aprendiz do núcleo luz no ciclo 1 onde aprendi técnicas de outras danças como contemporâneo e ballet.</t>
  </si>
  <si>
    <t>Atualmente trabalho como intérprete - criador no Coletivo Soul Dip, que tem como pesquisa como pesquisa dança, contexto político e social da cultura Funk Soul  e atualmente tem como pesquisa a cultura da quebrada de São Paulo, estamos vindo de uma produção de Audiovisual com o Vai e estamos com o fomento a dança atualmente, seguindo com a mesma linha de pesquisa.</t>
  </si>
  <si>
    <t>433.373.788-54</t>
  </si>
  <si>
    <t>Fabio De Santana Ferreira</t>
  </si>
  <si>
    <t>faabiosantanaoficial@gmail.com</t>
  </si>
  <si>
    <t>https://yz2spukd8h-jbrk7pf7uvw.s3.amazonaws.com/2024/06/V/iXrkPBYtmx7pEdXrjQX6o8tuIz57n9rijn6NOfMU8%3D.jpeg</t>
  </si>
  <si>
    <t>23 anos, 9 meses, 17 dias</t>
  </si>
  <si>
    <t>Parque Brasil</t>
  </si>
  <si>
    <t>04846-010</t>
  </si>
  <si>
    <t>Avenida Dona Belmira Marin</t>
  </si>
  <si>
    <t>5031</t>
  </si>
  <si>
    <t>20.307.758-00</t>
  </si>
  <si>
    <t>(11) 95379-3365</t>
  </si>
  <si>
    <t>fabiosantanaoficial@gmail.com</t>
  </si>
  <si>
    <t>14556440048</t>
  </si>
  <si>
    <t>CEU TRÊS LAGOS</t>
  </si>
  <si>
    <t>https://www.youtube.com/watch?v=9FmvW8NKEJY</t>
  </si>
  <si>
    <t>862.846.335-64</t>
  </si>
  <si>
    <t>Murillo De Oliveira Campos</t>
  </si>
  <si>
    <t>nerdop09@gmail.com</t>
  </si>
  <si>
    <t>https://yz2spukd8h-jbrk7pf7uvw.s3.amazonaws.com/2024/06/8toLTJtSAMJlk1oe86FqXE/Wn4uR/a4wbHkekab/THU%3D.jpeg</t>
  </si>
  <si>
    <t>18 anos, 11 meses, 4 dias</t>
  </si>
  <si>
    <t>Vila Nova Curuçá</t>
  </si>
  <si>
    <t>08032-650</t>
  </si>
  <si>
    <t>91b</t>
  </si>
  <si>
    <t>Rua Padre Nildo do Amaral Júnior</t>
  </si>
  <si>
    <t>720</t>
  </si>
  <si>
    <t>527659666</t>
  </si>
  <si>
    <t>(11) 91673-9766</t>
  </si>
  <si>
    <t>NERDOP09@GMAIL.COM</t>
  </si>
  <si>
    <t>053524558-07</t>
  </si>
  <si>
    <t>Venho de muitos lugares desde a Vila Maria até o Pará. eu sou/fui de muitos lugares mas o importante é o que eu levo de cada lugar que eu passo para a minha vida e para a dos meus semelhantes o lugar que eu vim pode dizer algo mas o que eu realmente diz algo é o que eu sou independente do lugar que eu vim ou de onde eu moro. Eu sou da comunidade desde o nascimento morei em São Mateus .Sapopemba, Vera cruz, Vila nova Curuçá,</t>
  </si>
  <si>
    <t>Estou atualmente em questão de moradia na Vila Nova Curuçá a uns 4 anos. terminei meu ensino médio aqui e ainda nao me sinto parte do lugar que eu moro nem da comunidade. Pretendo estar em outro lugar em breve. no lugar que eu estou eu nao sinto liberdade para ser quem eu sou ou fazer o que eu gosto e estar com quem eu amo em resumo tenho problemas com minha casa.</t>
  </si>
  <si>
    <t>Vou para onde eu quiser conquistar o que eu quero com meu estudo e minha cultura sempre sendo eu mesmo tendo que me desdobrar um pouco no processo nunca vou perder a minha essência. Pretendo começar minha faculdade de psicologia no começo do ano que vem depois de conseguir a nota pelo ENEM e ter direito a bolsa em uma instituição boa no curso que eu desejo fazer. Ter a minha casa e independência é um dos grandes objetivos que eu tenho para saber justamente onde eu vou</t>
  </si>
  <si>
    <t>501.980.608-07</t>
  </si>
  <si>
    <t>YASMIN SILVA LEITE</t>
  </si>
  <si>
    <t>Yasmin Silva Leite</t>
  </si>
  <si>
    <t>YASMIN</t>
  </si>
  <si>
    <t>Yasmin</t>
  </si>
  <si>
    <t>yasminleiteprod@gmail.com</t>
  </si>
  <si>
    <t>https://yz2spukd8h-jbrk7pf7uvw.s3.amazonaws.com/2024/06/aQGbAnjeDJHclcpCBaHUNDurwfrPrEACeaBjhEMN4c0%3D.jpg</t>
  </si>
  <si>
    <t>20 anos, 8 meses, 25 dias</t>
  </si>
  <si>
    <t>Conjunto Habitacional Fazenda do Carmo</t>
  </si>
  <si>
    <t>08421-550</t>
  </si>
  <si>
    <t>Bloco c</t>
  </si>
  <si>
    <t>Rua Coração Sertanejo</t>
  </si>
  <si>
    <t>510</t>
  </si>
  <si>
    <t>521868567</t>
  </si>
  <si>
    <t>(11) 94841-6379</t>
  </si>
  <si>
    <t>YASMIMLEITEPROD@GMAIL..COM</t>
  </si>
  <si>
    <t>https://www.instagram.com/yasminnleitte?igsh=ODRpdnZ1MWp4aHFn</t>
  </si>
  <si>
    <t>AUDIO E  VISUAL ,TEATRO</t>
  </si>
  <si>
    <t>16306289020</t>
  </si>
  <si>
    <t>https://drive.google.com/drive/folders/1S07NknkBtlK6tCtbB6bMg-vKPw0CLSi_</t>
  </si>
  <si>
    <t>240.106.948-82</t>
  </si>
  <si>
    <t>ANA GABRIELA SARZO CHIPANA</t>
  </si>
  <si>
    <t>Ana Gabriela Sarzo Chipana</t>
  </si>
  <si>
    <t>238.***.***-46</t>
  </si>
  <si>
    <t>liaotako93@gmail.com</t>
  </si>
  <si>
    <t>https://yz2spukd8h-jbrk7pf7uvw.s3.amazonaws.com/2024/04/tj7DDL7uL5A50dM2L2A4DF%2BV60UghugF4VYvhmPS9pA%3D.jpg</t>
  </si>
  <si>
    <t>32589934</t>
  </si>
  <si>
    <t>18 anos, 3 meses, 21 dias</t>
  </si>
  <si>
    <t>Santa Efigênia</t>
  </si>
  <si>
    <t>01213-000</t>
  </si>
  <si>
    <t>1111</t>
  </si>
  <si>
    <t>SANTA CECÍLIA</t>
  </si>
  <si>
    <t>Rua General Osório</t>
  </si>
  <si>
    <t>188</t>
  </si>
  <si>
    <t>G0376430</t>
  </si>
  <si>
    <t>(11) 98685-8036</t>
  </si>
  <si>
    <t>anagabrielasarzo@gmail.com</t>
  </si>
  <si>
    <t>https://www.instagram.com/sia_sarzo?igsh=MXJzM3F0ejBkcHQ2cw==</t>
  </si>
  <si>
    <t>tec em adm</t>
  </si>
  <si>
    <t>237.28957.43-3</t>
  </si>
  <si>
    <t>Vander/Cássia/Natan/Gabriela/William</t>
  </si>
  <si>
    <t>Eu vim da Bolívia, um pais frio e rígido com muitas regras, as pessoas são mais caladas,  eu morava com a minha mãe e meu irmão na época, eu tinha outra irmã antes, mas ela faleceu devido a falta de assistência médica, eu tinha 2 anos e ela tinha alguns meses, ela sstava com febre e minha mãe a levou no médico e ela não saiu mais viva, minha mãe sofreu bastante e eu  quando fiquei sabendo disso, a escola era boa, o estudo era forte, minha mãe trabalhava o dia todo e eu ficava em casa com meu irmãozinho Leonel onde a nossa avó cuidava de nós.  Certo dia minha mãe decidiu vir para São Paulo para ser costureira, então nós levou e eu vim para São Paulo em 2011 com uns 6 anos</t>
  </si>
  <si>
    <t>Atualmente moro em São Paulo e já conclui meu ensino médio, tenho 4 irmãos e faço de tudo para cuidar dele e ao mesmo tempo estudar para passar na faculdade, porque eu tentei entrar pelo prouni e não deu certo pois era estrangeira, foi difícil tentar ter essa vaga pois vim de escola pública onde não tive aulas muito prestativas para o Enem, mas luto para conseguir</t>
  </si>
  <si>
    <t>Eu quero ir o mais longe que eu puder, sempre estou estudando para ser a primeira profissional da minha família, eu não consegui passar pois a escola só tinha etinerarios que substituíram várias aulas importantes como física, química, biologia e história, e as aulas de matemática e português não eram voltadas para o Enem, então estava difícil passar, eu queria comprar um curso, mas era muito caro, então comecei a fazer uns bicos para juntar dinheiro e fazer o curso, o programa também iria me ajudar bastante.</t>
  </si>
  <si>
    <t>238.408.758-46</t>
  </si>
  <si>
    <t>Paulo Henrique Vicente Barbosa</t>
  </si>
  <si>
    <t>phvicente889@gmail.com</t>
  </si>
  <si>
    <t>https://yz2spukd8h-jbrk7pf7uvw.s3.amazonaws.com/2024/05/8/8gdE6nP3WxaNNi0mrLYa0nuyT7FZVdZ4vRqTHReqA%3D.jpg</t>
  </si>
  <si>
    <t>21 anos, 9 meses, 20 dias</t>
  </si>
  <si>
    <t>CURSO TECNICO EM QUIMICA TAMBÉM</t>
  </si>
  <si>
    <t>Jardim Santo André</t>
  </si>
  <si>
    <t>08390-400</t>
  </si>
  <si>
    <t>Rua Godói Bueno</t>
  </si>
  <si>
    <t>16</t>
  </si>
  <si>
    <t>389504610</t>
  </si>
  <si>
    <t>(11) 93906-4182</t>
  </si>
  <si>
    <t>PHVICENTE889@GMAIL.COM</t>
  </si>
  <si>
    <t>TECNICO MECANICO DE AUTOMOTIVO</t>
  </si>
  <si>
    <t>23619169477</t>
  </si>
  <si>
    <t>https://youtu.be/qDYGktWfFWk</t>
  </si>
  <si>
    <t>415.344.858-30</t>
  </si>
  <si>
    <t>JULIA CAROLINA VIEIRA PEREIRA</t>
  </si>
  <si>
    <t>Júlia Carolina Vieira Pereira</t>
  </si>
  <si>
    <t>juliacarolvp@hotmail.com</t>
  </si>
  <si>
    <t>https://yz2spukd8h-jbrk7pf7uvw.s3.amazonaws.com/2024/04/ww2l6uzn3E1wbN2SWo%2BATD3eXyjEtDygPmGS2H2i/0Q%3D.png</t>
  </si>
  <si>
    <t>22 anos, 7 meses, 5 dias</t>
  </si>
  <si>
    <t>TECNICO PRUDUÇÃO  DE  MODA</t>
  </si>
  <si>
    <t>Vila Ivone</t>
  </si>
  <si>
    <t>03275-000</t>
  </si>
  <si>
    <t>1558 , Apto 112</t>
  </si>
  <si>
    <t>VILA PRUDENTE</t>
  </si>
  <si>
    <t>Rua Solidônio Leite</t>
  </si>
  <si>
    <t>1558</t>
  </si>
  <si>
    <t>397229847</t>
  </si>
  <si>
    <t>(11) 97200-2104</t>
  </si>
  <si>
    <t>JULIACAROLVP@HOTMAIL.COM</t>
  </si>
  <si>
    <t>https://www.instagram.com/wast3lands/</t>
  </si>
  <si>
    <t>FOTOGRAFIA</t>
  </si>
  <si>
    <t>078775520-68</t>
  </si>
  <si>
    <t>BIBLIOTECA RICARDO RAMOS</t>
  </si>
  <si>
    <t>https://drive.google.com/drive/u/0/folders/1-D1bOPEKkzD7YZEkycrS1UEgmneL0Fk2</t>
  </si>
  <si>
    <t>393.043.348-61</t>
  </si>
  <si>
    <t>Eduardo André Dos Santos</t>
  </si>
  <si>
    <t>eduardoa.santos@outlook.com</t>
  </si>
  <si>
    <t>https://yz2spukd8h-jbrk7pf7uvw.s3.amazonaws.com/2024/06/v8VPHqAUvA2/2y3nZHLh852dRvt/Akx/c7RQM%2BTKGq8%3D.jpg</t>
  </si>
  <si>
    <t>22 anos, 5 meses, 13 dias</t>
  </si>
  <si>
    <t>Jardim Apurá</t>
  </si>
  <si>
    <t>04470-010</t>
  </si>
  <si>
    <t>casa 2</t>
  </si>
  <si>
    <t>Rua Independência</t>
  </si>
  <si>
    <t>50</t>
  </si>
  <si>
    <t>569698285</t>
  </si>
  <si>
    <t>(11) 99170-3955</t>
  </si>
  <si>
    <t>https://www.linkedin.com/in/eduardo-andr%C3%A9-342640142?utm_source=share&amp;utm_campaign=share_via&amp;utm_content=profile&amp;utm_medium=android_app</t>
  </si>
  <si>
    <t>BACHARELADO EM ARTES VISUAIS</t>
  </si>
  <si>
    <t>23682528799</t>
  </si>
  <si>
    <t>Sou Eduardo, já atuei como arte educador em instituições como Fundação Bienal de São Paulo e Casa Museu Ema Klabin, atualmente curso bacharelado em artes visuais. Nesse meu trajeto me deparei com diversas possibilidades, a educação e a curadoria são as que mais me chamam atenção e tenho profundo interesse em atuar nessa junção de áreas. Acredito que as artes visuais e tudo que ela possibilita, é um veículo potente na transformação da realidade em direção a uma sociedade mais justa, gostaria de produzir conhecimento a partir dela e possibilitar que outras pessoas acessem, falem e fruam, para que assim vejam e contem também suas histórias nos espaços da memória.</t>
  </si>
  <si>
    <t>Na minha região são pouquíssimas as possibilidades existentes para um espaço receber por exemplo uma mostra de artes visuais, me vejo tendo que fugir para outros lugares em que há equipamentos que possibilitem a existência de tais mostras. Nesse sentido, há também a falta de incentivo para que artistas locais produzam expressões artísticas, principalmente as plásticas. Quero enquanto monitor ser propositivo na construção de um território que dialogue e produza sobre si, que as pessoas que aqui habitam, como eu, não tenham que buscar acessar uma exposição de arte ou uma peça de teatro tão longe de suas casas.</t>
  </si>
  <si>
    <t>Acredito que tenho certa circulação no circuito artístico e durante esse tempo, vi coisas que funcionam e que não funcionam, estar dentro de um programa que se propõe a ser aberto para novas perspectivas ao mesmo tempo que forma, é um lugar que almejo na minha trajetória profissional e educacional.   Me vejo sendo propositor em políticas públicas, art-educador e curador, ou seja, estou aberto às possibilidades que o programa me oferece, sou jovem e tenho grande vontade de ser tudo aquilo que sonho.  Acredito na cultura e em tudo que ela representa, quando se vive em um contexto de escassez.</t>
  </si>
  <si>
    <t>462.130.018-08</t>
  </si>
  <si>
    <t>Davi Lucas Gomes Chaves Almeida</t>
  </si>
  <si>
    <t>davilucasgomes@icloud.com</t>
  </si>
  <si>
    <t>https://yz2spukd8h-jbrk7pf7uvw.s3.amazonaws.com/2024/04/QjwDVhpxWnazi0XZeU%2BLYFxwEsl9DfRWuVm%2BQJ6Vga8%3D.jpg</t>
  </si>
  <si>
    <t>22 anos, 7 meses, 26 dias</t>
  </si>
  <si>
    <t>cursando Artes cênicas</t>
  </si>
  <si>
    <t>08226-009</t>
  </si>
  <si>
    <t>Rua Pássaro Preto</t>
  </si>
  <si>
    <t>1286</t>
  </si>
  <si>
    <t>389482778</t>
  </si>
  <si>
    <t>(11) 93804-8257</t>
  </si>
  <si>
    <t>https://www.instagram.com/davesmel/</t>
  </si>
  <si>
    <t>formação Tecnico em teatro</t>
  </si>
  <si>
    <t>21249455253</t>
  </si>
  <si>
    <t>Vim de uma familia muito humilde, nasci e criado na Zona Leste de São Paulo, estive maior tempo da minha vida na mesma casa em Itaquera, criado por mãe solo após anos de agressão do meu pai, construi um laço muito grande com a justiça e a ética devido ao histórico de traumas da minha vida, aqui em casa sempre respiramos arte, sempre tive curiosidade com a linguagem teatral até minha mãe me inscrever para realizar aulas no CEU Azul da Cor do Mar, desde então estive aprendendo a lidar com a construção do meu próprio eu e do senso-crítico artístico que residia dentro de mim, então se eu puder ser exato vim de uma casa de que lutou pela sua paz, de um teatro vocacional e do desejo de arte.</t>
  </si>
  <si>
    <t>Hoje estou em meu ciclo de estudos, sou muito orgulhoso do espaço que conquistei, toda a minha educação veio por bolsas, estou na faculdade Belas Artes com bolsa 100% estudando aquilo que sempre sonhei que é Artes Cênicas, sou formado ator pelo Senac e produtor pela SP Escola de Teatro, onde também estudo Direção. Sou muito dedicado com o meu crescimento acadêmico, onde enxergo a oportunidade de retribuir para a minha mãe aquilo que ela sempre me concedeu, amor, carinho e conforto. O teatro para mim é a oportunidade perfeita de devolver um pouco dos meus estudos para a sociedade, acredito no teatro que democratiza o acesso para que a população (em especial a mais carente) possa frequentar.</t>
  </si>
  <si>
    <t>Quero sempre continuar aprendendo mais, acredito que nunca vou parar de estudar ou deixar a acadêmia, mas como disse anteriormente, para mim a parte principal de todo o trabalho dos estudos é poder devolver de forma integral para as pessoas, a arte sempre foi uma forma de inclusão para mim e acredito que seja minha missão por meio dela por aqui. Assim que terminar minha graduação pretendo um mestrado, me aperfeiçoar cada vez mais em Produção Cultural e garantir espaços para novos artistas do cenário cultural na capital de São Paulo, isso seria um futuro ideal de estar pleno comigo mesmo.</t>
  </si>
  <si>
    <t>502.982.658-00</t>
  </si>
  <si>
    <t>Lais Anselmi</t>
  </si>
  <si>
    <t>laisanselmi@gmail.com</t>
  </si>
  <si>
    <t>https://yz2spukd8h-jbrk7pf7uvw.s3.amazonaws.com/2024/05/rBGrx/VXuGb8N%2BP%2BR6NBDInihAnGUgrlmXZRapgwq3I%3D.jpeg</t>
  </si>
  <si>
    <t>20 anos, 10 meses, 25 dias</t>
  </si>
  <si>
    <t>Vila Antônio</t>
  </si>
  <si>
    <t>05376-150</t>
  </si>
  <si>
    <t>BUTANTÃ</t>
  </si>
  <si>
    <t>Rua Francisco Lages</t>
  </si>
  <si>
    <t>46</t>
  </si>
  <si>
    <t>539844184</t>
  </si>
  <si>
    <t>(11) 93959-1555</t>
  </si>
  <si>
    <t>https://www.instagram.com/lais_anselmi/</t>
  </si>
  <si>
    <t>OESTE</t>
  </si>
  <si>
    <t xml:space="preserve">Teatro </t>
  </si>
  <si>
    <t>23844758352</t>
  </si>
  <si>
    <t>BUTANTÃ (BUTANTÃ, MORUMBI, RAPOSO TAVARES, RIO PEQUENO, VILA SÔNIA)</t>
  </si>
  <si>
    <t>CASA DE CULTURA BUTANTÃ</t>
  </si>
  <si>
    <t>Iniciei no mundo artístico quando era criança frequentando peças de teatro, exposições e festivais junto com meus pais. Aos doze anos participei da Oficina de Teatro &amp; Expressão Corporal da Casa de Cultura Butantã. Também, participei de peças e aulas de teatro na escola.  Atualmente, estou no 4° semestre do curso técnico de Teatro Profissionalizante no Teatro Escola Macunaíma e também participo do Cursinho Popular Heleny Guariba, um Cursinho pré-universitário voltado para a preparação para provas de habilidades específicas dos cursos de teatro da UNESP. Também tenho interesse em artes circenses, canto, moda e desenho.</t>
  </si>
  <si>
    <t>Moro na região do Butantã, gosto de participar de oficinas e eventos culturais nos Sescs e CEUs próximos. Esse ano participei de workshops durante o MITsp 2024, assisti diversas peças de teatro, principalmente em SESCs e no Teatro Oficina. Além disso, também participei do Seminário Stanislávski em ação, no Teatro Escola Macunaíma, frequentei palestras na USP, e oficinas na UNESP.</t>
  </si>
  <si>
    <t>Meu principal objetivo é entrar para o curso de Artes Cênicas da UNESP/USP. Acredito que cada experiência é uma forma de aprendizado, por isso, participar do Programa Jovem Monitor Cultural vai me proporcionar muitas oportunidades para aumentar meu repertório artístico e cultural. Quero criar uma rede de contatos e me desenvolver  profissionalmente nas diversas áreas artísticas como a dança, música, performance, etc.</t>
  </si>
  <si>
    <t>423.671.368-31</t>
  </si>
  <si>
    <t>JACKSON WILLIAM DE SOUZA PAULA</t>
  </si>
  <si>
    <t>Jackson William De Souza Paula</t>
  </si>
  <si>
    <t>Jennifer Wenndy De Souza Paula</t>
  </si>
  <si>
    <t>jenniferwenndy@gmail.com</t>
  </si>
  <si>
    <t>https://yz2spukd8h-jbrk7pf7uvw.s3.amazonaws.com/2024/04/7kIJ%2B99cycbfiSQ9J8hR/jRHLIbChgnO2mS9DS%2BqaEY%3D.jpg</t>
  </si>
  <si>
    <t>26 anos, 5 meses, 15 dias</t>
  </si>
  <si>
    <t>Jardim Caravelas</t>
  </si>
  <si>
    <t>04729-010</t>
  </si>
  <si>
    <t>Travesti</t>
  </si>
  <si>
    <t>Rua Carmo do Rio Verde</t>
  </si>
  <si>
    <t>553</t>
  </si>
  <si>
    <t>623991378</t>
  </si>
  <si>
    <t>(11) 98717-2014</t>
  </si>
  <si>
    <t>JENNIFERWENNDY@GMAIL.COM</t>
  </si>
  <si>
    <t>065985586-03</t>
  </si>
  <si>
    <t>BIBLIOTECA BELMONTE</t>
  </si>
  <si>
    <t>Olá me chamo Jennifer, nasci e vivi até os meus dezesseis anos em Fortaleza -CE, vim de uma realidade  onde minha família era de baixa renda, pois sendo a sétima filha de uma mãe solteira não tive acesso a privilégios, as vezes básicos, como: ter segurança alimentar, moradia e saúde.  Lembro de ser impedida por volta dos meus 12 anos de frequentar a escola pois o preconceito tinha chegado ao nível de violência física dentro do ambiente escolar, aos 13 tive a certeza de quem eu sou, enquanto uma pessoa trans, dos treze aos dezesseis morei de favor e vivi da bondade de terceiros.</t>
  </si>
  <si>
    <t>Quando cheguei em São Paulo e me deparei com oportunidades que me fizeram ter altos e baixos, vi que ter responsabilidades e propósitos não era fácil, nos dias de hoje sou convivente em um Centro de Acolhida para mulheres (CAE ), e estou buscando minha redenção, pois a muito tempo procrastino minha vitória, por conta de decisões ruins que foram tomadas por mim.</t>
  </si>
  <si>
    <t>Há tantos sonhos e desejos que eu almejo num futuro breve, e estou feliz por está em busca deles, pois eu vejo essa oportunidade de fazer parte do Programa Jovem Monitor Cultural como um grande passo rumo ao sonho de uma graduação, de um lugar só pra mim, uma estabilidade financeira, em fim está sóbria, limpa e em paz comigo mesma, para que assim eu venha fazer cada vez mais novas conquistas ao longo da minha jornada.</t>
  </si>
  <si>
    <t>614.020.743-60</t>
  </si>
  <si>
    <t>Larissa Vitória Aparecida De Aquino Braz</t>
  </si>
  <si>
    <t>larissa.vaabraz@gmail.com</t>
  </si>
  <si>
    <t>https://yz2spukd8h-jbrk7pf7uvw.s3.amazonaws.com/2024/04/EPzn8IUyDDp5GZr30w8fKPWRZ38qIfbdWSYaBxRGYK4%3D.jpg</t>
  </si>
  <si>
    <t>21 anos, 3 meses, 12 dias</t>
  </si>
  <si>
    <t>Parada XV de Novembro</t>
  </si>
  <si>
    <t>08246-025</t>
  </si>
  <si>
    <t>Rua Imbacal</t>
  </si>
  <si>
    <t>242</t>
  </si>
  <si>
    <t>509692904</t>
  </si>
  <si>
    <t>(11) 95056-1652</t>
  </si>
  <si>
    <t>LARISSA.VAABRAZ@GMAIL.COM</t>
  </si>
  <si>
    <t>MULTIMIDIA</t>
  </si>
  <si>
    <t>11670838530</t>
  </si>
  <si>
    <t>BIBLIOTECA VINICIUS DE MORAES</t>
  </si>
  <si>
    <t>Meu nome é Larissa Braz, tenho 21 anos, sou de Itaquera, zona leste de São Paulo.  Estudei minha vida toda em escola pública, o ensino médio foi feito na ETEC de Itaquera.  Cursei dois cursos técnicos, um em Desing Grafico na ETEC Tiquatira e o outro em Multimídia no Senac de Penha, mas nenhum dos dois foi concluído. Trabalhei como atendente receptivo em uma empresa que presta serviço para o município de São Paulo.</t>
  </si>
  <si>
    <t>Atualmente sai do antigo emprego, não consegui conciliar trabalho e estudo. Agora estou focando nos estudos para o vestibular e realizando alguns trabalhos livres como designer, programadora e ilustradora. Ajudo também minha mãe com o trabalho dela como costureira, buscando tecidos e fazendo entregas na casa das clientes. Dessa forma conseguimos viver sem muitas dificuldades ou muito estresse.</t>
  </si>
  <si>
    <t>Vou concluir o curso Técnico em Multimídia, estou esperando a abertura de novas turmas com bolsa em um SENAC mais próximo. Quero cursar Artes Visuais ou publicidade, me aprofundando mais na área. Espero enriquecer culturalmente, conhecer realidades diferentes da minha e contribuir de alguma forma com as minhas habilidades nos espaços culturais de São Paulo.</t>
  </si>
  <si>
    <t>526.826.658-61</t>
  </si>
  <si>
    <t>VITÓRIA NIETO PIRES</t>
  </si>
  <si>
    <t>vitorianietopires@gmail.com</t>
  </si>
  <si>
    <t>https://yz2spukd8h-jbrk7pf7uvw.s3.amazonaws.com/2024/05/1ByBK06Dh1TDsh0VzIao%2Bhn2RFeoPCwwyE/mBrVwt6U%3D.jpg</t>
  </si>
  <si>
    <t>24 anos, 0 meses, 1 dias</t>
  </si>
  <si>
    <t>02288-035</t>
  </si>
  <si>
    <t>Rua das Andorinhas Migratórias</t>
  </si>
  <si>
    <t>37643983-x</t>
  </si>
  <si>
    <t>(11) 94679-9318</t>
  </si>
  <si>
    <t>VITORIANIETOPIRES@GMAIL.COM</t>
  </si>
  <si>
    <t>SIM - GRAD</t>
  </si>
  <si>
    <t>https://www.instagram.com/vdiverso/</t>
  </si>
  <si>
    <t>CURSANDO GRAD - ARTES VISUAIS</t>
  </si>
  <si>
    <t>075506133-03</t>
  </si>
  <si>
    <t>BIBLIOTECA ALVARES DE AZEVEDO</t>
  </si>
  <si>
    <t>https://youtu.be/kll_JU7St7U?feature=shared</t>
  </si>
  <si>
    <t>414.363.258-62</t>
  </si>
  <si>
    <t>GRAZZIELA DA SILVA GONCALVES DE SOUZA</t>
  </si>
  <si>
    <t>Grazziela Da Silva Gonçalves De Souza</t>
  </si>
  <si>
    <t>GRAZZ SILVA GONÇALVES SOUZA</t>
  </si>
  <si>
    <t>Grazz Silva Gonçalves Souza</t>
  </si>
  <si>
    <t>grazzielasilvags@gmail.com</t>
  </si>
  <si>
    <t>https://yz2spukd8h-jbrk7pf7uvw.s3.amazonaws.com/2024/06/04%2BVNe7UvTnhpMJ0QuWIZaNRv%2BZ8BOPUzvgLLhIVHfg%3D.jpg</t>
  </si>
  <si>
    <t>26 anos, 9 meses, 15 dias</t>
  </si>
  <si>
    <t>cursando superior em psicologia</t>
  </si>
  <si>
    <t>Conjunto Habitacional Padre Manoel de Paiva</t>
  </si>
  <si>
    <t>03591-150</t>
  </si>
  <si>
    <t>ARTUR ALVIM</t>
  </si>
  <si>
    <t>Rua Estéfano Filipini</t>
  </si>
  <si>
    <t>52</t>
  </si>
  <si>
    <t>399408757</t>
  </si>
  <si>
    <t>(11) 91417-2829</t>
  </si>
  <si>
    <t>superior</t>
  </si>
  <si>
    <t>https://www.instagram.com/grazzielu/</t>
  </si>
  <si>
    <t>Psicologia</t>
  </si>
  <si>
    <t>059263171-00</t>
  </si>
  <si>
    <t>LÍBERO - COORDENADORIA DE CONTRATOS ARTÍSTICOS</t>
  </si>
  <si>
    <t>Sou uma pessoa não-binária, negra, e periférica que contraria estatísticas desde antes de pisar nessa terra, vez que minha mãe era "infértil". Foi ela inclusive, como excelente atriz que é, quem me aproximou das artes desde cedo através do teatro, da dança e da música. A música sempre me trouxe muita vivacidade e segurança, e estes, além de todos os outros estímulos que conectar os fones nos ouvidos me causavam me aproximaram da ideia de que gostaria de atuar com isso profisisonalmente. Após anos atuando com rercutamento e seleção, percebi que conforme a natureza me transformei e que meu novo ciclo demandava direcionamento de energia para a arte pois só ela alimentava meu espírito.</t>
  </si>
  <si>
    <t>Com essas realizações sai do mercado coorportivo tradicional e me tornei um profissional freelancer no mundo para desbravar minhas potencialidades e capacidades enquanto estudo e me preparo para tudo o que quero colher no futuro. Tenho estudado psicologia com bolsa integral via Prouni, e discotecagem e percurssão em algumas oficinas. E profissionalmente tenho atuado com captação de clientes e auxiliar de cozinha em uma empresa de alimentação e como bartender em um quilombo urbano.</t>
  </si>
  <si>
    <t>Quando entendi que preciso trabalhar com arte, me questionei como poderia viabilizar isso vez que não identificava nenhum "talento" em mim. Foi quando comecei as oficinas de discotecagem e percurssão, e fui notando através das trocas tenho tido com as pessoas destes novos ambientes que frequento que percebi que há muito espaço para atuar nos bastidores da arte já nenhum evento surge pronto e ainda realizei que seria um ambiente de muito desenvolvimento de minhas potencialidades como a organização, planejamento estratégico e a meticulosidade. Com isso, venho me inscrevendo em oficinas de produção musical e técnica de som para que possa colher frutos dessas movimentações todas num futuro.</t>
  </si>
  <si>
    <t>457.054.008-29</t>
  </si>
  <si>
    <t>lupalu2009@hotmail.com</t>
  </si>
  <si>
    <t>https://yz2spukd8h-jbrk7pf7uvw.s3.amazonaws.com/2024/05/03TW3JSHS%2ByTyYbJEaBs0ufmeHF9vuGLxF42%2BjSjQTs%3D.jpeg</t>
  </si>
  <si>
    <t>18 anos, 10 meses, 17 dias</t>
  </si>
  <si>
    <t>02223-350</t>
  </si>
  <si>
    <t>Casa 2</t>
  </si>
  <si>
    <t>Via de Pedestre Tabularium</t>
  </si>
  <si>
    <t>318</t>
  </si>
  <si>
    <t>561899976</t>
  </si>
  <si>
    <t>(11) 94509-0447</t>
  </si>
  <si>
    <t>ROMUALDO25@GMAIL.COM</t>
  </si>
  <si>
    <t>https://www.instagram.com/cartoon.lucas?igsh=Z3k0ZGRidDRyYnV2</t>
  </si>
  <si>
    <t>COMPLETO INGLES E FAB LAB</t>
  </si>
  <si>
    <t>23713409184</t>
  </si>
  <si>
    <t>Mental-Pscicossocial</t>
  </si>
  <si>
    <t>BIBLIOTECA NUTO SANT'ANNA</t>
  </si>
  <si>
    <t>https://photos.app.goo.gl/tz7MD8ekCZLSUj9q9</t>
  </si>
  <si>
    <t>CID F845</t>
  </si>
  <si>
    <t>522.902.368-61</t>
  </si>
  <si>
    <t>SARAH SANTIAGO PEREIRA SANTANA</t>
  </si>
  <si>
    <t>Sarah Santiago Pereira Santana</t>
  </si>
  <si>
    <t>sarahsantiagoart@gmail.com</t>
  </si>
  <si>
    <t>https://yz2spukd8h-jbrk7pf7uvw.s3.amazonaws.com/2024/05/hKUbIuDEbCocBRI5xANd8MZU5y/vkXn4zhRZAnSI8Qk%3D.jpg</t>
  </si>
  <si>
    <t>21 anos, 8 meses, 15 dias</t>
  </si>
  <si>
    <t>PÓS EXPECIALIZAÇÃO EM  ARTES VIZUAIS</t>
  </si>
  <si>
    <t>Vila Matilde</t>
  </si>
  <si>
    <t>03510-040</t>
  </si>
  <si>
    <t>Apto 1803</t>
  </si>
  <si>
    <t>VILA MATILDE</t>
  </si>
  <si>
    <t>Rua Doutor Edgar Garcia Vieira</t>
  </si>
  <si>
    <t>50965518x</t>
  </si>
  <si>
    <t>(11) 97119-0967</t>
  </si>
  <si>
    <t>SARAHSANTGOAOART@GMAIL.COM</t>
  </si>
  <si>
    <t>SUPERIOR</t>
  </si>
  <si>
    <t>LICENCIATURA  ARTES  VISUAIS</t>
  </si>
  <si>
    <t>21421089485</t>
  </si>
  <si>
    <t>Pós-Graduação</t>
  </si>
  <si>
    <t>LÍBERO - SUPERVISÃO DE PLURALIDADE CULTURAL - SPLU</t>
  </si>
  <si>
    <t>Meu nome é Sarah santiago, sou artista formada em Licenciatura em Artes visuais, desenho e produção cultural. Nasci em Itaquera e a cultura periférica que me motivou a criar, sou artista plástica e articulei meus trabalhos em saraus pela ZL principalmente pelo sarau do MAP em São Miguel Paulista com participações em casas de cultura e teatros como o Flávio império.</t>
  </si>
  <si>
    <t>Atualmente sou pós graduanda em ensino de artes visuais pela UFMG e residente educativa no Instituto de arte Contemporânea que encerra em junho. Produzi uma exposição de arte contemporânea produzida e escrita por mim aprovada pela lei de incentivo cultural Lei Paulo Gustavo e uma mostra de fotografias pelo fundo de cultura do município de Itaquaquecetuba.</t>
  </si>
  <si>
    <t>Quero ter mais experiências em instituições culturais, firmar minha carreira com as artes e cultura de são paulo e ando buscando oportunidades na produção, educação e mediação nesses espaços. Além de ter meu acervo de pinturas e séries de estudos pessoais a serem expostos. O programa me ajudaria a reconhecer qual a minha maior competência entre essas áreas de atuação que as artes visuais e a mediação cultural me fornecem.</t>
  </si>
  <si>
    <t>519.152.708-98</t>
  </si>
  <si>
    <t>GIOVANA PRADO CONCEICAO</t>
  </si>
  <si>
    <t>Giovana Prado Coneição</t>
  </si>
  <si>
    <t>GIOVANA PRADO</t>
  </si>
  <si>
    <t>Giovana Prado</t>
  </si>
  <si>
    <t>giipradoconceicao@gmail.com</t>
  </si>
  <si>
    <t>https://yz2spukd8h-jbrk7pf7uvw.s3.amazonaws.com/2024/04/0CLEdF7FeMO8TkixHWnLJm%2BPS0yd2oO0J2w6oxOVAOA%3D.jpg</t>
  </si>
  <si>
    <t>Vila Albertina</t>
  </si>
  <si>
    <t>02350-000</t>
  </si>
  <si>
    <t>Rua Maria Amália Lopes Azevedo</t>
  </si>
  <si>
    <t>543</t>
  </si>
  <si>
    <t>583840693</t>
  </si>
  <si>
    <t>(11) 94880-7591</t>
  </si>
  <si>
    <t>sim-grad cursando</t>
  </si>
  <si>
    <t>https://www.instagram.com/ghighiprado?igsh=MW0yc3FvdXA3eW81NA==</t>
  </si>
  <si>
    <t xml:space="preserve">marketing </t>
  </si>
  <si>
    <t>23786868669</t>
  </si>
  <si>
    <t>https://drive.google.com/file/d/1wFybsCPUieNadfVeUhs_fm2QBTg7h3vr/view?usp=drive_link</t>
  </si>
  <si>
    <t>512.743.848-85</t>
  </si>
  <si>
    <t>Laila Quezia Oliveira Silva</t>
  </si>
  <si>
    <t>lailaquezia.o@gmail.com</t>
  </si>
  <si>
    <t>https://yz2spukd8h-jbrk7pf7uvw.s3.amazonaws.com/2024/04/KbriziwOze/GZH9PD7Xd1X49rhJH1CvrxbOUb0kYl6E%3D.jpg</t>
  </si>
  <si>
    <t>22 anos, 9 meses, 11 dias</t>
  </si>
  <si>
    <t>Rio Pequeno</t>
  </si>
  <si>
    <t>05361-110</t>
  </si>
  <si>
    <t>Rua Pascoal Pássaro</t>
  </si>
  <si>
    <t>92</t>
  </si>
  <si>
    <t>38528314-3</t>
  </si>
  <si>
    <t>(11) 98947-7220</t>
  </si>
  <si>
    <t>https://www.instagram.com/wtf_lailao/?hl=pt-br</t>
  </si>
  <si>
    <t>062412028-71</t>
  </si>
  <si>
    <t>CENTRO CULTURAL DA DIVERSIDADE - TEATRO MUNICIPAL DÉCIO DE ALMEIDA PRADO</t>
  </si>
  <si>
    <t>BIBLIOTECA ALCEU AMOROSO LIMA</t>
  </si>
  <si>
    <t>https://youtu.be/BMGzKD-j-us</t>
  </si>
  <si>
    <t>499.801.758-69</t>
  </si>
  <si>
    <t>Adriele Ferreira Elias</t>
  </si>
  <si>
    <t>adrieledesenna@gmail.com</t>
  </si>
  <si>
    <t>https://yz2spukd8h-jbrk7pf7uvw.s3.amazonaws.com/2024/04/ftC3zY%2B1xDbsjFFERvNzxMtC35sZ0Z0z4ZYUu7stoS0%3D.jpeg</t>
  </si>
  <si>
    <t>26 anos, 0 meses, 2 dias</t>
  </si>
  <si>
    <t>Bom Retiro</t>
  </si>
  <si>
    <t>01142-200</t>
  </si>
  <si>
    <t>BOM RETIRO</t>
  </si>
  <si>
    <t>Av Presidente Castelo Branco</t>
  </si>
  <si>
    <t>5200</t>
  </si>
  <si>
    <t>57447898x</t>
  </si>
  <si>
    <t>(11) 93023-6583</t>
  </si>
  <si>
    <t>Cursando superior com bolsa parcial do Prouni</t>
  </si>
  <si>
    <t>pedagogia</t>
  </si>
  <si>
    <t>23638518554</t>
  </si>
  <si>
    <t>Zeca/Tangará/Natan/Gabriela/William</t>
  </si>
  <si>
    <t>Me chamo Adriele, tenho 25 anos, sou mãe, e a irmã mais velha entre os dez irmãos. Filha de nordestinos, nasci em uma cidade da Bahia, uma das mais conhecidas do estado, Feira de Santana. Cresci em uma família de feirantes e desde nova, tenho a compreensão do valor trabalho e principalmente da disciplina, pois para esse trabalho é necessário começar logo pela madrugada, para que pegue à estrada e assim estar nas feiras com as frutas bem fresquinhas para os fregueses.</t>
  </si>
  <si>
    <t>Com o sonho de melhores condições  de vida, meus pais se mudaram para São Paulo, eu tinha apenas 10 anos de idade. E nessa São Paulo, cresci, estudei em escolas públicas, morei em ocupações, cresci, casei e constitui uma família, com dois filhos. Hoje, agradeço meus pais por terem vindo para essa cidade, pude vivenciar diversos momentos que acredito que não conseguiria em outro lugar, tenho acesso a parques, museus, teatros, posso garantir o básico para os meus filhos como tratamento de saúde, alimentação…</t>
  </si>
  <si>
    <t>Com as oportunidades que possuo aqui, meu desejo é o mesmo que os meus pais tiveram quando quiseram trocar de cidade: melhoria de vida, e pretendo alcançar com todas as oportunidades que surgirem, hoje curso Pedagogia e trabalho na área como estagiária da Prefeitura de São Paulo, essa e outras oportunidades que tive me dá ânimo de que eu posso sonhar, que aqui terá um programa que irá me dar a oportunidade de “chegar lá”.</t>
  </si>
  <si>
    <t>488.761.388-11</t>
  </si>
  <si>
    <t>Michel Moraes De Souza Santos</t>
  </si>
  <si>
    <t>michelmoraes563@gmail.com</t>
  </si>
  <si>
    <t>https://yz2spukd8h-jbrk7pf7uvw.s3.amazonaws.com/2024/04/%2BUV1P2R2Vu8glwhiZM/pxoRahs47bJdwhqhAkeYWy4Q%3D.jpg</t>
  </si>
  <si>
    <t>23 anos, 1 meses, 30 dias</t>
  </si>
  <si>
    <t>Vila do Sol</t>
  </si>
  <si>
    <t>04962-190</t>
  </si>
  <si>
    <t>Rua Trácia</t>
  </si>
  <si>
    <t>27</t>
  </si>
  <si>
    <t>563684914</t>
  </si>
  <si>
    <t>(11) 95812-7916</t>
  </si>
  <si>
    <t>20153650561</t>
  </si>
  <si>
    <t>Eu nasci na zona sul de São Paulo Fui criado nas comunidades Desde pequenos sempre estudei em escolas públicas tive uma infância um pouco conturbada por conta do meu pai mas depois vim morar com minha mãe onde aprendi muito com ela e assim falo que vim de uma mãe batalhadora que me ensinou o valor do trabalho mesmo não sendo fácil eu des de pequeno gosto de coisas que envolvem arte história da arte e cultura no tempo de escola sempre tive envolvido com tudo oque tinha inclusive no grêmio ajudado como voluntário na escola nas festas</t>
  </si>
  <si>
    <t>No momento estou desesperado cuidado da minha mãe mas a procura de trabalho e fazendo bicos, e show por São Paulo como drag queen onde mais me encontrei na arte agora estou tentado essa vaga pra dar o melhor pra minha família e conseguir aprender mais como jovem monitor cultural quero muito ser chamado para participar essa é a segunda vez que faço a inscrição em 2020 fiz mas não fui chamando então não sou de desistir fácil e estou aqui pedido uma oportunidade a vocês.</t>
  </si>
  <si>
    <t>Eu quero muito entra no programa e aprender mais sobre nossa cultura de São Paulo fazer algo pela comunidade com meu trabalho sei que não é fácil e não será mas espero muito que vocês me chamem e me dê essa oportunidade pois sou fácil de aprender e trabalhar em grupo comunicação espero preencher todos os requisitos pra entra no programa obrigado a vocês por tirarem um tempo pra ler minha trajetória e onde eu quero ir .</t>
  </si>
  <si>
    <t>514.376.108-54</t>
  </si>
  <si>
    <t>Yasmin Lima Araújo</t>
  </si>
  <si>
    <t>yasminlimaaraujo77@gmail.com</t>
  </si>
  <si>
    <t>https://yz2spukd8h-jbrk7pf7uvw.s3.amazonaws.com/2024/06/J0swhgQ3DfwWHGomOfaJDIGfw/6pStdzD1fJK3/uObM%3D.jpeg</t>
  </si>
  <si>
    <t>26 anos, 9 meses, 27 dias</t>
  </si>
  <si>
    <t>Chácara Santo Amaro</t>
  </si>
  <si>
    <t>04875-155</t>
  </si>
  <si>
    <t>Rua José Montenegro de Lima</t>
  </si>
  <si>
    <t>167</t>
  </si>
  <si>
    <t>38.802,577-3</t>
  </si>
  <si>
    <t>(11) 97288-5566</t>
  </si>
  <si>
    <t>Cursando superior SEM bolsas do Prouni ou Fies</t>
  </si>
  <si>
    <t>https://www.instagram.com/_yaslima22?igsh=OGcydmJxZTdnaXJx</t>
  </si>
  <si>
    <t>SUPERIOR EM PEDAGOGIA</t>
  </si>
  <si>
    <t>144.92946.89-2</t>
  </si>
  <si>
    <t>CEU VILA RUBI</t>
  </si>
  <si>
    <t>CEU CIDADE DUTRA</t>
  </si>
  <si>
    <t>EMIA SUL (PARELHEIROS)</t>
  </si>
  <si>
    <t>Me chamo Yasmin Lima Araújo, tenho 26 anos, me tornei mãe aos 16 anos, sou natural de São Paulo/São Paulo. Desde muito nova sempre tive um grande interesse pelo campo artístico e cultural. Durante a minha trajetória escolar, participei de diversos projetos que fortaleceram esse interesse. Um dos projetos mais significativos, foi uma exposição de artes com materiais sustentáveis, além de realizar a exposição dos objetos confeccionados com os demais estudantes, realizamos uma ação explicativa para os moradores do bairro com o intuito de conscientizar sobre o descarte correto dos lixos, como: pilhas, óleos usados e remédios vencidos.</t>
  </si>
  <si>
    <t>Atualmente, resido no Chácara Santo Amaro, área de preservação ambiental, no extremo sul de São Paulo, na região do Grajaú. Minha convivência diária com a natureza, tem influenciado meu olhar artístico, inspirando a criar e a promover projetos que valorizam a sustentabilidade. Buscando sempre estar em contato com a região que moro, busco sempre estar em contato com os lazeres e a cultura que minha região proporciona, frequentando bares, restaurantes, parques e amostras culturais que minha região proporciona. Realizo estágio em uma unidade escolar dentro da região, onde estou sempre em troca com os alunos e cidadãos da região que moro. Acredito que nossa cultura local tem uma riqueza imensa.</t>
  </si>
  <si>
    <t>Gostaria muito de participar do Programa Jovem Monitor Cultural porque acredito que essa é uma oportunidade única para ampliar meus conhecimentos e habilidades no campo cultural. Estou interessada em aprender mais sobre gestão cultural, produção de eventos, mediação cultural, além de contribuir com minhas ideias e energia nos projetos desenvolvidos pelo programa. Vejo está oportunidade como experiência muito importante para o meu futuro na educação, onde espero continuar atuando e fazendo a diferença, ajudando a tornar a arte e a cultura acessíveis a mais pessoas.</t>
  </si>
  <si>
    <t>478.625.538-61</t>
  </si>
  <si>
    <t>Suzana Pereira Leite Da Silva</t>
  </si>
  <si>
    <t>contatossuzana12@gmail.com</t>
  </si>
  <si>
    <t>https://yz2spukd8h-jbrk7pf7uvw.s3.amazonaws.com/2024/05/sIAiUw01amPUSRN%2B84/k2e%2BohehDaooRhBViSm77Q9Q%3D.jpg</t>
  </si>
  <si>
    <t>28 anos, 0 meses, 29 dias</t>
  </si>
  <si>
    <t>Conjunto Habitacional Pirajussara</t>
  </si>
  <si>
    <t>05890-410</t>
  </si>
  <si>
    <t>Travessa do Fósforo</t>
  </si>
  <si>
    <t>89</t>
  </si>
  <si>
    <t>505164371</t>
  </si>
  <si>
    <t>(11) 98109-5558</t>
  </si>
  <si>
    <t>https://www.instagram.com/fotografia_suuhsilva/</t>
  </si>
  <si>
    <t>LICENCIATURA EM PEDAGOGIA</t>
  </si>
  <si>
    <t>058347747-09</t>
  </si>
  <si>
    <t>Meu nome é Suzana Leite, moro na Zona Sul de São Paulo no Bairro Capão Redondo. Sou estudante no Curso de Pedagogia formato EAD e Trabalho como Fotógrafa Free Lancer no período de 05 anos. Sou apaixonada pelo registro da vida, do cotidiano, retrato estático de pessoas ou em movimento. Gosto de partilhar vivência e ouvir histórias, tenho muito afeto pela Arte. Estudei Teatro quando criança e me apaixonei pela expressão, pela troca e por todo movimento cultural. A cultura transformou a minha vida e todas as pessoas que atravessaram o meu caminho, fez toda a  diferença na minha formação como ser humano.</t>
  </si>
  <si>
    <t>Busco contar história de pessoas e do lugar onde moro através do retrato. Me sinto feliz em dizer que tive a oportunidade de ter fotos minhas no site da Agência Mural de Jornalismo, na Folha de São Paulo, no Terra, em texto de artigo universitário e fui representante da zona norte de São Paulo em um guia turístico feito pelo instituto criolo, guia negro e o banco Pan, fotografei os curtas metragens chamado "o pipa" e "punk na periferia,". Trabalhei em dois circuitos um com o Coletivo Oye Latino América nas bibliotecas de várias regiões de São Paulo e com o Sarau Papo de Mina nas Fábricas de culturas localizadas nas periferias da Cidade.</t>
  </si>
  <si>
    <t>Comecei na fotografia no ano de 2018, registrando fotos do bairro onde eu moro através do celular. O meu objetivo sempre foi retirar os estigmas impostos pela sociedade de que na nossa quebrada só tem criminalidade e coisas ruins..   Hoje, eu continuo na luta por oportunidades, por liberdade para ser quem eu sou e poder através da minha arte conectar pessoas e fazer a diferença não só na minha vida, mas também na vida do outro. Eu tenho muita vontade de aprender e trabalhar diretamente com a cultura. Acredito que vai ser um experiência única na minha vida e vou me dedicar da melhor maneira possível. Posso agregar muito e colaborar com os meus conhecimentos.   .</t>
  </si>
  <si>
    <t>458.715.088-63</t>
  </si>
  <si>
    <t>JHENIFER DELFINO BARROS</t>
  </si>
  <si>
    <t>Jhenifer Delfino</t>
  </si>
  <si>
    <t>jhenidelfino21@gmail.com</t>
  </si>
  <si>
    <t>https://yz2spukd8h-jbrk7pf7uvw.s3.amazonaws.com/2024/04/xMYXcgfUSD2nF0tFoRNwXCFB%2BJ2hLuL10Lyz%2BqWNxXI%3D.jpg</t>
  </si>
  <si>
    <t>26 anos, 6 meses, 23 dias</t>
  </si>
  <si>
    <t>Natan Avaliador</t>
  </si>
  <si>
    <t>Butantã</t>
  </si>
  <si>
    <t>05508-030</t>
  </si>
  <si>
    <t>Conjunto residencial da USP</t>
  </si>
  <si>
    <t>Avenida Professor Mello de Morais</t>
  </si>
  <si>
    <t>1235</t>
  </si>
  <si>
    <t>535605158</t>
  </si>
  <si>
    <t>(11) 98510-5301</t>
  </si>
  <si>
    <t>jhendelfino21@gmail.com</t>
  </si>
  <si>
    <t>Parcialmente no público/privado</t>
  </si>
  <si>
    <t>https://www.instagram.com/jheniferdelphino/</t>
  </si>
  <si>
    <t>048983301-26</t>
  </si>
  <si>
    <t>CEU BUTANTÃ</t>
  </si>
  <si>
    <t>PÓLO CULTURAL E CRIATIVO CHÁCARA DO JOCKEY</t>
  </si>
  <si>
    <t>Marina e Juçassara</t>
  </si>
  <si>
    <t>https://youtu.be/nEts0dKyo-s?si=Fj3yjgzfBMMtNh8Y</t>
  </si>
  <si>
    <t>480.025.138-94</t>
  </si>
  <si>
    <t>Rita De Cassia Barbosa Silva</t>
  </si>
  <si>
    <t>micaelebarbo@gmail.com</t>
  </si>
  <si>
    <t>https://yz2spukd8h-jbrk7pf7uvw.s3.amazonaws.com/2024/04/pX7icKj%2BVnWhoU2i3cL2nyZT3yU3yDScTfEptIpzw9c%3D.jpeg</t>
  </si>
  <si>
    <t>29 anos, 3 meses, 12 dias</t>
  </si>
  <si>
    <t>08470-610</t>
  </si>
  <si>
    <t>apto 33B</t>
  </si>
  <si>
    <t>Rua Gonçalves Nina</t>
  </si>
  <si>
    <t>2320</t>
  </si>
  <si>
    <t>433660570</t>
  </si>
  <si>
    <t>(11) 97170-1835</t>
  </si>
  <si>
    <t>RITA.BAR1110@GMAIL.COM</t>
  </si>
  <si>
    <t>NÃO</t>
  </si>
  <si>
    <t>20434963083</t>
  </si>
  <si>
    <t>CAROLINA, EVANDRO SILVEIRA E MARIA CAROLINA DE SOUZA</t>
  </si>
  <si>
    <t>Nascida e criada no bairro da Cidade Tiradentes, foi onde me construí como pessoa e cidadã e busco o mesmo aos meus filhos. Estudei teatro no Instituto Pombas Urbanas, onde pude ampliar meu olhar diante das perspectivas que se traçavam a minha frente, lá consegui entender o que é estar viva dentro de um dos bairros com a menor expectativa de vida de São Paulo e ser agente transformador, porém, por motivos pessoais precisei buscar outros ares, pois infelizmente, o ser artista nessa ocasião não iria me dar todo o aporte que precisava, o que me fez abandonar o teatro e seguir para o trabalho formal.</t>
  </si>
  <si>
    <t>Hoje estou de volta à aquela essência de 10 anos atrás, onde posso dedicar meu tempo a algo que me contempla, com ajuda da minha irmã, que também é artista, eu consigo seguir meus passos naquilo onde meu coração sempre esteve, na arte e na cultura, juntas, ela me auxilia na criação dos meus filhos e na construção de um lugar que esteja disposto a acolher meus gêmeos, pois ambos estão em investigação de autismo, e graças a ajuda da arte, eu pude ver eles se desenvolvendo, aprendendo a falar e expressando as suas ideias e perspectivas através de desenhos, pinturas e da música.</t>
  </si>
  <si>
    <t>O futuro é muito incerto, não sei o que me reserva, nem quais experiências posso encontrar a frente, só posso contar no agora, e no agora eu busco traçar um universo de possibilidades para os meus filhos,  que assim como eu, estão sendo criados dentro da Cidade Tiradentes e expostos a tudo de positivo e negativo que o bairro possa oferecer, almejando sempre na construção de um lugar do qual eles possam se desenvolver como cidadãos plenos de direitos, deveres e possibilidades para que eles cresçam e sejam tudo aquilo que quiserem ser</t>
  </si>
  <si>
    <t>454.440.338-36</t>
  </si>
  <si>
    <t>Moisés Oliveira Da Silva</t>
  </si>
  <si>
    <t>moisesliveira155@gmail.com</t>
  </si>
  <si>
    <t>https://yz2spukd8h-jbrk7pf7uvw.s3.amazonaws.com/2024/06/Nu3Mctdf17Z7W2EzE1/AmnUOeXl3RfXPO/6%2BSK6/BY8%3D.jpg</t>
  </si>
  <si>
    <t>21 anos, 2 meses, 3 dias</t>
  </si>
  <si>
    <t>NÃO BINÁRIO</t>
  </si>
  <si>
    <t>Vila Cardoso Franco</t>
  </si>
  <si>
    <t>03978-180</t>
  </si>
  <si>
    <t>Viela José Santana 5b casa 1</t>
  </si>
  <si>
    <t>Rua Batista Fergusio</t>
  </si>
  <si>
    <t>561600478</t>
  </si>
  <si>
    <t>(11) 94287-7631</t>
  </si>
  <si>
    <t>MOISESLIVEIRA155@GMAIL.COM</t>
  </si>
  <si>
    <t>https://www.instagram.com/sesiom.mc?igsh=MTRob2dxeThrd2RueA==</t>
  </si>
  <si>
    <t>16522660882</t>
  </si>
  <si>
    <t>BIBLIOTECA GILBERTO FREYRE</t>
  </si>
  <si>
    <t>https://drive.google.com/file/d/1LT0_N7OhqTFRJY20-4no7_HGMAerJWHs/view?usp=drivesdk</t>
  </si>
  <si>
    <t>465.347.908-90</t>
  </si>
  <si>
    <t>Alice Dos Santos</t>
  </si>
  <si>
    <t>contatoliciss011@gmail.com</t>
  </si>
  <si>
    <t>https://yz2spukd8h-jbrk7pf7uvw.s3.amazonaws.com/2024/06/Ha9TPJhDfkjByaeGvvBEXBh08RsoGfcY0mEk9K7Kzqo%3D.jpeg</t>
  </si>
  <si>
    <t>28 anos, 2 meses, 21 dias</t>
  </si>
  <si>
    <t>cursou</t>
  </si>
  <si>
    <t>08255-015</t>
  </si>
  <si>
    <t>Rua José Ariza</t>
  </si>
  <si>
    <t>50671892x</t>
  </si>
  <si>
    <t>(11) 94593-5527</t>
  </si>
  <si>
    <t>https://www.instagram.com/djlicciss/</t>
  </si>
  <si>
    <t>Sonoplastia</t>
  </si>
  <si>
    <t>Eu vim do Grajau, aonde eu nasci e cresci. Lá me descobri como artista aos 15 anos comecei a fazer teatro no vocacional e a parti da li me formei e construi grupos de teatro e dança no território adquiri bastante conhece e fui me descobrindo artisticamente cada vez mais, fiquei por mais ou menos 10 anos em alguns grupos de teatro, e depois fui buscar outros conhecimentos.</t>
  </si>
  <si>
    <t>Agora me encontro como DJ, atuamente moro na zona leste e a partir de todo conhecimento que adquiri no territorio do Grajau, vou levando isso para outras areas. Atualmente estudo na SP Escola de teatro, faço sonoplastia, e lá conheço um pouco de tudo para além da musica. Estou buscando sempre estudar e ganhar experiencias profissionais e tambem para o meu pessoal.</t>
  </si>
  <si>
    <t>Quero ir mundo a fora, pode ser até poético. Mas desde os meus 15 anos que comecei a me descobri como artista, não quis mais parar, já fiz diversas oficinas como: percussao, danças, atuação, palhaçaria e por ai vai. Quero levar meu conhecimentos para varias pessoas, quero ir em lugares que ainda nao fui e mostrar quem é a Alice dos Santos nascida e criada no Grajau.</t>
  </si>
  <si>
    <t>32915871</t>
  </si>
  <si>
    <t>235.855.388-35</t>
  </si>
  <si>
    <t>Mayara Kelly Santos Simão</t>
  </si>
  <si>
    <t>MAYARA</t>
  </si>
  <si>
    <t>Mayara</t>
  </si>
  <si>
    <t>kmayara771@gmail.com</t>
  </si>
  <si>
    <t>https://yz2spukd8h-jbrk7pf7uvw.s3.amazonaws.com/2024/06/i8vOsFmNumRZtVPZc7jN1TrUHLRBnbmKNum/UtEIH2Y%3D.jpeg</t>
  </si>
  <si>
    <t>20 anos, 11 meses, 15 dias</t>
  </si>
  <si>
    <t>CURSANDO BACHARELADO</t>
  </si>
  <si>
    <t>Chácara do sol</t>
  </si>
  <si>
    <t>04855-515</t>
  </si>
  <si>
    <t>Estrada do Schimdt</t>
  </si>
  <si>
    <t>1001</t>
  </si>
  <si>
    <t>553067941</t>
  </si>
  <si>
    <t>(11) 93764-3745</t>
  </si>
  <si>
    <t>https://www.instagram.com/itsmaykelly?igsh=MXF6bmNwMHJyZ2Vsdw%3D%3D&amp;utm_source=qr</t>
  </si>
  <si>
    <t>TECNICO EM ADMINISTRACAO E BACHARELADO EM MODA</t>
  </si>
  <si>
    <t>057280341-95</t>
  </si>
  <si>
    <t>Venho do extremo sul de São Paulo, Grajaú, nascida e criada sempre tive interresse e aptidão para a área artística, ainda pequena fiz artes circenses, artes plástica, dança, até que já na adolescência encontrei o teatro, tenho feito parte da vivência teatral na Cia Paideia por 5 anos agora, todo esse tempo me proporcionou muito repertório e vivências dentro da área da cultura e do teatro.  Durante a pesquisa como atriz percebi que é a área criativa que mais me cativava, em todos os aspectos, apesar de toda a luta pra se trabalhar com arte nesse país, ainda permaneço com o sonho intacto de poder mudar através da arte um pouco da realidade desses territórios.</t>
  </si>
  <si>
    <t>Hoje, minha pesquisa para além do teatro também vai para as expressões de arte que podem ser feitas através da moda, estou cursando design de moda através do Prouni, e inicie nessa jornada depois de perceber, durante um TCC do meu curso técnico de administração, que a moda é muito além de “apenas” roupas, é também expressão de arte e cultura, e que tais existem de forma muito potente nas periferias.  Estou tento a oportunidade de atuar como assistente de figurino em alguns espetáculos de teatros da Cia Paideia, e tal experiência tem sido muito gratificante e importante para o meu repertório profissional, além disso também permaneço como estudante da vivência teatral da Cia.</t>
  </si>
  <si>
    <t>Meu principal objetivo é me desenvolver como articuladora cultural, para poder trabalhar com teatro e moda e fazer a intercessão entre os dois, e mostrar que é possível expressar cultura através dessas duas linguagens.  Para além disso quero poder atuar no meu próprio território para que outras pessoas possam ter acesso a esses movimentos que podem e tem potencial de transformar a vida das pessoas.</t>
  </si>
  <si>
    <t>439.017.968-35</t>
  </si>
  <si>
    <t>Ana Julia Andrade Alcalai</t>
  </si>
  <si>
    <t>ana.juliataila24@gmail.com</t>
  </si>
  <si>
    <t>https://yz2spukd8h-jbrk7pf7uvw.s3.amazonaws.com/2024/06/ThjBleAFgyp2eIiXUIqa9WcI9rvep/TM%2B6u8VbPVcUA%3D.jpeg</t>
  </si>
  <si>
    <t>19 anos, 10 meses, 25 dias</t>
  </si>
  <si>
    <t>Vila do Encontro</t>
  </si>
  <si>
    <t>04324-160</t>
  </si>
  <si>
    <t>JABAQUARA</t>
  </si>
  <si>
    <t>Rua Luiz Carlos Fachini</t>
  </si>
  <si>
    <t>286</t>
  </si>
  <si>
    <t>620201332</t>
  </si>
  <si>
    <t>(11) 98366-7807</t>
  </si>
  <si>
    <t xml:space="preserve">nutrição </t>
  </si>
  <si>
    <t>042765565-03</t>
  </si>
  <si>
    <t>JABAQUARA (JABAQUARA)</t>
  </si>
  <si>
    <t>Venho de uma família preta periférica moradora do Extremo Leste de São Paulo, na Cidade Tiradentes. Sou uma menina preta/parda, orgulhosa das minhas raízes e da comunidade vibrante de onde viemos.  A vida na periferia, embora muitas vezes desafiadora, me ensinou a ser resiliente e a valorizar as pequenas vitórias. Aqui, a união e a solidariedade são a nossa força. Aprendi desde cedo que, apesar das barreiras socioeconômicas, o conhecimento e a educação são as chaves para superar os limites impostos pelo lugar onde nascemos.</t>
  </si>
  <si>
    <t>Hoje eu moro na Zona Sul de São Paulo no bairro Vila Fachinni com a minha mãe, quem me criou sozinha. Estou em busca de oportunidades que me permitam desenvolver minhas habilidades e contribuir para a sociedade. Acredito firmemente que, com dedicação e determinação, posso alcançar meus sonhos e, ao mesmo tempo, inspirar outras pessoas na minha comunidade a perseguirem os deles.  Atualmente, dedico-me aos meus estudos e procuro expandir meus horizontes, aprendendo sobre novas culturas e perspectivas.</t>
  </si>
  <si>
    <t>A vida na periferia me ensinou a lutar por mudanças e a buscar oportunidades que possam elevar o nível de vida daqueles que, assim como eu, enfrentam diariamente os desafios impostos pela desigualdade social. Acredito que o acesso à educação de qualidade, à saúde, ao esporte e à cultura são direitos fundamentais que devem ser garantidos a todos, independentemente da região onde moram. Estou em busca de oportunidades que me permitam desenvolver minhas habilidades em liderança, gestão pública e políticas sociais. Além disso, estou comprometida em continuar minha formação acadêmica, buscando conhecimentos que me tornem uma agente de mudança ainda mais eficaz.</t>
  </si>
  <si>
    <t>509.772.998-64</t>
  </si>
  <si>
    <t>MARINA LOPES DOS SANTOS</t>
  </si>
  <si>
    <t>Marina Lopes Dos Santos</t>
  </si>
  <si>
    <t>MARE</t>
  </si>
  <si>
    <t>Mare</t>
  </si>
  <si>
    <t>marisantl@hotmail.com</t>
  </si>
  <si>
    <t>https://yz2spukd8h-jbrk7pf7uvw.s3.amazonaws.com/2024/04/NSgNG2gezvx7E4nA7yiI2jWl%2BkY/WHmPkPFIPGiYptM%3D.jpg</t>
  </si>
  <si>
    <t>02226-000</t>
  </si>
  <si>
    <t>Rua Tenente Sotomano</t>
  </si>
  <si>
    <t>Jardim Brasil</t>
  </si>
  <si>
    <t>765</t>
  </si>
  <si>
    <t>524309498</t>
  </si>
  <si>
    <t>(11) 96432-5997</t>
  </si>
  <si>
    <t>MARISANTL@HOTMAIL.COM</t>
  </si>
  <si>
    <t>https://www.instagram.com/marequeer/</t>
  </si>
  <si>
    <t>TRANCADO - ARTES VISUAIS</t>
  </si>
  <si>
    <t>063405202-00</t>
  </si>
  <si>
    <t>Nasci em São Paulo Capital SP, moro no Jardim Brasil (Rua Tenente Sotomano 765) próximo do metro Tucuruvi, Iniciei na área da cultura em 2018 na fabrica de cultura no curso de multimidias aprendi sobre fotografia e outras funções na área do audiovisual, após a conclusão do curso entrei para um coletivo/produtora de audiovisual chamado  @movedecinema onde fiquei desenvolvendo projetos durante até 2021 Fiz teatro durante quase um ano na companhia @18porum onde permaneci até o fechamento da companhia por motivos de infraestrutura infelizmente a companhia fechou. Após concluir o ensino médio fui indicado para  o "Criar" no curso técnico de audiovisual, conclui em 2022</t>
  </si>
  <si>
    <t>Atualmente estou desempregado a mais de um ano, trabalhei numa empresa multinacional de tecnologia por um ano e sete meses fui desligado, após esse episodio trabalhei somente frellance e como Rider na empresa  Daki. Estou sempre me apaixonando por cultura, cinema, arte, tecnologia sou fotografo(a) estudante de audiovisual aspirante a fotografia e cineasta. Participei de cursos livres de audiovisual, cinema, documental, fotografia, e iluminação, na plataforma do AVMAKERS bolsa de estudos do curso Criativos da Favela com Inteligência Artificial, Curso ÉNOISNAFITA, afrorec e coliga, em cursos livres de iluminação documentário e Roteiro. quero e desejo estar em constante aprendizado todo dia.</t>
  </si>
  <si>
    <t>Olhando para o futuro, estou comprometido em continuar crescendo e evoluindo profissionalmente. Meu objetivo é trabalhar com cultura e cinema(audiovisual), e estou determinado a alcançá-los por meio de dedicação estudo e trabalho árduo. Estou confiante de que minha experiência e habilidades podem contribuir significativamente para o programa jovem monitor cultural. Estou ansioso para explorar oportunidades de colaboração e contribuir para o sucesso da sua equipe. Estou entusiasmado em compartilhar um resumo dessa jornada e meus objetivos para o futuro. Agradeço a atenção dedicada à minha carta e aguardo ansiosamente a oportunidade de discutir como posso agregar valor ao projeto. Att. Mare</t>
  </si>
  <si>
    <t>495.346.478-88</t>
  </si>
  <si>
    <t>Karolayne Lucia Da Silva Faleia</t>
  </si>
  <si>
    <t>karolayneoya@gmail.com</t>
  </si>
  <si>
    <t>https://yz2spukd8h-jbrk7pf7uvw.s3.amazonaws.com/2024/06/yFUZwwMLg0DqzFB1mWjXFvDGJ/O7EsBecQD02/4%2Bg9g%3D.pdf</t>
  </si>
  <si>
    <t>24 anos, 8 meses, 17 dias</t>
  </si>
  <si>
    <t>Jardim Filhos da Terra</t>
  </si>
  <si>
    <t>02325-080</t>
  </si>
  <si>
    <t>Travessa Baixa Grande</t>
  </si>
  <si>
    <t>507701471</t>
  </si>
  <si>
    <t>(11) 98141-8574</t>
  </si>
  <si>
    <t>https://www.instagram.com/karolayne_oya/</t>
  </si>
  <si>
    <t>tec - teatro e humor</t>
  </si>
  <si>
    <t>3414445611</t>
  </si>
  <si>
    <t>CEU PAZ</t>
  </si>
  <si>
    <t>https://youtu.be/NaOBtFeVuJ8?si=RFrqYfpd52525Fq5</t>
  </si>
  <si>
    <t>505.072.708-19</t>
  </si>
  <si>
    <t>Paulo Ferreira Da Silva</t>
  </si>
  <si>
    <t>paulo.ferreirahn@gmail.com</t>
  </si>
  <si>
    <t>https://yz2spukd8h-jbrk7pf7uvw.s3.amazonaws.com/2024/05/uCPaCmY9MpUvMayRfcL1iWuDH8kXvn2%2BJsS97ZHXvEs%3D.jpeg</t>
  </si>
  <si>
    <t>25 anos, 2 meses, 20 dias</t>
  </si>
  <si>
    <t>Parque Peruche</t>
  </si>
  <si>
    <t>02531-012</t>
  </si>
  <si>
    <t>casa 03</t>
  </si>
  <si>
    <t>Rua Ouro Grosso</t>
  </si>
  <si>
    <t>245</t>
  </si>
  <si>
    <t>522607755</t>
  </si>
  <si>
    <t>(11) 96924-3947</t>
  </si>
  <si>
    <t>SIM - TEC+GRAD</t>
  </si>
  <si>
    <t>https://www.linkedin.com/in/paulo-ferreira-silva</t>
  </si>
  <si>
    <t xml:space="preserve">TEC - RECURSOS HUMANOS ADM, DESIGNER GRAFICO. GRAD - PROCESSOS GERENCIAIS </t>
  </si>
  <si>
    <t>20789394787</t>
  </si>
  <si>
    <t>Meu nome é Paulo Ferreira da Silva, sou um jovem negro de 25 anos, nascido na periferia de São Paulo, mais especificamente na zona leste. O filho do meio de 5 irmãos e de um casal de nordestinos que vieram para São Paulo tentar a vida. Apaixonado por arte e cultura, cresci imerso na cultura hip hop e nas rodas de capoeira. Venho de formações solidas nas área de gestão e negócios, concluindo dois cursos técnicos em administração e Recursos humanos pela Etec. Além disso, acumulei experiência prática trabalhando como assistente de e-commerce na empresa Naturais Food e como auxiliar de logística no Zé Delivery</t>
  </si>
  <si>
    <t>No momento sou estagiário de administração no Instituto Baccarelli, apoio nas demandas administrativas, atendimento ao público e auxílio na operacionalização das atividades, especialmente nas produções culturais do teatro. Além disso, como estudante de Processos Gerenciais na UFMS e Administração na Faculdade Anhanguera, junto a experiências anteriores em e-commerce e cursos técnicos, desenvolvi habilidades em gestão e marketing digital. Como voluntário no Instituto Rebbu, contribuo na criação e gestão de conteúdo para mídias digitais, fortalecendo meu compromisso com a inclusão social e desenvolvimento comunitário.</t>
  </si>
  <si>
    <t>Pretendo me formar em Administração e Processos Gerenciais e continuar meus estudos em Gestão Pública. Tenho interesse em ser Jovem Monitor Cultural e participar do programa de residência pública. Com essas formações, busco trabalhar com gestão cultural e aprofundar meus conhecimentos. Meu objetivo é coordenar uma casa de cultura, promovendo o acesso à cultura na comunidade.  Paralelamente, faço parte de um grupo de capoeira, onde pretendo me graduar internamente. Desejo compartilhar o que sei com pessoas de realidade semelhante à minha.  Acredito que, ao ajudá-las a prosperar, estarei contribuindo para o desenvolvimento do Brasil.</t>
  </si>
  <si>
    <t>448.005.598-39</t>
  </si>
  <si>
    <t>BEATRIZ COFFERS MEDEIROS</t>
  </si>
  <si>
    <t>Beatriz Coffers Medeiros</t>
  </si>
  <si>
    <t>Beatriz</t>
  </si>
  <si>
    <t>biacoffers@gmail.com</t>
  </si>
  <si>
    <t>https://yz2spukd8h-jbrk7pf7uvw.s3.amazonaws.com/2024/04/3qZvtDcLCX5nULQdhp%2BcZBas%2BxeV9xvgE5r5EGW4F%2Bc%3D.jpg</t>
  </si>
  <si>
    <t>26 anos, 5 meses, 7 dias</t>
  </si>
  <si>
    <t>UTILIZA NOME SOCIAL A MENOS DO QUE CONSTA NO DOCUMENTO</t>
  </si>
  <si>
    <t>Vila Guarani (Z Sul)</t>
  </si>
  <si>
    <t>04329-000</t>
  </si>
  <si>
    <t>km 11,5</t>
  </si>
  <si>
    <t>Rodovia dos Imigrantes</t>
  </si>
  <si>
    <t>36593348x</t>
  </si>
  <si>
    <t>(11) 94546-4771</t>
  </si>
  <si>
    <t>LICENCIATURA EM ARTES VISUAIS</t>
  </si>
  <si>
    <t>21202710737</t>
  </si>
  <si>
    <t>Nasci em São Caetano do Sul, mas foi na favela do Jabaquara, em São Paulo, que cresci. Com dois irmãos, mãe e avó costureira, meu mundo era cercado por tecidos e linhas. Desde cedo, aprendi a transformar esses materiais em roupas para minhas bonecas. Desenhar foi meu próximo passo, abrindo as portas para um novo universo de artes visuais, onde descobri minha paixão.</t>
  </si>
  <si>
    <t>No momento, me encontro no mundo do telemarketing, um ambiente que não estimula minha criatividade. No entanto, a essência da menina Beatriz, que aos 6 anos criava roupas para suas bonecas, ainda pulsa em mim. Meu coração bate por trabalhos manuais como artesanato, crochê, pintura, onde a arte se expressa com textura e cor, mas também compreendo que pode ir além...</t>
  </si>
  <si>
    <t>A arte esteve presente em toda a minha vida, desde a infância, sempre busquei formas de expressão, seja através de simples rabiscos ou presentes feitos à mão para as pessoas que amo. Agora, busco um meio de estudar Artes Visuais, buscando profissionalizar-me naquilo que amo e que sempre esteve presente em minha vida: a arte.  Futuramente gostaria de trabalhar com crianças em atividades que possam desenvolver a criatividade.</t>
  </si>
  <si>
    <t>461.601.278-45</t>
  </si>
  <si>
    <t>Ana Paula Medeiros Dos Santos</t>
  </si>
  <si>
    <t>anapaulasaopaulo56@gmail.com</t>
  </si>
  <si>
    <t>https://yz2spukd8h-jbrk7pf7uvw.s3.amazonaws.com/2024/05/NPh4O/IaOc2a24P0rB9dXdX3EzpY72Ee0TLOoumdyik%3D.jpg</t>
  </si>
  <si>
    <t>25 anos, 9 meses, 5 dias</t>
  </si>
  <si>
    <t>Jabaquara</t>
  </si>
  <si>
    <t>04343-120</t>
  </si>
  <si>
    <t>Rua Freire Farto</t>
  </si>
  <si>
    <t>335</t>
  </si>
  <si>
    <t>37.846.240-4</t>
  </si>
  <si>
    <t>(11) 93380-5699</t>
  </si>
  <si>
    <t>6292088324</t>
  </si>
  <si>
    <t>https://youtu.be/uCYEPBhIjKg?si=hVllzomj_5YCNFlX</t>
  </si>
  <si>
    <t>488.333.298-52</t>
  </si>
  <si>
    <t>Hanna MIranda Sabino</t>
  </si>
  <si>
    <t>HANNA</t>
  </si>
  <si>
    <t>Hanna</t>
  </si>
  <si>
    <t>hanna.sabino22@gmail.com</t>
  </si>
  <si>
    <t>https://yz2spukd8h-jbrk7pf7uvw.s3.amazonaws.com/2024/04/CuD1ooKjnWOJvsJM3ZInu7ocYdVCCPiIeOofTrNj1LA%3D.jpeg</t>
  </si>
  <si>
    <t>25 anos, 4 meses, 22 dias</t>
  </si>
  <si>
    <t>02812-010</t>
  </si>
  <si>
    <t>Rua das Pedras</t>
  </si>
  <si>
    <t>827</t>
  </si>
  <si>
    <t>504638713</t>
  </si>
  <si>
    <t>(11) 99252-3476</t>
  </si>
  <si>
    <t>11-992523476</t>
  </si>
  <si>
    <t>sim - cursando</t>
  </si>
  <si>
    <t>https://br.linkedin.com</t>
  </si>
  <si>
    <t>tec - design grafico - meio ambiente completo</t>
  </si>
  <si>
    <t>161406580404</t>
  </si>
  <si>
    <t>Me chamo Hanna, moro em São Paulo, sou formada no técnico de gestão ambiental e iniciei ensino superior no Curso de Artes Visuais, no qual estudei até o terceiro semestre na Universidade do Sul da Bahia,  Porto Seguro, onde morei por três anos durante a pandemia e estudei também na escola de Artes Digitais SAGA.   Assim, com tempo, me moldo enquanto artista e me coloco à disposição de esclarecer dúvidas sobre.</t>
  </si>
  <si>
    <t>Atualmente sou representante de vendas para as Drogarias Pacheco e São Paulo, onde eu faço parte do suporte que soluciona demandas no envio e sendo intermédio o cliente da transportadora e loja. Sou estudante do Técnico de Design Gráfico na ETEC Carlos de Campos no Brás. Moro com minha irmã caçula num bairro periférico no Jardim Paulistano, Noroeste de São Paulo, bairro onde fui criada na infância.</t>
  </si>
  <si>
    <t>Meu objetivo é terminar meu curso de Arte Visual numa universidade pública, ocupar cargo de diretora de arte ou assistente de produção em instituições culturais onde moro; poder ser reconhecida como Design também.  E construir portfólios ao longo da minha trajetória, assim podendo notar meu percurso de evolução dentro dos meus projetos.</t>
  </si>
  <si>
    <t>476.270.478-46</t>
  </si>
  <si>
    <t>Giovanna Ribeiro Alves</t>
  </si>
  <si>
    <t>GIOVANNA</t>
  </si>
  <si>
    <t>Giovanna</t>
  </si>
  <si>
    <t>giovannabetel2005@gmail.com</t>
  </si>
  <si>
    <t>https://yz2spukd8h-jbrk7pf7uvw.s3.amazonaws.com/2024/05/2N72trdpjkpeQCUOkjxAgxTSzZeG7lfz20JCu3nA7ww%3D.jpeg</t>
  </si>
  <si>
    <t>18 anos, 8 meses, 27 dias</t>
  </si>
  <si>
    <t>Freguesia do ó</t>
  </si>
  <si>
    <t>02757-030</t>
  </si>
  <si>
    <t>Rua Registro</t>
  </si>
  <si>
    <t>152</t>
  </si>
  <si>
    <t>534637504</t>
  </si>
  <si>
    <t>(11) 93903-2667</t>
  </si>
  <si>
    <t xml:space="preserve">sim-grad cursando </t>
  </si>
  <si>
    <t>https://www.instagram.com/alvesgih_?igsh=MTd6NXMwbHk4N2hlbg%3D%3D&amp;utm_source=qr</t>
  </si>
  <si>
    <t xml:space="preserve">estética e cosméticos </t>
  </si>
  <si>
    <t>23784497116</t>
  </si>
  <si>
    <t>Eu fui criada por Deus e vim do amor dos meus pais, Jessé e Queli. Meus pais me planejaram, minha mãe conta que eu dos três filhos, fui a única  que eles planejaram. E eu então, fico me gabando para os meus irmãos. Sou muito amada, é assim eu me sinto. Sei que vim ao mundo com um propósito. Eu amo dançar, cantar e estar com amigos. Eu venho um lar simples, humilde, mas que nunca faltou amor, alegria e muita risada.</t>
  </si>
  <si>
    <t>Hoje nossa família mudou muito. E eu estou aprendendo a lidar com tantas mudanças. Hoje moramos eu, minha mãe e meu irmão. Meu pai foi para CÉU, e minha irmã mais velha se casou, e logo nascerá meu primeiro sobrinho. A casa está mais vazia de pessoas, porém, tenho 5 animais de estimação. Patola, minha cachorra de 14 anos, meus gatos, Mary Tchetimy, a mãe gata e os filhos, Mingau, Yoda, Pequeno. Eles estão comigo o tempo todo e eu estou com eles. Amo meus filhos de quatro patas. Estou mais crescida e amadurecendo dia a dia. Onde estou? Estou aqui, em busca de algo que possa fazer a diferença na minha vida e para minha família.</t>
  </si>
  <si>
    <t>Eu vou para onde meus propósitos de vida me levarem. Eu vou procurar sempre me dedicar, realizar o meu melhor e acreditar no meu potencial. Eu vou para onde Deus me permitir e eu fazer por onde conquistar. Eu vou em busca do sim, para os “nãos” que a vida já apresenta de cara. Eu vou avançar, me lançar, me encher de esperança e força. Eu vou praticar o que aprendi com meus pais e com os princípios que eles me passaram, acredito sempre na fé em Deus que eles me ensinaram a ter em primeiro lugar. Para onde vou? Eu vou continuar confiando que eu posso, que eu vou conseguir. Eu só vou</t>
  </si>
  <si>
    <t>514.135.878-01</t>
  </si>
  <si>
    <t>LAYSLA DOS SANTOS ROBERTO</t>
  </si>
  <si>
    <t>Laysla Dos Santos Roberto</t>
  </si>
  <si>
    <t>layslasantos911@gmail.com</t>
  </si>
  <si>
    <t>https://yz2spukd8h-jbrk7pf7uvw.s3.amazonaws.com/2024/06/IacEuZlBnHZIcpuxZmDtMt5VyBMY%2BdCXjUhrXOL1G7s%3D.jpg</t>
  </si>
  <si>
    <t>20 anos, 7 meses, 23 dias</t>
  </si>
  <si>
    <t>EM  FORMAÇÃO  ARTES  VISUAIS</t>
  </si>
  <si>
    <t>Recanto Verde do Sol</t>
  </si>
  <si>
    <t>08381-770</t>
  </si>
  <si>
    <t>Rua Tauro</t>
  </si>
  <si>
    <t>19</t>
  </si>
  <si>
    <t>571314569</t>
  </si>
  <si>
    <t>(11) 98817-3848</t>
  </si>
  <si>
    <t>LAYSLASANTOS911@GMAIL.COM</t>
  </si>
  <si>
    <t>Cursando superior com Fundo de Financiamento Estudantil (Fies)</t>
  </si>
  <si>
    <t>SUJPERIOR</t>
  </si>
  <si>
    <t>https://www.instagram.com/layslarobertto?igsh=MTNuYXh3Nm9kbnh0dA==</t>
  </si>
  <si>
    <t>ARTES VISUAIS</t>
  </si>
  <si>
    <t>23734171063</t>
  </si>
  <si>
    <t>Eu sou a Laysla, tenho 20 e moro desde que eu nasci em São Mateus, zona leste de São Paulo. Sou filha única de pais que sempre me deram apoio moral e financeiro, assim, conseguindo seguir com os estudos sem ter a obrigação de trabalhar, me sinto sortuda de ter esse apoio, pois não realidade periférica que estou inserida, isso não é comum, muitos tem que largar a escola para trabalhar e isso não foi me colocado, consegui ingressar no ensino superior para seguir meu sonho como artista visual.</t>
  </si>
  <si>
    <t>Atualmente estudo artes visuais bacharelado no Centro Universitário Belas Artes, me sinto feliz e realizada por conseguir ingressar nessa faculdade pois era meu sonho acessar esse espaço que é cheios de oportunidades. Porém é um espaço totalmente elitista, onde não encontro muitas pessoas iguais a mim e isso só reforça as minhas ideologias retratadas na minha arte.   Nesse ano, 2024, estou progredindo artisticamente, estou com a minha primeira exposição marcada, que será na casa de cultura do Ipiranga e que será sobre o dia 25 de julho (Dia Internacional da Mulher da Afro Latino Americana e Caribenha) e estou muito feliz pelo caminho que estou seguindo.</t>
  </si>
  <si>
    <t>Tenho o desejo de  construir uma ong, onde o objetivo é disponibilizar um espaço gratuito onde serão oferecidas aulas de pintura, desenho, ilustração, música e teatro para buscar não apenas desenvolver habilidades artísticas, mas também promover a permanência dos participantes no projeto, afastando-os do envolvimento com criminalidade e drogas. Estou inserida em um projeto de extensão da faculdade onde aplicamos uma oficina de ecobag para crianças em situação de vulnerabilidade e é isso que eu quero fazer, é para onde eu vou no espaço da arte, quero assegurar crianças e adolescentes com a arte.</t>
  </si>
  <si>
    <t>544.932.448-01</t>
  </si>
  <si>
    <t>Mirele De Jesus Ferreira</t>
  </si>
  <si>
    <t>ferreira.leri@gmail.com</t>
  </si>
  <si>
    <t>https://yz2spukd8h-jbrk7pf7uvw.s3.amazonaws.com/2024/06/7RTQ7NCicjmhBt3BEmNHPfe7IH8ehW0Wwwij3ZrCgfY%3D.jpeg</t>
  </si>
  <si>
    <t>24 anos, 1 meses, 0 dias</t>
  </si>
  <si>
    <t>Colônia (Zona  Leste)</t>
  </si>
  <si>
    <t>08260-270</t>
  </si>
  <si>
    <t>Rua beira rio sai josé cláudio</t>
  </si>
  <si>
    <t>701394729</t>
  </si>
  <si>
    <t>(75) 98299-3778</t>
  </si>
  <si>
    <t>FERREIRA.LERI@GMAIL.COM</t>
  </si>
  <si>
    <t>16438681505</t>
  </si>
  <si>
    <t>Meu nome é Mirele de Jesus Ferreira, nascida em Salvador - BA, mas vivi a maior parte da minha vida em Irará - BA, uma cidade do interior. Sou filha de Ivonete de Jesus, uma mulher que trabalhou a maior parte da vida como empregada doméstica e Eduardo Ferreira, um pintor. Concluí o ensino médio e ingressei na faculdade de filosofia na Universidade Estadual de Feira de Santana (UEFS) que atualmente se encontra trancada. Desisti de concluir essa faculdade porque meu objetivo sempre foi trabalhar com arte dramática e para tanto me mudei para a cidade de São Paulo.</t>
  </si>
  <si>
    <t>Há um ano e cinco meses me mudei para a cidade e São Paulo e dois meses depois de chegar à cidade entrei para a Escola Técnica de artes (ETEC de artes) na qual tive meu primeiro contato com o mundo do teatro. O curso será concluído em breve e como último trabalho para a instituição a turma da qual faço parte apresentará uma peça de teatro autoral, essa será a primeira vez que me apresentarei nos palcos e, por tanto, o primeiro passo para o início da minha carreira profissional.</t>
  </si>
  <si>
    <t>Pretendo seguir com minha carreira de atriz, quero ser reconhecida e poder viver exclusivamente dessa área. Acredito que me envolver com a gestão cultural da cidade de São Paulo me permitiria conhecer muito melhor a cidade e muito de como a arte funciona por aqui o que acrescentaria na minha jornada de artista. Poço dizer por experiência como uma pessoa que precisou deixar a cidade que viveu a vida inteira para poder estudar o que desejava, que programas de incentivo a cultura são de extrema importância para a população como um todo, principalmente para a classe artística que pode trabalhar na área que escolheu para si ao mesmo passo que ganha novas visões e conhecimentos sobre essa.</t>
  </si>
  <si>
    <t>084.333.085-64</t>
  </si>
  <si>
    <t>Francielle Dos Santos Pinto</t>
  </si>
  <si>
    <t>francielledossantos4@gmail.com</t>
  </si>
  <si>
    <t>https://yz2spukd8h-jbrk7pf7uvw.s3.amazonaws.com/2024/05/BnOzLHlzeTPsW91eWSLPTCH/QEdQX4PoV%2BnvvxOc7ZE%3D.jpeg</t>
  </si>
  <si>
    <t>24 anos, 1 meses, 19 dias</t>
  </si>
  <si>
    <t>05875-230</t>
  </si>
  <si>
    <t>Rua Berthelot</t>
  </si>
  <si>
    <t>6</t>
  </si>
  <si>
    <t>585484570</t>
  </si>
  <si>
    <t>(11) 94633-5637</t>
  </si>
  <si>
    <t>https://instagram.com/fran_santos.art?igshid=Y2M0YTlkZGNmOQ==</t>
  </si>
  <si>
    <t>BACHARELADO EM ARTES CÊNICAS</t>
  </si>
  <si>
    <t>207.25721.81-7</t>
  </si>
  <si>
    <t>BIBLIOTECA RAUL BOPP</t>
  </si>
  <si>
    <t>https://www.youtube.com/watch?v=6eWAK6i2-Xo</t>
  </si>
  <si>
    <t>493.067.108-60</t>
  </si>
  <si>
    <t>Derik Da Silva Pimenta De Souza</t>
  </si>
  <si>
    <t>derikdasilvapimenta@gmail.com</t>
  </si>
  <si>
    <t>https://yz2spukd8h-jbrk7pf7uvw.s3.amazonaws.com/2024/04/MzUdfAIIhuT8RYTkPth9aY8R0ni0vLt/EzKvtahruRw%3D.jpeg</t>
  </si>
  <si>
    <t>21 anos, 9 meses, 27 dias</t>
  </si>
  <si>
    <t>superioir em formacao  gestao e turismo</t>
  </si>
  <si>
    <t>Jardim São Luís (Zona Leste)</t>
  </si>
  <si>
    <t>08121-018</t>
  </si>
  <si>
    <t>Rua Maria Luísa de Sousa</t>
  </si>
  <si>
    <t>23</t>
  </si>
  <si>
    <t>54043895-9</t>
  </si>
  <si>
    <t>(11) 95849-4938</t>
  </si>
  <si>
    <t>https://www.instagram.com/derikjpg?igsh=MWZnanBvNzZsa2dsbg%3D%3D&amp;utm_source=qr</t>
  </si>
  <si>
    <t>guia de turismo</t>
  </si>
  <si>
    <t>16141900160</t>
  </si>
  <si>
    <t>Vim do Vila Any, bairro periférico na cidade de Guarulhos, fui criado lá com meus pais e minhas irmãs, onde desde sempre trabalhei criação de produtos culturais através de brincadeiras cotidianas, solos ou coletivas. Desde muito novo a curiosidade de conhecer sobre  outras populações e costumes me fascinam, e o sonho de fazer algo relacionado era constante.</t>
  </si>
  <si>
    <t>Atualmente moro no Itaim Paulista, onde convivo a um ano, explorando e conhecendo as questões artísticas e culturais dentro do bairro e da cidade de São Paulo, estudo atualmente Gestão de Turismo na FATEC-SP descobrindo interesses dentro dos eixos que o curso possibilita, relacionado as áreas culturais e questões de patrimônio cultural me desenvolvendo e aprimorando cada vez mais para ingressar em áreas correlatas ao tema.</t>
  </si>
  <si>
    <t>Para o futuro penso em após terminar a faculdade fazer uma pós graduação dentro da aera de antropologia cultural, aperfeiçoando cada vez conhecimentos culturais, não só brasileiro como de outros países também. Esta atuando dentro da minha área de formação, também é uns dos meus objetivos para o futuro.  Viagens estaduais e a primeira internacional estão dentro dos planos para o futuro, explorando gastronomias historias mitos e lendas de outros lugares.</t>
  </si>
  <si>
    <t>520.876.398-25</t>
  </si>
  <si>
    <t>LEONARDO CARDOSO SANTOS</t>
  </si>
  <si>
    <t>Leonardo Cardoso Santos</t>
  </si>
  <si>
    <t>Leo Mesmo Cardoso Santos</t>
  </si>
  <si>
    <t>sleonardocardoso@gmail.com</t>
  </si>
  <si>
    <t>https://yz2spukd8h-jbrk7pf7uvw.s3.amazonaws.com/2024/06/JbYooSk8dyTu1eKX67y2MIPlSc/hK1Z080B42UESw40%3D.jpeg</t>
  </si>
  <si>
    <t>20 anos, 0 meses, 24 dias</t>
  </si>
  <si>
    <t>NOME DIFERENTE DO QUE CONSTA NO DOCUMENTO (A SABER - LEONARDO CARDOSO SANTOS) - ESTA CURSANDO BACHARELADO</t>
  </si>
  <si>
    <t>Jardim Ipê</t>
  </si>
  <si>
    <t>05797-190</t>
  </si>
  <si>
    <t>Rua Adoasto de Godói</t>
  </si>
  <si>
    <t>390106070</t>
  </si>
  <si>
    <t>(11) 95911-9838</t>
  </si>
  <si>
    <t>leosantos101.c@gmail.com</t>
  </si>
  <si>
    <t>https://www.instagram.com/leo1010000/</t>
  </si>
  <si>
    <t>BACHARELADO EM GEOGRAFIA</t>
  </si>
  <si>
    <t>16519818705</t>
  </si>
  <si>
    <t>Eu sou do Capão Redondo, um bairro muito estigmatizado e onde cada rua conta uma história única. Como pessoa preta não binárie, encontro na minha identidade uma jornada de autodescoberta e empoderamento. O Capão Redondo é mais do que um local no mapa, é o onde começa minha história, onde aprendi a valorizar minhas raízes e a lutar pelos meus direitos.</t>
  </si>
  <si>
    <t>Fiz parte de um cursinho popular que me forneceu preparação teórica para realizar o vestibular. Consegui minha tão sonhada vaga na USP e, até então, estudo Geografia. Sou artista cinematográfico, onde fiz alguns cursos voltado para área de pós-produção, fotografia e produção. Além, sou uma pessoa que sempre tento me conectar e estudar minhas características étnicas, para assim, entender meu espaço e lugar no mundo. Gosto de comunicar, desenvolver projetos e estar em processos de criação.</t>
  </si>
  <si>
    <t>Pretendo andar todas as trilhas para conseguir chegar no ponto mais alto do meu destino. Sou uma pessoa muito sonhadora e acredito em novas manhãs e novas formas de conseguir conquistar meus sonhos. Assim, me conecto com o novo, busco entender o passado para assim, tomar boas decisões no presente. Quero, futuramente, ter minha arte valorizada e poder ser referência para as pessoas que se identificam comigo e, claro, trazer outros olhares para o mundo.</t>
  </si>
  <si>
    <t>540.773.768-07</t>
  </si>
  <si>
    <t>Juan Pedro Santana Borges Dos Santos</t>
  </si>
  <si>
    <t>jpfase12@gmail.com</t>
  </si>
  <si>
    <t>https://yz2spukd8h-jbrk7pf7uvw.s3.amazonaws.com/2024/05/TbSS5W%2BrFfdG0ZeY78kL2TxK3bq4kon0Pn1OVi/Ur1k%3D.jpg</t>
  </si>
  <si>
    <t>22 anos, 6 meses, 28 dias</t>
  </si>
  <si>
    <t>Jardim Edith</t>
  </si>
  <si>
    <t>04813-240</t>
  </si>
  <si>
    <t>VLA. do Nelito</t>
  </si>
  <si>
    <t>Rua Nova Delhi</t>
  </si>
  <si>
    <t>533</t>
  </si>
  <si>
    <t>502305551</t>
  </si>
  <si>
    <t>(11) 99342-0687</t>
  </si>
  <si>
    <t>https://linkme.bio/jpfase12</t>
  </si>
  <si>
    <t>LICENCIATURA EM TEATRO</t>
  </si>
  <si>
    <t>067395102-29</t>
  </si>
  <si>
    <t>https://photos.app.goo.gl/kmSnFucAkJEKqJiV8</t>
  </si>
  <si>
    <t>524.882.118-50</t>
  </si>
  <si>
    <t>JONATAS MURICY SANTOS</t>
  </si>
  <si>
    <t>Jonatas Muricy Santos</t>
  </si>
  <si>
    <t>jonatasmuricy5@gmail.com</t>
  </si>
  <si>
    <t>https://yz2spukd8h-jbrk7pf7uvw.s3.amazonaws.com/2024/05/HgV625H0%2BP1xdGdSedDmjFModIq15DR74VCbRurSoQE%3D.jpg</t>
  </si>
  <si>
    <t>20 anos, 1 meses, 0 dias</t>
  </si>
  <si>
    <t>Jardim Lajeado</t>
  </si>
  <si>
    <t>08440-520</t>
  </si>
  <si>
    <t>Bloco B Ap 32</t>
  </si>
  <si>
    <t>Rua Isabela</t>
  </si>
  <si>
    <t>516</t>
  </si>
  <si>
    <t>52919998-1</t>
  </si>
  <si>
    <t>(11) 94625-6717</t>
  </si>
  <si>
    <t>JONATASMURICY5@GMAIL.COM</t>
  </si>
  <si>
    <t>PSICOLOGIA</t>
  </si>
  <si>
    <t>060672956-95</t>
  </si>
  <si>
    <t>BIBLIOTECA CORA CORALINA</t>
  </si>
  <si>
    <t>CEU LAJEADO</t>
  </si>
  <si>
    <t>Meu nome é Jonatas Muricy Santos, nasci na Bahia e resido em São Paulo desde os meus 2 anos de idade. Cresci a minha vida inteira em escola pública, onde tive contato com diversos professores que me apresentaram centros culturais, locais esses onde tive experiências com diferentes estilos de arte: dança; teatro; pintura; cinema, entre outros. Tal ocorrido é um dos precursores por me fazer descobrir minha paixão pela arte e despertar meu interesse em trabalhar nas áreas artísticas.</t>
  </si>
  <si>
    <t>Atualmente, próximo de completar 20 anos, tenho cursado faculdade de Psicologia, graduação essa que escolhi com o intuito de entender melhor sobre a diversidade da mente humana para assim poder entender melhor a complexidade e subjetividade de cada indivíduo. Além disso, tenho feito cursos artísticos no Senac para aprimorar meus conhecimentos culturais e técnicos relacionados à arte.</t>
  </si>
  <si>
    <t>Relacionado ao meu futuro, almejo trabalhar com algo relacionado à arte e cultura, como professor de artes, entretanto, o que mais anseio em trabalhar é como diretor e roteirista de cinema. Com o futuro traçado na minha mente, todos os estudos e experiências que possuo atualmente são justamente para me auxiliar a um dia conseguir trabalhar com o que sonho. Com isso em mente, é exatamente por isso que desejo trabalhar como Jovem Monitor Cultural, para adquirir novos conhecimentos práticos acerca do mercado cultural que me auxiliem em alcançar meus objetivos.</t>
  </si>
  <si>
    <t>462.137.558-02</t>
  </si>
  <si>
    <t>KAIO EUARDO MELO COSTA</t>
  </si>
  <si>
    <t>Kaio Eduardo Melo Costa</t>
  </si>
  <si>
    <t>kaio.eduardo2003@hotmail.com</t>
  </si>
  <si>
    <t>https://yz2spukd8h-jbrk7pf7uvw.s3.amazonaws.com/2024/05/2aQ8G/5hGpzGqjsk3/mZVh0pIr9G%2BKUnt%2B4r2IEriFU%3D.jpg</t>
  </si>
  <si>
    <t>21 anos, 4 meses, 10 dias</t>
  </si>
  <si>
    <t>SUPERIOR LICENCIATURA ]EM  ARTE TEATRO  EM  FORMÇÃO</t>
  </si>
  <si>
    <t>Vila Londrina</t>
  </si>
  <si>
    <t>03731-050</t>
  </si>
  <si>
    <t>B</t>
  </si>
  <si>
    <t>Praça Barão de Saiçã</t>
  </si>
  <si>
    <t>58.595.836-1</t>
  </si>
  <si>
    <t>(11) 93077-2599</t>
  </si>
  <si>
    <t>KAIO.EDUARDO2003@HOTMAIL.COM</t>
  </si>
  <si>
    <t>TECNICO</t>
  </si>
  <si>
    <t>23807233144</t>
  </si>
  <si>
    <t>Bom dia! sou o Kaio Melo, tenho 21 anos e desde a infância vivo na zona leste de São Paulo. Quando criança, adorava praticar esportes e ainda mais desenhar e brincar com a minha imaginação, brincar de atuar, porém, embora minha mãe sempre me apoiasse com as vivencias que gostaria de ter, nunca me surgiu uma porta para o mundo das artes, então por muito tempo segui pelo caminho comum de cursos de informática oferecidos em escolas. Até o fim da pandemia, quando aos meus 18 anos de idade, sem pretensão, me inscrevi e passei no curso técnico da Etec de artes.</t>
  </si>
  <si>
    <t>Hoje, aos meus 21 anos, me formei no técnico em teatro e com um coletivo teatral que nasceu durante esse curso, estou enfrentando junto dos integrantes do grupo, as adversidades de como manter um coletivo majoritariamente periférico em Sp. Além disso buscando me aprimorar com o fazer teatral estou cursando Licenciatura em Arte-Teatro pela Unesp de São Paulo.</t>
  </si>
  <si>
    <t>O futuro parece incerto, mas tenho certeza que como artista capacitado em diversas áreas, com meu coletivo bem estabelecido e tendo me tornado um excelente professor, no futuro farei o fazer artístico e a cultura serem muito mais valorizadas, facilitando a permanência de quem vive da arte em seu modo de viver e levarei portas para jovens que como eu, não tinham uma porta para entrar nesse mundo.</t>
  </si>
  <si>
    <t>509.333.118-00</t>
  </si>
  <si>
    <t>Vania Morelia Rivero Vargas</t>
  </si>
  <si>
    <t>VANIA</t>
  </si>
  <si>
    <t>Vania</t>
  </si>
  <si>
    <t>vaniarivero2013@gmail.com</t>
  </si>
  <si>
    <t>https://yz2spukd8h-jbrk7pf7uvw.s3.amazonaws.com/2024/04/OG1KlLlTIij13VbXVZbo9iQq6IoL6imJquxrYMunJrY%3D.jpg</t>
  </si>
  <si>
    <t>19 anos, 8 meses, 20 dias</t>
  </si>
  <si>
    <t>NÃO BINARIO</t>
  </si>
  <si>
    <t>Belenzinho</t>
  </si>
  <si>
    <t>03058-020</t>
  </si>
  <si>
    <t>BELÉM</t>
  </si>
  <si>
    <t>Rua Heitor Maurano</t>
  </si>
  <si>
    <t>44</t>
  </si>
  <si>
    <t>V961747-1</t>
  </si>
  <si>
    <t>(11) 96444-3099</t>
  </si>
  <si>
    <t>VANIARIVERO2013@GMAIL.COM</t>
  </si>
  <si>
    <t>061857312-74</t>
  </si>
  <si>
    <t>MOÓCA (ÁGUA RASA, BELÉM, BRÁS, MOÓCA, PARI, TATUAPÉ)</t>
  </si>
  <si>
    <t>LÍBERO - SUPERVISÃO DE CENTROS CULTURAIS MUNICIPAIS E TEATROS - CCULT</t>
  </si>
  <si>
    <t>CEU FORMOSA</t>
  </si>
  <si>
    <t>Olá,sou a vania,tenho 19 anos e vim da Bolívia de uma cidade chamada "Veni",morei lá por 3 á 4 anos de idade mas depois disso sai do meu país e vim morar em São Paulo,estou  cerca de 16 anos no Brasil, vim ao Brasil por motivos de convivência com meus pais já que eles achavam melhor ir a um pais que possa tentar melhorar a nossa questão economia de família</t>
  </si>
  <si>
    <t>Estou morando em São Paulo Belém/belenzinho uma casa pequena mas bem localizada em questão de supermercados,farmácias,área verde,escolas,modo de transporte público como metrô e ônibus etc.  Infelizmente a casa não é adequada e é muito fechada com um aluguel alto para uma casa pequena,também tem uma fábrica de cultura perto de onde moro onde já fiz alguns cursos.</t>
  </si>
  <si>
    <t>É meio incrível para onde irei mas planejo futuramente ter uma casa própria e ser uma profissional  capas de ajudar as pessoas,não quero apenas ter uma profissão,e uma das minhas metas é ser uma psicóloga pois quero ajudar adolescentes q passam por dificuldades.  Assim como eu acabei precisando de ajuda profissional e passando em consultas em caps perto da minha casa.</t>
  </si>
  <si>
    <t>244.306.668-14</t>
  </si>
  <si>
    <t>Fernando Rosa Dos Santos</t>
  </si>
  <si>
    <t>feh.r.santos.1111@gmail.com</t>
  </si>
  <si>
    <t>https://yz2spukd8h-jbrk7pf7uvw.s3.amazonaws.com/2024/05/p03MbgK3RdnduqmEaaj23PVkQa1UsV1nppcvtes/gWU%3D.jpg</t>
  </si>
  <si>
    <t>21 anos, 2 meses, 24 dias</t>
  </si>
  <si>
    <t>Vila Nhocune</t>
  </si>
  <si>
    <t>03560-000</t>
  </si>
  <si>
    <t>República Jovem</t>
  </si>
  <si>
    <t>Rua Doutor Nelson Madureira</t>
  </si>
  <si>
    <t>51</t>
  </si>
  <si>
    <t>56.890.529-5</t>
  </si>
  <si>
    <t>(11) 99116-7493</t>
  </si>
  <si>
    <t>https://www.instagram.com/nanosaelider?igsh=MTF4eGdsaGluN2g4eA==</t>
  </si>
  <si>
    <t>063662899-05</t>
  </si>
  <si>
    <t>Olá me chamo Fernando, tenho 21 anos e venho de muitos lugares. Aos 6 anos fugi da casa da minha mãe e irmãos. Vivia em abrigos, casas de passagem, pais adotivos, outros familiares distantes e até uma tentativa frustrada de voltar a família de origem tentei, mas nenhuma dessas tentativas deram certo.  Aos 17 anos entendi que se eu quisesse ter sucesso teria que ser por mim mesmo! Então solicitei vaga ao um abrigo fixo no foro regional, lá ao completar 18 anos de idade fui direcionado a república Jovem (serviço social que trabalha autonomia de jovens adultos).   É onde estou atualmente.</t>
  </si>
  <si>
    <t>Moro em uma república Jovem como expliquei acima, minha vaga foi prolongada devido um novo acordo social. Curso o último ano do ensino médio na escola CEEJA Dona Clara Mantelli no período noturno EAD, faltam apenas 2 matérias para obter o certificado de conclusão. Estou também finalizando meu curso de marcenaria, designer e tecnologia, na unidade fablab Penha (período esse diurno). Aos finais de semana realizo free-lancers e também sou agente de prevenção sexual no SAE LÍDER (prox a arthur alvim), no plantão jovem.</t>
  </si>
  <si>
    <t>Vou terminar meus estudos, investir em mim e nos meus projetos, irei estudar para o Enem, me profissionalizar, financiar uma casa e finalmente entregar a coleira de nome talismã para o meu futuro doguinho.  Creio que o PJMC irá me ajudar muito nessa nova fase de independência financeira e Profissionalizante. Goste de arte, componho mas não sei cantar(ainda), se é que existe um jeito realmente certo para isso..  Quero me explorar ao máximo, poder agregar enquanto agregado.</t>
  </si>
  <si>
    <t>460.808.008-37</t>
  </si>
  <si>
    <t>Matheus Viana De Souza</t>
  </si>
  <si>
    <t>kalebnephy@gmail.com</t>
  </si>
  <si>
    <t>https://yz2spukd8h-jbrk7pf7uvw.s3.amazonaws.com/2024/04/hv9YhV59UELzNSHk6v%2BwCbDkeoRPLjN3bbz2lSQpk/c%3D.jpg</t>
  </si>
  <si>
    <t>23 anos, 3 meses, 17 dias</t>
  </si>
  <si>
    <t>Jaguaré</t>
  </si>
  <si>
    <t>05348-020</t>
  </si>
  <si>
    <t>Apartamento 51, bloco 01</t>
  </si>
  <si>
    <t>JAGUARÉ</t>
  </si>
  <si>
    <t>Avenida José Maria da Silva</t>
  </si>
  <si>
    <t>1700</t>
  </si>
  <si>
    <t>564298372</t>
  </si>
  <si>
    <t>(11) 95343-2308</t>
  </si>
  <si>
    <t>KALEBNEPHY@GMAIL.COM</t>
  </si>
  <si>
    <t>https://www.instagram.com/p/CexDToJO8Fh/?igsh=OWFjMGVkdXhzeXM0</t>
  </si>
  <si>
    <t>16455758197</t>
  </si>
  <si>
    <t>BIBLIOTECA CLARICE LISPECTOR</t>
  </si>
  <si>
    <t>Me chamo Matheus, 23 anos, nascido em Osasco, criado entre Osasco e Jaguaré, atualmente residindo no jaguaré. Desde pequeno eu sempre gostei muito de arte, logo criança, já cantava e desenhava um pouco,não só isso, também já fazia teatro sem saber (brincando de criar histórias e contos com minha prima). Quando me formei no colegial, me matriculei em uma oficina de teatro no CEU das Artes em Osasco, lá fiz quatro anos de história, colocando alguns espetáculos no palco, o “ZONA DE GUERRA” “O MENINO QUE FALAVA OXENTE” “CANINDÉ” e “A CARROÇA ENCANTADA” logo após com incentivo do meu professor, consegui bolsa no Senac, me formando em técnico em teatro.</t>
  </si>
  <si>
    <t>Pós formado no Senac, atualmente trabalho meio período em um restaurante como cumim (limpando mesas, servindo pratos, fazendo controle de pessoas, embalando pratos no delivery) estou nele a quase um ano como aprendiz e também estou voltando a ensaiar o “ZONA DE GUERRA” o espetáculo que lá atrás produzimos no CEU, mas agora com o fomento da Lei Paulo Gustavo.</t>
  </si>
  <si>
    <t>Viver dentro da cultura, propagando arte e conhecimento são duas coisas que me fazem brilhar os olhos. Música e teatro são duas coisas que sou apaixonado e pretendo algum dia viver disso, ainda não cheguei aonde quero, mas com certeza não estou aonde comecei, a cada trabalho e estudo eu adquiro mais conhecimento, e algum dia quero solidificar todos os sonhos de minha mente, entregando arte, conceito e consciência. Trabalhar em meio a engrenagens que fazem nossa cultura reverberar por aí salvando jovens, ensinando outros, trazendo auto-conhecimento e mais do que nunca, dando acesso a eles para viver a cultura da cidade, vale qualquer distância ou problema a ser resolvido.</t>
  </si>
  <si>
    <t>455.203.638-62</t>
  </si>
  <si>
    <t>Vanuza Alves Ramos Ferreira</t>
  </si>
  <si>
    <t>wannuzaramos@gmail.com</t>
  </si>
  <si>
    <t>https://yz2spukd8h-jbrk7pf7uvw.s3.amazonaws.com/2024/04/xwW6H8rUCRv/ZynkjGqlWDkIvw7Mm75iDxlZ5CqUA%2BU%3D.jpg</t>
  </si>
  <si>
    <t>27 anos, 7 meses, 14 dias</t>
  </si>
  <si>
    <t>Jardim das Oliveiras</t>
  </si>
  <si>
    <t>08111-750</t>
  </si>
  <si>
    <t>Rua Francisco Borzage</t>
  </si>
  <si>
    <t>40</t>
  </si>
  <si>
    <t>39.184.221-3</t>
  </si>
  <si>
    <t>(11) 94927-3875</t>
  </si>
  <si>
    <t>WANNUZARAMOS@GMAIL.COM</t>
  </si>
  <si>
    <t>CLIMINOLOGIA</t>
  </si>
  <si>
    <t>068091697-09</t>
  </si>
  <si>
    <t>BIBLIOTECA VICENTE PAULO GUIMARÃES</t>
  </si>
  <si>
    <t>"Meu nome é Vanuza, tenho 27 anos. Moro na região do Jardim das Oliveiras, Itaim Paulista. Sou casada e tenho um filhinho de 4 anos. A minha vida inteira estudei em escola pública. Sempre gostei de participar de programas culturais e já participei do vocacional durante um ano e meio. Já fiz oficina de teatro e sou frequentadora de bibliotecas. Trabalhei durante dois anos como sócio Educadora no Telecentro e sempre tive facilidade para trabalhar com público, tanto na área cultural como na área social."</t>
  </si>
  <si>
    <t>"Atualmente, estou desempregada. Como gosto muito da área cultural e social, achei interessante me inscrever no programa Jovem Monitor Cultural deste ano. Faço faculdade de criminologia; estou no quarto ano na faculdade e pretendo fazer a graduação em psicologia também, e quem sabe uma pós em psicologia jurídica. Já tive acesso aos trabalhos dos jovens monitores quando trabalhei no Telecentro. Acredito que essa formação irá agregar bastante à minha carreira."</t>
  </si>
  <si>
    <t>No meus planos futuros inclui terminar a minha faculdade, fazer a minha pós-graduação e prestar um concurso público. Gostaria de prestar um concurso público na área social ou cultural. Acredito que tenho muito a aprender ainda, estou disposta a isso. Gostaria muito de entrar no programa este ano para que, através disso, consiga ampliar novos horizontes.  Sinto-me preparada para isso!</t>
  </si>
  <si>
    <t>437.577.438-06</t>
  </si>
  <si>
    <t>Leticia DeAngelo Santos</t>
  </si>
  <si>
    <t>leticiadeangelo@gmail.com</t>
  </si>
  <si>
    <t>https://yz2spukd8h-jbrk7pf7uvw.s3.amazonaws.com/2024/05/E00Cl%2Bc1%2BwMbCn9lZoC0xroVFB5TrziDroIZR36YPo0%3D.jpg</t>
  </si>
  <si>
    <t>27 anos, 9 meses, 11 dias</t>
  </si>
  <si>
    <t>Jardim Triana</t>
  </si>
  <si>
    <t>03554-060</t>
  </si>
  <si>
    <t>Rua Inocêncio Correia</t>
  </si>
  <si>
    <t>130</t>
  </si>
  <si>
    <t>53.248.871-4</t>
  </si>
  <si>
    <t>(11) 93942-3693</t>
  </si>
  <si>
    <t>LETICIADEANGELO@GMAIL.COM</t>
  </si>
  <si>
    <t>PEDAGOGIA</t>
  </si>
  <si>
    <t>065895007-03</t>
  </si>
  <si>
    <t>CEU QUINTA DO SOL</t>
  </si>
  <si>
    <t>BIBLIOTECA JOVINA ROCHA ÁLVARES PESSOA</t>
  </si>
  <si>
    <t>Minha trajetória começa na Zona Leste, onde estudei em escolas publicas da região, estando ativa na comunidade escolar, participando ativamente de projetos e propostas escolares; terminei o ensino médio em 2014 e ingressei na faculdade em 2016 pelo "Programa Universidade Para Todos"  (PROUNI) no curso de Pedagogia que terminei em 2018.  No fim de 2020 me mudei para o interior em busca de uma oportunidade de ingressar na minha área de trabalho. Em 2022 passei em um processo seletivo na área da educação como Inspetora Escolar, trabalhei com o publico e diretamente com os Professoras, Diretora e Coordenadora da Unidade Escolar, acumulando bastante experiencia na área de gestão escolar.</t>
  </si>
  <si>
    <t>Atualmente voltei para São Paulo e procuro uma área para me especializar, visto que Pedagogia é uma área com um grande leque de atuação, sigo procurando uma especialização na qual eu brilhe e me identifique, acredito que estou nesse momento, revisando alguns objetivos, propósitos e projetos nos quais eu me mais me identifiquei ao fazer parte. Atualmente me inscrevi em uma oficina de teatro da USP Leste; durante a faculdade, estive em contato com as artes cênicas em uma oficina de horas extracurriculares pela UNINOVE, acredito que a palavra crescimento esteja bastante atrelado ao meu momento pessoal.</t>
  </si>
  <si>
    <t>Gosto de me dedicar onde atuo, provavelmente sempre vou ser a pessoa a questionar e revisar antigos padrões de comportamento, me vejo atuando na estancia publica e muito provavelmente seguindo carreira me aprimorando conforme as necessidades apresentadas, como já trabalhei anteriormente em um espaço publico e democrático, acredito que esse é o meu lugar; pela oportunidade de criar laços, vínculos, estar presente e ser capaz de resolver problemas de maneira autônoma, ter espaço para atuar em meu cargo plenamente de maneira democrática, gostaria de ter um bom currículo. Diria que crescer ainda mais na minha área profissional é o meu principal objetivo.</t>
  </si>
  <si>
    <t>070.097.825-98</t>
  </si>
  <si>
    <t>Beatriz Cristinni Azevedo Dos Santos</t>
  </si>
  <si>
    <t>beatrizcristinni@usp.br</t>
  </si>
  <si>
    <t>https://yz2spukd8h-jbrk7pf7uvw.s3.amazonaws.com/2024/06/7wBUwREHvJyHE3IVqDSOZuoIu6uFvSOvKA8KwJaI0j4%3D.jpeg</t>
  </si>
  <si>
    <t>21 anos, 9 meses, 14 dias</t>
  </si>
  <si>
    <t>Vila Princesa Isabel - Guaianases</t>
  </si>
  <si>
    <t>08410-330</t>
  </si>
  <si>
    <t>(11) 95865-1675</t>
  </si>
  <si>
    <t>https://www.instagram.com/trizcristinni/</t>
  </si>
  <si>
    <t>Recursos humanos ,tecnica de danca</t>
  </si>
  <si>
    <t>https://drive.google.com/drive/folders/11HRAAhJ0j9nev39S-fh2HFCIkV9dxTOJ?usp=sharing</t>
  </si>
  <si>
    <t>32916049</t>
  </si>
  <si>
    <t>539.128.098-28</t>
  </si>
  <si>
    <t>NIKO LEAO DE ANDRADE RODRIGUES</t>
  </si>
  <si>
    <t>Niko Leão De Andrade Rodrigues</t>
  </si>
  <si>
    <t>nikoleao98@gmail.com</t>
  </si>
  <si>
    <t>https://yz2spukd8h-jbrk7pf7uvw.s3.amazonaws.com/2024/05/trl9JRoWm2WGyEj/1syKwqejaZ3Y0DDkrJwioFm4HK4%3D.jpg</t>
  </si>
  <si>
    <t>25 anos, 10 meses, 20 dias</t>
  </si>
  <si>
    <t>02210-000</t>
  </si>
  <si>
    <t>VILA MEDEIROS</t>
  </si>
  <si>
    <t>Rua Antônio Palmieri</t>
  </si>
  <si>
    <t>868</t>
  </si>
  <si>
    <t>557131182</t>
  </si>
  <si>
    <t>(11) 95948-4057</t>
  </si>
  <si>
    <t>NIKOLEAO98@GMAIL.COM</t>
  </si>
  <si>
    <t>LETRAS</t>
  </si>
  <si>
    <t>21457314888</t>
  </si>
  <si>
    <t>BIBLIOTECA JOSÉ MAURO VASCONCELOS</t>
  </si>
  <si>
    <t>Vim de uma infância simples em uma Cohab no Grajaú que, por anos, abrigou minha família e nossos pequenos (grandes) sonhos. Aprendi com minha mãe, professora de educação infantil, a me apaixonar pela cultura, pela arte e pela leitura, às quais continuo apaixonado até hoje. Já meu pai, que só décadas depois conseguiu se formar na escola, me ensinou o significado da palavra "Perseverança", refletida na vida de toda a comunidade em que cresci. Com todos eles, aprendi a amar, acolher e lutar pelos outros e pelo direito universal não só de sobreviver, mas de poder viver e permanecer no mundo através do ensino, da cultura, da coletividade e das políticas públicas. Sem isso, eu não estaria aqui.</t>
  </si>
  <si>
    <t>Consegui conquistar o sonho da minha família de me formar em uma universidade pública. Decidi seguir os passos da minha mãe e me formar em Letras, o que me aproximou cada vez mais da cultura e do ensino, que foram fundamentais para eu ser quem sou hoje. Foi na faculdade pública que tive contato com diversos tipos de pessoas, culturas e vivências, o que me permitiu não só me reconhecer como uma pessoa trans, como também ter a certeza de que quero fazer parte dos serviços públicos para lutar pelos direitos de todas as pessoas, principalmente as marginalizadas como eu, e assim garantir que se sintam vistas, representadas e amparadas como devem ser. Estou apenas esperando essa oportunidade.</t>
  </si>
  <si>
    <t>Meu maior objetivo é me fazer de instrumento para garantir que haja uma mudança significativa na vida das pessoas. Quero representar a minha comunidade e conseguir levar conhecimento e cultura onde não costumam chegar; respeito para onde se precisa; dignidade para pessoas que não se veem como parte da sociedade. Quero poder alimentar o senso de coletividade com o qual cresci e que me formou como indivíduo a partir do incentivo público. Eu sonho em conseguir, em breve, ensinar jovens e adultos (assim como meu pai) a ler e escrever por meio da escola pública, para que possam usufruir de um dos maiores instrumentos: a linguagem; e, assim, conseguirem conquistar o que é de todos por direito.</t>
  </si>
  <si>
    <t>495.057.338-10</t>
  </si>
  <si>
    <t>Gustavo Alves Sartorelli De Souza</t>
  </si>
  <si>
    <t>sartorelligustavo29@gmail.com</t>
  </si>
  <si>
    <t>https://yz2spukd8h-jbrk7pf7uvw.s3.amazonaws.com/2024/05/NmcbAu2ciDO/n/xTzpXjRqxrfRtr1vw4V/JydTs3J28%3D.jpg</t>
  </si>
  <si>
    <t>18 anos, 1 meses, 20 dias</t>
  </si>
  <si>
    <t>CURSANDO TECNOLOGO</t>
  </si>
  <si>
    <t>Capão Redondo</t>
  </si>
  <si>
    <t>05859-120</t>
  </si>
  <si>
    <t>Rua Maria Blanchard</t>
  </si>
  <si>
    <t>53256828x</t>
  </si>
  <si>
    <t>(11) 93904-6246</t>
  </si>
  <si>
    <t>https://linkedin.com/in/gustavo-alves-sartorelli-de-souza-7275932b9</t>
  </si>
  <si>
    <t>TECNICO EM ELETRONICA E TECNOLOGO EM GESTAO EMPRESARIAL</t>
  </si>
  <si>
    <t>081361243-88</t>
  </si>
  <si>
    <t>https://photos.app.goo.gl/9GioJZ8p256LqDpq6</t>
  </si>
  <si>
    <t>547.286.918-88</t>
  </si>
  <si>
    <t>Ana Paula Belchior</t>
  </si>
  <si>
    <t>paulabelchior@usp.br</t>
  </si>
  <si>
    <t>https://yz2spukd8h-jbrk7pf7uvw.s3.amazonaws.com/2024/06/Is30D4B1V3UJ2amgpoyF68Lk2NwR3S65AOAwO2ee3Ro%3D.jpg</t>
  </si>
  <si>
    <t>21 anos, 6 meses, 30 dias</t>
  </si>
  <si>
    <t>Crusp. Bloco F apto 109</t>
  </si>
  <si>
    <t>570402268</t>
  </si>
  <si>
    <t>(11) 93261-2256</t>
  </si>
  <si>
    <t>https://www.instagram.com/paulabelchiorr?igsh=OXNtZzd1cmZ4Mjc3https://www.instagram.com/paulabelchiorr?igsh=OXNtZzd1cmZ4Mjc3</t>
  </si>
  <si>
    <t>filosofia</t>
  </si>
  <si>
    <t>23891889255</t>
  </si>
  <si>
    <t>Gabriela/Tato/Natan/Gabriela/William</t>
  </si>
  <si>
    <t>Me chamo Ana Paula Belchior, sou filha de um pai cearense (que nega nossa familiaridade com o cantor Belchior) e mãe paulista. Nasci no interior do Estado de São Paulo, em uma cidade chamada Cordeirópolis, onde cresci e morei até meus 19 anos. Em 2022 migrei para a capital paulista para estudar filosofia na USP é poder, através da educação, promover um futuro melhor para mim e minha família</t>
  </si>
  <si>
    <t>Atualmente, moro no Conjunto Residencial da USP (CRUSP) e sou bolsista (PUB - Programa Unificado de Bolsas) em um projeto do Departamento de Filosofia, “Contando Mulheres”, que visa analisar a presença de mulheres no curso de Filosofia da USP, como ainda, investiga a relação entre as mulheres e a Filosofia no Brasil, mediante os indicativos de raça e classe, para além do gênero.</t>
  </si>
  <si>
    <t>Meu projeto de vida está sendo construído. Porém, posso dizer que ir para as ruas e sair do universo uspiano me foi libertador, não só pela pesquisa que venho me dedicando no último ano pela bolsa, mas também pela subjetividade - o que inclusive, me levou a um processo de retomada étnica. Quero me dedicar a pesquisa acadêmica (mais especificamente a fenomenologia - numa perspectiva racializa), entretanto as respostas que eu quero encontrar não estão nos livros dos teóricos eurocentrados, que constituem 99% dos livros da biblioteca de minha faculdade; penso que minhas respostas estejam no cotidiano ordinário, na arte, no coletivo, nas trocas. Assim, a experiência no PJMC pode ser muito rica.</t>
  </si>
  <si>
    <t>355.546.888-02</t>
  </si>
  <si>
    <t>evelencastrocontato@gmail.com</t>
  </si>
  <si>
    <t>https://yz2spukd8h-jbrk7pf7uvw.s3.amazonaws.com/2024/06/K6Mf8tbbjmUsPwb1Qg9FHeu0YBitSbOnpYHEBf2/d%2B4%3D.jpg</t>
  </si>
  <si>
    <t>27 anos, 8 meses, 23 dias</t>
  </si>
  <si>
    <t>7505850</t>
  </si>
  <si>
    <t>(11) 98942-7574</t>
  </si>
  <si>
    <t>https://www.instagram.com/evelencs_?igsh=Nm5wZ2p4bTBydXpo</t>
  </si>
  <si>
    <t>HISTORIA</t>
  </si>
  <si>
    <t>14489000770</t>
  </si>
  <si>
    <t>Joana e Islana</t>
  </si>
  <si>
    <t>https://youtu.be/Mh5r6OMj3EE?si=0hs8wGED9RTr3E6E</t>
  </si>
  <si>
    <t>031.904.182-41</t>
  </si>
  <si>
    <t>Carla Maria Dos Santos Silva</t>
  </si>
  <si>
    <t>carla.maria98ss@gmail.com</t>
  </si>
  <si>
    <t>https://yz2spukd8h-jbrk7pf7uvw.s3.amazonaws.com/2024/06/jJ36ipBxphj5iG/ROZ/WIyKJFmJ7Jsj%2BRS%2BiT/ziGK4%3D.JPG</t>
  </si>
  <si>
    <t>26 anos, 5 meses, 12 dias</t>
  </si>
  <si>
    <t>Jardim Bonfiglioli</t>
  </si>
  <si>
    <t>05594-010</t>
  </si>
  <si>
    <t>c/3</t>
  </si>
  <si>
    <t>Rua Ari Aps</t>
  </si>
  <si>
    <t>529620777</t>
  </si>
  <si>
    <t>(11) 99650-2504</t>
  </si>
  <si>
    <t>https://www.instagram.com/carla.m4ria/</t>
  </si>
  <si>
    <t>Historia</t>
  </si>
  <si>
    <t>063479335-78</t>
  </si>
  <si>
    <t>Mestrado</t>
  </si>
  <si>
    <t>Sou educadora, pioneira em minha família a ingressar na universidade. Nasci e cresci em uma região periférica na zona oeste da capital. Formei-me em História pela FFLCH (USP) e atualmente estou no último semestre do programa de Humanidades, Direitos e Outras Legitimidades, também na FFLCH-USP, onde minha pesquisa se concentra na obra da escritora Carolina Maria de Jesus, explorando textos históricos e literários. Além de minha atuação em projetos educacionais e culturais, sou colaboradora voluntária em coletivos sociais e mantenho um blog dedicado à literatura negra e periférica, história e relações étnico-raciais.</t>
  </si>
  <si>
    <t>Desde 2016, venho dedicando meu trabalho aos temas da negritude e periferia. Participei ativamente de projetos universitários que exploraram essas temáticas, incluindo o Democracia, Artes e Saberes Plurais (2019-2021) e o projeto Escrevivência (2022-2023).    Em 2022, fiz parte da equipe de educadoras do projeto "OHUN! Vozes periféricas", financiado pelo programa VAI, focado na valorização da identidade e cultura negra e periférica junto a jovens de periferia. Além disso, coordenei por mais de três anos projetos no terceiro setor na área da educação. Em 2023, fundei o projeto "Sua escola é (anti)racista?", que implementou ações de combate ao racismo em escolas em todo o país.</t>
  </si>
  <si>
    <t>Possuo sólidos conhecimentos em pesquisa histórica e documentação, além de experiência consolidada na produção cultural, atendimento ao público, planejamento e organização de eventos e cursos. Tenho habilidade para trabalhar em equipe, experiência em gestão de arquivos, excelente comunicação, proatividade e habilidade estratégica para tomada de decisões.    Estou buscando esta oportunidade para aprimorar meus conhecimentos na gestão cultural e na história em equipamentos públicos, bem como para aprofundar minhas competências por meio da colaboração com profissionais experientes.</t>
  </si>
  <si>
    <t>459.994.558-71</t>
  </si>
  <si>
    <t>jaquieroxx@gmail.com</t>
  </si>
  <si>
    <t>https://yz2spukd8h-jbrk7pf7uvw.s3.amazonaws.com/2024/06/v9Kh0wywwdbPg4R%2BMsmL7T7eNTw/R61yYfGRSkAs/Lw%3D.jpg</t>
  </si>
  <si>
    <t>29 anos, 10 meses, 13 dias</t>
  </si>
  <si>
    <t>retorna pos recurso (30 anos)</t>
  </si>
  <si>
    <t>fez 30 anos dia 5 de Agosto</t>
  </si>
  <si>
    <t>Jardim do Colégio (Zona Norte)</t>
  </si>
  <si>
    <t>02431-010</t>
  </si>
  <si>
    <t>Casa1</t>
  </si>
  <si>
    <t>Rua dos Abacateiros</t>
  </si>
  <si>
    <t>33</t>
  </si>
  <si>
    <t>440804024</t>
  </si>
  <si>
    <t>(12) 99256-1456</t>
  </si>
  <si>
    <t>12-992561456</t>
  </si>
  <si>
    <t>https://www.instagram.com/jaqueroxx/</t>
  </si>
  <si>
    <t>grad - teatro</t>
  </si>
  <si>
    <t>084332623-94</t>
  </si>
  <si>
    <t>BIBLIOTECA PEDRO NAVA</t>
  </si>
  <si>
    <t>https://drive.google.com/file/d/13IpZDKmTdxyZtYdDPHLgHLWcdkWiQh9C/view?usp=drivesdk</t>
  </si>
  <si>
    <t>424.448.738-74</t>
  </si>
  <si>
    <t>Lucas Henrique De Souza</t>
  </si>
  <si>
    <t>lcshsouza@gmail.com</t>
  </si>
  <si>
    <t>https://yz2spukd8h-jbrk7pf7uvw.s3.amazonaws.com/2024/05/KRFvlr9JupMpyzbEpEi94AU8ToJYjm/PfqCkHB0L5aw%3D.jpeg</t>
  </si>
  <si>
    <t>27 anos, 8 meses, 3 dias</t>
  </si>
  <si>
    <t>Jardim Sao Francisco</t>
  </si>
  <si>
    <t>03718-020</t>
  </si>
  <si>
    <t>CANGAÍBA</t>
  </si>
  <si>
    <t>Rua Juriti Piranga</t>
  </si>
  <si>
    <t>135</t>
  </si>
  <si>
    <t>387041527</t>
  </si>
  <si>
    <t>(11) 96305-2812</t>
  </si>
  <si>
    <t>LCSHSOUZA@GMAIL.COM</t>
  </si>
  <si>
    <t>ARQUITETURA E URBANISMO</t>
  </si>
  <si>
    <t>083249997-87</t>
  </si>
  <si>
    <t>Sou nascido e criado na Zona Leste de São Paulo. Filho de um retirante alagoano e de uma mulher que me teve aos 17 anos, desde cedo aprendi que o caminho para “ser alguém na vida” seria através dos estudos. Venho da escola pública, da periferia, e isso é um motivo de orgulho pra mim, pois as minhas origens e os percalços vividos foram determinantes para a formação da minha visão de mundo, de maneira geral, e da cidade. Nós, periféricos, pobres, precisamos apenas de oportunidades para fazer a diferença na sociedade.</t>
  </si>
  <si>
    <t>Passados 27 anos de vida, me vejo recém formado em arquitetura e urbanismo pela USP, no entanto, desempregado e vivendo a ousadia de ir em busca do meu sonho, daquilo que verdadeiramente me faz pulsar em vida, que é fazer arte. Atualmente, estou estudando atuação com ênfase em Humor na SP Escola de Teatro, bem como desenvolvido pesquisas na palhaçaria, no canto, no improviso, entre outras. Me encontrei no teatro, e estou em um momento de estudar e aprender mais, dia após dia, pois tenho a certeza de que quero trabalhar com isso, no entanto, para quem está começando, e desempregado, sem renda fixa, participar deste programa seria a oportunidade ideal de fazer o trabalho artístico acontecer.</t>
  </si>
  <si>
    <t>O meu encontro com o teatro, em 2022, mudou minha vida por completo, e eu finalmente entendi que é atraves da arte que eu vou conseguir buscar as mudanças que eu almejo, dizer o que eu quero e prospectar uma cidade, um país e um mundo melhor. Não é fácil a tarefa de mudar, mesmo tendo passado anos estudando e trabalhando em outras áreas, mas definitivamente tudo é bagagem para que hoje eu tenha a força da decisão de seguir meu caminho artistico. Eu vou, nesse sentido, rumo ao fazer artístico, teatral, visando atuar nas periferias da cidade, em busca de mudanças significativas na realidade da juventude desses territórios para que esta possa ter sua vida transformada assim como foi comigo.</t>
  </si>
  <si>
    <t>428.606.308-99</t>
  </si>
  <si>
    <t>MARIA EDUARDA TERTO MARTINS</t>
  </si>
  <si>
    <t>544.***.***-14</t>
  </si>
  <si>
    <t>marieduterto15@gmail.com</t>
  </si>
  <si>
    <t>https://yz2spukd8h-jbrk7pf7uvw.s3.amazonaws.com/2024/06/x0xNq6x5R3geLZHnDWDMKt%2BQU/mzECRCp/bA7BaRrKU%3D.jpeg</t>
  </si>
  <si>
    <t>32835249</t>
  </si>
  <si>
    <t>18 anos, 4 meses, 28 dias</t>
  </si>
  <si>
    <t>Parque Residencial Cocaia</t>
  </si>
  <si>
    <t>04849-230</t>
  </si>
  <si>
    <t>SOCORRO</t>
  </si>
  <si>
    <t>Rua José Landaeta</t>
  </si>
  <si>
    <t>151</t>
  </si>
  <si>
    <t>53529993X</t>
  </si>
  <si>
    <t>(11) 91057-9692</t>
  </si>
  <si>
    <t>TÉCNICO EM INFORMÁTICA BÁSICA</t>
  </si>
  <si>
    <t>22800434561</t>
  </si>
  <si>
    <t>Sou Maria Eduarda Terto Martins, nascida e criada em São Paulo, caçula  de 04 irmãos. Vim de uma família simples e humilde,mas que nunca faltou amor. Sou uma menina organizada, responsável,  cuidadosa, pontual, simpática, sempre pronta para apŕender. Gosto de trabalho em equipe. Gosto de ler, gosto de estudar, gosto de danÇar, gosto de fazer novas amizades.</t>
  </si>
  <si>
    <t>Atualmente, estou em um momento de autodescoberta e crescimento. Tenho buscado equilibrar minha vida pessoal e profissional, focando no desenvolvimento de habilidades que me tragam satisfação e sucesso. Espero continuar evoluindo, conquistando meus objetivos e contribuindo positivamente para a sociedade. Meu desejo é alcançar uma vida plena, onde o aprendizado constante e as relações significativas sejam pilares do meu cotidiano.</t>
  </si>
  <si>
    <t>Estou focado em construir uma base sólida para meu futuro. Tenho investido no meu desenvolvimento pessoal e profissional, buscando sempre aprimorar minhas habilidades e conhecimentos. Daqui a alguns anos, espero estar em uma posição de liderança na minha carreira, contribuindo significativamente para minha área de atuação. Almejo também ter uma vida equilibrada, onde o sucesso profissional caminhe junto com a realização pessoal e a felicidade ao lado de minha família e amigos.</t>
  </si>
  <si>
    <t>544.711.908-14</t>
  </si>
  <si>
    <t>JULIA BARBOSA DE ARAUJO GOES</t>
  </si>
  <si>
    <t>Júlia Barbosa De Araújo Góes</t>
  </si>
  <si>
    <t>JÚLIA BARBOSA DE ARAÚJO GÓES</t>
  </si>
  <si>
    <t>juliabgoes@hotmail.com</t>
  </si>
  <si>
    <t>https://yz2spukd8h-jbrk7pf7uvw.s3.amazonaws.com/2024/06/YVNfVO5icxlYnmtQSCJFN5gCe5QZLFP8ZLz4AhohFl8%3D.jpg</t>
  </si>
  <si>
    <t>26 anos, 3 meses, 1 dias</t>
  </si>
  <si>
    <t>Jardim Beatriz</t>
  </si>
  <si>
    <t>04835-300</t>
  </si>
  <si>
    <t>Rua Rosalina Roschel Poletti</t>
  </si>
  <si>
    <t>427</t>
  </si>
  <si>
    <t>54522500-0</t>
  </si>
  <si>
    <t>(11) 97716-9095</t>
  </si>
  <si>
    <t>https://www.instagram.com/juliabgoes/</t>
  </si>
  <si>
    <t>LICENCIATURA EM HISTÓRIA</t>
  </si>
  <si>
    <t>21067752678</t>
  </si>
  <si>
    <t>LÍBERO - DEPARTAMENTO DO PATRIMÔNIO HISTÓRICO - DPH</t>
  </si>
  <si>
    <t>Cresci no extremo sul de São Paulo, no Grajaú - hoje, faço História na Unifesp de Guarulhos. Com o incentivo de uma mãe educadora, aprendi diferentes visões de mundo, o que colaborou para a minha formação crítica enquanto indivíduo social. Na graduação participei de trabalhos voluntários e remunerados. Fui bolsista no Charlas de CineClube, que visa disseminar o cinema espanhol, realizando sessões no Memorial da América Latina e na Biblioteca Mário de Andrade. E fui voluntária no Centro de Memória e Pesquisa Histórica da Unifesp - onde experienciei o trabalho técnico sobre a documentação, e compreendi a sua função científica, social e cultural, dentro de espaços universitários e culturais.</t>
  </si>
  <si>
    <t>No Grajaú, frequento espaços como a Fábrica de Cultura (não só apenas do Grajaú, como de outros espaços territoriais como a do Capão Redondo), onde assisto manifestações culturais, como o Slam de poesia. Outro lugar de cultura que frequento com o meu ciclo social é o teatro Paulo Eiró - onde é possível assistir peças conceituadas, perto de casa e de forma gratuita. Penso que o estágio na escola perto de casa, colabora com o processo de ações culturais no meu cotidiano, visto que, posso colaborar ativamente com os professores nos projetos, que mais tarde são apresentados em lugares de cultura.</t>
  </si>
  <si>
    <t>Enquanto uma historiadora em formação, acredito que pertencer ao Programa Jovem Monitor Cultural só irá fortalecer os laços que tenho com a arte e cultura no país, especialmente com a cidade de São Paulo. Penso que eu posso contribuir com um olhar mais desafiador e afinado, em especial para lugares como o Departamento do Patrimônio Histórico de São Paulo e o Arquivo Histórico de São Paulo, ponderando a minha formação acadêmica. Portanto, durante esse processo de descoberta, eu percebi a minha vocação para trabalhar com a preservação da cultura e a educação dentro desses espaços formais e não formais de ensino e aprendizagem.</t>
  </si>
  <si>
    <t>430.157.938-96</t>
  </si>
  <si>
    <t>Carolina Paz Provasi</t>
  </si>
  <si>
    <t>cpprovasi@gmail.com</t>
  </si>
  <si>
    <t>https://yz2spukd8h-jbrk7pf7uvw.s3.amazonaws.com/2024/04/eD9eI5xDc7d1J9GNYuxyN7CKuX9Zu9U44QDX52OuWB8%3D.jpeg</t>
  </si>
  <si>
    <t>28 anos, 4 meses, 30 dias</t>
  </si>
  <si>
    <t>05797-260</t>
  </si>
  <si>
    <t>Casa 01</t>
  </si>
  <si>
    <t>Rua Félix de Carvalho</t>
  </si>
  <si>
    <t>212</t>
  </si>
  <si>
    <t>368844675</t>
  </si>
  <si>
    <t>(11) 96304-0473</t>
  </si>
  <si>
    <t>https://www.linkedin.com/in/linaprovasi/</t>
  </si>
  <si>
    <t>Fundamental</t>
  </si>
  <si>
    <t>TECNOLOGO EM PRODUCAO CULTURAL</t>
  </si>
  <si>
    <t>21068158699</t>
  </si>
  <si>
    <t>Nasci, cresci e estudei no Capão Redondo. Desde muito nova venho aprendendo sobre onde nasci, onde vivi e vivo, onde moro, entendendo sobre as diversidades e sobre o dia a dia das pessoas, que sempre são bem diferentes uma das outras mesmo estando num lugar em comum. É aqui que aprendo mais sobre a vida, sobre a família e sobre as pessoas, dando importância pro lugar que me acolhe.</t>
  </si>
  <si>
    <t>Continuo residindo e vivendo no Capão Redondo, na mesma casa em que moro desde que nasci. Atualmente terminando a faculdade, onde curso Produção Cultural. Onde continuo buscando aprender e me tornar uma pessoa melhor, sempre indo atrás de cursos e oportunidades para aprender e evoluir meu conhecimento a respeito da cultura e outros assuntos importantes.</t>
  </si>
  <si>
    <t>Almejo trabalhar na área da produção cultural, seja com eventos, espetáculos ou exposições. Vejo na arte e na cultura, vida, e é esse caminho que quero seguir. Espalhar o bem que a cultura faz na gente, como revigora e muda quem somos. Quero ver as pessoas podendo e tendo o direito de existir, de viver, de vivenciar a cultura em todas as suas formas.</t>
  </si>
  <si>
    <t>439.207.228-25</t>
  </si>
  <si>
    <t>Anna Karolina Souza Nascimento</t>
  </si>
  <si>
    <t>anna.souza@unifesp.br</t>
  </si>
  <si>
    <t>https://yz2spukd8h-jbrk7pf7uvw.s3.amazonaws.com/2024/06/U/L1BYxpMWFtW9AjRsgk5yzjNLxxw4MqtVJDdt8gxKY%3D.jpeg</t>
  </si>
  <si>
    <t>24 anos, 9 meses, 1 dias</t>
  </si>
  <si>
    <t>Vila Conceição</t>
  </si>
  <si>
    <t>08151-200</t>
  </si>
  <si>
    <t>bloco 8 apto 23B</t>
  </si>
  <si>
    <t>Rua Orminda Pinto</t>
  </si>
  <si>
    <t>3940000493</t>
  </si>
  <si>
    <t>(11) 96614-0503</t>
  </si>
  <si>
    <t>Pedagogia</t>
  </si>
  <si>
    <t>21069259383</t>
  </si>
  <si>
    <t>EMIA LESTE (CHÁCARA DAS FLORES - JD BARTIRA)</t>
  </si>
  <si>
    <t>Sou residente da zona leste de São Paulo, tenho 24 anos e estudo Pedagogia pela Unifesp. Meus interesses no mundo das artes e da cultura estão inteiramente conectados aos conhecimentos adquiridos até agora, como estudante no campo da Educação, compreendo a importância das artes e cultura no processo de desenvolvimento pleno do ser humano, desse modo, meu maior objetivo é ser uma arte educadora imersa nas diversas linguagens artísticas e culturais, com o intuito de ser uma facilitadora do processo educacional artístico e cultural não-escolar. Sendo assim, quero atuar com atuar na programação, produção e divulgação de eventos culturais, como também, trabalhar com oficinas e formação cultural.</t>
  </si>
  <si>
    <t>Atualmente sou residente da zona leste de São Paulo, numa região periférica chamada Vila Conceição, onde vivo a maior parte do meu tempo, meu bairro é bem próximo de regiões como Cidade Tiradentes, Guaianases, São Miguel, Itaim e etc. Bairros com espaços culturais marcantes durante minha trajetória, que frequento até hoje, pois, foi a partir do contato com as fabricas de culturas, bibliotecas gratuitas, casas de culturas, que adquiri o desejo em atuar e estudar com arte-educação,  pois, são locais que frequento que me aproximam mais do meu bairro e me influenciaram desejar trabalhar e contribuir atuando nesses espaços culturais.</t>
  </si>
  <si>
    <t>Contudo, meu maior interesse em participar do programa jovem monitor cultural, trata-se de apreender por meio da prática experiências no campo cultural e artístico, mas, pelo educacional. Sendo assim, meu objetivo é contribuir com a disseminação da cultura nos espaços periféricos da cidade de São Paulo, como também, me desenvolver enquanto estudante e profissional da cultura, almejando no futuro ser Arte-educadora.</t>
  </si>
  <si>
    <t>436.901.008-01</t>
  </si>
  <si>
    <t>Emerson De Souza Oliveira</t>
  </si>
  <si>
    <t>emrsndso36711@gmail.com</t>
  </si>
  <si>
    <t>https://yz2spukd8h-jbrk7pf7uvw.s3.amazonaws.com/2024/04/GHeBm9FZy6nMmNG77Hfu4NBi7uV1m9XmcnShSR/zP5I%3D.jpg</t>
  </si>
  <si>
    <t>28 anos, 2 meses, 9 dias</t>
  </si>
  <si>
    <t>DEVE SER ANALISADO PELA COMISSAO DE HETEROIDENTIFICACAO</t>
  </si>
  <si>
    <t>Parque Bristol</t>
  </si>
  <si>
    <t>04193-050</t>
  </si>
  <si>
    <t>Rua José Pereira Cruz</t>
  </si>
  <si>
    <t>239</t>
  </si>
  <si>
    <t>38.157.924-4</t>
  </si>
  <si>
    <t>(11) 94890-5625</t>
  </si>
  <si>
    <t>TECNOLOGO EM GESTAO DE EVENTOS</t>
  </si>
  <si>
    <t>6899730715</t>
  </si>
  <si>
    <t>Zona Sul de São Paulo, fundão do Ipiranga, na divisa com Diadema. Sou de família de origem nordestina, e nortista. Meu pessoal tem 50 anos de bairro aqui no Parque Bristol... A região ja foi muito mais violenta, principalmente nos anos 90 em que conflitos entre bocas de funo eram constantes, e bairros vizinhos eram rivais. O hip hop tem um papel central na unificação de jovens de bairros que até então eram rivais. Sou neto de uma das Mães de Maio, e praticante de culto de matriz africana. De onde vim? Grande pergunta, mas estes elementos citados são indispensáveis para início de formulação da resposta.</t>
  </si>
  <si>
    <t>Sigo no mesmo bairro, vivo com minha vó... Sou filho de mãe narcisista e saí de casa ja tem 6 anos... Atualmente estou finalizando minha faculdade de Gestão de Eventos, estou fora do mercado formal de trabalho há anos, e busco meios de me reinserir e voltar a ter dignidade, pois estou beirando os 30 anos e não tenho nada de sólido conquistado, sempre vivo em busca de oportunidades que possam ser o meio de emancipação real do qual PRECISO. Tenho minha carteira de trabalho suja, sofri um caso de intolerância religiosa em uma das empresas que trabalhei, e enfrento dificuldades desde então para me reinserir... Tenho procurado brechas e oportunidades principalmente no terceiro setor e cultural.</t>
  </si>
  <si>
    <t>Dadas às devidas oportunidades me vejo indo onde eu quiser, até onde as coisas estão sob meu controle, garanto que sempre cuido de mim e do andamento de minha vida... Me vejo podendo alcançar todo tipo de coisa que eu me propor, estando nos devidos meios para que tais caminhos sejam trilhados. Sou de perfil comunicativo, muito atento e analítico, vejo que tenho poder pessoal de articulação de ideias e pessoas muito grande.</t>
  </si>
  <si>
    <t>433.430.368-46</t>
  </si>
  <si>
    <t>harelalita@gmail.com</t>
  </si>
  <si>
    <t>https://yz2spukd8h-jbrk7pf7uvw.s3.amazonaws.com/2024/05/ltXrvA45Fdx%2Br9td8B5cjt28kuY906lTnrNewLO%2BNQM%3D.jpg</t>
  </si>
  <si>
    <t>20 anos, 7 meses, 10 dias</t>
  </si>
  <si>
    <t>Vila mazzei</t>
  </si>
  <si>
    <t>02309-100</t>
  </si>
  <si>
    <t>Rua Enótria</t>
  </si>
  <si>
    <t>396</t>
  </si>
  <si>
    <t>23532205</t>
  </si>
  <si>
    <t>(11) 98868-0366</t>
  </si>
  <si>
    <t>diassislalita@gmail.com</t>
  </si>
  <si>
    <t>https://www.instagram.com/lalitadiassis?igsh=ampycGVzM3F4a3Nw</t>
  </si>
  <si>
    <t>grad - canto erudito</t>
  </si>
  <si>
    <t>08119151313</t>
  </si>
  <si>
    <t>https://youtu.be/Y80g9a581zc?si=stvnguJW14mCHjS-</t>
  </si>
  <si>
    <t>180.430.026-81</t>
  </si>
  <si>
    <t>Eduardo Lima Araújo</t>
  </si>
  <si>
    <t>EDUARDO LIMA ARAÚJO</t>
  </si>
  <si>
    <t>Yasmin Lima Esmeria</t>
  </si>
  <si>
    <t>limaraujo22@gmail.com</t>
  </si>
  <si>
    <t>https://yz2spukd8h-jbrk7pf7uvw.s3.amazonaws.com/2024/06/fSY3Sbi3ycZFv%2BpfI54INDnGD1tPuMFNP1DhHnrb9s4%3D.jpeg</t>
  </si>
  <si>
    <t>22 anos, 3 meses, 28 dias</t>
  </si>
  <si>
    <t>388025694</t>
  </si>
  <si>
    <t>(11) 99591-4672</t>
  </si>
  <si>
    <t>limaaraujo22@gmail.com</t>
  </si>
  <si>
    <t>https://www.instagram.com/_edulimaa77?igsh=OWtweHBpMzgxbHEz&amp;utm_source=qr</t>
  </si>
  <si>
    <t>LICENCIATURA EM EDUCACAO FISICA</t>
  </si>
  <si>
    <t>023873570447</t>
  </si>
  <si>
    <t>CEU PARELHEIROS</t>
  </si>
  <si>
    <t>Me chamo Eduardo Lima Araujo, tenho 22 anos, uma filha de apenas 1 mês de vida, sou natural do Estado e cidade de São Paulo. Durante minha trajetória escolar, desenvolvi projetos sobre a importância do esporte para o desenvolvimento de futuros cidadãos. Desde então, venho desenvolvimento projetos de futebol com crianças, jovens e adultos no bairro em que moro, estas experiências me proporcionaram um grande entendimento sobre a arte e a cultural na sociedade, despertando em mim um grande interesse em continuar neste campo.</t>
  </si>
  <si>
    <t>Resido no bairro Chácara Santo Amaro no extremo sul de São Paulo, na região do Grajaú. Estou em constante contato com a região que moro, socializando com pessoas, frequentando bares, restaurantes, parques e amostras culturais que meu bairro proporcionam. Acredito muito na importãncia de valorizar a cultura local da região que resido, buscando exxplorar e divulgar a nossa cultura.</t>
  </si>
  <si>
    <t>Gostaria muito de fazer parte do Programa Jovem Monitor Cultural, pois acredito na importãncia do projeto e ser de suma importância para ampliar meus conhecimentos artísticos e culturais, contribuindo para meu futuro na educação, onde esoeri cintinuar atuando e contribuindo, fazendo a diferença na área, promovendo a arte e cultura para outras pessoas, tornando as mais acessíveis.</t>
  </si>
  <si>
    <t>131.325.854-75</t>
  </si>
  <si>
    <t>THAINA TEIXEIRA SILVA CAVANI</t>
  </si>
  <si>
    <t>Thainá Teixeira Silva Cavani</t>
  </si>
  <si>
    <t>THAINÁ CAVANI</t>
  </si>
  <si>
    <t>Thainá Cavani</t>
  </si>
  <si>
    <t>thaina.tcavani@usp.br</t>
  </si>
  <si>
    <t>https://yz2spukd8h-jbrk7pf7uvw.s3.amazonaws.com/2024/06/44R63EEOXyKZvYOAa5a5ac3mUmadfsnFEh8h6ghe47M%3D.jpeg</t>
  </si>
  <si>
    <t>28 anos, 0 meses, 17 dias</t>
  </si>
  <si>
    <t>CURSANDO SAÚDE PUBLICA</t>
  </si>
  <si>
    <t>Gleba do Pêssego</t>
  </si>
  <si>
    <t>08265-220</t>
  </si>
  <si>
    <t>Rua Cachoeira Buriti</t>
  </si>
  <si>
    <t>566078417</t>
  </si>
  <si>
    <t>(11) 99438-0809</t>
  </si>
  <si>
    <t>THAINA.TCAVANI@USP.BR</t>
  </si>
  <si>
    <t>TECNICO SERVIÇOS PUBLICO</t>
  </si>
  <si>
    <t>16604903800</t>
  </si>
  <si>
    <t>Meu nome é Thainá Teixeira Silva Cavani. Eu vim da Zona Leste de São Paulo, de Itaquera, bairro Gleba do Pêssego. Minha casa fica de fácil acesso para o parque do carmo e de todo lazer e tranqulidade gratuitas que o território proporciona. Sempre gostei de comparecer ao parque e observar apresentações culturais ou os pontos fixos do local que comporta histórias do terrítório, de animais da região e histórias sobre as transformações ocorridas no espaço e na organização social.</t>
  </si>
  <si>
    <t>Atualmente faço graduação na faculdade de Saúde Pública da USP. Sou formada no técnico em Serviços públicos pela Etec Cepam/USP. Sobre a pergunta "onde estou?" sinto que estou na fase de descobertas, aprendizados e capacitações. Gosto de aprender coisas novas, amo livros, amo documentários, viagens, passeios no parque, caminhadas, conversas com pessoas queridas e partilhar alimentos em confraternizações. Gosto de músicas de variados tipos, sou eclética.</t>
  </si>
  <si>
    <t>Pretendo viver um presente com satisfação, determinação, resiliência e felidade para alcançar um futuro possível e leve. Dito isso, acredito na importância de momentos sociais e culturais como pilares fundamentais para o aplimoramento do bem estar, da cultura e da perspectiva de vida. Isto posto, eu quero chegar em um futuro onde haja paz, aprendizados e trocas saudáveis e afetivas.</t>
  </si>
  <si>
    <t>457.631.958-25</t>
  </si>
  <si>
    <t>Laura Campanini Vieira</t>
  </si>
  <si>
    <t>lauracvieira4@gmail.com</t>
  </si>
  <si>
    <t>https://yz2spukd8h-jbrk7pf7uvw.s3.amazonaws.com/2024/04/auTkVuMYrC%2BnSR0oWqQpZ6RRMXyVWuLFzgk8JuZXsEI%3D.png</t>
  </si>
  <si>
    <t>19 anos, 7 meses, 17 dias</t>
  </si>
  <si>
    <t>TÉCNICO CINEMA  EM FORMAÇÃO</t>
  </si>
  <si>
    <t>Vila Cunha Bueno</t>
  </si>
  <si>
    <t>03260-000</t>
  </si>
  <si>
    <t>124e</t>
  </si>
  <si>
    <t>Avenida Casa Grande</t>
  </si>
  <si>
    <t>1050</t>
  </si>
  <si>
    <t>397677030</t>
  </si>
  <si>
    <t>(11) 96228-6364</t>
  </si>
  <si>
    <t>LAURACVIEIRA4@GMAIL.COM</t>
  </si>
  <si>
    <t>https://www.instagram.com/lal_camp/</t>
  </si>
  <si>
    <t>AUDIO E VISUAL</t>
  </si>
  <si>
    <t>051767554-40</t>
  </si>
  <si>
    <t>Meu nome é Laura, tenho 19 anos e sou de São Paulo, Capital. Venho de uma mistura de famílias, uma nordestina e outra italiana, ambas fugidas da pobreza. No ensino fundamental frequentei escola particular com 100% de bolsa, consegui bolsa também para estudar inglês, e no ensino médio fui para a escola pública. Em março de 2022, me matriculei em Produção Audiovisual pela FAM com auxílio de uma bolsa e em dezembro de 2023 me formei. Nos últimos 2 anos, trabalhei em alguns projetos como roteirista e produtora, dentro e fora da faculdade, que me ensinaram muito sobre como trabalhar coletivamente e lidar com pessoas e suas necessidades.</t>
  </si>
  <si>
    <t>Atualmente, estou cursando no período noturno Cinema pela ELCV (Escola Livre de Cinema e Vídeo), desde maio de 2023. Estou também procurando vaga de emprego no Audiovisual, estágio ou CLT. Estudo para conhecer o máximo possível do audiovisual, desde roteiro à produção. Recentemente consegui um freelance em roteiro, um começo para mim na área. Mas desejo muito mais, quero crescer. Quero trabalhar e ser o melhor que consigo, pois sou muito esforçada e sempre quero dar o meu melhor em tudo o que eu faço.</t>
  </si>
  <si>
    <t>Quero dar continuidade aos meus estudos, para ser um profissional melhor. Quero aprender de tudo. Quero conseguir um emprego, fazer contatos e ter uma estabilidade financeira que hoje ainda não tenho. Quero trabalhar com algo que ajude de alguma forma as pessoas, seja para ajudá-las em suas formações, com suas identidades, etc. Sintetizando, quero contribuir para a sociedade com o meu trabalho e crescer pessoal e profissionalmente.</t>
  </si>
  <si>
    <t>508.657.948-12</t>
  </si>
  <si>
    <t>Cauane Oliveira Dos Santos</t>
  </si>
  <si>
    <t>cauaneolisantos@gmail.com</t>
  </si>
  <si>
    <t>https://yz2spukd8h-jbrk7pf7uvw.s3.amazonaws.com/2024/06/w%2BmQHyheysLVDUpIqQKNscZjXFZCvtXmpgAT7w66jjw%3D.JPG</t>
  </si>
  <si>
    <t>24 anos, 2 meses, 23 dias</t>
  </si>
  <si>
    <t>cursando  superior  em  ciencias  sociais</t>
  </si>
  <si>
    <t>Jardim Lapena</t>
  </si>
  <si>
    <t>08071-170</t>
  </si>
  <si>
    <t>Rua Doutor Almiro dos Reis</t>
  </si>
  <si>
    <t>39</t>
  </si>
  <si>
    <t>571735551</t>
  </si>
  <si>
    <t>(11) 94356-9382</t>
  </si>
  <si>
    <t>https://www.instagram.com/baduona/   chttps://www.facebook.com/cauane.oliveira.5/</t>
  </si>
  <si>
    <t>ciencias sociais</t>
  </si>
  <si>
    <t>16477691796</t>
  </si>
  <si>
    <t>Venho do encontro entre a família Oliveira e Santos, nascida e criada no extremo leste de São Paulo, na cidade de Poá. Território que vivi meus 23 anos, atualmente moro em São Miguel, lugar em que criei laços, aprendizados e é onde está minha família. Nada se compara ao lugar em que nossa raiz se encontra, então busco levar comigo todo minha vivencia de onde vim. Todo respeito a quadra de escola de samba do Vila Julia, nosso quintal, lá onde compartilhamos e celebramos nossa cultura, onde nos reunimos, experiências que levo para vida. Minhas referências vem do meu território e tudo que faço tem relação com ele e com pessoas que assim como eu, partem de territórios periféricos.</t>
  </si>
  <si>
    <t>Estou vivendo um processo de transformações, conquistando minha independência e construindo um caminho direcionado nas minhas buscas e percepção. Novas oportunidades estão surgindo, visto que, faz alguns anos que tenho procurado o lugar da minha atuação, de forma mais focada e responsável, tanto nos estudos como no profissional. Acredito agora poder me abrir para novas possibilidades, englobando um pouco de tudo que venho acumulando de experiências na educação, projetos independentes e coletivos que faço parte. Estou em um momento de descobertas sobre meu proposito e como posso alcançar esses objetivos, estou centrada na minha trajetória, ainda com todos atravessamentos.</t>
  </si>
  <si>
    <t>Vou para onde minha espiritualidade guiar, em sintonia com meus desejos e lutas. Acredito que chegarei cada vez mais perto do sentido de tudo que tenho vivido até agora, a partir do meu trabalho e responsabilidade com a educação, com a cultura e a arte. Tenho muito apreço por todos os saberes que venho experienciado e conhecido através da arte educação. Busco ir caminhando em direção as trocas, os encontros e conhecimentos que ainda não esbarrei. Faz muito sentindo para mim compartilhar e aprender em contato com outras pessoas. Sobretudo, agregar de alguma forma no processo cultural em que também me incluo e poder somar nesse movimento. Essa tem sido a andança.</t>
  </si>
  <si>
    <t>489.836.038-60</t>
  </si>
  <si>
    <t>Claire Oliveira Costa Strajaneli</t>
  </si>
  <si>
    <t>strajaneli@gmail.com</t>
  </si>
  <si>
    <t>https://yz2spukd8h-jbrk7pf7uvw.s3.amazonaws.com/2024/05/5nmnXPrYFH8royKtUde1bxRTRDTHCmiDsjaO6BEloMY%3D.jpg</t>
  </si>
  <si>
    <t>24 anos, 7 meses, 6 dias</t>
  </si>
  <si>
    <t>Sítio do Morro</t>
  </si>
  <si>
    <t>02553-000</t>
  </si>
  <si>
    <t>CASA VERDE</t>
  </si>
  <si>
    <t>Rua Glauco Velasquez</t>
  </si>
  <si>
    <t>477</t>
  </si>
  <si>
    <t>381948821</t>
  </si>
  <si>
    <t>(11) 95769-5612</t>
  </si>
  <si>
    <t>artes visuais</t>
  </si>
  <si>
    <t>23777484233</t>
  </si>
  <si>
    <t>https://youtu.be/5vf-VQZpXU0</t>
  </si>
  <si>
    <t>230.455.098-35</t>
  </si>
  <si>
    <t>Gustavo Santos Do Nascimento</t>
  </si>
  <si>
    <t>gustavovalioso43@gmail.com</t>
  </si>
  <si>
    <t>https://yz2spukd8h-jbrk7pf7uvw.s3.amazonaws.com/2024/05/WYkesDrTRtC4N1Rjsckyyo7BTAGP2d3GAy1TvTUm9lI%3D.jpg</t>
  </si>
  <si>
    <t>18 anos, 5 meses, 27 dias</t>
  </si>
  <si>
    <t>CURSANDO TÉCNICO EM PRODUÇÃO AUDIOVISUAL</t>
  </si>
  <si>
    <t>Parelheiros</t>
  </si>
  <si>
    <t>04884-080</t>
  </si>
  <si>
    <t>PARELHEIROS</t>
  </si>
  <si>
    <t>Rua Luigi Caruso</t>
  </si>
  <si>
    <t>253</t>
  </si>
  <si>
    <t>524495348</t>
  </si>
  <si>
    <t>(11) 91472-7523</t>
  </si>
  <si>
    <t>https://www.instagram.com/</t>
  </si>
  <si>
    <t>TÉCNICO EM PRODUÇÃO AUDIOVISUAL E DESENHO, DESIGN DIGITAL</t>
  </si>
  <si>
    <t>02526327377</t>
  </si>
  <si>
    <t>PARELHEIROS (MARSILAC, PARELHEIROS)</t>
  </si>
  <si>
    <t>Fernanda, Gustavo, Tatiana, Kleber, Jomar</t>
  </si>
  <si>
    <t>Oi sou Gustavo Santos do Nascimento e tenho 18 anos. Desde pequeno, sempre fui exposto à arte e à cultura, graças à influência de alguns membros da minha família, do CCA (Centro da Criança e Adolescente) e da escola. Frequentemente, explorava vários cantos de São Paulo para conhecer pontos culturais. Hoje, faço ilustração e animação, que compartilho no Instagram, além de editar vídeos para alguns familiares. Meu objetivo é continuar expandindo meus conhecimentos artísticos e aprimorar minhas habilidades atuais.</t>
  </si>
  <si>
    <t>Claro, aqui está:Resido no Jardim São Norbeto, um bairro bastante isolado em Parelheiros. Próximo, há uma escola e um CCA onde tive a oportunidade de aprender e me desenvolver. Devido ao isolamento do bairro, muitas oportunidades parecem distantes, mas sempre consegui encontrar uma maneira de alcançá-las. Apesar de ser relativamente seguro, ainda sinto um pouco de receio ao andar pelas ruas à noite. No entanto, no geral, tenho um apreço genuíno por este lugar.</t>
  </si>
  <si>
    <t>Tenho interesse em participar deste projeto, pois o enxergo como uma excelente oportunidade para adquirir experiência e me desenvolver ainda mais. Com isso, poderei ampliar minhas oportunidades de trabalho disponíveis. Estou determinado a aproveitar ao máximo essa oportunidade e a alcançar resultados positivos, contribuindo significativamente para a renda familiar.</t>
  </si>
  <si>
    <t>544.946.738-97</t>
  </si>
  <si>
    <t>ASHLLEY DANDARA DA SILVA SANTOS CHAWA</t>
  </si>
  <si>
    <t>Ashlley Dandara Da Silva Santos Chawa</t>
  </si>
  <si>
    <t>dandaraashlley9@gmail.com</t>
  </si>
  <si>
    <t>https://yz2spukd8h-jbrk7pf7uvw.s3.amazonaws.com/2024/04/4I5DPhFZqhDUhXdY0TOWdsb5tvRwiMK3pf%2BWHMFqzlk%3D.jpg</t>
  </si>
  <si>
    <t>19 anos, 2 meses, 2 dias</t>
  </si>
  <si>
    <t>Vila Barbosa</t>
  </si>
  <si>
    <t>02556-060</t>
  </si>
  <si>
    <t>LIMÃO</t>
  </si>
  <si>
    <t>Rua São Diniz</t>
  </si>
  <si>
    <t>118</t>
  </si>
  <si>
    <t>60.842.751-2</t>
  </si>
  <si>
    <t>(11) 96894-8872</t>
  </si>
  <si>
    <t>23683512438</t>
  </si>
  <si>
    <t>BIBLIOTECA NARBAL FONTES</t>
  </si>
  <si>
    <t>BIBLIOTECA MENOTTI DEL PICCHIA</t>
  </si>
  <si>
    <t>Olá, me chamo Ashlley  Dandara e tenho 19 anos de idade.  Moro atualmente no bairro do Limão, onde  nasci e fui criada.  Venho de uma família  simples de classe média baixa, que sempre residiu nesse mesmo  bairro região.  Convivo com  pessoas simples, de bom  coração e que sempre  batalharam muito  para conquistar  as pequenas  coisas que possuímos.</t>
  </si>
  <si>
    <t>Acabei de completar 19 anos e ainda não tenho uma posição social definida.  Terminei a escola em 2023 e estou desempregada no momento. Já tive empregos com e sem registro em áreas alternativas às que me interessam, possuindo diversas experiências. Pretendo começar a estudar fotografia e trabalhar em áreas relacionadas à cultura e conhecimento, como uma biblioteca.</t>
  </si>
  <si>
    <t>Mesmo que eu ainda não tenha definido o que exatamente eu quero fazer, eu sei o que não quero fazer. Me inscrevo para esse programa, pois gosto de aprender sobre arte e cultura e pretendo trabalhar com essa área ou a da tecnologia futuramente. Gostaria muito e poder ter experiência nesse área pra garantir se é isso que eu quero ou não, criando assim novas experiências.</t>
  </si>
  <si>
    <t>573.909.198-50</t>
  </si>
  <si>
    <t>IGOR MARTINS LOPES</t>
  </si>
  <si>
    <t>Igor Martins Lopes</t>
  </si>
  <si>
    <t>MALIRA MARTINS LOPES</t>
  </si>
  <si>
    <t>Malira Martins Lopes</t>
  </si>
  <si>
    <t>igormartixs@gmail.com</t>
  </si>
  <si>
    <t>https://yz2spukd8h-jbrk7pf7uvw.s3.amazonaws.com/2024/04/OilIuN9gfIbooBS7c2djtTuHgeIsCMEj4fpd95fhLF0%3D.jpg</t>
  </si>
  <si>
    <t>Saúde</t>
  </si>
  <si>
    <t>04301-011</t>
  </si>
  <si>
    <t>SAÚDE</t>
  </si>
  <si>
    <t>Avenida Miguel Estefno</t>
  </si>
  <si>
    <t>759</t>
  </si>
  <si>
    <t>562804754</t>
  </si>
  <si>
    <t>(11) 94466-4219</t>
  </si>
  <si>
    <t>IRADADOMAR@GMAIL.COM</t>
  </si>
  <si>
    <t>PUBLICIDADE E PROPAGANDA</t>
  </si>
  <si>
    <t>6176864321</t>
  </si>
  <si>
    <t>VILA MARIANA (MOEMA, SAÚDE, VILA MARIANA)</t>
  </si>
  <si>
    <t>BIBLIOTECA AMADEU AMARAL</t>
  </si>
  <si>
    <t>Natan/Aline/Alice</t>
  </si>
  <si>
    <t>Vim de um bairro chamado Cidade Soberana que fica localizado no interior de Guarulhos quase na divisa de Arujá, estudei meu ensino fundamental todo em Guarulhos e no nono ano uma das minhas professoras preferidas indicou a eu fazer o vestibulinho para ETEC e foi ai que minha jornada estudantil começa de verdade, fui aprovado para estudar o ensino médio integrado ao técnico de logística.</t>
  </si>
  <si>
    <t>Hoje busco mais da minha independência, minha família reside em Guarulhos, mas hoje pela acessibilidade aos lugares estou presente na casa da minha avó paterna que reside na Saúde - SP. Estou participando de dois cursos gratuitos pela secretaria de São Paulo, um de fotografia e outro de design de figurino, ambos no período noturno e é onde consigo me conectar com a arte que tanto me conforta.</t>
  </si>
  <si>
    <t>Pretendo chegar nos lugares que foram me tirados por me fazerem acreditar que não era capaz, quero construir e me reconstruir para chegar em um lugar seguro para ser eu mesma, ter o direito de existir e residir onde quiser. Trabalhar com meu eu artístico de forma com que consiga ser livre e verdadeira comigo mesma, algo que foi me tirado desde muito cedo.</t>
  </si>
  <si>
    <t>SUL - 8</t>
  </si>
  <si>
    <t>453.100.548-12</t>
  </si>
  <si>
    <t>Juliana Zebelin Silva</t>
  </si>
  <si>
    <t>JULIANA</t>
  </si>
  <si>
    <t>Juliana</t>
  </si>
  <si>
    <t>juliana.ultraf@gmail.com</t>
  </si>
  <si>
    <t>https://yz2spukd8h-jbrk7pf7uvw.s3.amazonaws.com/2024/04/5PesbXv0xGVu08/WDejQPcQK9SzpS2bjOLm1JBnfwKI%3D.jpg</t>
  </si>
  <si>
    <t>28 anos, 7 meses, 7 dias</t>
  </si>
  <si>
    <t>EM  FORMAÇÃO ENGENHARIA DE PRODUÇÃO</t>
  </si>
  <si>
    <t>08223-000</t>
  </si>
  <si>
    <t>Avenida Caititu</t>
  </si>
  <si>
    <t>173</t>
  </si>
  <si>
    <t>505184412</t>
  </si>
  <si>
    <t>(11) 98856-2530</t>
  </si>
  <si>
    <t>JULIANA.ULTRAF@GMAIL.COM</t>
  </si>
  <si>
    <t>ENGENHARIA DE PRODUÇÃO</t>
  </si>
  <si>
    <t>20789560326</t>
  </si>
  <si>
    <t>Vim de uma família simples, mas repleta de desafios. Com a separação dos meus pais aos 5 anos, enfrentei diversas mudanças ao longo do caminho. Vivi com meu pai dos 11 até os 14 anos e, posteriormente, retornei para a casa da minha mãe. Aos 18 anos, engravidei e deixei os estudos para me dedicar à maternidade.    Tentei retomar os estudos, mas a vida como mãe e dona de casa e trabalho fora era intensa. Além disso, meu relacionamento com o pai do meu filho também não era fácil. Essas experiências moldaram minha resiliência e determinação, tornando-me ainda mais determinada a construir um futuro sólido para mim e para minha família.</t>
  </si>
  <si>
    <t>Atualmente, estou vivendo um momento de muitas conquistas e mudanças positivas. No ano passado, terminei meus estudos pelo CEEJA, o que foi um grande marco para mim. Decidi me dedicar aos estudos para poder realizar meu sonho de ingressar na faculdade. Fiz o vestibular da UNIVESP e fui aprovada, então agora estou no 2º semestre de Engenharia de Produção por lá. Além disso, também comecei o curso de Licenciatura em Matemática no SENAC, no qual estou no primeiro semestre.    Estou animada para aprender e crescer nesses novos desafios, buscando conhecimento e experiência para construir um futuro sólido e realizar meus objetivos profissionais.</t>
  </si>
  <si>
    <t>Estou caminhando para um futuro onde posso unir o que aprendo em Engenharia de Produção com minha vontade em ensinar. Quero usar essa combinação para auxiliar as pessoas a superarem desafios e conquistarem mais oportunidades. Sinto que estou trilhando um caminho que traz benefícios tanto para mim quanto para todos ao meu redor, algo que me traz felicidade e realização pessoal.</t>
  </si>
  <si>
    <t>436.022.788-40</t>
  </si>
  <si>
    <t>GUILHERME</t>
  </si>
  <si>
    <t>Guilherme</t>
  </si>
  <si>
    <t>luisguilherme.tiburcio@outlook.com</t>
  </si>
  <si>
    <t>https://yz2spukd8h-jbrk7pf7uvw.s3.amazonaws.com/2024/05/AD8ugQeV02//plO2/UfeLRkq2GPHg8Q/ykmE6nrL1mI%3D.jpg</t>
  </si>
  <si>
    <t>29 anos, 1 meses, 26 dias</t>
  </si>
  <si>
    <t>Santa Cecília</t>
  </si>
  <si>
    <t>01232-000</t>
  </si>
  <si>
    <t>25 B</t>
  </si>
  <si>
    <t>Alameda Barros</t>
  </si>
  <si>
    <t>150</t>
  </si>
  <si>
    <t>45883345-9</t>
  </si>
  <si>
    <t>(11) 95769-1711</t>
  </si>
  <si>
    <t>SUP COMUNICACAO SOCIAL_PUBLICIDADE E PROPAGANDA____ TEC EM TEATRO</t>
  </si>
  <si>
    <t>203.55159.09-5</t>
  </si>
  <si>
    <t>LÍBERO - SUPERVISÃO DE FOMENTO ÀS ARTES - SFA</t>
  </si>
  <si>
    <t>Natural de São Joaquim da Barra, interior de São Paulo, nascido em  1995 e me mudei para a capital em 2014, quando cursei Publicidade e Propaganda, me tornando bacharel em 2019. A Arte, para mim, foi sempre uma vocação, desde antes de tomar consciência do mundo; vocação essa sufocada no princípio, adormecida em seu decorrer e, agora, finalmente respirando viva em seu recomeço. Em minha cidade natal, estudei música - flauta, violão, teclado e coral, desde criança, através de projetos públicos de ensino de cultura. Filho de professora e pedagoga, a educação e cultura sempre tiveram papel importante em minha casa. Apesar das dificuldades financeiras, nunca nos faltou alimento - o pão e o livro.</t>
  </si>
  <si>
    <t>Estudo teatro, amo assistir a espetáculos, filmes, séries; ler é algo sempre presente no meu dia a dia; a música e o corpo em expressão é essencial para a sobrevivência. Comecei os estudos teatrais formalmente no segundo semestre de 2021, quando me senti psicológica, emocional e mentalmente amadurecido e pronto, no ETA, onde cursei 4 semestres de Teatro Profissionalizante, 2 da Oficina de Canto e 2  da Oficina de Teatro Musical. Em outubro de 2022, ingressei no curso Técnico em Teatro, no SENAC Lapa Scipião, o qual me abriu os horizontes profissionais dentro da área da cultura e paralelamente, a fim de complementar os estudos, venho estudando os cursos autoformativos da Escola Itaú Cultural.</t>
  </si>
  <si>
    <t>Finalizei o curso no SENAC esse ano, em março. Com o DRT em mãos, meu objetivo é buscar me profissionalizar cada vez mais, experimentando, aprendendo e estudando. Como disse anteriormente, o curso técnico me ampliou os horizontes no segmento cultural para além da atuação, sendo muito rico em discussões sobre a área de produção cultural, sobre os trâmites contratuais, sobre o aparelho público de fomento à cultura, as quais pude cruzar com meus aprendizados na graduação em Comunicação Social. Me sinto pronto a experienciar o mercado e construir uma carreira com solidez e dinâmica, amparada pelo constante aprendizado que as artes e a cultura nos presenteia com tamanha generosidade.</t>
  </si>
  <si>
    <t>331.088.618-24</t>
  </si>
  <si>
    <t>KAIK SA TELES RAMOS</t>
  </si>
  <si>
    <t>KAIK SÁ TELES RAMOS</t>
  </si>
  <si>
    <t>kaiktellesramos12@gmail.com</t>
  </si>
  <si>
    <t>https://yz2spukd8h-jbrk7pf7uvw.s3.amazonaws.com/2024/05/z/QAXu4gqjLQ%2BIh7tE6kiH%2BrJ/WVIaTT3bOwp/TWGMk%3D.jpg</t>
  </si>
  <si>
    <t>20 anos, 1 meses, 12 dias</t>
  </si>
  <si>
    <t>Recanto dos Humildes</t>
  </si>
  <si>
    <t>05209-550</t>
  </si>
  <si>
    <t>PERUS</t>
  </si>
  <si>
    <t>Travessa Sete de Setembro</t>
  </si>
  <si>
    <t>15</t>
  </si>
  <si>
    <t>587394560</t>
  </si>
  <si>
    <t>(11) 94117-0175</t>
  </si>
  <si>
    <t>tec - analise desenvolvimento de sistemas</t>
  </si>
  <si>
    <t>16337499582</t>
  </si>
  <si>
    <t>PERUS (ANHANGUERA, PERUS)</t>
  </si>
  <si>
    <t>Física</t>
  </si>
  <si>
    <t>BIBLIOTECA MÁRIO SCHENBERG</t>
  </si>
  <si>
    <t>ME CHAMO KAIK SÁ TELES RAMOS, NASCIDO NA BAHIA, MAS CRIADO EM SÃO PAULO, SOU DE ORIGEM HUMILDE PORÉM MUITO ESFORÇADO APESAR DAS MINHAS DIFICULDADES POR CAUSA DA MINHA DEFICIÊNCIA, VENHO DESDE CRIANÇA QUEBRANDO MEUS PROPRIOS MEDO, APESAR DE SER ADOTADO PELA MINHA TIA SOU MUITO GRATO DE ONDE EU VIM E ONDE BUSCO CHEGAR, ACREDITO QUE COM ESTUDO E CUIDADO CHEGAREI LONGE.</t>
  </si>
  <si>
    <t>NO MOMENTO EU ESTOU NA METADE DO CAMINHO, TERMINEI MEU ESTUDOS DO ENSINO MÉDIO, TIVE MINHAS DIFICULDADES, MAS EU ME FORMEI, PRESTEI O ENEM E CONSEGUI UMA BOLSA 100% DO PROUNI E ESTOU CURSANDO O CURSO DE TECNOLOGIA EM ANÁLISE E DESENVOLVIMENTO DE SISTEMAS, ESTUDO NO PERIODO DA MANHÃ E ESTOU EM BUSCA DE UM ESTÁGIO ONDE PODE ME AGREGAR CADA DIA MAIS NO MEU FUTURO</t>
  </si>
  <si>
    <t>ESTOU NO 3 SEMESTRE DO CURSO DE ANÁLISE E DESENVOLVIMENTO DE SISTEMA NA FACULDADE UNINOVE, E UM CURSO MUITO BOM, ONDE APRENDO CADA DIA MAIS SOBRE PROGRAMAÇÃO E GOSTO MUITO DESSA PROFISSÃO, QUERO CADA DIA MAIS APRENDAR MAIS, QUERO ME FORMAR, TER UM BOM EMPREGO ONDE GOSTO DO MEU TRABALHO, TER MUITAS EXPERIÊNCIAS DE TRABALHO E DE VIDA, A PRA ONDE EU VOU COM CERTEZA.</t>
  </si>
  <si>
    <t>G80</t>
  </si>
  <si>
    <t>063.462.415-67</t>
  </si>
  <si>
    <t>Hiago Alves Eleuterio De Lima</t>
  </si>
  <si>
    <t>hiagoeleuteriouni@gmail.com</t>
  </si>
  <si>
    <t>https://yz2spukd8h-jbrk7pf7uvw.s3.amazonaws.com/2024/04/hhSYaAjg83HgAUQrjBHtD%2BCRUZ2fhqixdSAdCy0sUm8%3D.jpg</t>
  </si>
  <si>
    <t>Conjunto Habitacional Sitio Conceição</t>
  </si>
  <si>
    <t>08473-000</t>
  </si>
  <si>
    <t>AP. 12B</t>
  </si>
  <si>
    <t>Rua Wilson Fernando S.Carvalho</t>
  </si>
  <si>
    <t>480</t>
  </si>
  <si>
    <t>527588477</t>
  </si>
  <si>
    <t>(11) 94867-8762</t>
  </si>
  <si>
    <t>HIAGOELEUTERIO@GMAIL.COM</t>
  </si>
  <si>
    <t>https://www.instagram.com/oartteiro?igsh=MTdjYjE2cjBoNjNneQ%3D%3D&amp;utm_source=qr</t>
  </si>
  <si>
    <t>CIÊNCIAS SOCIAIS</t>
  </si>
  <si>
    <t>02677292785</t>
  </si>
  <si>
    <t>Meu nome é Hiago e venho da cidade de São Paulo, mais especificamente do extremo leste, da comunidade de Cidade Tiradentes.    Minha história é marcada pela determinação e pelo apoio inabalável de minha mãe, Camila Eleutério, que foi a única pessoa que me criou. Seu amor e dedicação moldaram quem sou hoje, e sou imensamente grato por tudo o que ela fez por mim.    Vim de uma comunidade onde aprendi valores de resiliência, solidariedade e perseverança. Essa experiência me ensinou a enfrentar desafios com coragem e a valorizar as pequenas conquistas ao longo do caminho.</t>
  </si>
  <si>
    <t>Atualmente, estou cursando Ciências Sociais na Universidade de São Paulo (USP) e também trabalho como atendente de telemarketing. Estou comprometido em me dedicar aos estudos e em buscar constantemente oportunidades de crescimento pessoal e profissional.    Além disso, tenho uma paixão ardente por estudos de cultura e arte. Acredito que explorar diferentes expressões culturais é essencial para expandir nossos horizontes e compreender melhor o mundo ao nosso redor.</t>
  </si>
  <si>
    <t>Estou focado nos meus estudos em Comunicação, Arte e Antropologia, visando construir uma carreira na produção cultural e acadêmica. Meu objetivo é utilizar esse conhecimento para contribuir de forma significativa no campo da cultura e das artes, promovendo a diversidade cultural e estimulando a expressão artística. Paralelamente, busco oportunidades para realizar pesquisas e produzir conteúdo que contribua para o avanço do conhecimento nessas áreas.</t>
  </si>
  <si>
    <t>601.836.738-67</t>
  </si>
  <si>
    <t>Leticia Da Silva Batista</t>
  </si>
  <si>
    <t>ls9061116@gmail.com</t>
  </si>
  <si>
    <t>https://yz2spukd8h-jbrk7pf7uvw.s3.amazonaws.com/2024/04/cZbC1%2BIcE34DU6hW3MYOQGk96BQgY9S90bPfNhGZ1E0%3D.png</t>
  </si>
  <si>
    <t>20 anos, 0 meses, 15 dias</t>
  </si>
  <si>
    <t>Jardim Lider</t>
  </si>
  <si>
    <t>02983-150</t>
  </si>
  <si>
    <t>Rua Aurora do Norte</t>
  </si>
  <si>
    <t>219</t>
  </si>
  <si>
    <t>622198270</t>
  </si>
  <si>
    <t>(11) 93207-9530</t>
  </si>
  <si>
    <t>LS90116@GMAIL.COM</t>
  </si>
  <si>
    <t>INCOMPLETO - LOGISTICA</t>
  </si>
  <si>
    <t>16499000605</t>
  </si>
  <si>
    <t>BIBLIOTECA BRITO BROCA</t>
  </si>
  <si>
    <t>Taipas / Jaraguá é um território localizado na Zona Noroeste de São Paulo.  Nele cresci e muitas coisas desse local formaram quem sou eu e oque me compõe, como o Sound System e minha religião, desenvolvendo meu olhar tanto espiritual quanto artístico.  Produzindo, desenvolvi eventos com diversos ambientes, com o foco no olhar voltado ao lazer na periferia de São Paulo, na região da Cohab Brasilândia.</t>
  </si>
  <si>
    <t>Estou em um momento onde realizo uma transição de carreira,  da Logística para a Pedagogia e Cultura.  Buscando cursos e maneiras de estar em contato com essa realidade para aprender mais e desenvolver.  Presto serviços de atividades na comunidade que envolve desde pinturas faciais com o publico infantil a produção de evento.  Atualmente possuo uma loja virtual de artesanato, onde faço joias, adereços e muito mais.</t>
  </si>
  <si>
    <t>Tenho foco de estudar Pedagogia, mas também com interessem em produção de evento, onde quero iniciar com a elaboração de um evento com o foco no publico infantil, onde no local aconteceria diversas atividades socio educativas, junto ao lazer e diversão, promovendo oficias, musicas e brincadeiras.  É de muita importância a realização de evento assim nas quebradas.</t>
  </si>
  <si>
    <t>549.802.618-84</t>
  </si>
  <si>
    <t>KETLIN VITORIA GOMES PEREIRA</t>
  </si>
  <si>
    <t>Ketlin Vitória Gomes Pereira</t>
  </si>
  <si>
    <t>ketlinvgp@gmail.com</t>
  </si>
  <si>
    <t>https://yz2spukd8h-jbrk7pf7uvw.s3.amazonaws.com/2024/06/O16XS/EV9GfSVZKUj5L%2BRHYzazpsAgvOTIojFdPKHAs%3D.jpeg</t>
  </si>
  <si>
    <t>21 anos, 3 meses, 11 dias</t>
  </si>
  <si>
    <t>CURSANDO SUPERIOR EM ANÁLISE DE DESENVOLVIMENTO DE SISTEMAS</t>
  </si>
  <si>
    <t>04235-460</t>
  </si>
  <si>
    <t>21 A apto 2</t>
  </si>
  <si>
    <t>Rua da Mina Central</t>
  </si>
  <si>
    <t>21</t>
  </si>
  <si>
    <t>6267720x</t>
  </si>
  <si>
    <t>(11) 93450-1088</t>
  </si>
  <si>
    <t>TÉCNICO EM MECATRÔNICA, TÉNICO EM NUTRIÇÃO, SUPERIOR EM ANÁLISE DE DESENVOLVIMENTO DE SISTEMAS</t>
  </si>
  <si>
    <t>21318260185</t>
  </si>
  <si>
    <t>CEU MENINOS</t>
  </si>
  <si>
    <t>Nasci no interior de São Paulo em Americana, me mudei para a comunidade de Heliópolis com 6 anos de idade, toda minha formação de vivência e academica foram feitas na comunidade. Estudei o ensino médio  na Etec de Heliópolis, me formei em Nutrição e Dietética. Logo após o EM fiz  o curso de Técnico Mecatrônica no SENAI. Optei por não seguir em nenhuma das áreas.</t>
  </si>
  <si>
    <t>Estou em busca do meu primeiro emprego e quero muito participar do projeto cultural. Embora ainda não tenha experiência profissional, estou cheio de vontade de aprender e colaborar. Estou me preparando para o vestibular, focado no curso de Análise e Desenvolvimento de Sistemas. Me interesso por arte, principalmente artes plásticas, já tive como principal hobbie desenhar e participei de oficinas de grafite.</t>
  </si>
  <si>
    <t>Seguindo meus objetivos presentes espero ir para o caminho onde estou  formada na área de tecnologia, estudando alguma especialização, atuando no mercado de trabalho. Me desenvolvendo na vida pessoal, podendo atender  desejos pessoais , usufruindo dos meus esforços.   Viajando pelo mundo, conhecendo lugares, experimentando comidas diferentes entre outras coisas.</t>
  </si>
  <si>
    <t>514.922.928-85</t>
  </si>
  <si>
    <t>Vitor Gabriel Ramalho</t>
  </si>
  <si>
    <t>vitorramalho@usp.br</t>
  </si>
  <si>
    <t>https://yz2spukd8h-jbrk7pf7uvw.s3.amazonaws.com/2024/06/nxGzFGl25hVF50Mc5PNVlQPipSjU8Kr4p2gChBr8Z7o%3D.jpg</t>
  </si>
  <si>
    <t>22 anos, 2 meses, 11 dias</t>
  </si>
  <si>
    <t>Apto 510, Bl E</t>
  </si>
  <si>
    <t>590821179</t>
  </si>
  <si>
    <t>(14) 99726-6301</t>
  </si>
  <si>
    <t>Ensino Superior</t>
  </si>
  <si>
    <t>https://www.instagram.com/vitor_ramalho_?igsh=MXVhZWF0MmlqczV6dw%3D%3D&amp;utm_source=qr</t>
  </si>
  <si>
    <t>Artes Cênicas</t>
  </si>
  <si>
    <t>8267985786</t>
  </si>
  <si>
    <t>https://drive.google.com/file/d/1fn4f8hVmmn7O2ULwBwLt7iF9j8DfBgxK/view?usp=sharing</t>
  </si>
  <si>
    <t>488.706.078-52</t>
  </si>
  <si>
    <t>Ayane Oliveira Zacarias</t>
  </si>
  <si>
    <t>ayane.zacarias@outlook.com</t>
  </si>
  <si>
    <t>https://yz2spukd8h-jbrk7pf7uvw.s3.amazonaws.com/2024/04/uIzn3bVndgv0djO6i8UuTusARnzFcv0BxAkvBRxsdO0%3D.jpeg</t>
  </si>
  <si>
    <t>26 anos, 5 meses, 14 dias</t>
  </si>
  <si>
    <t>Jardim São Francisco de Assisd. São Luiz</t>
  </si>
  <si>
    <t>05815-070</t>
  </si>
  <si>
    <t>Rua Jacob Maurício Ruchti</t>
  </si>
  <si>
    <t>113</t>
  </si>
  <si>
    <t>500000621</t>
  </si>
  <si>
    <t>(11) 99449-9246</t>
  </si>
  <si>
    <t>AYANE.ZACARIAS@OUTLOOK.COM</t>
  </si>
  <si>
    <t>CIÊNCIAS BIOLÓGICAS</t>
  </si>
  <si>
    <t>079515694-45</t>
  </si>
  <si>
    <t>Criada na periferia de São Paulo, cresci entre becos e muros pichados, onde a hostilidade se mistura com a solidariedade, e a falta de políticas públicas é sentida em cada esquina, enquanto a diversidade e a poesia brotam da alma vibrante da comunidade. Filha de migrantes nordestinos, aprendi com meus pais a importância da resiliência, do trabalho árduo e da cultura para construir uma vida digna. Sou irmã de quatro mulheres admiráveis, cuja coragem, determinação e amor incondicional moldaram quem sou hoje, sendo minha fonte constante de inspiração</t>
  </si>
  <si>
    <t>Continuo residindo na periferia da zona sul de São Paulo enquanto estudante de Biologia, mergulho nas complexidades da vida, mas também reconheço que a verdadeira essência da nossa existência reside na capacidade de criar, inspirar e transformar. No entanto, me encontro atualmente desempregada, enfrentando os desafios comuns à juventude da nossa região.      É por isso que estou aqui, diante deste tópico único para inscrição no edital de produtor cultural do Programa da SMCulturaSP. Este programa, voltado exclusivamente para as juventudes de São Paulo, oferece uma oportunidade única de formação em gestão e produção cultural.</t>
  </si>
  <si>
    <t>Meu objetivo é me profissionalizar na produção cultural, seguindo um caminho que sempre sonhei trilhar. Quero estar nos bastidores de grandes eventos, contribuindo para a sua realização e, ao mesmo tempo, alcançando estabilidade financeira e realizando uma conquista pessoal. Essa jornada não é apenas sobre realizar um sonho de infância, mas também sobre construir um futuro onde minha paixão se encaixe perfeitamente com minha carreira. Estou determinado a fazer parte do cenário cultural da cidade de São Paulo, deixando minha marca e encontrando realização pessoal e profissional ao mesmo tempo.</t>
  </si>
  <si>
    <t>SUL - 2</t>
  </si>
  <si>
    <t>473.722.518-50</t>
  </si>
  <si>
    <t>GABRIELA LUIZ CARRER</t>
  </si>
  <si>
    <t>Gabriela Luiz Carrer</t>
  </si>
  <si>
    <t>Lui Carrer</t>
  </si>
  <si>
    <t>carrergabriela@gmail.com</t>
  </si>
  <si>
    <t>https://yz2spukd8h-jbrk7pf7uvw.s3.amazonaws.com/2024/05/KwqTzZB8ykZEbYrFc9IPjanoAfDZgMriP4WfHOECUn4%3D.jpg</t>
  </si>
  <si>
    <t>29 anos, 4 meses, 14 dias</t>
  </si>
  <si>
    <t>Jardim Peri Peri</t>
  </si>
  <si>
    <t>05536-000</t>
  </si>
  <si>
    <t>VILA SÔNIA</t>
  </si>
  <si>
    <t>Rua Carlos Lisdegno Carlucci</t>
  </si>
  <si>
    <t>434992367</t>
  </si>
  <si>
    <t>(11) 98353-7741</t>
  </si>
  <si>
    <t>https://www.instagram.com/lui.lela?igsh=YWc5Zm5nemdodmx1</t>
  </si>
  <si>
    <t>DESIGN GRAFICO</t>
  </si>
  <si>
    <t>20166129059</t>
  </si>
  <si>
    <t>Sempre fui uma criança que gostou de música e artes. Frequentei muito a casa de cultura do Butantã que era próxima à minha casa e estava sempre procurando oficinas livres de teatro pra fazer por aí. Queria me formar em artes cênicas, mas tinha medo pelo mercado de trabalho dessa área ser muito difícil. Tentei Enem alguns anos após terminar a escola em 2013 e em 2017 consegui bolsa de 100% em design gráfico pelo Prouni.</t>
  </si>
  <si>
    <t>Atualmente trabalho duas ou três vezes por semana em um ateliê de cerâmica onde consigo fazer fluir uma das coisas que gosto: trabalho manual. Sempre que posso continuo participando de oficinas livres por aí, arte é o que me atrai e estou sempre me movendo em busca dela, apesar desse ano estar um pouco mais parado e procurando entender o meu lugar na vida.</t>
  </si>
  <si>
    <t>Pretendo me alinhar e conseguir tornar a arte realmente o meu trabalho, não me vejo fazendo outra coisa. Quero estudar, me profissionalizar, preencher espaços artísticos e trazer pessoas para frequentar esses lugares. Quero fazer parte em não deixar morrer a cultura, a história, a arte e ter pelo menos um pouquinho de contribuição para o acontecimento delas.</t>
  </si>
  <si>
    <t>451.775.268-28</t>
  </si>
  <si>
    <t>Adriany Stephany Ferreira Santiago</t>
  </si>
  <si>
    <t>adriany.santiago@usp.br</t>
  </si>
  <si>
    <t>https://yz2spukd8h-jbrk7pf7uvw.s3.amazonaws.com/2024/06/DBxPudkecXd%2BoEfMxQgsdtDBR%2B89LiPD8j9CUuft7kk%3D.jpeg</t>
  </si>
  <si>
    <t>25 anos, 5 meses, 19 dias</t>
  </si>
  <si>
    <t>Jardim Sarah</t>
  </si>
  <si>
    <t>05381-050</t>
  </si>
  <si>
    <t>viela</t>
  </si>
  <si>
    <t>RIO PEQUENO</t>
  </si>
  <si>
    <t>Avenida Waldemar Roberto</t>
  </si>
  <si>
    <t>390275967</t>
  </si>
  <si>
    <t>(11) 98877-4888</t>
  </si>
  <si>
    <t>23638431459</t>
  </si>
  <si>
    <t>Mulher preta, já morei no Jd Peri zona norte, mas atualmente moro na periferia da zona oeste de Sao Paulo. Sai de casa aos 20 anos buscando independência e querendo conquistar o mundo, perdi minha mãe pro câncer, juntei todo meu medo e insegurança e transformei em coragem pra enfrentar esse mundo cheio de obstáculos e preconceitos pra quem é da periferia, lugar que me orgulho de pertencer.</t>
  </si>
  <si>
    <t>Atualmente faço Ciências sociais na usp, moro no Sapé, periferia do Rio Pequeno na zona Oeste de Sao Paulo. Moramos eu e minha irmã de 13 anos, que estou sempre tentando inserir em espaços culturais como museus, teatros em casas de cultura etc. Tenho uma grande paixão pela cultura preta e periférica, e toda produção de arte que acontece a partir dela.</t>
  </si>
  <si>
    <t>Meus interesses futuros é estar envolvida em trabalhos culturais e projetos sociais que abrange conhecimento para crianças e adolescentes das periferias de São Paulo, tenho interesse em estagiar na rede publica ou terceiro setor dentro desses dois âmbitos, podendo adquirir experiencia e expandir meus conhecimentos sobre diferentes culturas e comportamentos sociais.</t>
  </si>
  <si>
    <t>475.003.158-56</t>
  </si>
  <si>
    <t>Daniel Henrique Da Silva</t>
  </si>
  <si>
    <t>eudaniell@gmail.com</t>
  </si>
  <si>
    <t>https://yz2spukd8h-jbrk7pf7uvw.s3.amazonaws.com/2024/05/dvohTBe/Jx%2Byw%2BNZjTD8Q/extFikx72/oaErl7XsdR8%3D.jpeg</t>
  </si>
  <si>
    <t>20 anos, 5 meses, 24 dias</t>
  </si>
  <si>
    <t>nenhuma formacao</t>
  </si>
  <si>
    <t>Vila Rica</t>
  </si>
  <si>
    <t>03912-060</t>
  </si>
  <si>
    <t>ARICANDUVA</t>
  </si>
  <si>
    <t>Rua Adícora</t>
  </si>
  <si>
    <t>45</t>
  </si>
  <si>
    <t>640919212</t>
  </si>
  <si>
    <t>(11) 95477-1924</t>
  </si>
  <si>
    <t>eudaniell93@gmail.com</t>
  </si>
  <si>
    <t>23733981185</t>
  </si>
  <si>
    <t>ARICANDUVA (ARICANDUVA, CARRÃO, VILA FORMOSA)</t>
  </si>
  <si>
    <t>BIBLIOTECA PAULO SETÚBAL</t>
  </si>
  <si>
    <t>https://drive.google.com/file/d/1l4UNEuaDNP0k4Nt34EQxsFpDf7_RIYhB/view?usp=drivesdk</t>
  </si>
  <si>
    <t>540.605.038-94</t>
  </si>
  <si>
    <t>Vivian Vieira De Almeida Araújo Roque</t>
  </si>
  <si>
    <t>vieira.vivian13@gmail.com</t>
  </si>
  <si>
    <t>https://yz2spukd8h-jbrk7pf7uvw.s3.amazonaws.com/2024/05/E7xYHbIJ1%2BD3zNQiMQGtexOQECQHeG8zG9oV6gaIxcI%3D.jpg</t>
  </si>
  <si>
    <t>25 anos, 4 meses, 5 dias</t>
  </si>
  <si>
    <t>Cursa nutrição, talvez por isso ficou de fora na dinâmica, mas tem boa postura</t>
  </si>
  <si>
    <t>Instituto de Previdência</t>
  </si>
  <si>
    <t>05531-060</t>
  </si>
  <si>
    <t>Rua Domingos Barbieri</t>
  </si>
  <si>
    <t>125</t>
  </si>
  <si>
    <t>549135741</t>
  </si>
  <si>
    <t>(11) 94683-4052</t>
  </si>
  <si>
    <t>Administração</t>
  </si>
  <si>
    <t>03670431225</t>
  </si>
  <si>
    <t>EMIA OESTE (CHÁCARA DO JOCKEY - VILA SONIA)</t>
  </si>
  <si>
    <t>Me chamo Vivian atualmente tenho 25 anos, fiz curso técnico de administração em   tempo integral nunca atuei na área.  Fiz cursinho pois queria medicina, não deu certo hoje faço nutrição.  Venho de uma família de baixa renda e ao fazer faculdade estou realizando os sonho também dos meus pais. Fiz um estágio informal na área de controle de qualidade aprendi a lidar com pessoa difíceis que não querem entender o que a Anvisa diz, aprendi a ter a responsabilidade de mostrar as notas de produtos a empresa e aprendi como funciona a dinâmica de uma fabrica de massas e sei que muitas coisas não são fáceis. Ao me candidatar a vaga espero devolver o lado da comunicação e conhecer a area de cultura.</t>
  </si>
  <si>
    <t>473.866.768-83</t>
  </si>
  <si>
    <t>VINICIUS CESAR DA SILVA CRISTO</t>
  </si>
  <si>
    <t>Vinicíus Cesar Da Silva Cristo</t>
  </si>
  <si>
    <t>Cristu Da Silva</t>
  </si>
  <si>
    <t>vsilva.cristo@gmail.com</t>
  </si>
  <si>
    <t>https://yz2spukd8h-jbrk7pf7uvw.s3.amazonaws.com/2024/05/hjAsPLHutlkOilqPqYeFcdnbDtLSQYMWsi6htDj0Lqk%3D.jpeg</t>
  </si>
  <si>
    <t>24 anos, 7 meses, 13 dias</t>
  </si>
  <si>
    <t>Bloco F Apto 110</t>
  </si>
  <si>
    <t>Av Professor Mello de Moraes</t>
  </si>
  <si>
    <t>39527882x</t>
  </si>
  <si>
    <t>(16) 98108-8806</t>
  </si>
  <si>
    <t>https://www.instagram.com/cris__tu?igsh=MTQ0b2wzN203bThnNg%3D%3D&amp;utm_source=qr</t>
  </si>
  <si>
    <t>13415234036</t>
  </si>
  <si>
    <t>Atroz, modelo, dançarine e performer de 24 anos, nascide em Ribeirão Preto, interior de São Paulo. Desenvolveu trabalhos com teatro, dança e performance desde os 16 anos de idade quando ingressou em uma das casas de cultura de referência da cidade. Sempre ligada as artes, trabalhou com fotografia, produções audiovisuais independentes, editoração e afins, além de demais funções em outras áreas, administrativas e financeiras, desde os 13 anos de idade.  Pensar “de onde eu vim” também significa pensar nos entraves sociais e políticos existentes sobre corpos marginalizados. Visto os entraves impostos a corpos pretos dissidentes de gênero, tive que aproveitar cada brecha de possibilidade.</t>
  </si>
  <si>
    <t>Atualmente curso Artes Cênicas na Universidade de São Paulo (USP), onde os estudos são voltados para as áreas de corpo, voz, preparação de elenco, direção, dramaturgia e pedagogia, teatral e performática. Tenho afinidade com as áreas de produção, pedagogia e corpo, já tendo trabalhos de produção cultural e dança desenvolvidos.   Desejo abrir pesquisas dentro do campo das danças e performances afro-brasileiras, indígenas e orientais, como formação pedagógica de ensino do fazer teatral para populações dissidentes.  É necessário conhecer a história da cultura popular, pois o conhecimento não deve restringir-se a academia. Pois a população produz cultura e tem o direito de estudá-la.</t>
  </si>
  <si>
    <t>Após a finalização da graduação, meu objetivo é ampliar o ambiente acadêmico para fora da universidade, levando o conhecimento produzido pela academia até as populações marginalizadas que não tem acesso a universidade. Desejo trabalhar dentro dos pilares de pesquisa e extensão da universidade, de modo a produzir conhecimento acadêmico de modo que ele retorne as comunidades marginalizadas.  Agora, mestrado e doutorado são sonhos possíveis a serem alcançados.  Desejo, um dia, coordenar o departamento de artes cênicas da USP, talvez mais além. Ser multiartista, arte-educadore, produtora cultural, pesquisadore e ponte para as próximas gerações de crianças pretas não-binares.</t>
  </si>
  <si>
    <t>400.697.948-71</t>
  </si>
  <si>
    <t>Sabrina Dos Santos Silva</t>
  </si>
  <si>
    <t>sabrinasilva.s2004@gmail.com</t>
  </si>
  <si>
    <t>https://yz2spukd8h-jbrk7pf7uvw.s3.amazonaws.com/2024/04/x%2BbV0aBVJdun/SXh7ZjWcWwlaih54tF6UJP//2V0htk%3D.jpg</t>
  </si>
  <si>
    <t>20 anos, 1 meses, 29 dias</t>
  </si>
  <si>
    <t>Recanto Paraíso</t>
  </si>
  <si>
    <t>05210-020</t>
  </si>
  <si>
    <t>Rua Gaivota</t>
  </si>
  <si>
    <t>28</t>
  </si>
  <si>
    <t>530846226</t>
  </si>
  <si>
    <t>(11) 96142-7411</t>
  </si>
  <si>
    <t>SABRINASILVA.S2004@GMAIL.COM</t>
  </si>
  <si>
    <t>TEC - LOGISTICA +  CURSANDO GRAD - LETRAS</t>
  </si>
  <si>
    <t>079152388-84</t>
  </si>
  <si>
    <t>Eu vim de uma família que sempre me apoiou e me ajudou a passar por todos os obstáculos da minha vida, consegui me formar no Instituto Federal de São Paulo graças ao apoio dos meus pais, porque sem eles, eu nem teria entrado nessa instituição. Depois de formada em um curso técnico concomitante ao E.M. realizei mais um sonho entrando na USP, e novamente graças ao apoio da minha família, de onde vim.</t>
  </si>
  <si>
    <t>Agora me encontro buscando conhecimento, estou cursando Letras na USP e creio que a educação muda qualquer vida, assim como tem mudado a minha. Desde que iniciei a minha graduação, é somente à isso que me dedico. Estou vivendo um sonho como graduanda em uma universidade reconhecida, mas vejo que ainda falta alguma coisa para que eu esteja completa.</t>
  </si>
  <si>
    <t>Para onde vou não é possível saber agora, mas para onde eu pretendo ir, conseguirei falar. Me vejo formada em Letras licenciando, espero conseguir passar para as outras pessoas o conhecimento que estou adquirindo agora, assim como grandes pessoas me construíram eu pretendo fazer um pouco do que fo feito comigo. Acredito imensamente no poder da educação e tentarei fazer pelo outro o que fizeram por mim.</t>
  </si>
  <si>
    <t>516.912.368-02</t>
  </si>
  <si>
    <t>Herica Maira Domingues</t>
  </si>
  <si>
    <t>hericamaira@gmail.com</t>
  </si>
  <si>
    <t>https://yz2spukd8h-jbrk7pf7uvw.s3.amazonaws.com/2024/06/K3QwnpZTiubt3N1pSnQ74nWVwCa4cmw68iQfkrM2sUA%3D.png</t>
  </si>
  <si>
    <t>24 anos, 1 meses, 11 dias</t>
  </si>
  <si>
    <t>Vila Mariana</t>
  </si>
  <si>
    <t>04106-040</t>
  </si>
  <si>
    <t>VILA MARIANA</t>
  </si>
  <si>
    <t>Rua Gregório Serrão</t>
  </si>
  <si>
    <t>145</t>
  </si>
  <si>
    <t>585983872</t>
  </si>
  <si>
    <t>(15) 99797-9510</t>
  </si>
  <si>
    <t>https://www.instagram.com/rericaira?igsh=ZnU1aGlkYTVmcWd4</t>
  </si>
  <si>
    <t>LICENCIATURA EM LETRAS</t>
  </si>
  <si>
    <t>8057670452</t>
  </si>
  <si>
    <t>BIBLIOTECA VIRIATO CORREA</t>
  </si>
  <si>
    <t>Me chamo Herica, tenho 24 anos e vim da região do Alto do Vale do Ribeira, da cidade de Guapiara. Sou de contexto rural, minha família faz parte da agricultura familiar, e em Guapiara atuamos na roça e nas artes.  Cresci em meio aos teatros que eram escritos e interpretados por moradores dos bairros da cidade, e aos finais de semana tínhamos as rodas de viola, sempre com o propósito de preservar e fortalecer a cultura local e a identidade. Então, em 2015 iniciei minha atuação na escola em que eu estudava, como professora da oficina de canto e violão.</t>
  </si>
  <si>
    <t>Através das minhas vivências decidi cursar Letras, campo que proporciona um alcance grande em relação às áreas que gosto. Estudo na Universidade Federal de São Paulo, no campus de Guarulhos. O impacto da cidade, com as questões de uma metrópole me levaram aos meus dois trabalhos atuais de monitora na universidade. Hoje atuo no projeto Língua-cultura e movimentos migratórios que tem como objetivo desenvolver atividades relacionadas a questões linguístico-culturais com as populações migrantes e o Memorial Digital do Refugiado que  age no campo da preservação não só da memória, mas na criação dela. Ambos são projetos que me conectam com o que acredito e o que me fortalece.</t>
  </si>
  <si>
    <t>Meu objetivo sempre foi construir um caminho de luta e resgate, e hoje olhando para minha trajetória até aqui, acredito que estou na trilha certa.  Quando conheci os equipamentos de cultura aqui de São Paulo, me senti acolhida, e  ao ouvir sobre o PJMC soube que seria um lugar onde a oportunidade de construir essas ideias, desenvolver conhecimentos e fortalecimentos através da cultura, é possível.</t>
  </si>
  <si>
    <t>482.293.148-02</t>
  </si>
  <si>
    <t>WESLEY TIAGO DE OLIVEIRA FILHO</t>
  </si>
  <si>
    <t>Wesley Tiago De Oliveira Filho</t>
  </si>
  <si>
    <t>owesleytiago@gmail.com</t>
  </si>
  <si>
    <t>https://yz2spukd8h-jbrk7pf7uvw.s3.amazonaws.com/2024/06/6E4UB3JecWfV1/Qzp19OZ4Re42jyGFdIuR65tjEOSbg%3D.jpeg</t>
  </si>
  <si>
    <t>18 anos, 2 meses, 24 dias</t>
  </si>
  <si>
    <t>Jardim Santa Fé (Zona Sul)</t>
  </si>
  <si>
    <t>04890-270</t>
  </si>
  <si>
    <t>542</t>
  </si>
  <si>
    <t>Rua Marquês de Louriçal</t>
  </si>
  <si>
    <t>533758671</t>
  </si>
  <si>
    <t>(11) 96942-4274</t>
  </si>
  <si>
    <t>BACHARELADO EM BIBLIOTECONOMIA</t>
  </si>
  <si>
    <t>23650019090</t>
  </si>
  <si>
    <t>BIBLIOTECA PREFEITO PRESTES MAIA</t>
  </si>
  <si>
    <t>Me chamo Wesley Tiago, tenho 18 anos e nasci em São Paulo no Distrito de Parelheiros, no bairro Santa Fé e estudei na escola Leda Guimarães Natal, onde participei do Grêmio estudantil no segundo ano do ensino médio, foi nesse periodo que me identifiquei como homem homosexual, além disso participei de projetos estudantis como Sala Aberta, TCC e o FIAL (Festival Interativo de Artes do Leda) onde descobri meu amor pelas artes como a dança e a poesia no ano de 2023, onde também fui inspirado por inúmeros professores a seguir o sonho de alcançar o ensino superior público, a leitura me ajudou assim como minha familia e amigos que foram figuras importante para a minha costrução pessoal e coletiva.</t>
  </si>
  <si>
    <t>Atualmente moro no distrito de parelheiros, ingressei no ensino superior na Universidade de São Paulo USP em 2024, através das cotas PPI, estou no primeiro semestre da graduação, curso Biblioteconomia e Ciências da Informação, aprendo muito a respeito da cultura  e das diversas formas de ser e estar no mundo, que me instiga a querer aprender cada vez mais, e ajudar de alguma forma a comunidade de onde vim, sinto que tenho muito a aprender e muito a agregar para construir um futuro onde mais pessoas da periferia como eu, se encontrem neste lugar de fala e se empoderem através do ensino, e da nossa cultura, me sinto delocado por estar em um local elitizado, mas acredito que posso contribuir.</t>
  </si>
  <si>
    <t>Não tenho um objetivo muito claro para o futuro, alcançei o ensino superior e espero que de alguma forma eu esteja envolvido em paltas que ajudem e colaborem para a o almento de jovens no ensino superior também, que assim como eu se encontram em uma posição vulneravel, como o deficit de ensino, vulnerabiblidade familiar e apoiar projetos que inspirem a mudança na nossa sociedade, de uma forma mais humana e critica, criar bibliotecas e acervos hitóricos não apenas no ambito universitário, mas sim acessíveis para o publico minoritário, apoiar políticas publicas que auxiliem jovens que assim como eu tenham oportunidades de conhecer cada vez mais nossa riqueza histórica e cultural.</t>
  </si>
  <si>
    <t>515.638.498-60</t>
  </si>
  <si>
    <t>Miriã Galvão Fernandes</t>
  </si>
  <si>
    <t>miriagalvao@ymail.com</t>
  </si>
  <si>
    <t>https://yz2spukd8h-jbrk7pf7uvw.s3.amazonaws.com/2024/04/W8tGdeEKkPAMemigjFIydAbMEeOngqDJ43zEnW3S/BI%3D.jpeg</t>
  </si>
  <si>
    <t>28 anos, 1 meses, 27 dias</t>
  </si>
  <si>
    <t>Vila Fanton</t>
  </si>
  <si>
    <t>05201-210</t>
  </si>
  <si>
    <t>Rua Demifonte</t>
  </si>
  <si>
    <t>275</t>
  </si>
  <si>
    <t>523361282</t>
  </si>
  <si>
    <t>(11) 99277-7729</t>
  </si>
  <si>
    <t>MIRIAGALVAO@YMAIL.COM</t>
  </si>
  <si>
    <t xml:space="preserve">SIM - GRAD + CURSANDO TEC </t>
  </si>
  <si>
    <t>https://www.instagram.com/qqmifis/</t>
  </si>
  <si>
    <t>GRAD HISTORIA - TEC BIBLIOTECONOMIA</t>
  </si>
  <si>
    <t>06759671554</t>
  </si>
  <si>
    <t>Meu nome é Miriã, nasci em Perus, na Zona Oeste de São Paulo. Aqui cresci e tudo que aprendi foi a partir da cultura periférica que é muito rica, participei de coletivos do bairro no desenvolvimento de projetos e peças teatrais. Estudei toda minha formação básica em escola pública, trabalhei nas lojas CLARO S/A e juntei dinheiro para fazer um cursinho preparatório e, assim,  consegui em 2016 entrar na Universidade Federal de São Paulo, me formando em História Licenciatura. Estagiei durante um ano em uma escola Estadual "Lindamil" em Guarulhos, mas acabando o estágio  voltei para o mercado de trabalho como Atendente geral na empresa "Etiqueta única S/A", onde atuei por 8 meses como atendente</t>
  </si>
  <si>
    <t>Atualmente continuo residindo em Perus, me recuperei de um período de questões psicológicas de um quadro que eu enfrente desde 2015, tomando alguns remédios controlados e fazendo acompanhamento psicológico e psiquiátrico, motivo do meu tema de TCC na UNIFESP que foi "Saúde Mental na Unifesp Campus Guarulhos: Dilemas e complexidades", monografia que é usada até hoje no metaobservatório da instituição como referência para pensar a saúde mental e a luta antimanicomial com recortes de gênero, raça, classe e sexualidade com o NAE (Núcleo de Apoio aos Estudantes). Terminando esse acompanhamento iniciei o curso de Biblioteconomia na ETEC - Parque Juventude, para expandir minha área de atuação</t>
  </si>
  <si>
    <t>Levando em consideração a minha formação em História Licenciatura pela UNIFESP com ênfase em na História - psicossocial, e agora fazendo o curso de Biblioteconomia na ETEC, penso atuar em bibliotecas e centros culturais. Pretendo estudar bastante sobre a área de Biblioterapia, porque projetos culturais que trabalham através dos livros, dos brinquedos, palestras, teatros e outros dispositivos artísticos e educacionais pela saúde mental e antimanicomial nas favelas e periferias me interessa muito, sobretudo por ter vivido e ser uma pessoa psicoatípica, mostrando nossa capacidade de produzir e atuar para além de laudos e prognósticos. Ademais, sempre com o compromisso de levar criticidadesocial</t>
  </si>
  <si>
    <t>464.513.218-00</t>
  </si>
  <si>
    <t>Kaliane Ferreira Rodrigues</t>
  </si>
  <si>
    <t>rodrigueskalif@gmail.com</t>
  </si>
  <si>
    <t>https://yz2spukd8h-jbrk7pf7uvw.s3.amazonaws.com/2024/05/pfbrbQn4mKQzlUyZWBlqCiHkP%2BQhtM0VbU2AA8Vfweo%3D.jpg</t>
  </si>
  <si>
    <t>23 anos, 5 meses, 17 dias</t>
  </si>
  <si>
    <t>Jardim Tupi</t>
  </si>
  <si>
    <t>04939-200</t>
  </si>
  <si>
    <t>Rua Bocaina de Minas</t>
  </si>
  <si>
    <t>558</t>
  </si>
  <si>
    <t>38582662-x</t>
  </si>
  <si>
    <t>(11) 96615-6823</t>
  </si>
  <si>
    <t>kalianerferreira@gmail.com</t>
  </si>
  <si>
    <t>BACHARELADO EM JORNALISMO</t>
  </si>
  <si>
    <t>21014683078</t>
  </si>
  <si>
    <t>Eu sou a Kaliane Ferreira Rodrigues, 23 anos,  venho da Zona Sul de São Paulo, Jd. Ângela, nascida e criada na região da Zonal Sul de São Paulo, atualmente sou residente do bairro onde nasci atualmente, a filha mais nova de cinco irmãs e a única com formação superior, jornalista, produtora cultural nos bairros periféricos na zona sul e também no ABC Paulista, atuo na área do audiovisual e fotografia de forma independente, também sou estudante com bolsa integral no senac do largo treze com previsão de formação em novembro de 2024.</t>
  </si>
  <si>
    <t>Hoje eu estou na região da zona sul e também abc paulista atuando e informando jovens sobre a importância da cultura e lazer nas quebradas com algumas formações culturais através do audiovisual, também atuo diretamente com a informação sobre a acessibilidade e ativismo ambiental com o advocacy de uma agência independente que se chama Perifa Sustentável, também participei de uma ação efetiva nas escolas estaduais com a informação eleitoral para os jovens que ainda não tiraram o título eleitoral, me considero uma jovem ativista pelos direitos sociais aos estudos gratuitos e participo de um edital disponibilizado pela UFABC com o curso de produção cultural até agosto do ano de 2024.</t>
  </si>
  <si>
    <t>A minha pretensão futura é continuar atuando na região do abc e em outras áreas de São Paulo, mas especificamente em regiões perifiéricas com ações efetivas pelo clima e ações climáticas, sendo uma jovem liderança na região do Jd. Ângela também na área social e cultural, pois percebo a urgência e importância de ser uma referência para quem vem de onde eu vim, e isso só será possível com o meu ponto de vista através de novas ferramentas e eu utilizando a minha voz para que isso seja possível, também quero chegar em lugares que eu posso atuar de forma efetiva com a educomunicação, seja no audiovisual, ou fotografia, música também vejo como um ótimo potencial para encorajar jovens.</t>
  </si>
  <si>
    <t>406.773.618-58</t>
  </si>
  <si>
    <t>Thais Dos Reis Vieira</t>
  </si>
  <si>
    <t>THAIS ROSA</t>
  </si>
  <si>
    <t>Thais Rosa</t>
  </si>
  <si>
    <t>thais.dos.reis.26@gmail.com</t>
  </si>
  <si>
    <t>https://yz2spukd8h-jbrk7pf7uvw.s3.amazonaws.com/2024/06/nYJswkizlxbNA8fdS%2BHlKW2bxNyzWYZ0rVLVQebVXGg%3D.jpeg</t>
  </si>
  <si>
    <t>27 anos, 0 meses, 23 dias</t>
  </si>
  <si>
    <t>03058-060</t>
  </si>
  <si>
    <t>23B</t>
  </si>
  <si>
    <t>Avenida Álvaro Ramos</t>
  </si>
  <si>
    <t>375</t>
  </si>
  <si>
    <t>24492553-46</t>
  </si>
  <si>
    <t>(11) 95628-6057</t>
  </si>
  <si>
    <t>THAIS.DOS.REIS.26@GMAIL.COM</t>
  </si>
  <si>
    <t>https://www.instagram.com/thais.rosa.1?igsh=bTR0czZrNTkxaWJw</t>
  </si>
  <si>
    <t>TECNICO EM DANÇA, GRADUAÇÃO LICENCIATURA EM DANÇA</t>
  </si>
  <si>
    <t>23796223555</t>
  </si>
  <si>
    <t>BIBLIOTECA CASSIANO RICARDO</t>
  </si>
  <si>
    <t>Thais Rosa, sou artista da dança, arte educadora e mediadora cultural; militante de movimento estudantil, paçoqueira e aprendiz de bordado. Nascida e criada no Belenzinho, SP, aprendi a ser adulta em Salvador, Bahia, onde morei por 7 anos. Minha formação artística é marcada pelas Fábricas de Cultura, programa que oportunizou meu acesso ao ensino da dança, iniciei os estudos na sede do Parque Belém e depois embarquei no Projeto Núcleo Luz, lugar que permaneci por 3 anos, vivenciando um processo artístico pedagógico que integrava o ensino técnico de diversas modalidades de dança e a vivência artística de criação e circulação de espetáculos.  Aos 19 anos entro para o curso de Dança na UFBA.</t>
  </si>
  <si>
    <t>Como artista em São Paulo, atuei em companhias de dança independentes como a Com[som]antes Cia de Arte e a Ca.Ja, ambas contempladas pelo edital do VAI; já em Salvador, integrei o elenco do Grupo de Dança Contemporânea da UFBA, o Balé Jovem de Salvador e o Coletive DMT. Como ativista, participei de movimentos estudantis e feministas de luta por direitos, como a Ocupação Secundarista das Etecs, o Centro Acadêmico de Dança e o Movimento Baque Mulher, o caráter performativo dessas organizações despertaram o meu desejo de criar e atualmente estou em  pesquisa de uma performance nomeada BADERNA - ação para mover questões sobre organização política estudantil, cultura brincante e educação pública.</t>
  </si>
  <si>
    <t>Estou migrando em retomada para o lugar de onde vim, em exercício de (re)conhecer os territórios que habitava, experimentando possibilidades de atuar com meus projetos e fortalecer os movimentos já existentes. Vejo no programa uma preciosa oportunidade para compreender melhor as dinâmicas de acesso, produção e difusão de arte nos equipamentos culturais da prefeitura de SP. E acredito que esse conhecimento seria muito proveitoso para o momento de vida que me encontro, me auxiliaria a ser mais assertiva nas escolhas tanto de como desejo me relacionar com o meu território como a forma que projetarei minhas ações profissionais futuras.</t>
  </si>
  <si>
    <t>465.136.648-10</t>
  </si>
  <si>
    <t>JOAO VITOR PEREIRA</t>
  </si>
  <si>
    <t>João Vitor Pereira</t>
  </si>
  <si>
    <t>Juaum</t>
  </si>
  <si>
    <t>joao_pereira@usp.br</t>
  </si>
  <si>
    <t>https://yz2spukd8h-jbrk7pf7uvw.s3.amazonaws.com/2024/06/lzjhoe%2BDbyDR20XtlyQihykxnnWHF/zt0mh1cgFnONc%3D.jpg</t>
  </si>
  <si>
    <t>23 anos, 6 meses, 25 dias</t>
  </si>
  <si>
    <t>Indígena</t>
  </si>
  <si>
    <t>587950560</t>
  </si>
  <si>
    <t>(11) 98352-3193</t>
  </si>
  <si>
    <t>ARTES CENICAS</t>
  </si>
  <si>
    <t>21341593071</t>
  </si>
  <si>
    <t>Andréa/Waldirene/Gabriela/Natan</t>
  </si>
  <si>
    <t>https://drive.google.com/file/d/1h9D3xgYLD4XnCFcCfcTi1bYF3XNzIYyM/view?usp=sharing</t>
  </si>
  <si>
    <t>485.813.538-19</t>
  </si>
  <si>
    <t>Thamires Louzado Ferreira</t>
  </si>
  <si>
    <t>thamillouzado@gmail.com</t>
  </si>
  <si>
    <t>https://yz2spukd8h-jbrk7pf7uvw.s3.amazonaws.com/2024/05/In8WXb4Q27DwoYHWqFjdaAnaAkCgpUiYCa60JXytvmA%3D.pdf</t>
  </si>
  <si>
    <t>20 anos, 4 meses, 12 dias</t>
  </si>
  <si>
    <t>Vila Nova Galvão</t>
  </si>
  <si>
    <t>02281-160</t>
  </si>
  <si>
    <t>bloco 23 apto 11 a</t>
  </si>
  <si>
    <t>Rua Gabriel Ribeiro</t>
  </si>
  <si>
    <t>350</t>
  </si>
  <si>
    <t>509028123</t>
  </si>
  <si>
    <t>(11) 93931-2007</t>
  </si>
  <si>
    <t>THAMILLOUZADO@GMAIL.COM</t>
  </si>
  <si>
    <t>https://www.instagram.com/thmlouzado/</t>
  </si>
  <si>
    <t>CURSANDO - CIENCIAS SOCIAIS</t>
  </si>
  <si>
    <t>23688785262</t>
  </si>
  <si>
    <t>https://drive.google.com/file/d/1qDz1JsZ8BJvG0fxHe0Zm_E0sonKl08Ij/view?usp=sharing</t>
  </si>
  <si>
    <t>444.295.668-52</t>
  </si>
  <si>
    <t>Beatriz Bertolli Paulini</t>
  </si>
  <si>
    <t>bertolli.paulini2@gmail.com</t>
  </si>
  <si>
    <t>https://yz2spukd8h-jbrk7pf7uvw.s3.amazonaws.com/2024/05/m5oyup5AkNdL5vq5nWaeEcB645hwaknWfw86Ins4D6s%3D.jpg</t>
  </si>
  <si>
    <t>28 anos, 11 meses, 9 dias</t>
  </si>
  <si>
    <t>Vila Nova Manchester</t>
  </si>
  <si>
    <t>03443-000</t>
  </si>
  <si>
    <t>CARRÃO</t>
  </si>
  <si>
    <t>Rua Baquiá</t>
  </si>
  <si>
    <t>670</t>
  </si>
  <si>
    <t>478063945</t>
  </si>
  <si>
    <t>(11) 97836-1325</t>
  </si>
  <si>
    <t>https://www.instagram.com/bepaulini/</t>
  </si>
  <si>
    <t>Pós-graduação (especialização lato sensu)</t>
  </si>
  <si>
    <t>05765559085</t>
  </si>
  <si>
    <t>BIBLIOTECA LENYRA FRACCAROLI</t>
  </si>
  <si>
    <t>Olá, meu nome é Beatriz Bertolli Paulini, tenho 28 anos e no momento estou cursando técnico em arquivo. Penso que falar sobre o meu interesse no campo artístico e cultural de maneira sucinta seja bastante complicado, pois acredito que na maioria das escolhas que fiz na vida pessoal, profissional e acadêmica, estive sempre envolvida em questões de arte e cultura. Desde quando era criança e queria participar de todos os cursos de teatro e dança,  até hoje quando escolhi estudar jornalismo cultural, história, comunicação, entre outras áreas, sinto que, independente do campo, estou sempre caminhando ao lado da arte e da cultura.</t>
  </si>
  <si>
    <t>Desde que nasci, eu sempre morei na mesma casa na Vila Nova Manchester, na zona leste da cidade, então sempre frequentei os mesmos lugares e acredito que o que mais me conecta a esse lugar, seja a biblioteca que frequento desde que minha mãe me ensinou o caminho quando tinha mais ou menos 6 anos de idade. Foi nessa biblioteca que me apaixonei por livros desde nova, foi onde aprimorei a minha leitura, onde busquei ajuda para trabalhos escolares e onde pude ler os livros para um TCC difícil que precisava ser entregue. Às vezes penso como seriam esses momentos sem essa biblioteca no bairro, tão pertinho de mim e chego a conclusão de que tudo seria mais complicado e até sem graça.</t>
  </si>
  <si>
    <t>Contar esse pedaço importante da minha vida, que é a vivência de crescer perto da biblioteca, é só uma parcela do que me faz querer participar do projeto jovem monitor cultural. Como disse, muitas escolhas da minha vida se ligam a arte e a cultura e acredito que estar no PJMC trará ganhos para minha experiência pessoal e profissional, pois quero aperfeiçoar sempre o meu lado humano junto às artes e a cultura, mas também aperfeiçoar meu lado profissional nas áreas. Penso que o projeto tem muito para me agregar e, com a vontade e dedicação que tenho nesse momento, eu também poderei agregar ao projeto e farei o possível para que a experiência agregue a muitas outras pessoas, espaços e vivências</t>
  </si>
  <si>
    <t>338.461.458-58</t>
  </si>
  <si>
    <t>LEANDRO CÉSAR TASSA GARCIA</t>
  </si>
  <si>
    <t>leandrogarcia@alumni.usp.br</t>
  </si>
  <si>
    <t>https://yz2spukd8h-jbrk7pf7uvw.s3.amazonaws.com/2024/04/uv13v%2BHsLCaXCUSXwhFElM%2Bb4nM/RMsBZKB9rg%2BLbcI%3D.jpg</t>
  </si>
  <si>
    <t>28 anos, 9 meses, 3 dias</t>
  </si>
  <si>
    <t>05501-000</t>
  </si>
  <si>
    <t>Avenida Valdemar Ferreira</t>
  </si>
  <si>
    <t>447</t>
  </si>
  <si>
    <t>41417099-4</t>
  </si>
  <si>
    <t>(14) 99611-5308</t>
  </si>
  <si>
    <t>leandrogarcia@alumne.usp.br</t>
  </si>
  <si>
    <t xml:space="preserve">Ensino Superior </t>
  </si>
  <si>
    <t xml:space="preserve">História </t>
  </si>
  <si>
    <t>20968926473</t>
  </si>
  <si>
    <t>Guilherme/Gabriela/Natan</t>
  </si>
  <si>
    <t>Originário do Município de Boracéia, interior do Estado de São Paulo, no centro-oeste paulista. Estudei minha vida inteira em escola pública, do jardim ao ensino médio, fiz também técnico em assistente administrativo. Com muito esforço e apoio familiar ingressei na universidade pública aqui na capital, onde eu sempre quis morar, na Universidade de São Paulo.</t>
  </si>
  <si>
    <t>Sou Historiador, diplomado bacharel e licenciatura, pela Faculdade de Filosofia, Letras e Ciências Humanas da Universidade de São Paulo, com experiência nas áreas de administração; pesquisa; processamento de dados; conservação e restauros básicos de acervo; e assistência em eventos. Procurando uma oportunidade no campo da cultura e patrimônio. O intuito de cursar história foi seguir a carreira em museus e arquivos, sair da linha óbvia de professor mais continuar sendo um educador.</t>
  </si>
  <si>
    <t>Para onde vou? É uma questão complexa que eu nem sei dizer, mas posso contar para onde quero ir. Tenho muitos gostos, pois, sempre quero adquirir conhecimentos. Sei que quero trabalhar com cultura e patrimônio, e vejo esse programa como uma grande oportunidade, uma porta de entrada para onde quero estar inserido. Sem muitas experiencias o caminho se torna longo e turvo, porque boa parte de minha graduação foi na pandemia, então não tive oportunidades de estágio.</t>
  </si>
  <si>
    <t>439.980.618-43</t>
  </si>
  <si>
    <t>o candidato DENNER PEREIRA COSTA deve ser retirado da lista de PCDs e ir para ampla concorrência;</t>
  </si>
  <si>
    <t>Denner Pereira Costa</t>
  </si>
  <si>
    <t>dennerpcosta@usp.br</t>
  </si>
  <si>
    <t>https://yz2spukd8h-jbrk7pf7uvw.s3.amazonaws.com/2024/06/JSXu9kM7sKivQOL0mxyk2Sbx4s8NCfPlQOdg0BtUiWw%3D.jpg</t>
  </si>
  <si>
    <t>25 anos, 5 meses, 3 dias</t>
  </si>
  <si>
    <t>A 304</t>
  </si>
  <si>
    <t>Av. Professor Mello Morais</t>
  </si>
  <si>
    <t>MG17452692</t>
  </si>
  <si>
    <t>(32) 99864-2554</t>
  </si>
  <si>
    <t>https://www.instagram.com/umdennercosta/?hl=de&amp;img_index=1</t>
  </si>
  <si>
    <t xml:space="preserve">Audiovisual </t>
  </si>
  <si>
    <t>20089964033</t>
  </si>
  <si>
    <t>Tenho formação em Audiovisual pela Escola de Comunicações e Artes da USP. No audiovisual, produzi os seguintes curta-metragens: "Espelhado" (2023), escrito e protagonizado por mim, dirigido por Marcos DeBrito e realizado na Oficina Cultural Oswald de Andrade; "Noite Incorpórea" (2023), realizada com o apoio da USP;  "A Porta" (2023), escrito e protagonizado por mim; "Prelúdios" (2022), escrito e dirigido por mim. Como roteirista, faço parte do Centro Cultural Marieta, onde desenvolvo meus projetos de longa-metragem "O Flamenguista" e de série "Saturnália". Com o roteiro de "O Flamenguista", fui finalista do Script + International Script Challenge.</t>
  </si>
  <si>
    <t>Atualmente, tenho me envolvido intimamente com o teatro. Atuo na Cia. de Teatro Os Satyros, na Praça Roosevelt, onde recentemente integrei o elenco de uma adaptação de "O Casal Palavrakis" de Angélica Liddell. Na USP, faço parte da diretoria da Audiovisual Jr., produtora júnior do departamento de cinema da ECA. Como diretor financeiro, sou responsável pela produção executiva dos projetos, tanto dos produtos audiovisuais quanto dos eventos que oferecemos à comunidade, como o mais recente Loucurtas, festival onde desafiamos jovens da comunidade USP a produzirem um curta-metragem em um fim de semana. Dos inscritos, três produções foram premiadas.</t>
  </si>
  <si>
    <t>Produzir arte e difundir cultura é a minha vocação e o meu chamado e acredito que ser um jovem produtor cultural é o caminho ideal para me formar como um cidadão responsável pela manutenção e multiplicação da rica herança cultural que possuímos como brasileiros. É de extrema importância que toda a população possa a ter acesso à arte, à educação e à cultura para que nós, tanto como indivíduos quanto como comunidade, possamos desenvolver a sensibilidade necessária para o cultivo de uma alta qualidade de desenvolvimento humano. Ambiciono me tornar um agente transformador na minha comunidade.</t>
  </si>
  <si>
    <t>B24</t>
  </si>
  <si>
    <t>102.469.346-54</t>
  </si>
  <si>
    <t>candidato DENNER PEREIRA COSTA deve ser retirado da lista de PCDs e ir para ampla concorrência;</t>
  </si>
  <si>
    <t>VITORIA CORREA</t>
  </si>
  <si>
    <t>Vitória Correa</t>
  </si>
  <si>
    <t>vitoriacorrea46678@gmail.com</t>
  </si>
  <si>
    <t>https://yz2spukd8h-jbrk7pf7uvw.s3.amazonaws.com/2024/04/daHVK3YvPrRQ3fOujg55sTjR5VaAcHy45el6wuDxnVg%3D.jpeg</t>
  </si>
  <si>
    <t>18 anos, 9 meses, 2 dias</t>
  </si>
  <si>
    <t>Jardim Santa Terezinha (Zona Leste)</t>
  </si>
  <si>
    <t>03572-190</t>
  </si>
  <si>
    <t>Rua Igatauá</t>
  </si>
  <si>
    <t>548539339</t>
  </si>
  <si>
    <t>(11) 97785-4037</t>
  </si>
  <si>
    <t>VITORIACORREA46678@GMAIL.COM</t>
  </si>
  <si>
    <t>TECNOLOGO NIVEL  SUPERIOR</t>
  </si>
  <si>
    <t>PRODUÇÃO AUDIO E VISUAL</t>
  </si>
  <si>
    <t>5820768205</t>
  </si>
  <si>
    <t>https://drive.google.com/file/d/1LmwSzic2sdg2fLP-O1Jd2ZZ82cE0xVcj/view?usp=drivesdk</t>
  </si>
  <si>
    <t>572.786.518-24</t>
  </si>
  <si>
    <t>RAMONNA MOURA DE OLIVEIRA</t>
  </si>
  <si>
    <t>Ramonna Moura De Oliveira</t>
  </si>
  <si>
    <t>521.***.***-56</t>
  </si>
  <si>
    <t>ramonnarodriguez.oli@gmail.com</t>
  </si>
  <si>
    <t>https://yz2spukd8h-jbrk7pf7uvw.s3.amazonaws.com/2024/06/tZwghsCHfCfRvEyg4GEIbqXoihyeHpswFrIQ196fE8M%3D.jpg</t>
  </si>
  <si>
    <t>32833298</t>
  </si>
  <si>
    <t>20 anos, 5 meses, 13 dias</t>
  </si>
  <si>
    <t>Vila Emir</t>
  </si>
  <si>
    <t>04461-100</t>
  </si>
  <si>
    <t>Rua Igará-Paraná</t>
  </si>
  <si>
    <t>94</t>
  </si>
  <si>
    <t>531312094</t>
  </si>
  <si>
    <t>(11) 99423-7512</t>
  </si>
  <si>
    <t>https://www.instagram.com/aramonnaz?igsh=a2hvdm84M2V1aTg1</t>
  </si>
  <si>
    <t>TECNÓLOGO EM EMPREENDEDORISMO E ARTES VISUAIS</t>
  </si>
  <si>
    <t>213.50953.48-4</t>
  </si>
  <si>
    <t>Olá, me chamo Ramonna, tenho 20 anos de idade, moro na grande zona sul de São Paulo, em Interlagos. Porém nasci e fui criada na periferia do Capão Redondo. Sou Dançarina e produtora cultural e atualmente me encontro desempregada. Eu trabalho muito criando narrativas e vibrações de corpos trans; do meu corpo e vivências como uma mulher trans e as contrapartidas que me deparo por conta da minha identidade e, por sua vez, por ser periférica. Fazendo assim, minha arte um reflexo de tudo que aconteceu em minha vida.</t>
  </si>
  <si>
    <t>Irá fazer mais de um ano desde que tomei a decisão de cair de cabeça na arte e no universo sociocultural. Meu envolvimento com a arte veio muito antes de eu enxergar uma identidade em mim. Com o tempo, todo esse interesse se aflorou de acordo com visitas minha á fábricas de culturas e eventos culturais da região em qual eu transitava. A reunião de pessoas de realidades mais distintas fez com que eu me encontrasse um lugar no qual eu podia expurgar tudo de mais reprimido e criativo de dentro de mim. Desde quando comecei a frequentar tais polos culturais, meu interesse em levar a área de forma profissional só expandiu e me aprofundei na produção cultural, realizando um curso na área.</t>
  </si>
  <si>
    <t>Tudo aquilo que me foi negado, hoje deixo florescer. Sou extremamente grata a todos os educadoras e monitores que transformaram minha visão profissional e de vida. Frequentar espaços culturais me fizeram rebuscar projetos e aspirações perdidas quando achava que não poderia ser me expressar. Hoje levo na minha arte toda a minha trajetória, permaneço uma imagem sempre transparente sobre o que sinto porque sei que dessa forma posso alcançar inúmeras cabeças famintas por cultura e, assim, posso acender uma chama por arte assim como a minha foi acendida dentro dos polos culturais da minha comunidade.</t>
  </si>
  <si>
    <t>521.585.738-56</t>
  </si>
  <si>
    <t>JOSE JADSON GONCALVES SIQUEIRA</t>
  </si>
  <si>
    <t>José Jadson Gonçalves Siqueira</t>
  </si>
  <si>
    <t>Miranda Helena Gonçalves Siqueira</t>
  </si>
  <si>
    <t>caemiranda!@gmail.com</t>
  </si>
  <si>
    <t>https://yz2spukd8h-jbrk7pf7uvw.s3.amazonaws.com/2024/05/MBf5aiZouTQnRurl0sP%2BsQZbeazFIuKU/XXQkj1HStI%3D.JPG</t>
  </si>
  <si>
    <t>28 anos, 6 meses, 23 dias</t>
  </si>
  <si>
    <t>Jardim das Rosas (Iguatemi)</t>
  </si>
  <si>
    <t>08372-200</t>
  </si>
  <si>
    <t>IGUATEMI</t>
  </si>
  <si>
    <t>Rua Augusto Mendes Pinto</t>
  </si>
  <si>
    <t>157</t>
  </si>
  <si>
    <t>441955022</t>
  </si>
  <si>
    <t>(11) 91479-6046</t>
  </si>
  <si>
    <t>CAEMIRANDA1@GMAIL.COM</t>
  </si>
  <si>
    <t>R$ 706,00 a R$ 1.412,00 por pessoa</t>
  </si>
  <si>
    <t>https://www.instagram.com/a_mirandacae/</t>
  </si>
  <si>
    <t>CANTO POPULAR</t>
  </si>
  <si>
    <t>Olá,    Sou Miranda Helena, tenho 28 anos, sou travesti e artista independente. Sou formada no ensino médio e tenho formações técnicas em 3 áreas voltadas a cultura que são: canto popular e regência coral pela Etec de Artes, com a formação entre 2015 a 2018 e Teatro no Senac com formação em 2023.    Nasci em Garanhuns - PE, fui criada na periferia de Guarulhos onde passei a maior parte da minha vida e hoje moro na zona leste da capital. Durante as minhas formações trabalhei majoritariamente na área corporativa no comercial, utilizando dessa renda para investir na gestão da minha carreira, entre elas clipes e lançamentos musicais, e desde 2023 atuo somente na área da cultura.</t>
  </si>
  <si>
    <t>Atuei na minha área de formação fazendo a gestão da minha própria carreira desde 2019, durante essa caminhada tive a oportunidade de apresentar meu traalho em diversas casas de cultura em São Paulo, com essa vivencia entendi como funciona as burocracias de contratação de shows enquanto artista contratada. Hoje em dia, a maior parte da minha renda vem das contratações das casas de Cultura, além de outros Editais culturais da cidade.</t>
  </si>
  <si>
    <t>Vejo o programa como uma oportunidade que crescer ainda mais nas minhas vivências artisticas, ter conhecimento que nenhuma formação me passou e desenvolver ainda mais os conhecimentos que eu tenho do mercado cultural da cidade, isso pra mim será mais do que precioso, estou cada vez mais próxima das casas de Cultura desde o ano passado e quero demais ter a experiência como contratante representando a prefeitura de São Paulo e essa seria a ultima oportunidade de participar do programa, visto que eu já tenho 28 anos.    Muito obrigada pela oportunidade!</t>
  </si>
  <si>
    <t>439.722.198-73</t>
  </si>
  <si>
    <t>Wesley Felix Cerqueira dos Santos</t>
  </si>
  <si>
    <t>Wesley Félix Cerqueira Dos Santos</t>
  </si>
  <si>
    <t>wesleyfelixcerqueira14@gmail.com</t>
  </si>
  <si>
    <t>https://yz2spukd8h-jbrk7pf7uvw.s3.amazonaws.com/2024/06/eK0n5RLKfSRDV2%2BAnCOPQP9iyuaIlMQOQ8F8mQhUuyI%3D.jpg</t>
  </si>
  <si>
    <t>22 anos, 6 meses, 17 dias</t>
  </si>
  <si>
    <t>Jardim Russo</t>
  </si>
  <si>
    <t>05205-370</t>
  </si>
  <si>
    <t>Rua Árvore de São Tomás</t>
  </si>
  <si>
    <t>56.008.367-1</t>
  </si>
  <si>
    <t>(11) 97845-9442</t>
  </si>
  <si>
    <t>WESLEYFELIXCERQUEIRA14@GMAIL.COM</t>
  </si>
  <si>
    <t>SIM - TEC + GRAD</t>
  </si>
  <si>
    <t>AGENCIAMENTO DE VIAGENS E DANÇA + CURSANDO COMUNICACAO DAS ARTES DO CORPO</t>
  </si>
  <si>
    <t>128.68806.77-7</t>
  </si>
  <si>
    <t>Me chamo Wesley Felix, tenho 22 anos de idade, sou da zona noroeste de São Paulo e sou um multiartista periférico em formação. Minha trajetória artística começou através dos espaços culturais gratuitos da minha região. Vivo e fui criado em Perus, mas, diferente dos meus ancestrais que se relacionavam economicamente com o território, construindo suas vidas às margens da grande fábrica de cimento, hoje consigo ter outros acessos à cidade, que não apenas os de trabalho.</t>
  </si>
  <si>
    <t>Hoje sou formado pela Etec de artes em dança, me coloco em meio a arte como multiartista porque nela me atrai mais de um seguimento, anteriormente fiz um pequeno curso na área de moda, e estou cursando Comunicação das Artes do Corpo pela PUC-SP, com bolsa integral pela mantedora da universidade, neste curso é me permitido estudar dança, teatro e performance,  além de possibilitar a junção com outras áreas do meu interesse, visando me formar um artista criador.</t>
  </si>
  <si>
    <t>Por ser fruto da formação pedagógica de espaços culturais gratuitos e das políticas públicas, acredito na importância da descentralização do saber e, sobretudo, na arte em função social como ferramenta que promove a cidadania e não apenas como entretenimento. O PJMC seria a forma de conseguir retornar a esses espaços como atuante em formação, devolvendo ao meu território aquilo que recebi e contribuindo para o desenvolvimento cultural da minha comunidade, numa troca recíproca onde movimento a produção através das minhas experiências, ao mesmo tempo que adquiro mais conhecimento nessa área, assim expandindo meu conhecimento e experiência nas artes.</t>
  </si>
  <si>
    <t>485.542.058-12</t>
  </si>
  <si>
    <t>Natalia Maciana Gonzaga De Jesus</t>
  </si>
  <si>
    <t>NATALIA</t>
  </si>
  <si>
    <t>Natalia</t>
  </si>
  <si>
    <t>ngonzaga32@gmail.com</t>
  </si>
  <si>
    <t>https://yz2spukd8h-jbrk7pf7uvw.s3.amazonaws.com/2024/06/Aqb%2BoVLGsuIdgszuQAgCGdX81D38avCVTjHl/FIZQ8M%3D.jpg</t>
  </si>
  <si>
    <t>NÃO SOUBE INFORMAR O NÚMERO DE TELEFONE</t>
  </si>
  <si>
    <t>Mirandópolis</t>
  </si>
  <si>
    <t>04047-000</t>
  </si>
  <si>
    <t>Avenida Senador Casimiro da Rocha</t>
  </si>
  <si>
    <t>202</t>
  </si>
  <si>
    <t>390173319</t>
  </si>
  <si>
    <t>(11) 97882-5059</t>
  </si>
  <si>
    <t>BACHARELADO EM HISTÓRIA DA ARTE</t>
  </si>
  <si>
    <t>071384949-55</t>
  </si>
  <si>
    <t>CASA DE CULTURA CIDADE ADEMAR</t>
  </si>
  <si>
    <t>Fui criada pela minha avó até meus 15 anos, minha mãe faleceu quando eu tinha 4.   Como nasci em 1997 enquanto eu crescia a internet se popularizou, trazendo meu interesse pela arte, em especial a Arte Contemporânea . Por incentivo da minha avó que era nordestina me dediquei aos estudos e consegui ingressar em história da arte na UNIFESP, também em Guarulhos, sendo a única da minha família a saber ler e escrever.   Após a morte da minha avó fui morar em casa de amigos de trabalho dela até meus 17 anos quando descobri na internet sobre emancipação. Com 20 anos estava na universidade.</t>
  </si>
  <si>
    <t>Após 4 anos no curso, infelizmente tive que largar a universidade.  Sem apoio familiar estive em situações de vulnerabilidade com moradia desde a morte da minha avó. Meu imóvel próprio foi invadido, tentei morar em repúblicas, também sem sucesso. Até que dois anos atrás a proprietária da República que vivíamos pediu o imóvel. Sem ter pra onde ir eu passei alguns dias no terminal pimentas.  Decidi ir para SP onde existem albergues. Foi quando sofri um sequestro, o que mudou a minha vida nesses últimos anos.  Larguei a faculdade e fiquei em situação de rua por dois anos, tendo um ano agora que estou com moradia.</t>
  </si>
  <si>
    <t>Desde sempre a arte me ajudou a evoluir, me entender e entender o mundo.  Agora busco reestabelecer contato com a arte novamente, tanto de forma mais acadêmica, quanto de forma mais experimental, buscando encontrar artistas da antiga e nova geração que assim como eu tem a arte como apoio emocional e político. Dando voz assim aos nossos trabalhos que com frequência não conseguimos nem expor por questões extremas de vulnerabilidade.</t>
  </si>
  <si>
    <t>360.651.978-82</t>
  </si>
  <si>
    <t>VILMA LASSALETTE DE ARAUJO JORGE</t>
  </si>
  <si>
    <t>VILMA LASSALETTE DE ARAÚJO JORGE</t>
  </si>
  <si>
    <t>vlmajorge2@gmail.com</t>
  </si>
  <si>
    <t>https://yz2spukd8h-jbrk7pf7uvw.s3.amazonaws.com/2024/06/DKGyqP4kxgbvYKfd5ahXcGbrL%2BjOoA33BDKOQJXlPQ4%3D.jpeg</t>
  </si>
  <si>
    <t>25 anos, 10 meses, 24 dias</t>
  </si>
  <si>
    <t>EM FORMAÇÃO  GESTÃO DE  RECURSOS HUMANOS</t>
  </si>
  <si>
    <t>Mooca</t>
  </si>
  <si>
    <t>03164-100</t>
  </si>
  <si>
    <t>MOÓCA</t>
  </si>
  <si>
    <t>Rua Frei Gaspar</t>
  </si>
  <si>
    <t>181</t>
  </si>
  <si>
    <t>G376964-D</t>
  </si>
  <si>
    <t>(11) 94503-5967</t>
  </si>
  <si>
    <t>VLMAJORGE2@GMAIL.COM</t>
  </si>
  <si>
    <t>GRADUAÇÃO</t>
  </si>
  <si>
    <t>https://www.instagram.com/__negradekarapinhadura/?hl=pt-br</t>
  </si>
  <si>
    <t>GESTÃO DE  RECURSOS  HUMANOS</t>
  </si>
  <si>
    <t>5294024322</t>
  </si>
  <si>
    <t>Me chamo Vilma Lassalette de Araújo Jorge, sou uma mulher negra, imigrante angolana e africana.Vim de uma terra cheia de energia e que respira cultura. Detentora de um perfil multidisciplinar, com destaque para as seguintes habilidades:  Produção audiovisual, resolusçao de problemas e comunicação. Sou também amante da cultura, entusiasta  das tecnologias da informação e comunicação e multimidias.  Tenho experiências ligadas a atividades de impacto social, business, inovação, criatividade e busco por uma vida com propósito e uma pitada de diversão.</t>
  </si>
  <si>
    <t>Estou num lugar onde quero me desenvolver cada vez mais prossionalmente e poder somar cada vez mais as experiências que possuo e as formaçãos em Multimidia, pelo Instituto da Mulher Negra -Geledés, que rendeu meu primeiro premio fruto de um trabalho coletivo, a T6 do podcast Essa Geração. Fui Monitora VI Semana Universitária da UNILABA e desenvolveu a atividade de  monitoria ao participar da equipe de organização, da VI Semana Universitária da  UNILAB auxiliando os docentes, discentes e técnicos com material de suporte para a  exposição dos seus trabalhos e membro do projeto de extensão "Uniculturas" da Unilab secção de dança, como uma das  coordenadoras do mesmo pelo período de um ano.</t>
  </si>
  <si>
    <t>Como profissional da área cultural, da produção audiovisual e do impacto social, almejo estar na vanguarda da criação de conteúdo que não apenas entretenha, mas que também provoque reflexão e transformação na sociedade. Vejo-me envolvido em projetos que explorem as nuances da diversidade cultural, que ampliem vozes marginalizadas e que promovam a inclusão e a justiça social. Busco estar em um ambiente onde a arte e a cultura sejam utilizadas como ferramentas poderosas para promover mudanças positivas, seja por meio de documentários impactantes, filmes que abordem questões sociais relevantes, ou campanhas de conscientização que gerem engajamento e mobilização.</t>
  </si>
  <si>
    <t>085.465.151-90</t>
  </si>
  <si>
    <t>ERICK NUNES ORSI</t>
  </si>
  <si>
    <t>Erick Nunes Orsi</t>
  </si>
  <si>
    <t>Jahcox</t>
  </si>
  <si>
    <t>ericknunes12@gmail.com</t>
  </si>
  <si>
    <t>https://yz2spukd8h-jbrk7pf7uvw.s3.amazonaws.com/2024/05/c9oLOYy1pmukZUOfmLs1AlKF5cysA6U8CDsMA6GbLOA%3D.jpg</t>
  </si>
  <si>
    <t>22 anos, 11 meses, 7 dias</t>
  </si>
  <si>
    <t>UTILIZA NOME SOCIAL DIFERENTE DO DOCUMENTO (A SABER - ERICK NUNES ORSI)</t>
  </si>
  <si>
    <t>Jardim Edda</t>
  </si>
  <si>
    <t>04844-040</t>
  </si>
  <si>
    <t>Rua Antônio Francisco Rosa</t>
  </si>
  <si>
    <t>120</t>
  </si>
  <si>
    <t>553601052</t>
  </si>
  <si>
    <t>(11) 91043-2171</t>
  </si>
  <si>
    <t>https://www.instagram.com/jahcox_/</t>
  </si>
  <si>
    <t>https://photos.app.goo.gl/6MDurYNHWEPUKXgP7</t>
  </si>
  <si>
    <t>515.418.848-92</t>
  </si>
  <si>
    <t>Gabriela Souza Morais Guimarães</t>
  </si>
  <si>
    <t>gabrielaguimaraessou@gmail.com</t>
  </si>
  <si>
    <t>https://yz2spukd8h-jbrk7pf7uvw.s3.amazonaws.com/2024/04/vhAHpQPJeGuXP256X2dTss80CJH5%2BS8X3ugorz8DkG8%3D.jpg</t>
  </si>
  <si>
    <t>24 anos, 7 meses, 22 dias</t>
  </si>
  <si>
    <t>Vila Aricanduva</t>
  </si>
  <si>
    <t>03505-000</t>
  </si>
  <si>
    <t>Rua Doutor Luís Carlos</t>
  </si>
  <si>
    <t>999</t>
  </si>
  <si>
    <t>505863157</t>
  </si>
  <si>
    <t>(11) 98962-4158</t>
  </si>
  <si>
    <t>gabriela.guimaraes@unifesp.br</t>
  </si>
  <si>
    <t>https://www.instagram.com/gabrielaguimaraes____/</t>
  </si>
  <si>
    <t>Letras</t>
  </si>
  <si>
    <t>082510811-06</t>
  </si>
  <si>
    <t>Sou Graduada em Letras Português-Francês pela Universidade Federal de São Paulo.(2018-2023) Tenho experiência em trabalho voluntário como docente de Literatura no curso pré-vestibular Mulp, localizado no Instituto Alana em São Miguel Paulista. Formação no ciclo básico e intermediário em Dança pela Escola de Dança do Theatro Municipal de São Paulo. Como formação complementar, participei do Curso Livre de Iniciação para Escritores (CLIPE) idealizado pelo Museu Casa das Rosas em 2017 e em 2020.   Além disso, fui aluna bolsista do seguinte Projeto de Extensão: “Danceja” realizado pela Unifesp e aprendiz do ciclo II(2022-2023) do Projeto “Núcleo Luz”.</t>
  </si>
  <si>
    <t>Atualmente, estudo Técnicas de Dança na São Paulo Escola de Dança e realizo Especialização em Direitos Humanos e Lutas Sociais pelo Centro de Antropologia e Arqueologia Forense da Unifesp.  Também, no momento, matriculada como aluna especial no Programa de Pós-Graduação em Artes Cênicas no Instituto de Artes da Unesp e também atuo com alguns coletivos independentes de dança, fazendo residências, entre eles a Rumos Cia Experimental de Dança e o Núcleo Cinematográfico de Dança.</t>
  </si>
  <si>
    <t>Minha relação com as artes acontece a partir das conexões e relações entre a dança e as diversas outras linguagens, as quais pude acessar desde a infância por meio de políticas públicas culturais. Acredito que práticas de mediação cultural se conectam ao meu interesse pelas artes como um bem cultural que deve ser realizado em contextos diversos estabelecendo uma relação de aprendizagem e ensino, que abranja um conjunto de práticas interdisciplinares, para tanto tenho procurado conexões com movimentos e projetos que olhem para a atuação das políticas públicas e, por isso, desejo ser Jovem Monitora Cultural para estar em ambientes que eu possa atuar na luta por acesso à arte e à educação .</t>
  </si>
  <si>
    <t>468.947.098-74</t>
  </si>
  <si>
    <t>Higor Barbosa Dos Santos</t>
  </si>
  <si>
    <t>contatoeuakoro@gmail.com</t>
  </si>
  <si>
    <t>https://yz2spukd8h-jbrk7pf7uvw.s3.amazonaws.com/2024/06/rPuAbk8j/0kYerZPFgpLJEs9HEFOLgrw%2Bvo50Hr2Wi8%3D.jpeg</t>
  </si>
  <si>
    <t>23 anos, 10 meses, 0 dias</t>
  </si>
  <si>
    <t>05891-170</t>
  </si>
  <si>
    <t>CAMPO LIMPO</t>
  </si>
  <si>
    <t>Rua Antônio Nunes de Azevedo</t>
  </si>
  <si>
    <t>390597739</t>
  </si>
  <si>
    <t>(11) 95423-9261</t>
  </si>
  <si>
    <t>https://www.instagram.com/euakoro/</t>
  </si>
  <si>
    <t>TÉCNICO EM ADMINISTRAÇÃO</t>
  </si>
  <si>
    <t>https://drive.google.com/file/d/1bQ4KIgVMxmIXOpWXK3VH8A1pWhkwBfgP/view?usp=drive_link</t>
  </si>
  <si>
    <t>409.214.808-90</t>
  </si>
  <si>
    <t>Larissa Bonfim Azevedo</t>
  </si>
  <si>
    <t>larissabzvd@gmail.com</t>
  </si>
  <si>
    <t>https://yz2spukd8h-jbrk7pf7uvw.s3.amazonaws.com/2024/04/GAXapcytfv%2Brll/6LqHMgjx/rQcH0LjIRM4NkGqM/Ao%3D.jpg</t>
  </si>
  <si>
    <t>26 anos, 11 meses, 0 dias</t>
  </si>
  <si>
    <t>02310-190</t>
  </si>
  <si>
    <t>Rua Francisco Thomaz Carbonelli</t>
  </si>
  <si>
    <t>365130941</t>
  </si>
  <si>
    <t>(11) 98652-1074</t>
  </si>
  <si>
    <t xml:space="preserve">tec - informatica\ grad - produção cultural </t>
  </si>
  <si>
    <t>5491842605</t>
  </si>
  <si>
    <t>Nasci na cidade de São Paulo, mas vivi em Franco da Rocha dos 8 aos 24 anos de idade. Durante esse período, senti os efeitos de viver em uma cidade-dormitório, que apenas me distanciava dos polos culturais da capital. Desde jovem sou apaixonada por entretenimento e Cultura Pop, sempre enxerguei isso como minha principal forma de lazer e ponto de partida para minha visão de mundo. Foi, também, o que me fez querer estudar. Aos 19, fui a primeira pessoa (e geração) da minha família a ter acesso à uma universidade pública, a qual fui aceita depois de muita dedicação e poucas horas de sono. Estudei Lazer e Turismo na USP, mas não finalizei o curso por não ter encontrado nele o meu caminho.</t>
  </si>
  <si>
    <t>Após desistir do que parecia ser a faculdade dos meus sonhos, me vi perdida em relação à minha educação e vida acadêmica. Foi então que descobri o curso de Produção Cultural, que tem tudo a ver com a área em que quero atuar e meus gostos pessoais. Após 2 anos tentando entrar no curso pela UFF (Universidade Federal Fluminense), fui aprovada, mas impossibilitada de ir por questões financeiras. Até que, então, a Fatec São Paulo inaugurou o curso, e agora faço parte da primeira turma. Sinto que estou realizando um sonho e dando os primeiros passos em uma jornada que será enriquecedora para mim pessoal e profissionalmente.</t>
  </si>
  <si>
    <t>No momento, tenho a sensação de estar onde o destino gostaria que eu estivesse. Mesmo que eu sempre tenha sido uma admiradora do setor de entretenimento, ao longo do curso pretendo explorar o máximo de áreas possíveis dentro de uma formação tão abrangente, e creio que nada será tão fomentador para isso como atuar no terceiro setor. Além disso, quero que as pessoas sejam tocadas e tenham suas vidas mudadas ao ter acesso às diversas manifestações culturais, assim como aconteceu comigo. Gostaria de fazer parte de algo que, de alguma forma, retribuice isso ao mundo e abrisse espaço para as novas gerações se desenvolverem de forma culturalizada.</t>
  </si>
  <si>
    <t>473.294.708-56</t>
  </si>
  <si>
    <t>richardourado0@gmail.com</t>
  </si>
  <si>
    <t>https://yz2spukd8h-jbrk7pf7uvw.s3.amazonaws.com/2024/06/4pNFpIxW%2BLROYJvF3Erjl7ZP6LyMfipbgdWUkIW%2B6iM%3D.jpg</t>
  </si>
  <si>
    <t>22 anos, 5 meses, 29 dias</t>
  </si>
  <si>
    <t>Jardim Guanabara</t>
  </si>
  <si>
    <t>04860-210</t>
  </si>
  <si>
    <t>Avenida Doutor Henrique Guilherme Thut</t>
  </si>
  <si>
    <t>577484175</t>
  </si>
  <si>
    <t>(11) 96343-4359</t>
  </si>
  <si>
    <t>https://www.instagram.com/big_dourado?igsh=dG9lMG4wdXRsOXRr</t>
  </si>
  <si>
    <t>TÉCNICO EM FOTOGRAFIA</t>
  </si>
  <si>
    <t>Sou nascido em guarulhos mas fui criado no interior de Minas Gerais, onde morei com meus avós pois meus pais não foram presentes na minha infância, moro em São Paulo desde 2016 com minha avó materna, estudei em escola pública toda minha vida e em instituições públicas de ensino complementar, passei pelo  CCA (ROSA MISTICA) SENAI (SANTO AMARO) SENAC (LAPA) INSTITUTO CRIAR DE CINEMA E CUFA (SANTO ANTÔNIO).</t>
  </si>
  <si>
    <t>Eu atualmente estou trabalhando numa empresa de linha de produção, em regime CLT com carga de 8 horas, onde pretendo está encerrando meu contrato, pois quero me entregar ao projeto e aos meus planos futuros, quero está no mercado de trabalho do áudio visual, da cultura e ensino, quero me destinar a realizar o meu sonho de trabalhar por uma razão social!</t>
  </si>
  <si>
    <t>Quero me encontrar inserido no mundo da fomentação a cultura e ensino, quero usar todas as minhas capacitações em pro de aumentar o alcance entre as pessoas que não tem acesso nenhum a cultura e educação! Quero ser a pessoa que vai levar as mais variáveis culturas e informações a todos aqueles que são menosprezados por toda a sociedade, esta nesse projeto e a oportunidade certa pra poder ajuda mais e mais pessoas a esse acesso a esse direito civil.</t>
  </si>
  <si>
    <t>117.433.986-11</t>
  </si>
  <si>
    <t>Maria Isabella Elizio Do Nascimento</t>
  </si>
  <si>
    <t>MARIA NASCIMENTO</t>
  </si>
  <si>
    <t>Maria Nascimento</t>
  </si>
  <si>
    <t>isabellaelizio@gmail.com</t>
  </si>
  <si>
    <t>https://yz2spukd8h-jbrk7pf7uvw.s3.amazonaws.com/2024/05/vir/Gv3THh/uzux4FYnvSRVwjTNT1MyT5ytmqtXaOR8%3D.jpeg</t>
  </si>
  <si>
    <t>23 anos, 10 meses, 19 dias</t>
  </si>
  <si>
    <t>02325-030</t>
  </si>
  <si>
    <t>Rua Cabo PM José Carlos Rodrigues da Silva</t>
  </si>
  <si>
    <t>50279003-9</t>
  </si>
  <si>
    <t>(11) 93023-4875</t>
  </si>
  <si>
    <t>ISABELLAELIZIO@GMAIL.COM</t>
  </si>
  <si>
    <t>R$ 1.413,00 a R$ 2.118,00 por pessoa</t>
  </si>
  <si>
    <t>https://www.instagram.com/soumarianascimento_?igsh=MXhwamJxZzdjYjBmMA%3D%3D&amp;utm_source=qr</t>
  </si>
  <si>
    <t>CINEMA, TV NOVAS MIDIAS + TEATRO</t>
  </si>
  <si>
    <t>https://drive.google.com/drive/folders/1-6BFdQNUQhaiR0XutQB12O7XKSqKNjY0?usp=sharing</t>
  </si>
  <si>
    <t>421.773.378-01</t>
  </si>
  <si>
    <t>Gabriela Simoes Gabira</t>
  </si>
  <si>
    <t>gabisimoes682@gmail.com</t>
  </si>
  <si>
    <t>https://yz2spukd8h-jbrk7pf7uvw.s3.amazonaws.com/2024/06/GG0cMY4g9JNWScCLu70vO9kJe7jvguiQ3uV%2B3jrqhNY%3D.jpg</t>
  </si>
  <si>
    <t>Vila São José (Ipiranga)</t>
  </si>
  <si>
    <t>04274-000</t>
  </si>
  <si>
    <t>IPIRANGA</t>
  </si>
  <si>
    <t>rua frei durao</t>
  </si>
  <si>
    <t>294</t>
  </si>
  <si>
    <t>39485926-1</t>
  </si>
  <si>
    <t>(11) 96655-6324</t>
  </si>
  <si>
    <t>https://www.instagram.com/eukayme/</t>
  </si>
  <si>
    <t>Vim da Zona Sul de São Paulo. Nascida no bairro do Heliópolis e criada na Vila das Mercês onde fui apresentada a cultura através das batalhas de rap aos 16 anos e conheci diversas movimentações artísticas da minha região e comecei a me interessar pela arte e explorar dons artísticos como o de cantar, a partir daí veio meu interesse por produção cultural quando comecei a organizar eventos com meu coletivo Sarra Beat em 2021 voltados para pessoas negras e periféricas.</t>
  </si>
  <si>
    <t>Estou no bairro do Ipiranga hoje em dia em uma casa cedida para mim e meu filho de 4 anos, pois no momento não tenho condições de pagar aluguel. Em uma esperança de mudar de vida e ampliar meu contato com produção cultural comecei um curso que tomou forma através do edital VAI, um projeto de um coletivo chamado "É TUDO NOSSO" onde são disponibilizadas aulas on-line que tem como objetivo auxiliar jovens periféricos nesse início de carreira dentro da produção cultural. Onde me disseram que através do programa jovem monitor cultural eu teria experiências que agregariam muito a minha carreira.</t>
  </si>
  <si>
    <t>Pretendo me formar como produtora cultural e trabalhar com eventos fomentando a cultura no máximo de lugares possíveis e estudando cada vez mais sobre cultura HIP-HOP, quero me especializar na cultura periférica e ocupar casas de cultura. Quero também poder oferecer uma vida melhor para o meu filho sem desistir dos meus sonhos. Enxergo essa oportunidade como algo que irá me ajudar pois no momento não tenho condições de investir financeiramente em cursos, mas quero viver isso para que um dia eu possa viver disso com dignidade e levando a cultura para quem precisa e acredita nela.</t>
  </si>
  <si>
    <t>372.787.838-01</t>
  </si>
  <si>
    <t>ANNA CAROLINA DE CARVALHO MARINO</t>
  </si>
  <si>
    <t>Anna Carolina De Carvalho Marino</t>
  </si>
  <si>
    <t>ANNA CAROLINA</t>
  </si>
  <si>
    <t>Anna Carolina</t>
  </si>
  <si>
    <t>537.***.***-90</t>
  </si>
  <si>
    <t>annacarolinacarvalho2016@gmail.com</t>
  </si>
  <si>
    <t>https://yz2spukd8h-jbrk7pf7uvw.s3.amazonaws.com/2024/05/DnfRwrDz53jhEh5eNTJ1NpxmbPwQYWKHkqwc1pzF940%3D.jpg</t>
  </si>
  <si>
    <t>32776951</t>
  </si>
  <si>
    <t>19 anos, 5 meses, 28 dias</t>
  </si>
  <si>
    <t>Jardim das Esmeraldas</t>
  </si>
  <si>
    <t>05549-330</t>
  </si>
  <si>
    <t>Rua Ilídio da Fonseca</t>
  </si>
  <si>
    <t>571647029</t>
  </si>
  <si>
    <t>(11) 99392-3705</t>
  </si>
  <si>
    <t>https://www.instagram.com/annaaa.carvalhooo?utm_source=ig_web_button_share_sheet&amp;igsh=ZDNlZDc0MzIxNw==</t>
  </si>
  <si>
    <t>TEC DE ADM</t>
  </si>
  <si>
    <t>Charlene/Natan/Gabriela/William</t>
  </si>
  <si>
    <t>https://youtu.be/o8PgyGIpGQM</t>
  </si>
  <si>
    <t>537.949.488-90</t>
  </si>
  <si>
    <t>recurso deferido de 2ª fase - alteração da nota de entrvista e reclassificação</t>
  </si>
  <si>
    <t>Ismailla Carneiro Da Silva</t>
  </si>
  <si>
    <t>iismaillasilvacarneiro@gmail.com</t>
  </si>
  <si>
    <t>https://yz2spukd8h-jbrk7pf7uvw.s3.amazonaws.com/2024/05/H0KcpHAEtDdxgFdZ0xLvsGQ7WAE/J8buPNIeTRqgaSg%3D.jpg</t>
  </si>
  <si>
    <t>21 anos, 9 meses, 17 dias</t>
  </si>
  <si>
    <t>Jardim Flor de Maio</t>
  </si>
  <si>
    <t>02363-120</t>
  </si>
  <si>
    <t>Rua Brinco de Princesa</t>
  </si>
  <si>
    <t>500172948</t>
  </si>
  <si>
    <t>(11) 97126-6483</t>
  </si>
  <si>
    <t>ismaillasilvacarneiro@gmail.com</t>
  </si>
  <si>
    <t>11-971266483</t>
  </si>
  <si>
    <t>https://www.instagram.com/ismaailla/</t>
  </si>
  <si>
    <t>tec - desenvolvimento de sistemas e multimidia</t>
  </si>
  <si>
    <t>13447149557</t>
  </si>
  <si>
    <t>https://drive.google.com/file/d/1GTXsNFDYEgVGdpuAbGi3tsyXA9AtFRzn/view?usp=sharing</t>
  </si>
  <si>
    <t>517.865.958-93</t>
  </si>
  <si>
    <t>liviacalef@gmail.com</t>
  </si>
  <si>
    <t>https://yz2spukd8h-jbrk7pf7uvw.s3.amazonaws.com/2024/04/ymQatvqlkLGqHt1aATHVktDDaFFOyvQ9bacVa3QOGT8%3D.jpeg</t>
  </si>
  <si>
    <t>19 anos, 11 meses, 28 dias</t>
  </si>
  <si>
    <t>03443-060</t>
  </si>
  <si>
    <t>Rua Bombaim</t>
  </si>
  <si>
    <t>127</t>
  </si>
  <si>
    <t>62.112.817-X</t>
  </si>
  <si>
    <t>(11) 99160-1155</t>
  </si>
  <si>
    <t>LIVIACALEF@GMAIL.COM</t>
  </si>
  <si>
    <t>21335854810</t>
  </si>
  <si>
    <t>Nascida na capital paulista no dia 21 de junho de 2004, São Paulo - SP, filha de Margarete Calef Rebelo e Roberto Furlan, morei até meus 03 anos da idade na cidade de São Paulo na rua Bombaim localizada no bairro Vila Nova Manchester próximo da Avenida Aricanduva.    Em 2007 me mudei para uma cidade vizinha do conjunto ABC cujo o nome é Santo André onde cresci, morando lá por 15 anos e me mudando novamente para São Paulo - SP em abril de 2022.</t>
  </si>
  <si>
    <t>Atualmente aos meus 19 anos moro novamente na rua Bombaim localizada no bairro Vila Nova Manchester próximo da Avenida Aricanduva, mas em outra casa, nesses últimos anos tenho buscado uma formação superior e um emprego, tendo como objetivo cursar psicologia, jornalismo e letras pois são minhas áreas de interesse desde mais jovem, quanto à questão do emprego tive pequenas experiências como recepcionista e monitora em um buffet de festa infantil, como garçonete em um restaurante/karaokê e em um brechó como vendedora.</t>
  </si>
  <si>
    <t>Dentre todos os meus planejamentos sejam eles acadêmicos, profissionais e sociais os mais trabalhosos são a publicação de uma obra autoral que estou escrevendo e uma oportunidade de sair do país para ou morar fora ou realizar um intercâmbio, o país que escolhi é o Canadá, além de buscar por visitar outros países que tenho interesse por motivos culturais e sociais, sei da complexidade de uma barreira linguística mas atualmente tenho estudado a língua inglesa por conta própria com auxílio de aulas acessíveis no Youtube e em aplicativos de ensino gratuito, em suma planejo ir longe e sinto que o PJMC iria contribuir muito para o futuro que planejo para mim.</t>
  </si>
  <si>
    <t>553.238.768-08</t>
  </si>
  <si>
    <t>Julia Oliveira Dos Santos</t>
  </si>
  <si>
    <t>JULIA OLIVEIRA</t>
  </si>
  <si>
    <t>Julia Oliveira</t>
  </si>
  <si>
    <t>juliaolidossantos@gmail.com</t>
  </si>
  <si>
    <t>https://yz2spukd8h-jbrk7pf7uvw.s3.amazonaws.com/2024/06/dqkGlqjxvBLChAzhLHqwXXSYw2/Tfu80OW5yjeqL8XE%3D.jpeg</t>
  </si>
  <si>
    <t>20 anos, 11 meses, 24 dias</t>
  </si>
  <si>
    <t>Cohab 1 - Arthur Alvim</t>
  </si>
  <si>
    <t>03590-190</t>
  </si>
  <si>
    <t>Apartamento 232</t>
  </si>
  <si>
    <t>Rua Padre Cristóvão Cordeiro</t>
  </si>
  <si>
    <t>54041119x</t>
  </si>
  <si>
    <t>(11) 98629-3765</t>
  </si>
  <si>
    <t>JULIAOLIDOSSANTOS@GMAIL.COM</t>
  </si>
  <si>
    <t>SIM, TECNICO</t>
  </si>
  <si>
    <t>https://www.instagram.com/julianelha?igsh=cDdwMGI2NWFhbDJp</t>
  </si>
  <si>
    <t>NUTRIÇÃO</t>
  </si>
  <si>
    <t>https://youtu.be/elah1mCbtys?si=41h9D57Gub0J5qsR</t>
  </si>
  <si>
    <t>528.476.388-22</t>
  </si>
  <si>
    <t>Camila Reimberg Dos Santos</t>
  </si>
  <si>
    <t>CAMILA</t>
  </si>
  <si>
    <t>Camila</t>
  </si>
  <si>
    <t>camilareimberg123@gmail.com</t>
  </si>
  <si>
    <t>https://yz2spukd8h-jbrk7pf7uvw.s3.amazonaws.com/2024/06/fMVeEqPI1%2BHZj1/2Py1V5MUGvdiCnX9Gx21vx1zR2FU%3D.jpeg</t>
  </si>
  <si>
    <t>21 anos, 2 meses, 20 dias</t>
  </si>
  <si>
    <t>Jardim Três Corações</t>
  </si>
  <si>
    <t>04855-330</t>
  </si>
  <si>
    <t>Rua General José de Oliveira Ramos</t>
  </si>
  <si>
    <t>81</t>
  </si>
  <si>
    <t>526383781</t>
  </si>
  <si>
    <t>(11) 98229-7559</t>
  </si>
  <si>
    <t>https://www.instagram.com/dixxcaah_66/</t>
  </si>
  <si>
    <t>https://photos.app.goo.gl/i9uM7cVg6BG1DMc76</t>
  </si>
  <si>
    <t>479.386.068-04</t>
  </si>
  <si>
    <t>Daniel Souza Da Silva</t>
  </si>
  <si>
    <t>ELL RASTA</t>
  </si>
  <si>
    <t>Ell Rasta</t>
  </si>
  <si>
    <t>ellrastamanbc4@gmail.com</t>
  </si>
  <si>
    <t>https://yz2spukd8h-jbrk7pf7uvw.s3.amazonaws.com/2024/06/UHRo/vjSGEyYD5MwokV9f7yCaJe1QXl1j6dxlehCoPc%3D.png</t>
  </si>
  <si>
    <t>27 anos, 4 meses, 29 dias</t>
  </si>
  <si>
    <t>digitacao  basica</t>
  </si>
  <si>
    <t>Jardim Nova Vitória I</t>
  </si>
  <si>
    <t>08373-260</t>
  </si>
  <si>
    <t>Rua Águia</t>
  </si>
  <si>
    <t>379147920</t>
  </si>
  <si>
    <t>(11) 98687-7588</t>
  </si>
  <si>
    <t>https://www.instagram.com/ell_rastaman/</t>
  </si>
  <si>
    <t>portaria</t>
  </si>
  <si>
    <t>Ola , me chamo Daniel Souza da Silva , Pai de Miguel Antunes de Souza  . tenho 27 anos de idade , sou filho de Vanuza Cassimiro de Souza &amp; José Carlos felix da Silva ,  , 3 irmãs e 3 irmãos  , 7 sobrinhos(as) . Nasci na comunidade do Artur Alvim e Residi na Região até meus 12 anos , depois disso , por questão de necessidade morei em outros lugares de São Paulo  , como Prestes Maia, Cidade Tiradentes , Wilma flor , e até mesmo na região do jardim miriam zona sul de são paulo . Quando ja estava com meus 17 anos , ja com uma mente mais formada , fui aprendendo na rua e em equipamentos culturais  os beneficios da arte na vida de um jovem sem necessidade e sem acesso .</t>
  </si>
  <si>
    <t>Atualmente , sou cantor , compositor e produtor cultural  .  sou idealizador do projeto Zona Quente , Festa destinada a cultura sound system na região do extremo Leste .   faço parte da organização e apresentação da batalha da um , uma batalha de Mc's na região do extremo Leste .  com intuito de fomentar a cultura nessa região , sigo levando meu nome artistico  ELL RASTAMAN para as praças publicas e casas de cultura , no intuito de intermediar esse laço , do acesso ,  para ,  o necessitado .</t>
  </si>
  <si>
    <t>Em busca de uma formação para multiplicar o conhecimento e facilitar o acesso para todos que reside em periferia , busco essa oportunidade para que , pelas leis , eu consiga ajudar muitas pessoas que sonham em viver de arte , artistas de toda são paulo que nao sabem fazer documentação ou que nao tenha acesso a equipamentos das casas de cultura .   visando um futuro de produção cultural , estudo sempre que posso de forma livre , produção musical e leis que fomenta a cultura em qualquer espaço publico ou privado .</t>
  </si>
  <si>
    <t>469.039.438-54</t>
  </si>
  <si>
    <t>NICOLE JESUS SANTOS</t>
  </si>
  <si>
    <t>Nicole Jesus Santos</t>
  </si>
  <si>
    <t>Ariel Santos</t>
  </si>
  <si>
    <t>nicolejsantos1@gmail.com</t>
  </si>
  <si>
    <t>https://yz2spukd8h-jbrk7pf7uvw.s3.amazonaws.com/2024/06/GAwJGVv7Ou%2Bmfk7u4uuR1VUh0ML9F6ckZHCbYvUrL2c%3D.jpg</t>
  </si>
  <si>
    <t>22 anos, 1 meses, 4 dias</t>
  </si>
  <si>
    <t>Sítio Itaberaba I</t>
  </si>
  <si>
    <t>05270-150</t>
  </si>
  <si>
    <t>Morro doce</t>
  </si>
  <si>
    <t>Rua Mirassol</t>
  </si>
  <si>
    <t>53612467-x</t>
  </si>
  <si>
    <t>(11) 92015-3603</t>
  </si>
  <si>
    <t>https://www.linkedin.com/in/ariel-santos-43bb71190?utm_source=share&amp;utm_campaign=share_via&amp;utm_content=profile&amp;utm_medium=android_app</t>
  </si>
  <si>
    <t>21322964531</t>
  </si>
  <si>
    <t>Eu vim de um bairro periférico chamado Morro Doce, um bairro que se manifesta presente o descaso do poder público com a população, sem iluminação pública de qualidade, sem saneamento básico, transporte público precário e inexistência da segurança pública. Mas mesmo com todos esses defeitos, eu guardo muitas recordações boas da onde vivo, eu me formei nas escolas públicas estaduais daqui e tenho muito apreço por todos.</t>
  </si>
  <si>
    <t>Eu estou em um momento bom e de muita conquista pra mim e pra minha família de eu ter conseguido ser a primeira da família há entrar em uma universidade pública. A universidade me abriu a mente e muitas portas, me fez adentrar o movimento estudantil, ter acesso a ongs (Plan Internacional eu fiquei 2 anos - Cieds, NOSSAS) e grandes associações estudantis que me fizeram crescer muito como pessoas (AIESEC), ser uma cidadã ativa politicamente, e ter a oportunidade de conseguir meu 1 estágio em uma das frentes da Secretaria Municipal de Saúde na periferia onde eu moro. Hoje eu participo do projeto Politize e do Escolar comum - 2 projetos sobre educação política - que tem me agregado muito.</t>
  </si>
  <si>
    <t>Eu pretendo seguir na área pública vinculado a cultura pra impactar a vida de outros jovens assim como eu na periferia onde eu moro, e ter através da minha Formação na USP conseguir passar em concurso público e ter estabilidade financeira para ajudar a minha família - e ao meu pai voltar a estudar porque é um grande desejo dele e minha conseguir concluir o ensino fundamental, porque eu vejo que a educação muda vidas e eu quero que a vida dos meus pais seja impactada assim como a minha também foi - e consegue oferecer uma vida que meus pais hunca tiveram, com conforto e garantia de um futuro próspero</t>
  </si>
  <si>
    <t>497.351.588-41</t>
  </si>
  <si>
    <t>PABLO DE ALMEIDA SILVA</t>
  </si>
  <si>
    <t>Pablo De Almeida Silva</t>
  </si>
  <si>
    <t>MAKUNGE</t>
  </si>
  <si>
    <t>Makunge</t>
  </si>
  <si>
    <t>pabloalmeida4p@gmail.com</t>
  </si>
  <si>
    <t>https://yz2spukd8h-jbrk7pf7uvw.s3.amazonaws.com/2024/04/GIhdGKh9n4fAHOSh7mTWgh1QIiCMU59IUm8fDhoX6ZY%3D.jpg</t>
  </si>
  <si>
    <t>26 anos, 1 meses, 0 dias</t>
  </si>
  <si>
    <t>Itaberaba</t>
  </si>
  <si>
    <t>02803-050</t>
  </si>
  <si>
    <t>Rua Itaiquara</t>
  </si>
  <si>
    <t>71</t>
  </si>
  <si>
    <t>498305211</t>
  </si>
  <si>
    <t>(11) 98388-2484</t>
  </si>
  <si>
    <t>PABLOALMEIDA4P@GMAIL.COM</t>
  </si>
  <si>
    <t>https://www.instagram.com/runningdogg/</t>
  </si>
  <si>
    <t>CURSANDO - TEATRO E HISTORIA</t>
  </si>
  <si>
    <t>Meu nome é Pablo de Almeida Silva, nasci em Barueri, zona oeste de São Paulo. Comecei no meio artístico através do Hip-Hop, aos 8 anos de idade, por meio de oficinas de Graffiti em um Centro Comunitário do território de onde vim, desenvolvi tecnicas das quais exerço até hoje. Já com 12 anos, comecei a escrever rimas e desde então me tornei Rapper e poeta. Depois de alguns anos me apresentando em diversos lugares como Escolas, Centros Culturais e Eventos independentes, em 2016, já com 18 anos, lancei de maneira independente, uma MixTape com 20 faixas. Em 2018 ministrei, por um ano, oficinas de Ritmo e Poesia em uma ONG chamada S.A.F(Associação de Apoio a Família), localizada em Barueri.</t>
  </si>
  <si>
    <t>Descobri minha paixão pelo Teatro através do curso de Dublagem que fiz na BKS,  com uma bolsa concedida por uma parceria com a Uneafro Brasil. Atualmente, além de trabalhar em minhas músicas, curso tecnico em Teatro na Etec de Artes, localizada no Parque da Juventude(Carandiru), onde fui contemplado com uma bolsa por meio de um Vestibulinho e um teste de aptidão.  Além disso, faço Licenciatura em História na Faculdade Uninter, na modalidade EAD, onde fui contemplado com 70% de bolsa através do ENEM. Podendo assim, conciliar meus estudos com a minha arte e o cuidado com a minha filha. Também participo de atividades culturais no meu atual território, como a Capoeira, o Boxe e o Graffiti.</t>
  </si>
  <si>
    <t>Me interesso pelo Edital do PJMC pois vejo uma oportunidade de aprendizado e profissionalização nas áreas que possuo algum conhecimento e tenho o objetivo de seguir, como produção, programação e administração de eventos culturais. Áreas que abrangem toda a experiência que obtive no meio artístico, acadêmico e autodidata, pois sempre estudei história geral, antes de ingressar na Faculdade. Desejo ter experência formal para desenvolver cada vez mais a arte e levar todo esse conhecimento para os territórios periféricos e onde mais puder chegar.</t>
  </si>
  <si>
    <t>120.406.414-83</t>
  </si>
  <si>
    <t>Bárbara De Almeida Ferreira</t>
  </si>
  <si>
    <t>baalmeida.ba@outlook.com</t>
  </si>
  <si>
    <t>https://yz2spukd8h-jbrk7pf7uvw.s3.amazonaws.com/2024/06/i3HPMSIMgBogM9cS5Ijcq4EzEySEzRBF7x6Hs5tAO3s%3D.jpeg</t>
  </si>
  <si>
    <t>23 anos, 4 meses, 16 dias</t>
  </si>
  <si>
    <t>Cursando gestão de eventos</t>
  </si>
  <si>
    <t>Vila Fukuya</t>
  </si>
  <si>
    <t>08441-160</t>
  </si>
  <si>
    <t>LAJEADO</t>
  </si>
  <si>
    <t>Rua Bertoldo Adam</t>
  </si>
  <si>
    <t>(11) 96072-6952</t>
  </si>
  <si>
    <t xml:space="preserve">técnico em informática </t>
  </si>
  <si>
    <t>053235974-70</t>
  </si>
  <si>
    <t>Vim de Zona Leste - Guaianases, moro com meus pais e meu irmão, estudei e me formei na escola Adelaide Ferraz de Oliveira, e no mundo de eventos comecei pela Obra Social Dom Bosco de Itaquera,  me encantei pela área, lá conheci muitas pessoas e muita cultura, tive o primeiro contato com o carnaval que é um dos eventos mais importantes do nosso país.</t>
  </si>
  <si>
    <t>Estou estudando hoje, na faculdade de tecnologia do Ipiranga, curso de eventos, me encontro no 4° semestre. Com esse curso me sinto realizada, amo o que faço e pretendo continuar na área. Com o curso consegui um estágio não remunerado na Casa de Cultura - Chico Science localizada no Ipiranga, uma experiência incrível e me identifico muito com a área cultural.</t>
  </si>
  <si>
    <t>Um dia estarei me realizando e chegarei a produzir grandes eventos, levando ao Brasil inteiro a cultura Brasileira, o amor e afeto que nosso país carrega. Não pararei nunca de estudar, estarei sempre fazendo cursos, me atualizando do mercado de trabalho, serei uma grande produtora de eventos com a oportunidade de estagiar e trabalhar para centros culturais.</t>
  </si>
  <si>
    <t>32896339</t>
  </si>
  <si>
    <t>493.020.428-39</t>
  </si>
  <si>
    <t>Thaís Pantaleão De Camargo</t>
  </si>
  <si>
    <t>thapndcg@hotmail.com</t>
  </si>
  <si>
    <t>https://yz2spukd8h-jbrk7pf7uvw.s3.amazonaws.com/2024/06/R%2B/WzCJW6YRZkiPAMEqYTfEn/sLUqcZizUsW17lOfqM%3D.jpg</t>
  </si>
  <si>
    <t>28 anos, 9 meses, 16 dias</t>
  </si>
  <si>
    <t>08210-000</t>
  </si>
  <si>
    <t>Rua Campinas do Piauí</t>
  </si>
  <si>
    <t>484</t>
  </si>
  <si>
    <t>531862951</t>
  </si>
  <si>
    <t>(11) 94398-9874</t>
  </si>
  <si>
    <t>THAPNDCG@HOTMAIL.COM</t>
  </si>
  <si>
    <t>https://web.facebook.com/thapdc?mibextid=LQQJ4d&amp;_rdc=1&amp;_rdr</t>
  </si>
  <si>
    <t>TECNICO EM ADMINISTRAÇÃO</t>
  </si>
  <si>
    <t>Sou nascida e criada na periferia da cidade de São Paulo. Venho de uma família de origem humilde, estudei alguns anos na escola pública, um tempo depois migrei pra escola particular, pois minha mãe financiou as mensalidades. Durante o ensino médio tentei traçar a profissão que gostaria de seguir, mas eu não me identificava com nenhuma disciplina, decepcionada foi em uma feira cultural da escola que percebi que eu me interessava pelas manifestações artísticas. Com o passar dos anos, fui me aprofundando cada vez mais nas artes, fazendo oficinas culturais, foi então que passei a olhar a arte como profissão, mas ainda sim me dedicava a trabalhos em outras áreas por medo de não ser bem sucedida.</t>
  </si>
  <si>
    <t>No começo de 2023 decidi abdicar de um trabalho registrado em carteira para focar na minha carreira artística. Desde 2018 integro uma cia teatral, o espetáculo que estreou no mesmo ano foi resultado de uma formação voltada às mulheres periféricas dos bairros Cohab II e Itaquera, ambos na zona leste. Atualmente as apresentações ocorrem esporadicamente de forma independente, tenho buscado outras possibilidades e oportunidades dentro da cultura com o intuito de manter o trabalho de comunicar e ascender profissionalmente.</t>
  </si>
  <si>
    <t>O meu objetivo é me capacitar profissionalmente, pois acredito que a arte tenha um papel de transformar a realidade da juventude, da periferia principalmente. Acredito ser possível concretizar o sonho do jovem em ser um profissional da cultura através da formação artística, construindo uma nova realidade, dando a vida desse jovem um novo sentido e abrindo caminhos para que as próximas gerações possam acreditar na realização de um sonho geralmente visto como "pouco provável" pelas gerações anteriores.</t>
  </si>
  <si>
    <t>412.825.758-30</t>
  </si>
  <si>
    <t>JOSE WANDERSON REZENDE DA SILVA</t>
  </si>
  <si>
    <t>José Wanderson Rezende Da Silva</t>
  </si>
  <si>
    <t>wanderezed01@gmail.com</t>
  </si>
  <si>
    <t>https://yz2spukd8h-jbrk7pf7uvw.s3.amazonaws.com/2024/05/YmKwi8V7VG5lBrCg4kRXMXwbj50BeqQdvZFt9GwbOlI%3D.jpg</t>
  </si>
  <si>
    <t>22 anos, 8 meses, 3 dias</t>
  </si>
  <si>
    <t>Jardim Tietê</t>
  </si>
  <si>
    <t>03946-010</t>
  </si>
  <si>
    <t>Rua José Francisco dos Santos</t>
  </si>
  <si>
    <t>750</t>
  </si>
  <si>
    <t>620222426</t>
  </si>
  <si>
    <t>(11) 98676-3693</t>
  </si>
  <si>
    <t>WANDEREZED01@GMAIL.COM</t>
  </si>
  <si>
    <t>Eu vim de uma cidade do interior de Pernambuco para São Paulo em busca de oportunidades a 14 anos atrás, após o pequeno negócio de meu pai, uma locadora, ser roubada. Em São Paulo encontrei alguns  trabalhos como terceirizado na área de marcenaria, atuando como ajudante e marceneiro na construção de stands e cenários, presenciando um dos piores lados do capitalismo aonde não tínhamos sequer o mínimo direito de exigir nosso pagamento se não de forma indireta. Ficamos sem trabalho quando a pandemia começou, pois esses foram os primeiros a parar, assim usando o conhecimento adquirido, passamos a fazer móveis na nossa apertada garagem e foi oque nos ajudou a nos manter durante esse período.</t>
  </si>
  <si>
    <t>Hoje me encontro num trabalho CLT fazendo uma escala 5x1 que apesar de ser ótimo teoricamente, se trata de uma escala 6x1 disfarçada. Desse jeito acabo abdicando meu tempo em prol do trabalho ao invés de poder fazer oque amo que é a Arte, fazer histórias e produzir jogos. Estou precisando me conectar novamente a este lado e explorar meu potencial de verdade.</t>
  </si>
  <si>
    <t>Vejo minha arte e projetos conectando pessoas, já comecei isso fazendo oficinas voluntárias de um jogo de tabuleiro, de gênero chamado RPG, quero abrir a mente das pessoas e explorar meu potencial como artista e pessoa e acredito que através do PJMC terei mais oportunidades de realizar tal feito, tanto atuando no programa como após ele montando meus contatos e expandindo meus conhecimentos.</t>
  </si>
  <si>
    <t>511.834.668-11</t>
  </si>
  <si>
    <t>Robert Sousa De Almeida</t>
  </si>
  <si>
    <t>almeida.robert2017@gmail.com</t>
  </si>
  <si>
    <t>https://yz2spukd8h-jbrk7pf7uvw.s3.amazonaws.com/2024/06/9UDHcLPyF0fuJ9Dw1SmjCPv80G4/Ar0YabnuNyGLH34%3D.jpeg</t>
  </si>
  <si>
    <t>22 anos, 7 meses, 22 dias</t>
  </si>
  <si>
    <t>Jardim São Bento Novo</t>
  </si>
  <si>
    <t>05882-120</t>
  </si>
  <si>
    <t>Rua Tarira</t>
  </si>
  <si>
    <t>575</t>
  </si>
  <si>
    <t>525502166</t>
  </si>
  <si>
    <t>(11) 98736-1930</t>
  </si>
  <si>
    <t>TÉCNICO EM QUÍMICA</t>
  </si>
  <si>
    <t>Me chamo Robert, um rapaz latino-americano, sem dinheiro no banco e sem parentes importantes... E como Ferréz diz em uma de suas obras, eu venho de um "Universo - Galáxia - Via Láctea - Sistema Solar - Planeta Terra -  Continente Americano - Brasil - São Paulo - São Paulo - Zona Sul - Santo Amaro - Capão Redondo".     Sou nascido e criado na periferia do Capão Redondo e venho de uma familia de Paraibanos que vieram para São Paulo na tentativa de garantir um futuro e uma melhor qualidade de vida, e que batalharam muito pelas suas sobrevivências.    De antes disso não se sabem muito, pois muitas partes das histórias de meus antepassados foram perdidas com o tempo. Venho de uma mulher FORTE!</t>
  </si>
  <si>
    <t>Hoje me encontro em um momento de busca por auto-conhecimento e por uma evolução pessoal, sempre buscando melhorar nas coisas que amo fazer; tentando ver com outros olhos e também despertar a minha inquietação e curiosidade pelas coisas mais minuciosas. Estou explorando o Mundo e os conhecimentos que ele tem para mim.     Estou cercado pelo o amor das pessoas boas e por todos da Cia. Paidéia de Teatro, onde participo ativamente das atividades teatrais que promove um teatro pensado para as crianças e jovens e que seja acessivel para todos!</t>
  </si>
  <si>
    <t>Tenho muitos planos para o futuro! Sou um otimista nato que ainda acretida na humanidade, mesmo vendo diariamente tantas coisas ruins acontecendo, como o desmatamento e as guerras que estão acontecendo nesse exato momento. Desde o momento que comecei a entender o poder da Arte na vida individual e coletiva da sociedade uma esperança de salvação aflorou dentro de mim e isso se tornou algo que levarei para sempre comigo, pois onde existe Arte há salvação! Por isso para onde quer que eu vá no futuro terei a certeza que ter a Arte comigo, para que haja mudanças positivas em todos os âmbitos possiveis.</t>
  </si>
  <si>
    <t>498.997.198-11</t>
  </si>
  <si>
    <t>Raphael Teixeira Da Silva</t>
  </si>
  <si>
    <t>raphaelcontato77@gmail.com</t>
  </si>
  <si>
    <t>https://yz2spukd8h-jbrk7pf7uvw.s3.amazonaws.com/2024/04/TKui4o%2BI9V3/nWKbKG3qzqbce/udEyE/Z8qbR4%2BgjZw%3D.jpg</t>
  </si>
  <si>
    <t>20 anos, 2 meses, 17 dias</t>
  </si>
  <si>
    <t>Parque Planalto</t>
  </si>
  <si>
    <t>04841-220</t>
  </si>
  <si>
    <t>Rua Diamantino Ferreira Innocencio</t>
  </si>
  <si>
    <t>224</t>
  </si>
  <si>
    <t>505996637</t>
  </si>
  <si>
    <t>(11) 97681-0384</t>
  </si>
  <si>
    <t>Maior que R$ 2.119,00 por pessoa</t>
  </si>
  <si>
    <t>https://www.instagram.com/irapha._/</t>
  </si>
  <si>
    <t>TÉCNICO EM TEATRO, TÉCNICO EM RADIALISTA</t>
  </si>
  <si>
    <t>Olá! Me chamo Raphael, tenho 20 anos e, desde meu nascimento, moro na cidade de São Paulo.  Cresci no extremo sul da capital, especificamente no bairro do Grajaú, onde ainda resido.  Sou filho/neto de migrantes pernambucanos e mineiros que vieram à São Paulo em busca de melhores oportunidades. Sou reflexo de tudo que meus ancestrais lutaram para conquistar e, mesmo estando a frente do ponto em que um dia eles já estiveram, sinto que tenho muito a fazer para que meus filhos e toda a próxima geração, alcance condições mais favoráveis que as nossas. Isso é o que me move.</t>
  </si>
  <si>
    <t>Atualmente, estou me formando como ator, e pela primeira vez pude me enxergar como artista, produtor e pesquisador. Tenho a intenção de utilizar a arte como uma ferramenta de transformação social e conscientização, tornando acessível tudo que não não chega até a população periférica. Estou motivado a usar minhas formações para promover questões sociais, igualdade e inspirar mudanças positivas. Acredito na arte como um meio de construir um mundo mais justo.</t>
  </si>
  <si>
    <t>Cada vez mais busco me conectar com a minha história e meu povo, tudo que faço é voltado para esse propósito. Um dos meus sonhos é me tornar neuropsicopedagogo para ajudar jovens em período escolar sem amparo, pois existe um grande abismo no ensino público. Além disso, vejo potencial na relação entre todas linguagens citadas em minha apresentação, e é através dessa ótica que eu pretendo trazer qualidade de vida para minha comunidade.</t>
  </si>
  <si>
    <t>528.215.788-81</t>
  </si>
  <si>
    <t>Gabrielli Alane Santiago Lopes</t>
  </si>
  <si>
    <t>GABRIELLI</t>
  </si>
  <si>
    <t>Gabrielli</t>
  </si>
  <si>
    <t>gabylopessantiago1.com@gmail.com</t>
  </si>
  <si>
    <t>https://yz2spukd8h-jbrk7pf7uvw.s3.amazonaws.com/2024/06/BfW0xya7QUdB8wktGJ929aR4MKc/y8sVRw374mfF%2BdA%3D.pdf</t>
  </si>
  <si>
    <t>18 anos, 2 meses, 10 dias</t>
  </si>
  <si>
    <t>Parque independência</t>
  </si>
  <si>
    <t>Rua</t>
  </si>
  <si>
    <t>545784761</t>
  </si>
  <si>
    <t>(11) 99992-7547</t>
  </si>
  <si>
    <t>https://www.instagram.com/gaby._santiago?igsh=MTRiODA3OXVkMGI5cg%3D%3D&amp;utm_source=qr</t>
  </si>
  <si>
    <t>https://youtu.be/Gh1y6XErjlM?si=zpzp1ejZgrjnSc8u</t>
  </si>
  <si>
    <t>432.569.488-98</t>
  </si>
  <si>
    <t>Gabriella Nucci De Oliveira</t>
  </si>
  <si>
    <t>dasnuvens.contato@gmail.com</t>
  </si>
  <si>
    <t>https://yz2spukd8h-jbrk7pf7uvw.s3.amazonaws.com/2024/06/sT40x4T8OCV75n0ja9n3EY6GWDlL3Y%2BoB0HXcvRll5A%3D.JPG</t>
  </si>
  <si>
    <t>29 anos, 9 meses, 7 dias</t>
  </si>
  <si>
    <t>05201-160</t>
  </si>
  <si>
    <t>Rua Filomena Fongaro</t>
  </si>
  <si>
    <t>228</t>
  </si>
  <si>
    <t>372250695</t>
  </si>
  <si>
    <t>(11) 93904-2472</t>
  </si>
  <si>
    <t>DASNUVENS.CONTATO@GMAIL.COM</t>
  </si>
  <si>
    <t>https://www.instagram.com/das.nuvens/</t>
  </si>
  <si>
    <t>PRODUÇÃO CULTURAL</t>
  </si>
  <si>
    <t>SUPERVISÃO DE PROGRAMAS E PROJETOS - SPP (CSMB)</t>
  </si>
  <si>
    <t>Natan, Laiza e Bruna</t>
  </si>
  <si>
    <t>https://drive.google.com/file/d/1PjKsvd0JPWJGzAmzGMNP4oQYsb8K99BC/view?usp=drive_link</t>
  </si>
  <si>
    <t>NORTE - 4</t>
  </si>
  <si>
    <t>434.918.298-52</t>
  </si>
  <si>
    <t>recurso deferido 2ª fase - alteração de nota de entrevista e reclassificação</t>
  </si>
  <si>
    <t>DELA</t>
  </si>
  <si>
    <t>laislabaptista92@gmail.com</t>
  </si>
  <si>
    <t>https://yz2spukd8h-jbrk7pf7uvw.s3.amazonaws.com/2024/05/eZ6ZAX/Bf1%2B5nIimf2/SNzjq2pBeeLfcf6C3apkDkg0%3D.png</t>
  </si>
  <si>
    <t>22 anos, 2 meses, 14 dias</t>
  </si>
  <si>
    <t>Conjunto Promorar Estrada da Parada</t>
  </si>
  <si>
    <t>02873-140</t>
  </si>
  <si>
    <t>Rua Salvador Mazza</t>
  </si>
  <si>
    <t>55</t>
  </si>
  <si>
    <t>572872604</t>
  </si>
  <si>
    <t>(11) 95983-0844</t>
  </si>
  <si>
    <t xml:space="preserve">sim/incompleto </t>
  </si>
  <si>
    <t>https://www.instagram.com/_delahofc?igsh=MXd1dmp3Z2E0bHpxag==</t>
  </si>
  <si>
    <t xml:space="preserve">administração </t>
  </si>
  <si>
    <t>Meu nome é Laisla, conhecida no cenário do hip hop como Dela, e venho do Eliza Maria, onde mergulhei de cabeça na cultura hip hop há 7 anos. Durante esse tempo, tenho participado ativamente de batalhas de rimas e eventos culturais, trazendo minha voz e minha arte para os palcos.     Ao longo da minha jornada, tive a oportunidade de colaborar com diversos coletivos, como a Batalha do Escritório e Cruelas, onde pude compartilhar minha paixão pela música e pela poesia.  Minha trajetória no hip hop não se resume apenas a rimas e competições, mas também à busca constante por expressão, representatividade e conexão com o público.</t>
  </si>
  <si>
    <t>Atualmente, encontro-me em um momento de transição e expansão na minha carreira artística, buscando ativamente novas oportunidades e desafios dentro do cenário cultural e artístico. Estou empenhada em explorar novos horizontes, com projetos inovadores e contribuir de forma significativa para o enriquecimento e a diversidade da cena hip hop e artística em geral. Estou aberta a novas parcerias, projetos criativos e iniciativas que possam ampliar os meus horizontes e me permitir crescer como artista e como pessoa. Estou determinada a continuar a minha jornada de expressão, levando a minha voz e a minha arte a novos públicos e espaços, sempre com o compromisso de promover a inclusão.</t>
  </si>
  <si>
    <t>Estou animada em compartilhar que estou embarcando em uma jornada rumo a novos horizontes de aprendizado e desenvolvimento pessoal e artístico. Meu objetivo é explorar caminhos que me desafiem, me inspirem e me permitam crescer não apenas como artista, mas também como indivíduo.    Estou determinada a mergulhar em experiências que ampliem os meus horizontes, me conectem com novas perspectivas e me levem a explorar territórios inexplorados da minha criatividade e expressão. Estou comprometida em abraçar o desconhecido, aprender com cada desafio e evoluir constantemente, buscando sempre superar os meus limit e expandir o meu potencial.</t>
  </si>
  <si>
    <t>527.385.898-47</t>
  </si>
  <si>
    <t>GABRIELLY JENIFER DE SOUSA VIEIRA</t>
  </si>
  <si>
    <t>Gabrielly Jenifer De Sousa Vieira</t>
  </si>
  <si>
    <t>gabriellyjenifer123@gmail.com</t>
  </si>
  <si>
    <t>https://yz2spukd8h-jbrk7pf7uvw.s3.amazonaws.com/2024/05/%2BIfBg/AkpEem2ulX3Bs0X/3TAIF3F6tJrI1FgIyvzoo%3D.jpeg</t>
  </si>
  <si>
    <t>19 anos, 3 meses, 25 dias</t>
  </si>
  <si>
    <t>Vila Conde do Pinhal</t>
  </si>
  <si>
    <t>04254-000</t>
  </si>
  <si>
    <t>Rua Japaratuba</t>
  </si>
  <si>
    <t>160</t>
  </si>
  <si>
    <t>503996725</t>
  </si>
  <si>
    <t>(11) 98084-2559</t>
  </si>
  <si>
    <t>https://www.instagram.com/gabyjenifer/?hl=pt-br</t>
  </si>
  <si>
    <t>23641257383 (NIS)</t>
  </si>
  <si>
    <t>BIBLIOTECA ROBERTO SANTOS</t>
  </si>
  <si>
    <t>BIBLIOTECA CASTRO ALVES</t>
  </si>
  <si>
    <t>https://drive.google.com/file/d/1WSq9oJNbvisroL5WyjtZTqD3A3pPci65/view?usp=drivesdk</t>
  </si>
  <si>
    <t>538.262.868-80</t>
  </si>
  <si>
    <t>Stephannie Alves Cavalcante</t>
  </si>
  <si>
    <t>alvestephannie@gmail.com</t>
  </si>
  <si>
    <t>https://yz2spukd8h-jbrk7pf7uvw.s3.amazonaws.com/2024/06/ahmFg819vcwI99xTsiWoYZEP3ghuBlSd//p4SUPCBh4%3D.jpg</t>
  </si>
  <si>
    <t>23 anos, 9 meses, 30 dias</t>
  </si>
  <si>
    <t>Granja Nossa Senhora Aparecida</t>
  </si>
  <si>
    <t>04860-120</t>
  </si>
  <si>
    <t>Rua Emily Dickinson</t>
  </si>
  <si>
    <t>464</t>
  </si>
  <si>
    <t>526373064</t>
  </si>
  <si>
    <t>(11) 96921-7858</t>
  </si>
  <si>
    <t>TÉCNICO EM AUDIOVISUAL</t>
  </si>
  <si>
    <t>Sou Stephannie, vulgo ETS, nascida e cria do Grajaú que é o território onde atuo com arte independente nas vertentes da fotografia, cinema, artes visuais, graffiti e por ai vai. Como uma boa artista periférica, sendo mil e uma funções numa só. Dentro desses aspectos já estive envolvida em produções culturais de espaços independentes, em projetos contemplados por editais de fomento a cultura, também já tive a oportunidade de me formar em cinema num curso técnico, ser agente de comunicação em uma ong voltada à teatro em escolas públicas e também conduzir meus próprios projetos artísticos em prol da ascensão no meio artístico cultural.</t>
  </si>
  <si>
    <t>Dentro do território do Grajaú meu objetivo principal é contribuir com as cenas independentes do meio cultural fazendo parte de diversos projetos que fomentam as lutas nas quais acredito e que movimentam minhas vivencias. Sendo elas principalmente a luta do povo originário dessa terra, estimulando a visibilidade de nós indígenas, de pessoas lgbtqiap+, pessoas carentes de acesso e informação do mundo artístico, pessoas pcd, e por ai vai. O foco é fazer a quebrada se movimentar por ela mesma e desestimular a ideia de que arte é coisa da elite, acentuar a potencia que já existe dentro de nós e no nosso território.</t>
  </si>
  <si>
    <t>O intuito de estar integrada ao PJMC é parte de um plano de resgate da minha própria força e crença naquilo que eu escolhi como objetivo de vida. A abertura desse caminho é uma ponte pro crescimento desse conhecimento simultaneamente com a execução de ações  que me engrandecem enquanto pessoa artista. Sei que através dessa experiencia terei mais autonomia e discernimento para por em prática os sonhos que são interrompidos pelos obstáculos que rondam minha comunidade. Enquanto houver possibilidade, eu farei minha parte tentando, como já fiz, participar desse programa e tendo iniciativas para propagar a cultura onde quer que esteja.</t>
  </si>
  <si>
    <t>496.154.188-54</t>
  </si>
  <si>
    <t>Gustavo Hernandes Antunes Teixeira</t>
  </si>
  <si>
    <t>gustavohat@gmail.com</t>
  </si>
  <si>
    <t>https://yz2spukd8h-jbrk7pf7uvw.s3.amazonaws.com/2024/05/kb9c86Gnpha6McO5/Zx5r2tu0nA%2BmKPNZWSViHXfi5M%3D.png</t>
  </si>
  <si>
    <t>20 anos, 4 meses, 2 dias</t>
  </si>
  <si>
    <t>Parque São Luís</t>
  </si>
  <si>
    <t>02840-010</t>
  </si>
  <si>
    <t>Rua Conde Barca</t>
  </si>
  <si>
    <t>272</t>
  </si>
  <si>
    <t>521058673</t>
  </si>
  <si>
    <t>(11) 98894-7575</t>
  </si>
  <si>
    <t>11-988947575</t>
  </si>
  <si>
    <t>https://www.instagram.com/guzz_hoiss?igsh=a3J6ZWp4NHBtY2E0</t>
  </si>
  <si>
    <t>tec - design grafico</t>
  </si>
  <si>
    <t>Sempre morei pela Freguesia e desde sempre fui incentivado com uma bagagem cultural grande. Dentro de casa se escutava muito rock, MPB, samba... Enquanto fui crescendo e tendo mais contato com o resto do bairro, comecei a acompanhar o rap e o reggae com força.   Sempre gostei de desenhar, mais pra frente descobri que gostava dos palcos e atuação. Fui amadurecendo e, apesar de ter abandonado a atuação por muito tempo, esse foi um período para me reencontrar na arte. Comecei a fazer música, estudar ilustração, eventualmente descobri paixão por espaços culturais e audiovisual.</t>
  </si>
  <si>
    <t>Hoje, tenho técnico em design gráfico, uma formação livre de produção musical e beatmaking, e estou estudando para entrar no superior de Audiovisual. Adoro conhecer e frequentar casas e centros culturais, CEU's, bibliotecas, e advogo muito pela maior frequência destes espaços. Sempre que posso, incentivo conhecidos meus a virem junto e conhecerem mais.  Já me encontrei na vocação de artista e agora o que mais busco é expandir meus conhecimentos e agregar na produção cultural do povo. Faço questão de defender qualquer iniciativa que democratiza o acesso à cultura, lazer, e arte</t>
  </si>
  <si>
    <t>Meus próximos 2 maiores passos, é ingressar no audiovisual e me aprofundar em produção cultural. Minha meta é uma carreira profissional consolidada, com um trabalho reconhecido e tocando a produção cultural para frente. Dando abertura para novos nomes na cena, coordenando ações de expansão dos espaços culturais, e tocando mais gente nesta caminhada.</t>
  </si>
  <si>
    <t>457.596.498-09</t>
  </si>
  <si>
    <t>Matheus De Oliveira</t>
  </si>
  <si>
    <t>oliveira.matheus150606@gmail.com</t>
  </si>
  <si>
    <t>https://yz2spukd8h-jbrk7pf7uvw.s3.amazonaws.com/2024/06/Od2W3b8O24rqWfjXPgExWm8uRjAUR8sB4zxN9ELCy/4%3D.jpg</t>
  </si>
  <si>
    <t>18 anos, 0 meses, 3 dias</t>
  </si>
  <si>
    <t>Cidade Satélite Santa Bárbara</t>
  </si>
  <si>
    <t>08330-340</t>
  </si>
  <si>
    <t>Rua Perseu</t>
  </si>
  <si>
    <t>345</t>
  </si>
  <si>
    <t>535214807</t>
  </si>
  <si>
    <t>(11) 95477-9033</t>
  </si>
  <si>
    <t>OLIVEIRA.MATHEUS150606@GMAIL.COM</t>
  </si>
  <si>
    <t>https://www.instagram.com/comunistazl?igsh=MTd0bTY3c2gxMWsyMQ==</t>
  </si>
  <si>
    <t>Criado em São Mateus, na Zona leste de São Paulo e ex-estudante de escola pública, formado em profissionalizante de computação gráfica pelo espaço CPA, de família por parte de pai nordestina, e por parte de mãe sulista e sudestina. Entrei na arte e aprendi sobre por meio dos movimentos culturais do meu territorio, como por exemplo o Sarau do Vale e o próprio espaço CPA.</t>
  </si>
  <si>
    <t>Atualmente faço curso de Agente de Recreação e Produção de Eventos no espaço CPA (Centro Profissionalizante para Crianças e Adolescentes) e técnico em Administração na ETEC São Mateus e estou desempregado a procura de um emprego.  Também sou poeta e slammer (me apresento em Slam's e saraus) e faço parte da organização do Slam São Mateus, movimento cultural e batalha de poesia organizada por jovens periféricos desse território.</t>
  </si>
  <si>
    <t>Entendendo que isso é um sonho não só meu, mas dos que vieram antes de mim, além de também ser uma necessidade. Minha meta é estudar letras em uma faculdade pública e me formar nessa área  além de conseguir focar nas movimentações artísticas que faço parte, também levando o reconhecimento junto com os meus ao nosso território.  Também pela necessidade, é importante conseguir um emprego que ajude em casa.</t>
  </si>
  <si>
    <t>539.831.858-60</t>
  </si>
  <si>
    <t>Tayna Sousa Pereira Lima</t>
  </si>
  <si>
    <t>eutaynaspl@gmail.com</t>
  </si>
  <si>
    <t>https://yz2spukd8h-jbrk7pf7uvw.s3.amazonaws.com/2024/06/izfW1JAeETAv5sUu47y5BsEaq9GJZpwpIjcja7L3uXY%3D.jpeg</t>
  </si>
  <si>
    <t>20 anos, 2 meses, 30 dias</t>
  </si>
  <si>
    <t>05879-450</t>
  </si>
  <si>
    <t>Rua Luar do Sertão</t>
  </si>
  <si>
    <t>56</t>
  </si>
  <si>
    <t>57217956X</t>
  </si>
  <si>
    <t>(11) 99494-6065</t>
  </si>
  <si>
    <t>https://www.instagram.com/tay.spl?igsh=dmI2ajBoMmlmNmFi</t>
  </si>
  <si>
    <t>Nasci e fui criada no Capão Redondo, extremo sul da zona sul de São Paulo. Local onde iniciei minha trajetória artística, pelo programa Fábricas de Cultura no ateliê Projeto Espetáculo, onde permaneci e desenvolvi o fazer teatral entre os anos de 2018 à 2021. Após isso, ingresso na ETEC de Artes (Carandiru) no curso Técnico em Teatro, me formando em junho de 2022. Ainda em 2022, me encontro cada vez mais no centro da cidade, ingressando no Projeto Núcleo Luz de Dança; dando os primeiros passos na concepção de ser uma multiartista periférica.</t>
  </si>
  <si>
    <t>Traçando os caminhos entre dança-teatro para obter uma construção de um corpo ativo e com pesquisa aprofundada, permaneço no Projeto Núcleo Luz e desbravando residências artísticas com companhias como a Digna, em sua pesquisa de viewpoints e a Cia Sansacroma, companhia que tem origem no Capão Redondo. Nesse meio tempo, me reconecto com as minhas raízes e dou inicio a minha pesquisa na dança-teatro e me identificando como artista Afro Contemporânea  e crio, idealizo e monto o meu primeiro solo o espetáculo "Contraindicado ao Dizer" que tem sua estreia no Festival Vamos que Venimos (VQV), no SESC Santo André. Atualmente estou em temporada com o Núcleo Luz com o espetáculo "DeComposição"</t>
  </si>
  <si>
    <t>Para onde vou, diz respeito aos caminhos que tem sido abertos e proporcionados no momento de agora. Como já vem acontecido, venho expandindo minha trajetória também para o lado mais técnico do fazer artístico e me conecto, então, com a Produção Cultural (a escrita de projetos, planilhas, gestão de pessoas e grupos), tenho almejado essas experiências, vivenciado e construindo na base do aprender fazendo. As possibilidades ainda são muitas e podem mudar, mas o que é nitido em mim e expandir as pesquisas na Afro- comteporaneidade e gerar movimento e arte por onde passo com os meus iguais, proporcionando a independência entre nós artistas negros e periféricos.</t>
  </si>
  <si>
    <t>502.048.468-70</t>
  </si>
  <si>
    <t>Iisabela Tobias Lima De Melo</t>
  </si>
  <si>
    <t>isabelatlmelo@gmail.com</t>
  </si>
  <si>
    <t>https://yz2spukd8h-jbrk7pf7uvw.s3.amazonaws.com/2024/05/RyfNRGbUmY%2B2GcW4peT%2BZCgPOkSxfVNQLxrk8OExQG0%3D.jpeg</t>
  </si>
  <si>
    <t>18 anos, 3 meses, 15 dias</t>
  </si>
  <si>
    <t>02805-140</t>
  </si>
  <si>
    <t>Rua Conceição de Jacareí</t>
  </si>
  <si>
    <t>84</t>
  </si>
  <si>
    <t>607306725</t>
  </si>
  <si>
    <t>(11) 96036-5786</t>
  </si>
  <si>
    <t>11-960365786</t>
  </si>
  <si>
    <t>https://youtu.be/8twrwtpG-eU</t>
  </si>
  <si>
    <t>556.320.938-59</t>
  </si>
  <si>
    <t>LETICIA PEREIRA DA SILVA</t>
  </si>
  <si>
    <t>Leticia Pereira Da Silva Reis</t>
  </si>
  <si>
    <t>leticiapereira296@gmail.com</t>
  </si>
  <si>
    <t>https://yz2spukd8h-jbrk7pf7uvw.s3.amazonaws.com/2024/04/hQ8SrV2kk2zj55geALl3ePvzNcSptx1O7MrQQiOAGuI%3D.jpg</t>
  </si>
  <si>
    <t>21 anos, 8 meses, 7 dias</t>
  </si>
  <si>
    <t>Vila Espanhola</t>
  </si>
  <si>
    <t>02566-040</t>
  </si>
  <si>
    <t>Rua Giórgio de Chirico</t>
  </si>
  <si>
    <t>500211425</t>
  </si>
  <si>
    <t>(11) 99179-5850</t>
  </si>
  <si>
    <t>LETICIAPEREIRA296@GMAIL.COM</t>
  </si>
  <si>
    <t>https://www.instagram.com/leticia_pereira.s/</t>
  </si>
  <si>
    <t>https://youtu.be/uDUFhUDuhPw?feature=shared</t>
  </si>
  <si>
    <t>337.175.458-84</t>
  </si>
  <si>
    <t>RHAYANE CONCEICAO DE OLIVEIRA</t>
  </si>
  <si>
    <t>Rhayane Conceição De Oliveira</t>
  </si>
  <si>
    <t>rhaypro024@gmail.com</t>
  </si>
  <si>
    <t>https://yz2spukd8h-jbrk7pf7uvw.s3.amazonaws.com/2024/04/33Gd8fMs6NVMXJ%2BG3bBfkIkxnri5IlKBy2A9ANkVaxg%3D.JPG</t>
  </si>
  <si>
    <t>19 anos, 10 meses, 6 dias</t>
  </si>
  <si>
    <t>08255-210</t>
  </si>
  <si>
    <t>33 C</t>
  </si>
  <si>
    <t>Avenida Professor João Batista Conti</t>
  </si>
  <si>
    <t>913</t>
  </si>
  <si>
    <t>50569024X</t>
  </si>
  <si>
    <t>(11) 93208-6725</t>
  </si>
  <si>
    <t>RHAYPRO024@GMAIL.COM</t>
  </si>
  <si>
    <t>https://www.instagram.com/rhayeontan/</t>
  </si>
  <si>
    <t>DANÇA</t>
  </si>
  <si>
    <t>Desde sempre eu tento estar em espaços ou projetos culturais. Já fiz um projeto de música em minha escola do fundamental onde nos inseria em espaços e funções para nos desenvolver e saber como funciona a produção e organização do dia a dia, apresentações e shows que faziamos. Também já fiz parte de um projeto de vôlei na mesma escola, onde competimos têrs vezes. Támbpem participei de coletivos e grupos de dança, que é meu foco e o que mais gosto de fazer. Atualmente sou jovem aprendiz da Poiesis, trabalhando no administrativo das Oficinas Culturais, e faço curso técnico de dança na ETEC de Artes.</t>
  </si>
  <si>
    <t>Eu tenho pouco contato com o meu território, zona leste, mas ja participei de um coletivo no local, já fui em Viradas Culturais, batalhas de rimas, e frequento a biblioteca às vezes, mas não por falta de intereesse, e sim por falta de tempo, pois atualmente trabalho de manhã e estudo de noite, e por este motivo, os hoários de oficinas e projetos não são compativeis para mim.</t>
  </si>
  <si>
    <t>Participando do PJMC, espero ter uma relação melhor com o meu território, trabalhar em lugares próximos que eu me sinta representada com pessoas semelhantes a mim, e também, trabalhar com a produção de oficinas, apresentações ou espetáculos que tenham, ficar o mais próximo possivel da cultura e da dança, levar e receber conhecimento. Sinto que o PJMC irá me acolher e abrir minha mente e horizontes.</t>
  </si>
  <si>
    <t>560.124.948-23</t>
  </si>
  <si>
    <t>SOPHIA MACHADO NUNES VIANA</t>
  </si>
  <si>
    <t>Sophia Machado Nunes Viana</t>
  </si>
  <si>
    <t>VANESSA MACHADO NUNES</t>
  </si>
  <si>
    <t>sophiatuca@hotmail.com</t>
  </si>
  <si>
    <t>https://yz2spukd8h-jbrk7pf7uvw.s3.amazonaws.com/2024/04/Or1yi50n60R9csEHRScrW9fHjknqu6MBXKCFRBy/0Mw%3D.jpg</t>
  </si>
  <si>
    <t>18 anos, 5 meses, 4 dias</t>
  </si>
  <si>
    <t>Jardim São Bernardo</t>
  </si>
  <si>
    <t>04844-300</t>
  </si>
  <si>
    <t>bloco A10 AP 12</t>
  </si>
  <si>
    <t>Rua Giuseppe Tartini</t>
  </si>
  <si>
    <t>53884128-x</t>
  </si>
  <si>
    <t>(11) 95433-3078</t>
  </si>
  <si>
    <t>SOPHIATUCA@HOTMAIL.COM</t>
  </si>
  <si>
    <t>https://www.instagram.com/hiisophifia?igsh=MTBqNXA3a3NuZTBqZA%3D%3D</t>
  </si>
  <si>
    <t>MODA</t>
  </si>
  <si>
    <t>Nascida e criada na periferia da Cidade de São Paulo - Guaianases. Morava na rua da fábrica de cultura da Cidade Tiradentes, onde tive meus primeiros contatos com a cultura. Fiz iniciação dos cursos de balet, teclado, canto e coral, circo, teatro. Participei de aulas de canto, minha vocação. A cultura sempre fez parte da minha vida, atualmente procuro participar de eventos culturais pela cidade de são Paulo.</t>
  </si>
  <si>
    <t>Atualmente moro no extremo sul da cidade de São Paulo, no bairro do Grajaú. Aqui é um bairro periférico, onde os jovens estão  em vulnerabilidade social, por falta de opções de lazer, cultura e outros serviços públicos. A arte me acompanha desde a infância e costumo acessar outros bairros para vivenciar apresentações culturais diversas: Teatro, shows, espetáculos de dança, batalhas de rimas, oficinas formativas gratuitas na rede sesc e etc.</t>
  </si>
  <si>
    <t>Apesar das limitações financeiras e estruturais não costumo me limitar. Sou artista e vou procurar meu lugar ao sol. Esta oportunidade de estar envolvida como jovem monitora de cultura é uma maneira de mudar minha vida, ocupar novos espaços, ampliar meus horizontes. Enfim será a oportunidade de romper as barreiras sociais. Quando uma mulher preta se movimenta a estrutura da sociedade se movimenta com ela.</t>
  </si>
  <si>
    <t>SUL - 11</t>
  </si>
  <si>
    <t>545.025.558-60</t>
  </si>
  <si>
    <t>Tiago Marceno De Oliveira Silva</t>
  </si>
  <si>
    <t>marceno.tiago@gmail.com</t>
  </si>
  <si>
    <t>https://yz2spukd8h-jbrk7pf7uvw.s3.amazonaws.com/2024/06/8l%2BeWVkGZ%2Bq7zC3b3ObaKeyWdEFe4oIUZguLBk0xcsc%3D.jpg</t>
  </si>
  <si>
    <t>23 anos, 0 meses, 8 dias</t>
  </si>
  <si>
    <t>Itaim Paulista</t>
  </si>
  <si>
    <t>08120-320</t>
  </si>
  <si>
    <t>Rua Almirante Alves Câmara</t>
  </si>
  <si>
    <t>26</t>
  </si>
  <si>
    <t>566309105</t>
  </si>
  <si>
    <t>(11) 98376-7211</t>
  </si>
  <si>
    <t>MARCENO.TIAGO@GMAIL.COM</t>
  </si>
  <si>
    <t>BIBLIOTECA RAIMUNDO DE MENEZES</t>
  </si>
  <si>
    <t>PONTO DE LEITURA JARDIM LAPENNA</t>
  </si>
  <si>
    <t>https://photos.app.goo.gl/3EhKZcTYH4qGbRnW8</t>
  </si>
  <si>
    <t>514.356.718-13</t>
  </si>
  <si>
    <t>BARBARA ABAYOMI DOS SANTOS PINTO</t>
  </si>
  <si>
    <t>Barbara Abayomi Dos Santos</t>
  </si>
  <si>
    <t>BARBARA ABAYOMI</t>
  </si>
  <si>
    <t>Barbara Abayomi</t>
  </si>
  <si>
    <t>barbara.abayomi20@gmail.com</t>
  </si>
  <si>
    <t>https://yz2spukd8h-jbrk7pf7uvw.s3.amazonaws.com/2024/06/UvNDEzB/8xqfu8rVkP2bXNxC62bKsTampfle12iIOjQ%3D.jpg</t>
  </si>
  <si>
    <t>21 anos, 6 meses, 17 dias</t>
  </si>
  <si>
    <t>Jardim Matarazzo</t>
  </si>
  <si>
    <t>03813-060</t>
  </si>
  <si>
    <t>Rua Vilanova de Santa Cruz</t>
  </si>
  <si>
    <t>371</t>
  </si>
  <si>
    <t>50.925.513-9</t>
  </si>
  <si>
    <t>(11) 95378-3620</t>
  </si>
  <si>
    <t>designer grafico</t>
  </si>
  <si>
    <t>Venho de uma família de artistas pretos, então sempre estive muito bem inserida no contexto cultural e artístico, isso permitiu que desde pequena tivesse a noção de que seria artista. Venho dos meus ancestrais sendo, meu avô artista plástico,  Minha avó pintora e artesã, minha mãe produtora cultural, arte educadora e multiartista e meu pai produtor cultural e musical, carrego todas essas habilidades comigo. Venho da arte (como forma de resistência)!</t>
  </si>
  <si>
    <t>Atualmente me coloco no mundo como artista visual, Dj, figurinista e aderecista, arte educadora e diretora artística, busco através de todas essas formas de expressão entender onde estou e para onde quero ir. Já tenho alguns projetos independentes, como o 'De onde vim', que se trata de um projeto imersivo de audiovisual, que fala sobre a importância dos jovens pretos e periféricos entenderem e conhecerem sobre suas origens, 'Pretas Club' é um projeto de criação musical que visa dar visibilidade para mulheres pretas e artistas, e também crio no Momma Gallery, que é um espaço onde compartilho minha visão sobre o mundo através das artes visuais, à partir de uma óptica afro surrealista.</t>
  </si>
  <si>
    <t>Quando penso em para onde vou, sempre falo sobre um coletivo, para onde vamos? Crio para que outros jovens possam se inspirar, e minha meta é alcançar o máximo de pessoas, das mais variadas formas. Enxergo um futuro onde possa retornar para o meu passado, e contribuir para que outras pessoas possam passar pelo mesmo processo de entendimento de sua própria históra.</t>
  </si>
  <si>
    <t>395.246.488-06</t>
  </si>
  <si>
    <t>Rayssa Hagatha Souza Santos</t>
  </si>
  <si>
    <t>rayssahagathadc@gmail.com</t>
  </si>
  <si>
    <t>https://yz2spukd8h-jbrk7pf7uvw.s3.amazonaws.com/2024/05/oe/zS25SxjiAADk8foOhR24XiOtSWlZSbcbznm0%2BcUY%3D.jpeg</t>
  </si>
  <si>
    <t>18 anos, 3 meses, 25 dias</t>
  </si>
  <si>
    <t>Jardim Carolina</t>
  </si>
  <si>
    <t>08151-350</t>
  </si>
  <si>
    <t>Rua Anil</t>
  </si>
  <si>
    <t>17</t>
  </si>
  <si>
    <t>527566330</t>
  </si>
  <si>
    <t>(11) 91923-0723</t>
  </si>
  <si>
    <t>RAYSSAHAGATHADC@GMAIL.COM</t>
  </si>
  <si>
    <t>https://www.instagram.com/rayssa.hagatha?igsh=MXV3ZGZyOXgyamZlaQ%3D%3D&amp;utm_source=qr</t>
  </si>
  <si>
    <t>Meu nome é Rayssa Hagatha e sou uma paulistana do extremo leste da cidade. Nasci em São Miguel Paulista, mas cresci no Itaim Paulista. Claro! Aqui está a reformulação:    Apesar de ter crescido no extremo leste da cidade, desde pequena sempre nutri o desejo de explorar novos horizontes. Hoje, estou prestes a concluir minha formação em dança, um sonho que perseguia com determinação e paixão. Sou uma pessoa dedicada e sonhadora, e estar distante do centro nunca foi um obstáculo para alcançar meus objetivos.</t>
  </si>
  <si>
    <t>Desde a infância, desenvolvi uma paixão pela arte e sempre estive imersa nesse universo. Com apenas um ano de idade, dei meus primeiros passos, começando pelo ballet uma jornada que durou incríveis 12 anos, moldando minha disciplina e amor pela dança. Mais tarde, explorei as artes marciais, me dedicando por 4 anos antes de seguir para o circo, onde atualmente me encontro. Como artista circense, encontrei minha verdadeira vocação, combinando habilidade física, expressão artística e criatividade em performances memoráveis. Além disso, estou embarcando em uma nova etapa de minha jornada artística, buscando formação técnica em dança na Etec de Artes do Centro Paula Souza, buscando aprimorar</t>
  </si>
  <si>
    <t>Com minha iminente formação em dança e meu contínuo aprofundamento nos estudos das artes circenses, tenho como objetivo compartilhar meu conhecimento e inspirar outras pessoas que desejam explorar essas formas de arte. Pretendo oferecer oficinas, aulas e outras atividades para aqueles que residem em áreas periféricas, onde muitas vezes há uma carência de espaços adequados para aprender e praticar dança e circo. Quero proporcionar oportunidades de expressão artística e desenvolvimento pessoal para essas comunidades, contribuindo para sua valorização e crescimento cultural.</t>
  </si>
  <si>
    <t>531.657.908-92</t>
  </si>
  <si>
    <t>Kayua Viana Gomes</t>
  </si>
  <si>
    <t>KAYUÁ VIANA GOMES</t>
  </si>
  <si>
    <t>kayuaviana011@gmail.com</t>
  </si>
  <si>
    <t>https://yz2spukd8h-jbrk7pf7uvw.s3.amazonaws.com/2024/06/ynYXtOZQY%2BeTSgsGr7Yd28UNG9mZl5fv4BZpgNe%2BYwI%3D.pdf</t>
  </si>
  <si>
    <t>23 anos, 0 meses, 15 dias</t>
  </si>
  <si>
    <t>vila Soraia</t>
  </si>
  <si>
    <t>05881-020</t>
  </si>
  <si>
    <t>casa de ração</t>
  </si>
  <si>
    <t>rua Abilio cesar</t>
  </si>
  <si>
    <t>218</t>
  </si>
  <si>
    <t>544791757</t>
  </si>
  <si>
    <t>(11) 94722-0017</t>
  </si>
  <si>
    <t>KAYUAVIANA011@GMAIL.COM</t>
  </si>
  <si>
    <t>https://www.instagram.com/atipikokunt/</t>
  </si>
  <si>
    <t>Natan/Alice/Paula</t>
  </si>
  <si>
    <t>Sou um transmasculino periférico do extremo sul de sp, que mora mais precisamente na favela do jd jangadeiro. Moro aqui com minha mãe que é empregada domestica e luto para dar uma vida melhor a ela e a mim.     Recentemente fui demitido de uma empresa que trampei por 4 anos no regime CLT. Trabalhei lá como analista de prevenção a fraude mesmo sem ter ensino superior no currículo. Hoje procuro um lugar flexível que eu possa unir minha atividade na comunidade ballroom as minhas atividades cotidianas. Participando da construção de eventos coletivos e que possam afetar de forma positiva a população preta e LGBTQIA+ de forma continua e estruturada.     Tenho o objetivo de trazer as pessoas citadas ac</t>
  </si>
  <si>
    <t>SUL - 7</t>
  </si>
  <si>
    <t>503.210.658-59</t>
  </si>
  <si>
    <t>Lucas Fernandes Da Silva</t>
  </si>
  <si>
    <t>lucas.76g@gmail.com</t>
  </si>
  <si>
    <t>https://yz2spukd8h-jbrk7pf7uvw.s3.amazonaws.com/2024/06/PmyH/evbp8TWWh3dvkbnherUcGct9QdyVLZUsEZtR%2Bg%3D.jpg</t>
  </si>
  <si>
    <t>25 anos, 5 meses, 12 dias</t>
  </si>
  <si>
    <t>02812-275</t>
  </si>
  <si>
    <t>Rua Daniel de Azevedo</t>
  </si>
  <si>
    <t>52664087-X</t>
  </si>
  <si>
    <t>(11) 93174-1337</t>
  </si>
  <si>
    <t>LUCAS.76G@GMAIL.COM</t>
  </si>
  <si>
    <t xml:space="preserve">SIM - GRAD </t>
  </si>
  <si>
    <t>https://www.instagram.com/arteperifa/</t>
  </si>
  <si>
    <t>INCOMPLETA ARTES</t>
  </si>
  <si>
    <t>Meu nome é Lucas, 25 anos, artista visual. Nasci na Brasilândia, zona norte de SP, filho de baianos emigrantes. Durante o período do ensino médio estive engajado nas manifestações políticas do campo da educação como estudante secundarista. As ocupações das escolas paulistanas me proporcionaram acesso a novos horizontes culturais e diálogos que despertaram meu desejo de ingressar no ensino superior. Optei pela UFBA, em Salvador, para vivenciar o estado de origem da minha família. Lá, comecei o bacharelado interdisciplinar em Artes, uma área na qual desenvolvo ilustrações e grafites. Além disso me envolvi com projetos audiovisuais, de moda e teatro na busca de expandir minhas linguagens.</t>
  </si>
  <si>
    <t>Após a pandemia, de volta para São Paulo por razões financeiras participei de um semestre de pesquisa em teatro e performance com o coletivo GTECA no CAC USP, além de cursar um semestre em gestão cultural para dança na São Paulo Escola de Dança. Hoje faço malabarismos entre um trabalho CLT terceirizado em um equipamento cultural privado (o que implica uma lógica mercantil/de propriedade), o MAM SP e meus projetos de grafite e ilustração. Sonho em tirar do papel um projeto de grafite para revitalização pontos viciados nas periferias, integrando oficinas para os moradores das localidades.</t>
  </si>
  <si>
    <t>Estou me preparando para reingressar ao ensino superior, com a intenção de me munir de todas as ferramentas pedagógicas e tecnológicas para atuar como um facilitador na área das artes/cultura. Meu objetivo contínuo tem sido permanecer neste campo, porém, o que não tem sido fácil é furar essa barreira de estar fomentando cultura seja fazendo grafite/ilustração/pixação, frequentando a ballroom  ou outros espaços lgbtqiapn+ e ter recursos para sobreviver, muitas vezes me vejo entre uma lata de tinta e a passagem de ônibus. Caminho para um lugar onde possa não só produzir ativamente cultura com meus semelhantes e diferentes, mas também estudar e promover o que está sendo produzido.</t>
  </si>
  <si>
    <t>459.464.258-62</t>
  </si>
  <si>
    <t>Laura Zancanella Santos</t>
  </si>
  <si>
    <t>laurazancanella11@gmail.com</t>
  </si>
  <si>
    <t>https://yz2spukd8h-jbrk7pf7uvw.s3.amazonaws.com/2024/06/jaOy/LLh9pGlDphTQG6NlTinwhEKTGYW2a68xmn/zwE%3D.jpeg</t>
  </si>
  <si>
    <t>18 anos, 1 meses, 2 dias</t>
  </si>
  <si>
    <t>08030-590</t>
  </si>
  <si>
    <t>apartamento 102 bloco A</t>
  </si>
  <si>
    <t>VILA CURUÇÁ</t>
  </si>
  <si>
    <t>Rua Osório Franco Vilhena</t>
  </si>
  <si>
    <t>1193</t>
  </si>
  <si>
    <t>528777476</t>
  </si>
  <si>
    <t>(11) 98883-4478</t>
  </si>
  <si>
    <t>LAURAZANCANNELLA11@GMAIL.COM</t>
  </si>
  <si>
    <t>https://www.instagram.com/lala_zchan/</t>
  </si>
  <si>
    <t>https://youtu.be/ke6VNBv-Kro</t>
  </si>
  <si>
    <t>452.459.218-04</t>
  </si>
  <si>
    <t>Vitoria Maria Campos Do Nascimento</t>
  </si>
  <si>
    <t>VITÓRIA</t>
  </si>
  <si>
    <t>Vitória</t>
  </si>
  <si>
    <t>vitoriam735@gmail.com</t>
  </si>
  <si>
    <t>https://yz2spukd8h-jbrk7pf7uvw.s3.amazonaws.com/2024/04/HqhP5utU9I%2Bb3ae6YEdQVIMkojDkS5gTdbzog1B2MVs%3D.pdf</t>
  </si>
  <si>
    <t>21 anos, 3 meses, 17 dias</t>
  </si>
  <si>
    <t>05882-050</t>
  </si>
  <si>
    <t>Rua Lusitano Soares</t>
  </si>
  <si>
    <t>105</t>
  </si>
  <si>
    <t>538588512</t>
  </si>
  <si>
    <t>(11) 98610-8961</t>
  </si>
  <si>
    <t>vitorian735@gmail.com</t>
  </si>
  <si>
    <t>https://www.instagram.com/mina_vnt/  https://www.facebook.com/minavnt</t>
  </si>
  <si>
    <t>TECNICO EM CINEMA</t>
  </si>
  <si>
    <t>Meu Nome é Vitória, tenho 21 anos e moro em São Paulo, Capão Redondo, Zona sul. Eu vim da Brasilândia, Zono norte de São Paulo há dez anos. Eu moro com minha mãe, Padrasto e meus dois irmãos em uma pequena casa na beira de um córrego. Aqui no Capão o índice de criminalidade é muito grande, porém sempre me sinto bem aqui e gosto da minha identidade que criei diante do território.</t>
  </si>
  <si>
    <t>Me encontro no mesmo lugar da onde eu vim, só que hoje em dia consigo movimentar muitas coisas dentro do meu território, participo de um coletivo chamado "Fuckground", onde realizamos diversos eventos voltados para a cultura Hip-Hop, como: O Sarau Fala Memo, Ground Culture, Slam Underground Poesia, Batalha da DDR e Ground Style. Em todos esses projetos citados ajudo na organização e apresentação. Acredito que estou em uma posição de movimento dentro da minha região.</t>
  </si>
  <si>
    <t>Eu pretendo ir para muito longe através da arte, quero mostrar para as pessoas que me conhecem e tem a mente fechada que a arte não é coisa de vagabundo e que tem sim como você viver dela através de politicas publicas. Quero fazer uma ponte entre a arte o conhecimento, para incentivar pessoas e até mesmo mostrar coisas que elas nunca viram, ou escutaram, ou fizeram. Quero ser uma artista reconhecida por isso e mostrar que a arte é aberta para diversidade.</t>
  </si>
  <si>
    <t>486.412.978-98</t>
  </si>
  <si>
    <t>Rayane Pereira Candido</t>
  </si>
  <si>
    <t>rayane6123@gmail.com</t>
  </si>
  <si>
    <t>https://yz2spukd8h-jbrk7pf7uvw.s3.amazonaws.com/2024/05/55BZ98umrqxftR2xpWIjuU31uaAMuMfiyTL3UT4vMHA%3D.jpeg</t>
  </si>
  <si>
    <t>21 anos, 5 meses, 12 dias</t>
  </si>
  <si>
    <t>Vila Santa Catarina</t>
  </si>
  <si>
    <t>04376-002</t>
  </si>
  <si>
    <t>apto.62</t>
  </si>
  <si>
    <t>Rua Gustavo da Silveira</t>
  </si>
  <si>
    <t>795</t>
  </si>
  <si>
    <t>541598211</t>
  </si>
  <si>
    <t>(11) 9616-9689</t>
  </si>
  <si>
    <t>Vim da zona Norte de São Paulo, na divisa entre Jaraguá e Perus, lugar no qual estive a maior parte dos meus 21 anos, pude participar de diversos programas oferecidos pela prefeitura, voltados para desenvolvimento artístico, tais como GURI, PIÁ, aulas de dança, teatro e circo, aos 15 anos participei como monitora voluntária no programa Recreio nas Férias até janeiro de 2020, aos 17 anos.</t>
  </si>
  <si>
    <t>Hoje me encontro na zona Sul, no Jabaquara, especificamente, não conheço muito por aqui, além dos estabelecimentos do ramo alimentício e lojas de brechó, o lado bom é que estou mais próxima do centro, posso ir aos centros culturais e eventos com mais facilidade, atualmente trabalho como freelancer de barback num restaurante temático da Hello Kitty na Liberdade.</t>
  </si>
  <si>
    <t>Me interesso muito pela área de assistência social, por observar o trabalho e ver a importância que o assistente tem na vida de uma criança, e com a cultura acredito que possa dar um motivo ou um sentido para continuar, ou até uma escape de toda tragédia que possa estar atrelada a si próprio, por isto pretendo ingressar em um curso voltado a assistência social, e continuar com meus cursos oferecidos pela UNASUS, vou ser a voz e ouvidos de toda criança e adolescente que precisar da minha ajuda.</t>
  </si>
  <si>
    <t>453.852.508-13</t>
  </si>
  <si>
    <t>Julia Oliveira Da Cruz</t>
  </si>
  <si>
    <t>julia.ribeiro173@gmail.com</t>
  </si>
  <si>
    <t>https://yz2spukd8h-jbrk7pf7uvw.s3.amazonaws.com/2024/04/Xs5D0YMeiA57HbL7qCM%2BAji/HavZs9RQjEVlCyYkgz0%3D.jpg</t>
  </si>
  <si>
    <t>25 anos, 11 meses, 14 dias</t>
  </si>
  <si>
    <t>Vila Marari</t>
  </si>
  <si>
    <t>04403-000</t>
  </si>
  <si>
    <t>Rua Sassaki</t>
  </si>
  <si>
    <t>260</t>
  </si>
  <si>
    <t>391003446</t>
  </si>
  <si>
    <t>(11) 98620-5856</t>
  </si>
  <si>
    <t>https://www.instagram.com/juliacrux/</t>
  </si>
  <si>
    <t>TECNICO EM MULTIMIDIA</t>
  </si>
  <si>
    <t>Nasci e vivi até os meus 12 anos no Jardim Pedreira próximo da represa billings e da escola estadual manoel borba gato. Com 9 meses minha mãe me colocou em uma creche para que ela pudesse continuar trabalhando, mas quando era necessário ela me levava para o trabalho. Estudei na escola estadual manoel borba gato até a 4° série e depois até a 6° série na escola municial manoel carlos de figueiredo ferraz em 2010.</t>
  </si>
  <si>
    <t>Atualmente eu resido no bairro Vila Marari localizado na Cidade Ademar, nos mudamos pra cá em 2011 e foi uma grande mudança para mim, eu só tinha uma amiga no meu antigo bairro, então não houve muito sofrimento em relação a isso. Estudei na escola estadual joão evangelista, é uma escola que vai até o último ano do ensino médio, mas infelizmente eu comecei a sofrer muito bullying e precisei mudar de escola. Em 2014 iniciei os estudos no 2° ano e em 2015 me formei. Ter mudado de escola salvou a minha vida, pois em casa não havia comunicação e eu não recebi ajuda naquela época. Hoje em dia eu trabalho com design gráfico, ilustração e audiovisual como freelancer.</t>
  </si>
  <si>
    <t>Conforme eu tenho ficado mais velha comecei a refletir mais sobre o que quero, sempre fui do mundo das artes e quero continuar sendo. Tenho estudado sobre esculturas feitas com biscuit e venho dedicando tempo e dinheiro nesses estudos. É algo bem familiar para mim pois a minha mãe me levava em aulas de artesanato e lá nós aprendemos sobre biscuit, pintura em tecido, pintura em tela, costura, crochê etc. A minha mãe foi a minha primeira artista refência, e ela é um grande exemplo pra mim. Quero seguir seus passos e continuar fazendo arte, expressar como me sinto e comunicar meus sentimentos, e assim me conectando com outras pessoas que se sentem como eu.</t>
  </si>
  <si>
    <t>362.746.578-43</t>
  </si>
  <si>
    <t>Ana Luísa Martins Da Silva</t>
  </si>
  <si>
    <t>analuisamartins431@gmai.com</t>
  </si>
  <si>
    <t>https://yz2spukd8h-jbrk7pf7uvw.s3.amazonaws.com/2024/06/GSRqgUJ%2BxEXjHIn67GbZ0lg0wr7L71EmyyeLLM3eFuQ%3D.jpg</t>
  </si>
  <si>
    <t>20 anos, 9 meses, 19 dias</t>
  </si>
  <si>
    <t>Jardim Nove de Julho</t>
  </si>
  <si>
    <t>03947-040</t>
  </si>
  <si>
    <t>Rua Edson Mendo Leitão</t>
  </si>
  <si>
    <t>389187288</t>
  </si>
  <si>
    <t>(11) 94009-1672</t>
  </si>
  <si>
    <t>https://www.instagram.com/analufllor/</t>
  </si>
  <si>
    <t>Técnico de Palco</t>
  </si>
  <si>
    <t>Extremo leste de São Paulo. Vindo de escolas públicas que partem de ensino precário, se interessando por aquilo que, ao menos devia ser de fácil acesso a todo e qualquer cidadão, mas tem efeito antónimo para os que vivem a realidade periférica, como eu. Mas compartilho do sentimento citado por Racionais, como a maioria dos de vivência como eu e não tenho dom para vítima. Embarquei no meio artístico aos 12 anos, através de uma igreja evangélica que me mostrou como seria impossível viver por outro caminho, então aos 16 anos, já fora da religião mas sem conseguir evitar a arte, decidi que era hora de buscar meios para viver disso.</t>
  </si>
  <si>
    <t>Tomando espaços, caminhando por onde os que vieram antes de mim lutaram para que estivesse e continuando a luta para os que vierem depois. Fazendo arte, me especializando e estudando cada vez mais, aguçada pela minha curiosidade e pela precisão de quão precioso é o conhecimento para onde quero chegar e como ele acrescenta ainda mais na minha autenticidade. Isso me levou a lugares como a SP Escola de Teatro, onde curso Técnicas de Palco e estou prestes a me formar, o lugar aonde me encontro como aderecista, e sempre que possível, manifesto minhas pesquisas pessoais como o Afrofuturismo. A Cia de Teatro Culto a Dionísio que trabalho ativamente de diversas maneiras mas em foco como atriz.</t>
  </si>
  <si>
    <t>Mudar a perspectiva da arte, da cultura, trazendo o verdadeiro significado de cada e realmente fazendo seu papel de ser para todos. Tirar o que é domado pela a elite, quebrando as expectativas apenas fazendo o mínimo: Viver, de acordo com o que quero e o que me faz bem. Pretendo ter tomado todo o conhecimento que esteja ao meu alcance e até o inalcansavel para depois devolver aos meus. Estar trabalhando muito e ativamente na área cultural e artística. como atriz e artista plástica de forma muito estável. Com muitos projetos para também ascender os que são como eu.</t>
  </si>
  <si>
    <t>473.667.278-14</t>
  </si>
  <si>
    <t>Bianca Torazan Da Silva</t>
  </si>
  <si>
    <t>biitorazan@gmail.com</t>
  </si>
  <si>
    <t>https://yz2spukd8h-jbrk7pf7uvw.s3.amazonaws.com/2024/05/xOcneZszt9YeXgPvTRYNhnX57y9vl/Jo9kUvWj4RR0A%3D.jpg</t>
  </si>
  <si>
    <t>28 anos, 0 meses, 15 dias</t>
  </si>
  <si>
    <t>Jardim marilu</t>
  </si>
  <si>
    <t>02989-095</t>
  </si>
  <si>
    <t>Edifício Peruíbe, AP 84</t>
  </si>
  <si>
    <t>Avenida Raimundo Pereira de Magalhães</t>
  </si>
  <si>
    <t>12011</t>
  </si>
  <si>
    <t>500712934</t>
  </si>
  <si>
    <t>(11) 97062-5102</t>
  </si>
  <si>
    <t xml:space="preserve">psicologia </t>
  </si>
  <si>
    <t>Venho de uma família não habitual, mas com uma infância cheia de bons momentos apesar de todas as dificuldades. Venho de uma adolescência cheia de curiosidade e tentando achar onde me encontro na sociedade, enquanto me descobria como pessoa, mulher e quais são as competências que me identifico para contribuir de forma generosa e criativa com meu meio. Vim de uma criação com uma mãe pedagoga que me ensinou valores importantes e principalmente, que posso conseguir o que almejo com dedicação e foco.</t>
  </si>
  <si>
    <t>Enquanto mulher adulta, sigo me descobrindo e achando formas de colaborar de forma autêntica para a sociedade, e nas diversas necessidades de me sustentar, descobri vocações e competências que me encaixo mesmo em empregos os quais não me identificava. Passei por 2 anos de uma graduação em psicologia, pois o desenvolvimento humano me encanta. Tranquei a faculdade por falta de verba e profissionalmente passei por loja, vendas, telemarketing... Adquiri um grande apreço por lidar com pessoas e atendimento em todas essas experiências. Me entendo como uma boa comunicadora e uma pessoa empática e entusiasta sobre os cuidados e trocas interpessoais</t>
  </si>
  <si>
    <t>Hoje, já mais certa de minhas habilidades, procuro desenvolver, dentro da cultura, minha criatividade e vontade de fazer ativamente alguma mudança dentro do ciclo social que estou inserida. Quero ter com essa vaga,  novas experiências, pautadas na troca social e formação de pessoas, e seguir no ramo conforme novas oportunidades forem se abrindo. Desde nova participei de projetos culturais que me enriqueceram como ser humano, quando envolvida em artes, como dança, teatro e circo. E quero fazer parte da formação de outras pessoas, ajudando-as a terem acesso a essa parte tão importante da formação humana como um todo.</t>
  </si>
  <si>
    <t>446.386.528-08</t>
  </si>
  <si>
    <t>ALINE ANDRE SANTOS</t>
  </si>
  <si>
    <t>Aline André Santos</t>
  </si>
  <si>
    <t>ALINE</t>
  </si>
  <si>
    <t>Aline</t>
  </si>
  <si>
    <t>andrealine876@gmail.com</t>
  </si>
  <si>
    <t>https://yz2spukd8h-jbrk7pf7uvw.s3.amazonaws.com/2024/06/ZkrziXoQWCKbwo4G%2BBbuuK8avN9SH9wc45zPbosHzqw%3D.png</t>
  </si>
  <si>
    <t>24 anos, 3 meses, 13 dias</t>
  </si>
  <si>
    <t>Jardim Campo Limpo (Zona Norte)</t>
  </si>
  <si>
    <t>02362-200</t>
  </si>
  <si>
    <t>Rua São Lupicino</t>
  </si>
  <si>
    <t>58550040x</t>
  </si>
  <si>
    <t>(11) 96908-2410</t>
  </si>
  <si>
    <t>Meu nome é Aline, tenho 24 anos, nasci e fui criada no Jardim Fontalis periferia do extremo norte de São Paulo e resido aqui até hoje.  Fui criada pelo tio da minha mãe materno, que se tornou meu pai quando me  tirou do hospital junto com a minha mãe quando ela tinha 14 anos, ela me deixou com ele e foi embora, morei com ele e sua esposa e sua filha mais nova que é quem cuidava de mim até os 13 que foi quando minha mãe voltou pra cá e fomos morar juntas porém não tínhamos uma boa relação e eu acabei voltando aos 16 pra casa dos meus pais adotivos onde eu fiquei até os 21 que foi quando fui morar sozinha. Sou trancista nas horas vagas, amo um bom livro sobre Literatura Brasileira.</t>
  </si>
  <si>
    <t>Atualmente moro sozinha desde os 21, trabalho como CLT como recepcionista hospital em um rede privada de hospitais, atuo também como trancista nas horas vagas que é um hobbies e uma renda extra quando consigo conciliar clientes na semana e aos finais de semana com a minha escala 6x1. Quero muito um dia me sustentar somente como trancista e viver desta arte.</t>
  </si>
  <si>
    <t>Desejo muito entrar para o programa Jovem Monitor Cultural para afins de adquirir novos conhecimentos, novos desafios e oportunidades de crescimento profissional e interpessoal também, a culta urbana está no  meu dia dia e nos meus momentos de lazer como ir para um show em alguma Fábrica de Cultura próxima aonde eu moro, show da Virada Cultural, palestras e etc. Seria algo muito incrível participar dos bastidores de tudo isso.</t>
  </si>
  <si>
    <t>498.451.628-35</t>
  </si>
  <si>
    <t>Larissa Braga Arcanjo</t>
  </si>
  <si>
    <t>larissabraga2305@gmail.com</t>
  </si>
  <si>
    <t>https://yz2spukd8h-jbrk7pf7uvw.s3.amazonaws.com/2024/06/MIpXxxjwLqzBnqk3JsW2e4tialOW66P7q/HTwHQovtA%3D.png</t>
  </si>
  <si>
    <t>21 anos, 11 meses, 27 dias</t>
  </si>
  <si>
    <t>Dificuldade com regras e questionadora</t>
  </si>
  <si>
    <t>Parque Grajaú</t>
  </si>
  <si>
    <t>04842-220</t>
  </si>
  <si>
    <t>CIDADE DUTRA</t>
  </si>
  <si>
    <t>Rua Isabel Aguiar de Campos</t>
  </si>
  <si>
    <t>867</t>
  </si>
  <si>
    <t>509904956</t>
  </si>
  <si>
    <t>(11) 95972-0475</t>
  </si>
  <si>
    <t>Larissa Braga Arcanjo  Rua [Seu Endereço]  São Paulo, SP - Zona Sul, Grajaú  larissabraga@gmail.com  (11) 99999-9999    08 de junho de 2024    programa jovem monitor cultural -pjmc    É com grande entusiasmo que me apresento a vocês, esperando contribuir positivamente paraprograma pjmc Permitam-me compartilhar um pouco sobre minha trajetória, minhas conquistas atuais e minhas aspirações futuras.  Meu nome é Larissa Braga Arcanjo, tenho 22 anos e sou mãe solo de dois filhos com menos de cinco anos. Minha formação inclui o ensino médio completo, e minha trajetória profissional sempre esteve voltada para a área da saúde. Essas experiências me ensinaram a importância do cuidado, da empatia e do cuidado.</t>
  </si>
  <si>
    <t>Atualmente, resido em São Paulo, na Zona Sul, Grajaú. Tenho dedicado meu tempo ao desenvolvimento pessoal e profissional, participando de diversas oficinas e saraus para me conectar com a cultura local e entender melhor como posso me integrar nesse ambiente.   Essa jornada tem sido essencial para meu crescimento, permitindo-me explorar novas perspectivas e técnicas nas artes visuais.   Estou ativamente procurando me conectar com a prefeitura para me candidatar ao programa PJMC, o que representa uma grande oportunidade para meu desenvolvimento na área cultural. Paralelamente, sempre tive uma forte paixão pelas artes visuais e plásticas, o que me levou a buscar constantemente formas de express</t>
  </si>
  <si>
    <t>o futuro, pretendo iniciar minha faculdade de Artes Visuais para adquirir minha licenciatura. Esse passo é fundamental para meu objetivo de desenvolver uma carreira sólida na área cultural, aplicando meu conhecimento e habilidades em cargos e projetos que valorizem a arte e a educação. Estou determinada a construir um currículo artístico robusto, que me permita contribuir significativamente para a cultura local e nacional.    Agradeço a consideração de minha candidatura e estou à disposição para discutir como posso contribuir para o sucesso de [nome da empresa/instituição]. Estou ansiosa para a oportunidade de fazer parte da sua equipe e colaborar para alcançar objetivos comuns.    Atenciosament</t>
  </si>
  <si>
    <t>531.472.488-01</t>
  </si>
  <si>
    <t>AIYRA PEREIRA DE SOUSA</t>
  </si>
  <si>
    <t>aiyrasousa.aps@gmail.com</t>
  </si>
  <si>
    <t>https://yz2spukd8h-jbrk7pf7uvw.s3.amazonaws.com/2024/06/%2BQj5V2jnqJZkohXO2po%2BEjDs3uMDqLG4acp8ShX7Pyc%3D.jpg</t>
  </si>
  <si>
    <t>22 anos, 5 meses, 19 dias</t>
  </si>
  <si>
    <t>Parque Bologne</t>
  </si>
  <si>
    <t>04941-172</t>
  </si>
  <si>
    <t>Estrada da Baronesa</t>
  </si>
  <si>
    <t>200</t>
  </si>
  <si>
    <t>379064686</t>
  </si>
  <si>
    <t>(11) 94924-4052</t>
  </si>
  <si>
    <t>https://www.instagram.com/aiyra_______/</t>
  </si>
  <si>
    <t>TECNOLOGO EM ANALISE E DESENVOLVIMENTO DE SISTEMAS</t>
  </si>
  <si>
    <t>Eu me chamo Aiyra, tenho 22 anos e nasci na zona sul de São Paulo na favela do Tupi. Na região do Jd. Ângela, estudava e também fazia atividades numa ONG chamada Social Bom Jesus. Fiz aulas de teatro, danças urbanas, dança contemporânea, ginástica, entre outros cursos livres. Como eu estava crescendo e, já havia chegado responsabilidades comecei a trabalhar em um supermercado de dia, e a noite eu dançava com alguns grupos de danças urbanas na Fábrica de Cultura do Capão Redondo, principalmente. E também fazia cursinho pré-vestibular, além do ensino médio de manhã. Tempos depois cursei dois semestres de ADS, mas precisei trancar. Mas a vontade de continuar fazendo arte estava no meu coração.</t>
  </si>
  <si>
    <t>Hoje, eu faço parte de uma residência artística chamada Quilombo Cuir, onde faço aulas dos vários estilos de danças urbanas, e também de desenvolvimento artístico como produção cultural, audiovisual, etc. Além de dançar, sou MC de batalha de rima e também faço parte do coletivo Casa de Pimentas, que pertence a comunidade ballroom. Também faço produções de moda e stylish, geralmente voltada a minha comunidade. E por percorrer diversas áreas e, vivenciar diversas comunidades, eu estudo para trabalhar com produção cultural, principalmente. Criar e desenvolver eventos, formações, etc. Quero contribuir para as comunidades que faço parte, criando estrutura para essas pessoas viverem a cultura.</t>
  </si>
  <si>
    <t>Eu acredito que com a bagagem que tenho tido e com as que ainda estão por vir, eu vou conseguir me tornar produtora cultural e realizar o meu objetivo, de criar espaços onde as culturas que faço parte continuem se difundindo. Quero continuar a minha carreira  como MC e lançar o meu primeiro álbum, além de ganhar campeonatos de batalha. Penso em desenvolver uma marca de roupa com a ideia de reciclagem têxtil. E também tenho o sonho de constituir família. Acredito que com esforço, disciplina, planejamento, trabalho e estudo, vou conquistar todos os meus objetivos.</t>
  </si>
  <si>
    <t>436.410.528-74</t>
  </si>
  <si>
    <t>CARLA VITORIA CARDOSO SANTOS</t>
  </si>
  <si>
    <t>Carla Vitoria Cardoso Santos</t>
  </si>
  <si>
    <t>CARLA VITORIA</t>
  </si>
  <si>
    <t>Carla Vitoria</t>
  </si>
  <si>
    <t>vcarlacardoso@gmail.com</t>
  </si>
  <si>
    <t>https://yz2spukd8h-jbrk7pf7uvw.s3.amazonaws.com/2024/06/urdgwOsj8vqfYUpJzaG13/IxgEdsl980%2BeWS5Jy9dsY%3D.jpeg</t>
  </si>
  <si>
    <t>21 anos, 2 meses, 9 dias</t>
  </si>
  <si>
    <t>384273968</t>
  </si>
  <si>
    <t>(11) 98923-5516</t>
  </si>
  <si>
    <t>https://www.instagram.com/winter.444?igsh=MW0zbWw2NGxndWttYg%3D%3D&amp;utm_source=qr</t>
  </si>
  <si>
    <t>Eu me chamo Carla, eu venho da favela do Capão Redondo, que fica aqui na zona sul de São Paulo. Passei minha infância em ONGs que levavam cultura para as áreas mais carentes, como foi o caso do Capão, que na minha época tinha “Brinquedoteca” ou periferia ativa ,que davam oficinas de capoeira, espaços para ler e brincar, aulas de informática e entre outras coisas. Um dos destaques da Perferia ativa é um show de rap  que acontece anualmente na Sabin, Capão Redondo, conhecido como cem 100% favela., esse festival de rap tem quase a mesma idade que eu, e desde pequena eu acompanho. Essas vivência com a cultura desde a Infância me fazem ver o quanto eu quero trabalhar com a arte e com a cultura.</t>
  </si>
  <si>
    <t>No momento eu estou estudando audiovisual no instituto criar de tv, cinema e novas mídias, pretendo me formar como diretora de arte, mas também quero aprender outras áreas do cinema. Além de estudar cinema eu tenho me dedicado a entrar na faculdade, esse ano estou estudando para prestar os vestibulares do ENEM e FUVEST, pois pretendo entrar na USP.   Meus objetivos como uma mulher preta e favelada é procurar oportunidades para me desenvolver como artista e como pessoa, e principalmente elevar o nível do meu profissionalismo, pois até um tempo atrás eu era faxineira que tinha medo do futuro, agora eu estou construindo meu futuro através dos estudos, da cultura e da arte. foi isso que me salvou</t>
  </si>
  <si>
    <t>Eu vou entrar para faculdade, pretendo cursar psicologia ou pedagogia. Acima de tudo pretendo dar dignidade de viver para a minha familia e ensinar as minhas irmãs o valor da arte e a Importância da cultura e as histórias e origens que ela carrega,  Realizar as coisas que parecem ser simples serão uma vitoria, ser uma mulher favelada que quer estudar e realizar suas conquistas pessoais e uma maneira de lutar contra o sistema e contra o passado e fazer com que a história não se repita. Por esses motivos vou continuar resistindo, a favela resiste. e arte que salva, as batalhas de rima, o rap, a capoeira e todas as manifestações  culturas da favela e do povo que servem como forma de expressão.</t>
  </si>
  <si>
    <t>560.887.408-09</t>
  </si>
  <si>
    <t>new10mil@gmail.com</t>
  </si>
  <si>
    <t>https://yz2spukd8h-jbrk7pf7uvw.s3.amazonaws.com/2024/06/t2RDkdA5nDAPa9qmC%2BnbDIJLs8fcgB6NxRsEDAUHdsQ%3D.jpg</t>
  </si>
  <si>
    <t>24 anos, 3 meses, 6 dias</t>
  </si>
  <si>
    <t>Balneário São José</t>
  </si>
  <si>
    <t>04864-140</t>
  </si>
  <si>
    <t>Acesso Tucano Preto</t>
  </si>
  <si>
    <t>362</t>
  </si>
  <si>
    <t>58422069</t>
  </si>
  <si>
    <t>(11) 97092-8810</t>
  </si>
  <si>
    <t>https://www.instagram.com/santto_new?igsh=MXY0czA1MTN3cGc4Zw==</t>
  </si>
  <si>
    <t>https://youtu.be/2O2ZZu7t6Rc?si=L7AVI5er37AyUntg</t>
  </si>
  <si>
    <t>481.956.608-35</t>
  </si>
  <si>
    <t>KAIQUE APARECIDO ABRAHAO AMBRUSTER</t>
  </si>
  <si>
    <t>Kaique Aparecido Abrahão Ambruster</t>
  </si>
  <si>
    <t>kaique.ambruster@gmail.com</t>
  </si>
  <si>
    <t>https://yz2spukd8h-jbrk7pf7uvw.s3.amazonaws.com/2024/06/Hi9xHsevlkYBN6T0/aaHvGEfGMSUxJhPkiun3s9zx84%3D.jpeg</t>
  </si>
  <si>
    <t>22 anos, 11 meses, 30 dias</t>
  </si>
  <si>
    <t>CadÚnico: inconsistente</t>
  </si>
  <si>
    <t>Jardim Limoeiro</t>
  </si>
  <si>
    <t>08382-660</t>
  </si>
  <si>
    <t>Travessa Golfo Pérsico</t>
  </si>
  <si>
    <t>65</t>
  </si>
  <si>
    <t>379993442</t>
  </si>
  <si>
    <t>(11) 94148-0955</t>
  </si>
  <si>
    <t>KAIQUE.AMBRUSTER@GMAIL.COM</t>
  </si>
  <si>
    <t>https://www.instagram.com/1kell_oficial?igsh=anphbDYzbXYycXow&amp;utm_source=qr</t>
  </si>
  <si>
    <t>não possuo cadastro unico no momento</t>
  </si>
  <si>
    <t>Meu nome é Kaique conhecido na cena underground como Lil Kell, Sou da Zona Leste de São Paulo, São Mateus onde cresci e desenvolvi minha arte.  Desde pequeno por não ter acesso nenhum a equipamentos culturais na minha região, aprendi a arte do improviso nas batalahas de rap locais.  Essa experiência despertou em mim uma sede insaciável de fomentar a cultura no meu bairro, proporcionando mais oportunidades e uma perspectiva de vida e cultural para a comunidade. Minha jornada é marcada pela dedicação em transformar a realidade ao meu redor, usando o rap como ferramenta de expressão e mudança.</t>
  </si>
  <si>
    <t>Como homem negro retinto de matriz africana, faço parte do Coletivo cem porcento LGBTQIA+ da zona leste, Gully's Queen de Soundsystem jamaicano, do Coletivo Diretoria Ragga aonde moro, e Coorganizador da Batalha da praça ZL, recentemente saiu na publicação do Livro Revoada dos Versos do Coletivo Sarau do Vale aonde esta a minha biografia e poesias da qual recito em batalhas, saraus e Slams como por exemplo o recente Slam São Mateus.</t>
  </si>
  <si>
    <t>Atualmente estou investindo em conhecimento afim de ser inserido em Editais culturais para maior apoio e investimento, com a oportunidade do Programa Jovem Monitor Cultural, é uma grande chance de aprendizado, na teoria e na prática, assim densolvendo estrategias para desenvolvimento cultural local e também no futuro equipmaneto cultural que talvez estarei iinserido.</t>
  </si>
  <si>
    <t>502.455.298-96</t>
  </si>
  <si>
    <t>Os candidatos pintados em azul devem ter 20 pontos retirados, pois pontuaram no CadÚnico de forma indevida, a saber: KAIQUE APARECIDO ABRAHÃO AMBRUSTER preencheu "não possuo cadastro unico no momento"; THAIANY CAMPOS SOARES ROQUE preencheu "0"; JAMES BERNARDES DIAS preencheu "Não possuo ainda"; LÍVIA KAUANE SALES SILVA preencheu "Não sei qual é o número".</t>
  </si>
  <si>
    <t>Letícia Domenes Tomaz</t>
  </si>
  <si>
    <t>LETÍCIA DOMENES TOMAZ</t>
  </si>
  <si>
    <t>domenesleticia@gmail.com</t>
  </si>
  <si>
    <t>https://yz2spukd8h-jbrk7pf7uvw.s3.amazonaws.com/2024/05/JsnGRmwN05p1jIMzDkk57L6xCurBapVt/nU0k7EIXQY%3D.jpeg</t>
  </si>
  <si>
    <t>25 anos, 6 meses, 12 dias</t>
  </si>
  <si>
    <t>Jardim Boa Vista (Zona Oeste)</t>
  </si>
  <si>
    <t>05583-070</t>
  </si>
  <si>
    <t>R.candido fontoura</t>
  </si>
  <si>
    <t>522391023</t>
  </si>
  <si>
    <t>(11) 96175-1697</t>
  </si>
  <si>
    <t>GESTAO DE TURISMO</t>
  </si>
  <si>
    <t>Nasci na cidade de São Paulo, fui criada pelos meus avós e pela minha mãe (mãe solo), ela trabalhava em 3 empregos para poder me dar uma base estável, junto com os dois que sempre fizeram de tudo para que nunca me faltasse nada. Eles valorizavam a educação, solidariedade e a empatia, e posso dizer que foram os principais pilares da minha formação. A minha base familiar foi muito importante para quem eu me tornei hoje, graças a eles eu pude enfrentar diversos desafios.</t>
  </si>
  <si>
    <t>Atualmente resido na cidade de São Paulo e é onde eu tenho construído minha trajetória pessoal e profissional. Atualmente estou desempregada, e recentemente terminei os estudos no IFSP na área de Gestão de Turismo. Estou focada em meu desenvolvimento profissional, já que tenho dois filhos, os meus projetos profissionais atualmente andam atrelado ao meus projetos pessoais. Me mantenho entusiasmada com as oportunidades que o futuro me reserva.</t>
  </si>
  <si>
    <t>Meus planos para o futuro se baseiam em conseguir a melhor estrutura para minha família, uma maior independência financeira, para que eu possa realizar e proporcionar uma boa qualidade de vida para mim e meus filhos. Tudo estará atrelado às minhas aspirações pessoais, como conquistar bens, viagens entre outras coisas.   Com isso espero ser uma pessoa que meus filhos possam se inspirar e que saibam que eu posso ser o porto seguro deles, assim como minha família é o meu.</t>
  </si>
  <si>
    <t>484.872.428-71</t>
  </si>
  <si>
    <t>Julia Gonçalves Da Silva</t>
  </si>
  <si>
    <t>juliarml22@gmail.com</t>
  </si>
  <si>
    <t>https://yz2spukd8h-jbrk7pf7uvw.s3.amazonaws.com/2024/05/M43cHwVLTySnG86L5ra9iwRA4xPUGaKkSMnH0azMVW8%3D.jpeg</t>
  </si>
  <si>
    <t>Pirajussara</t>
  </si>
  <si>
    <t>05789-001</t>
  </si>
  <si>
    <t>Avenida Carlos Lacerda</t>
  </si>
  <si>
    <t>3021</t>
  </si>
  <si>
    <t>571735368</t>
  </si>
  <si>
    <t>(11) 94995-4964</t>
  </si>
  <si>
    <t>TECNICO EM PUBLICIDADE</t>
  </si>
  <si>
    <t>Nasci no Capão Redondo, sempre vivi rodiada de arte (comunicação, desenho, musica), e de pessoas, dai e me dediquei a fotografia para mostrar tudo isso que apreciava com os meus olhos para os outros e me atrai pelo curso de fotografia da Fabrica de Cultura. Apesar das dificuldades sempre tive pessoas me apoiando ao meu redor, de uma maneira que sempre gostei ser comunicativa e buscava incluir todos ao meu redor, mas a pandemia mudou muito dessa interação, mudanças de rotina, lugares e pessoas e novamente precisei me adaptar.</t>
  </si>
  <si>
    <t>Atualmente tenho praticado novamente a comunicação, buscando interagir sempre com aquilo que me faz bem. Um dos motivos que me levou a fazer o curso técnico além de ter a oportunidade de uma bolsa. A fotografia ainda se faz presente na minha vida, e sinto que  quero mostrar a arte de onde eu vim, fugir do "sp perfeito" aqueles sem grafitti e ternos, é um dos projetos q sonho em concluir na minha vida. Com 18 anos, logo após sair da escola quero achar meu ambiente.</t>
  </si>
  <si>
    <t>Chegar no meu curso e faculdade dos sonhos, USP e biomedicina. De certa forma, um pouco distante da área da comunicação, mas tem muitas linhas por trás desta escolha, mas foi aquela que pesquisei com um brilho nos olhos. Mas ja tenho o plano B, que entra na area de comunicação, principalmente em oferecer serviços/ajudas. E ter uma tranquilidade em viajar e continuar com meu projeto da fotografia.</t>
  </si>
  <si>
    <t>465.080.178-88</t>
  </si>
  <si>
    <t>Quesia Pires De Vasconcelos</t>
  </si>
  <si>
    <t>kepsvasconcelos@gmail.com</t>
  </si>
  <si>
    <t>https://yz2spukd8h-jbrk7pf7uvw.s3.amazonaws.com/2024/05/Y0L2IYLMH57J6SkLmy88u1myg5J15ZM81wj4AB7Nafs%3D.jpg</t>
  </si>
  <si>
    <t>27 anos, 8 meses, 14 dias</t>
  </si>
  <si>
    <t>CURSANDO ENFERMAGEM</t>
  </si>
  <si>
    <t>Jardim Iguatemi</t>
  </si>
  <si>
    <t>08380-200</t>
  </si>
  <si>
    <t>Rua Oscar Muller</t>
  </si>
  <si>
    <t>351</t>
  </si>
  <si>
    <t>530613177</t>
  </si>
  <si>
    <t>(11) 94548-1693</t>
  </si>
  <si>
    <t>KEPSVASCONCELOS@GMAIL.COM</t>
  </si>
  <si>
    <t>TECNICO EM REGÊNCIA CORAL</t>
  </si>
  <si>
    <t>Meu nome é Quesia Pires de Vasconcelos, residente na Zona Leste de São Paulo.  Venho de família humilde, a qual me ensinou todos os valores que prezo e a buscar com foco e honestidade por meus objetivos. Sempre dedicada aos estudos e com afeição especial pelas artes e cultura. Durante a minha vida estive envolvida com a música e a leitura presentes no meu dia a dia através da igreja.</t>
  </si>
  <si>
    <t>Atualmente, sou aluna da rede pública de ensino estadual, cursando Técnico em Enfermagem na instituição ETEC Parque da Juventude com objetivo de uma formação profissional específica, escolha que não me afasta da minha afeição pela cultura, pela arte, música, entretenimento e desenvolvimento de novas habilidades e busca continua por novos desafios e oportunidades.</t>
  </si>
  <si>
    <t>O PJMC é um dos programas que almejo participar, por oferecer uma formação na área cultural. Já havia tentado entrar no programa há alguns anos atrás e agora resolvi tentar novamente e quem sabe realizar esse sonho que estava na espera, tenho grandes expectativas em relação a esta oportunidade de aprender, crescer e me aperfeiçoar em conhecimento e experiência, acredito que o programa pode abrir portas para novos horizontes, os quais eu preciso enxergar. Para onde vou? Eu vou para o PJMC! Isso é tudo!!</t>
  </si>
  <si>
    <t>454.521.978-00</t>
  </si>
  <si>
    <t>ARTHUR ANTONIO PEREIRA SILVA</t>
  </si>
  <si>
    <t>Arthur Antonio Pereira Silva</t>
  </si>
  <si>
    <t>Quebrantxy Antonio Pereira Silva</t>
  </si>
  <si>
    <t>quebrantxy@gmail.com</t>
  </si>
  <si>
    <t>https://yz2spukd8h-jbrk7pf7uvw.s3.amazonaws.com/2024/05/T5VYQcqyIFJE6aFAgB7L04CvXI7zznhJmUGYPUcJiRk%3D.jpg</t>
  </si>
  <si>
    <t>28 anos, 4 meses, 18 dias</t>
  </si>
  <si>
    <t>04230-047</t>
  </si>
  <si>
    <t>Bloco B4 apto 23</t>
  </si>
  <si>
    <t>Rua Doutor José da Costa</t>
  </si>
  <si>
    <t>504842717</t>
  </si>
  <si>
    <t>(11) 97247-4902</t>
  </si>
  <si>
    <t>https://www.instagram.com/quebrantxy/</t>
  </si>
  <si>
    <t>https://drive.google.com/file/d/1XmeaxXaNbXRSIAV9Mfu32YedNdDfsFBf/view?usp=drivesdk</t>
  </si>
  <si>
    <t>454.027.228-46</t>
  </si>
  <si>
    <t>Thaiany Campos Soares Roque</t>
  </si>
  <si>
    <t>thaianycampos6@gmail.com</t>
  </si>
  <si>
    <t>https://yz2spukd8h-jbrk7pf7uvw.s3.amazonaws.com/2024/05/EYawaACYYvTUSHzcGLvqLBS3BpuiYbmFcIWoysTOkuU%3D.jpg</t>
  </si>
  <si>
    <t>25 anos, 10 meses, 8 dias</t>
  </si>
  <si>
    <t>Guaianazes</t>
  </si>
  <si>
    <t>08490-490</t>
  </si>
  <si>
    <t>Ocupação</t>
  </si>
  <si>
    <t>Avenida Souza Ramos</t>
  </si>
  <si>
    <t>SN</t>
  </si>
  <si>
    <t>544938628</t>
  </si>
  <si>
    <t>(11) 94878-2154</t>
  </si>
  <si>
    <t>THAIANYCAMPOS6@GMAIL.COM</t>
  </si>
  <si>
    <t>DIREÇÃO DE ARTE NO CRIAR</t>
  </si>
  <si>
    <t>0</t>
  </si>
  <si>
    <t>Olá, sou a Thaiany Campos, nasci em Minas Gerais - Conselheiro Lafaiete, aos 08 anos vim para são Paulo com a minha mãe e irmãos. Somos em 06, fui criada pela minha mãe até os 19 anos.  Logo após fui morar sozinha, tentei me manter com trabalhos autônomos mas em determinado momento entrei em outras áreas para custear o aluguel. Dois anos depois em decorrer da pandemia a família se reúne novamente para dividir as despesas, em 2021 volto a morar só e sigo no aluguel até o início de 2022. Com 23 anos eu entrego a casa de aluguel pois estava com três aluguéis em atraso, assim dou início a uma casa na invasão.</t>
  </si>
  <si>
    <t>Atualmente moro em uma ocupação na leste de São Paulo -Tiradentes, meus gatos, meu cachorro e eu em um barraco de madeira, estamos aqui pela necessidade, pela falta de renda fixa, pelo desemprego.   Aproveito para falar sobre o cadùnico, eu não sabia que poderia ter o cadastro sendo solo, leiga imaginei que somente famílias e crianças teriam acesso, na ausência do número pedido no formulário pesquisei a respeito, peço para que considerem meu perfil e que isso não limite a ser um dia jovens contemplamos nessa edital, me comprometo a fazer o cadastro e ter o número em mãos sendo um dos selecionados. Dês de já agradeço.</t>
  </si>
  <si>
    <t>Também conhecida como Rosa, sou atriz artesã e poeta, moradora da ocupação machado, tenho buscado trabalhos fixo para custeio de um técnico ou uma graduação no segmento cultura.  No meu futuro pretendo poder melhorar meu barraco( construir de alvenaria), poder instalar minha água e meu chuveiro, não quero muito, quero básico, mas para que isso aconteça eu preciso comprovar aptidão para o trabalho, sendo assim, espero conseguir algo que me proporcione custear meus estudos e construir a minha casa, vou para onde as portas se abrirem, quero poder viver da arte e ser ela.</t>
  </si>
  <si>
    <t>464.960.548-27</t>
  </si>
  <si>
    <t>KAUE FERREIRA LIMA</t>
  </si>
  <si>
    <t>Kauê Ferreira Lima</t>
  </si>
  <si>
    <t>tempocontra0@gmail.com</t>
  </si>
  <si>
    <t>https://yz2spukd8h-jbrk7pf7uvw.s3.amazonaws.com/2024/06/aU9PE1T4VvqX%2B/oDdzyapabSWDQkgFuWyVyVw44fgMY%3D.jpg</t>
  </si>
  <si>
    <t>25 anos, 1 meses, 17 dias</t>
  </si>
  <si>
    <t>HOMEM CIS</t>
  </si>
  <si>
    <t>Vila Guilhermina</t>
  </si>
  <si>
    <t>03541-070</t>
  </si>
  <si>
    <t>12</t>
  </si>
  <si>
    <t>Rua Padre Costa</t>
  </si>
  <si>
    <t>373086477</t>
  </si>
  <si>
    <t>(11) 96856-0199</t>
  </si>
  <si>
    <t>TEMPOCONTRA0@GMAIL.COM</t>
  </si>
  <si>
    <t>SERVIÇOS JURIDICOS</t>
  </si>
  <si>
    <t>Nasci em São Paulo, no extremo leste, no bairro de Itaquera. Vivi 18 anos na Cidade Tiradentes, um lugar que moldou minha infância e adolescência com suas diversas culturas e desafios. Este período foi essencial para o desenvolvimento dos meus valores e resiliência. Mais tarde, me mudei para uma ocupação no centro da cidade, onde pude vivenciar uma nova realidade e enfrentar desafios que ampliaram minha visão de mundo. Esse período no centro me ensinou sobre a importância da adaptabilidade e da luta por melhores condições de vida.</t>
  </si>
  <si>
    <t>Atualmente, moro na Mooca de Baixo, um bairro que tem sido meu lar e me proporcionado novas experiências enriquecedoras. A Mooca de Baixo combina tradição e modernidade, oferecendo mais conforto e praticidade no dia a dia. Sua localização estratégica facilita minha locomoção por toda a cidade de São Paulo, contribuindo significativamente para uma melhor qualidade de vida. Além disso, trabalho hoje em uma ONG, onde completo seis anos de dedicação. Para complementar minha renda, realizo vendas de bebidas, frutas e roupas aos finais de semana, o que também me permite interagir mais com a comunidade e desenvolver habilidades comerciais.</t>
  </si>
  <si>
    <t>Meu sonho é viver da arte, especialmente como compositor. Acredito que a música tem o poder de alegrar as pessoas e oferecer conforto àquelas que precisam. Vejo-me usando minha arte para inspirar e apoiar outros que, assim como eu, enfrentaram desafios similares. Quero ser uma voz para aqueles que têm histórias parecidas com a minha, mostrando que é possível transformar dificuldades em beleza e esperança. Além de compor, pretendo criar projetos sociais voltados para a inclusão e o desenvolvimento de talentos artísticos em comunidades carentes. Através dessas iniciativas, desejo proporcionar oportunidades para jovens artistas e contribuir para muitos igual eu</t>
  </si>
  <si>
    <t>335.498.768-58</t>
  </si>
  <si>
    <t>Caíque Rodrigues Saldanha</t>
  </si>
  <si>
    <t>Caique Rodrigues Saldanha</t>
  </si>
  <si>
    <t>caiquerodriguessaldanha@gmail.com</t>
  </si>
  <si>
    <t>https://yz2spukd8h-jbrk7pf7uvw.s3.amazonaws.com/2024/04/khmWLzxli4NOTAxG2Ts7Sem4/LmmtwK3Q0vDSVlDcME%3D.jpg</t>
  </si>
  <si>
    <t>Conjunto Habitacional Barro Branco II</t>
  </si>
  <si>
    <t>08473-551</t>
  </si>
  <si>
    <t>Travessa Augusto Frederico Schmidt</t>
  </si>
  <si>
    <t>49</t>
  </si>
  <si>
    <t>382000651</t>
  </si>
  <si>
    <t>(11) 94562-8090</t>
  </si>
  <si>
    <t>caiquex1@hotmail.com</t>
  </si>
  <si>
    <t>cursando tecnico</t>
  </si>
  <si>
    <t>Iluminação cênica</t>
  </si>
  <si>
    <t>Venho da periferia do extremo leste, mais conhecida como CT, a famosa Cidade Tiradentes. Sou um jovem negro aguerrido de vontade de vencer na vida, venho do ensino público desde de a educação infantil até o ensino técnico. A minha maior raiz e que traz a maior bagagem de onde vim está inserida dentro da minha família e da minha trajetória de vida, sem medo de me mostrar, sem medo de dar minhas opiniões para alcançar sempre melhorias tanto para as pessoas ao meu redor, quanto para as outras pessoas.</t>
  </si>
  <si>
    <t>Atualmente estou inserido no mesmo bairro onde nasci e cresci, no Barro Branco, inserido também na nossa famosa CT. Estou buscando minha evolução, não somente profissional, mas também como pessoa, como indivíduo. Atualmente estou estudando por conta técnicas de edição de vídeo, marketing digital e criação de conteúdo.. tudo isso visando a minha melhoria como indivíduo e para dar minha contribuição para com a sociedade e para com a cultura.</t>
  </si>
  <si>
    <t>Eu almejo alcançar patamares em minha vida cada vez maiores e mais importantes, para que eu possa realizar um grande sonho que sempre tive como, desde os meus 6 anos de idade até hoje com 24 anos de idade, que é ter a possibilidade de construir uma ONG focada no cuidado aos animais em situação de rua. Sendo assim, estou focado em me esforçar cada vez mais para poder alcançar esse objetivo e muitos outros.</t>
  </si>
  <si>
    <t>490.512.158-27</t>
  </si>
  <si>
    <t>Jennifer Mendes De Oliveira</t>
  </si>
  <si>
    <t>jm.cb.medes@gmail.com</t>
  </si>
  <si>
    <t>https://yz2spukd8h-jbrk7pf7uvw.s3.amazonaws.com/2024/06/xn1%2Bo6Ptz%2BMKZD4W4ed6MWDzo3Nf44R68P3GERwsQ%2BI%3D.jpeg</t>
  </si>
  <si>
    <t>22 anos, 2 meses, 2 dias</t>
  </si>
  <si>
    <t>Parque Císper</t>
  </si>
  <si>
    <t>03823-140</t>
  </si>
  <si>
    <t>ERMELINO MATARAZZO</t>
  </si>
  <si>
    <t>Rua Salvador Queiróz</t>
  </si>
  <si>
    <t>56.000.224-5</t>
  </si>
  <si>
    <t>(11) 99943-0546</t>
  </si>
  <si>
    <t>JM.CB.MEDES@GMAIL.COM</t>
  </si>
  <si>
    <t>ERMELINO MATARAZZO (ERMELINO MATARAZZO, PONTE RASA)</t>
  </si>
  <si>
    <t>Nascida e criada em São Paulo, fui criada principalmente pelas minhas avós, pois meus pais muito novos trabalhavam muito para me criar. Apesar das dificuldades e me ensinaram a ver a beleza e a arte em tudo. Desde cedo, fui intensamente introduzida ao mundo da arte, acompanhando meus pais na escola da família e participando de oficinas culturais. Em casa, o amor de meus pais pelo teatro sempre esteve presente e também se tornou meu. Descobri minhas paixões na dança, desenho, teatro e música. Entendi como a arte reflete o contexto cultural, social e econômico e promove inclusão e expressão. Participei de projetos públicos, como os oferecidos pelo CEU e Fábricas de Cultura, para me aprimorar.</t>
  </si>
  <si>
    <t>Hoje, com 22 anos, ainda estou em São Paulo, onde a vida me deu novas oportunidades e desafios. Trabalho no centro histórico, um lugar rico em história e arte, com prédios de arquitetura maravilhosa e artistas autônomos a cada esquina. Trabalhar aqui me fez amadurecer muito e apreciar novas culturas, já que cada uma se apresenta um pouco por aqui. Hoje, vejo-me como uma pessoa que respeita todas as vivências e origens, procurando entender como o mundo se apresenta para cada ser, apreciando suas conquistas e sentindo por suas derrotas, refletindo cada história em quem quero me tornar e o que quero apresentar e ser para o mundo no futuro.</t>
  </si>
  <si>
    <t>O futuro é um horizonte vasto e cheio de promessas. Sonho com um mundo onde posso viver minha arte e garantir que todos tenham acesso à criação artística, vendo na arte uma saída para uma vida sofrida cheia de pesares. Quero contribuir com a comunidade para que nenhum futuro artista ouça que "seu trabalho não tem futuro". Tenho um desejo ardente de ajudar aqueles que almejam viver de cultura e arte. O futuro que almejo pode ser incerto, mas estou confiante e animada com as possibilidades e acredito que o PJMC vai me ajudar muito a trazer um mundo com mais arte e cultura acessível para todos sem diferença de hierarquia.</t>
  </si>
  <si>
    <t>519.921.028-99</t>
  </si>
  <si>
    <t>VICTOR HUGO DOS SANTOS FIDELIS</t>
  </si>
  <si>
    <t>Victor Hugo Dos Santos Fidelis</t>
  </si>
  <si>
    <t>VIC FIDELIS</t>
  </si>
  <si>
    <t>Vic Fidelis</t>
  </si>
  <si>
    <t>victorfidelis81@gmail.com</t>
  </si>
  <si>
    <t>https://yz2spukd8h-jbrk7pf7uvw.s3.amazonaws.com/2024/04/e/0y1sTWJtc6Q4Uv7E3noItnDvaIKC0RnAmDtip8Oro%3D.jpg</t>
  </si>
  <si>
    <t>21 anos, 10 meses, 7 dias</t>
  </si>
  <si>
    <t>NÃO BINÁRIO,NÃO  CONCLUI JORNALISMO</t>
  </si>
  <si>
    <t>08471-270</t>
  </si>
  <si>
    <t>Rua Olegário Victor</t>
  </si>
  <si>
    <t>396231457</t>
  </si>
  <si>
    <t>(11) 96429-8769</t>
  </si>
  <si>
    <t>VICTORFIDELIS81@GMAIL.COM</t>
  </si>
  <si>
    <t>https://www.instagram.com/vugosfdls?igsh=cGs4MDcwazl5cHdi</t>
  </si>
  <si>
    <t>CINEMA EM ENFASE  DIREÇÃO DDE  ARTE</t>
  </si>
  <si>
    <t>Sou Vic Fidelis, nascido no extremo leste de São Paulo e venho de um contexto familiar matriarca e, desde muito cedo, as mulheres em minha família incentivaram a minha curiosidade e a paixão pelas artes. Durante o ensino fundamental eu participei de todos os grupos de convivência fora do horário das aulas e estive sempre envolvido em atividades extracurriculares o que muito rapidamente me levou a também frequentar espaços culturais do bairro em que cresci,  bem como os espaços similares de bairros vizinhos com a chegada do "passe-livre" na minha pré adolescência.</t>
  </si>
  <si>
    <t>No último ano eu me reaproximei novamente da cultura e da arte, ao começar a estudar cinema, mais especificamente Direção de Arte. Além de um amante da arte e cultura, gosto de me apresentar também um entusiasta do jornalismo e, tenho ponderado voltar a cursar na faculdade, já que tranquei o curso em 2020, em razão das dificuldades trazidas pelo período pandemico. Tenho muitos planos para desenvolver e evoluir pensando pessoal e profissionalmente e entendo que o PJMC tenha total relação com tudo o que demais anseio para o futuro.</t>
  </si>
  <si>
    <t>A oportunidade de ser um jovem monitor parece não apenas alinhar com meus interesses e paixões, mas também com meus objetivos de longo prazo de evolução pessoal e profissional. Entendo o programa uma oportunidade incrível para alavancar as minhas habilidades, expandir meu conhecimento e acredito que posso contribuir para somar, pensando as tendências atuais que moldam a maneira como consumimos informações e interagimos com o mundo ao nosso redor. A minha relação com arte e cultura, combinada com o interesse em jornalismo, me fazem acreditar que possuo uma perspectiva única para oferecer.</t>
  </si>
  <si>
    <t>385.503.598-90</t>
  </si>
  <si>
    <t>Pablo Luis Jesus Silva</t>
  </si>
  <si>
    <t>realcherryboycont@gmail.com</t>
  </si>
  <si>
    <t>https://yz2spukd8h-jbrk7pf7uvw.s3.amazonaws.com/2024/06/Y6MnktHcvlQLW3mYui6UEQVutZlnrLvoRCAdPcZ3d2Y%3D.jpeg</t>
  </si>
  <si>
    <t>19 anos, 9 meses, 26 dias</t>
  </si>
  <si>
    <t>Penha de França</t>
  </si>
  <si>
    <t>03637-050</t>
  </si>
  <si>
    <t>Rua Santo Antero</t>
  </si>
  <si>
    <t>140</t>
  </si>
  <si>
    <t>59.331.749-x</t>
  </si>
  <si>
    <t>(11) 96608-2363</t>
  </si>
  <si>
    <t>REAALCHERRYBOYCONT@GMAIL.COM</t>
  </si>
  <si>
    <t>https://www.instagram.com/realcherryboy?igsh=aTZtajZzYm85Mmc2</t>
  </si>
  <si>
    <t>TECNICO EVENTOS</t>
  </si>
  <si>
    <t>Nasci e cresci na zona leste do Estado de São Paulo. Minha mãe, uma mulher baiana raiz, veio viver nessa cidade e conheceu meu pai, nascido por aqui assim como eu.   Minha infância e adolescência foram muito simples, mas graças a eles nunca me faltou o básico (moradia, alimento, cuidado e estudo).  A escola na qual concluí meu ensino fundamental foi essencial para a formação de quem sou hoje. Tive o “privilégio” de poder usufruir das experiências e ensinamentos de ótimos profissionais, além de poder viver a cultura deis de cedo. Participei de projetos como AEL, Música, Dança, Hip Hop, e pude me apresentar em Céus, espaços culturais, Escolas…isso só me deu vontade de aprender e ser mais!</t>
  </si>
  <si>
    <t>Concluí meu Ensino Médio integrado ao curso técnico de Eventos na Etec há 2 anos, mas muito antes de iniciar ele me apaixonei pela arte em suas diversas formas.   Tenho vivido a cultura e a arte a partir do momento que me vi como uma potência. Atualmente por conta própria estudo música e produzo, sou artista independente e participo dos movimentos do RAP e do FUNK, também estudo moda e estou no processo de criação da minha própria marca de roupas! Sendo essa pessoa que descrevi em poucas palavras, procuro estar aprendendo e consumindo cultura, sempre com uma visão de dentro, principalmente de quem sou, um cara preto, gay, que pretende furar a bolha espalhando ideias evolutivas.</t>
  </si>
  <si>
    <t>Nos anos seguintes da minha vida, me vejo expandindo minha marca e minha carreira musical. Penso que espalhar a arte, espalhar a ideia que podemos ser o que quisermos, nos tornamos o que quisermos é um propósito pra mim.   Quero caminhar junto de muitas pessoas que conheço e que participam dessa caminhada comigo, de ser artista, de criar a sua própria fonte de renda de algo que VOCÊ sabe que é bom e que faz com amor, dedicação.   Vou batalhar e viver minha vida para concluir essas metas e espalhar essas e outras ideias para os meus.   Creio que essa vaga me ajudaria muito no processo de desenvoltura de quem eu sou e para  adquirir mais e mais experiências no mundo da cultura.</t>
  </si>
  <si>
    <t>556.084.748-80</t>
  </si>
  <si>
    <t>Larissa Dos Santos Lacerda</t>
  </si>
  <si>
    <t>larissa.lacerda84@gmail.com</t>
  </si>
  <si>
    <t>https://yz2spukd8h-jbrk7pf7uvw.s3.amazonaws.com/2024/06/Td76CzG1UL9vgCc6cD0U4WFSD9i%2BBCe5N4RsIsZzMyg%3D.jpeg</t>
  </si>
  <si>
    <t>26 anos, 6 meses, 27 dias</t>
  </si>
  <si>
    <t>Jardim São João (São Rafael)</t>
  </si>
  <si>
    <t>08370-320</t>
  </si>
  <si>
    <t>Rua Alfredo Munhoz</t>
  </si>
  <si>
    <t>141</t>
  </si>
  <si>
    <t>550069306</t>
  </si>
  <si>
    <t>(11) 97034-9529</t>
  </si>
  <si>
    <t>LARISSA.LACERDA84@GMAIL.COM</t>
  </si>
  <si>
    <t>INFORMATICA, MONTADOR E PROGRAMAÇÃO DE SISTEMA</t>
  </si>
  <si>
    <t>Olá meu nome é Larissa Dos Santos Lacerda tenho 26 anos nasci em Sp - Santos André moro no bairro Jardim Iguatemi, estudei em escola pública ensino médio completo, fiz cursos complementares na Obra Social Dom Bosco de Operador de Computador, Montador e Reparador de Computador e Programação de sistemas . Trabalhei de como atendente de telemarketing na Vikstar Contact Center durante o período de 3 meses.</t>
  </si>
  <si>
    <t>Estou trabalhando de recepcionista em uma empresa terceirizada na Secretaria Municipal de Cultura. Moro com meus pais e uma irmã de 12 anos. No momento estou a procura de uma oportunidade de ingressar na área da cultura, no momento estou a procura de uma nova oportunidade de trabalho  e o PJMC é para onde eu quero tentar ingressar. Quero aprender mais sobre cultura.</t>
  </si>
  <si>
    <t>Ao longo dos anos, tenho trilhado meu caminho no mundo do conhecimento, buscando incessantemente uma oportunidade para expandir minha visão e habilidades.Minha jornada na secretaria de Cultura está sendo marcada com bastante conhecimento na área cultural e isso me ajudou abrir a mente pra coisas que eu nem imaginava. Eu quero muito uma oportunidade pra conseguir abrir mais a minha mentalidade para o lado da cultura.</t>
  </si>
  <si>
    <t>476.628.568-95</t>
  </si>
  <si>
    <t>Luz Costa Macedo</t>
  </si>
  <si>
    <t>luzcostamacedo@gmail.com</t>
  </si>
  <si>
    <t>https://yz2spukd8h-jbrk7pf7uvw.s3.amazonaws.com/2024/04/Giiyzr1J9F55YgDBIP9B6IBCJ5F%2BeS0IPRCqGxCow0s%3D.jpg</t>
  </si>
  <si>
    <t>21 anos, 9 meses, 12 dias</t>
  </si>
  <si>
    <t>Jardim Aracati</t>
  </si>
  <si>
    <t>04949-000</t>
  </si>
  <si>
    <t>Avenida M'Boi Guaçu</t>
  </si>
  <si>
    <t>526613804</t>
  </si>
  <si>
    <t>(11) 93335-8323</t>
  </si>
  <si>
    <t>TECNICO EM DESENVOLVIMENTO DE SISTEMAS</t>
  </si>
  <si>
    <t>Meu nome é Luz, tenho 21 anos, sou uma pessoa não binária e resido na zona sul de São Paulo, no Bairro do Jardim Aracati. Me formei  em escola estadual no ensino médio em 2019, e desde lá eu já era um multi artista, participava dos concursos de arte da escola, montava brechó e pintava quadros. Sempre fui muito ligado à literatura, e como um bom leitor, não saía da biblioteca. Outrora, já fui aluno do CCA-ARCO, onde  participei de grupo de percussão e grupo de xadrez. Após o ensino médio, descobri uma paixão em programação, e conclui um curso em Desenvolvimento de sistemas, criando um projeto voltado a programação e música como forma de acesso a  bandas e jovens cantores no mercado.</t>
  </si>
  <si>
    <t>Atualmente, eu faço teatro pelo grupo juventudes no Sesc, onde exploramos o teatro de máscaras. Estamos em contato com a palhaçaria. Como política é a segunda coisa que mais amo, coletivos se tornaram rápido uma das minhas construções mais importantes. Tenho participado da Associação brasileira de não-binariedades, que é  um coletivo voltado às pautas da população trans  não-binária e de coletivos  como a Biblioteca Terra Livre e o Centro de Cultura Social, que também são voltados à produções revolucionários . Também faço pequenas produções de zines sobre corpos trans e produzo alguns textos e poesias sobre questões de gênero e sexualidade.</t>
  </si>
  <si>
    <t>Pretendo continuar construindo esses espaços e organizando eles para que alcancem ainda mais gente. Pude, no decorrer dessa vida, ter contato com as artes e  quero caminhar  para que abram oportunidades para outras pessoas como eu, que vieram do lugar dos esquecidos pela sociedade. Para onde vou é o caminho onde busco ocupar lugares que são criados para não serem meus. Hoje, sonho, no futuro, poder  produzir aulas e criar novas formas de arte e expressões artísticas, através do teatro, da literatura e da dança, pois acredito que o conhecimento deve ser livre e acessível.  Quero continuar escrevendo, como forma de acervo histórico e referência como pessoa trans.</t>
  </si>
  <si>
    <t>427.090.458-50</t>
  </si>
  <si>
    <t>BIANCA GONCALVES FERREIRA</t>
  </si>
  <si>
    <t>Bianca Gonçalves Ferreira</t>
  </si>
  <si>
    <t>biancagf2012@gmail.com</t>
  </si>
  <si>
    <t>https://yz2spukd8h-jbrk7pf7uvw.s3.amazonaws.com/2024/06/DScshmHaNTWXPk3FyFijEfDnOXHkVXFDErFMZlYu694%3D.jpg</t>
  </si>
  <si>
    <t>24 anos, 3 meses, 5 dias</t>
  </si>
  <si>
    <t>Vila Fazzeoni</t>
  </si>
  <si>
    <t>05884-210</t>
  </si>
  <si>
    <t>Rua do Candor</t>
  </si>
  <si>
    <t>80</t>
  </si>
  <si>
    <t>551500323</t>
  </si>
  <si>
    <t>(11) 95334-2591</t>
  </si>
  <si>
    <t>https://www.instagram.com/biancabibs/</t>
  </si>
  <si>
    <t>TECNICO MULTIMIDIA</t>
  </si>
  <si>
    <t>https://drive.google.com/file/d/15rg5fj4A1Rrn3A9W_xDG_zCJpDal_81Y/view?usp=sharing</t>
  </si>
  <si>
    <t>489.859.798-09</t>
  </si>
  <si>
    <t>Gabriel  Guiette Mota</t>
  </si>
  <si>
    <t>Gabriel Guiette Mota</t>
  </si>
  <si>
    <t>GABÚ</t>
  </si>
  <si>
    <t>Gabú</t>
  </si>
  <si>
    <t>GABRIEL GUIETTE MOTA</t>
  </si>
  <si>
    <t>430.***.***-27</t>
  </si>
  <si>
    <t>g.guiettemota@gmail.com</t>
  </si>
  <si>
    <t>https://yz2spukd8h-jbrk7pf7uvw.s3.amazonaws.com/2024/06/o/unzSmvlkk3pHTeurTDe6DDvf1cT/VVAzh7AwW53Tc%3D.JPG</t>
  </si>
  <si>
    <t>32830217</t>
  </si>
  <si>
    <t>27 anos, 1 meses, 17 dias</t>
  </si>
  <si>
    <t>Parque Panamericano</t>
  </si>
  <si>
    <t>02992-130</t>
  </si>
  <si>
    <t>Rua Jacintho Pereira</t>
  </si>
  <si>
    <t>734</t>
  </si>
  <si>
    <t>52.500.780-5</t>
  </si>
  <si>
    <t>(11) 94572-1667</t>
  </si>
  <si>
    <t>https://www.instagram.com/abugabu_/</t>
  </si>
  <si>
    <t xml:space="preserve">áudio acústica </t>
  </si>
  <si>
    <t>Sou Gabú, 27 anos, nascido em Santo André, criado na Zona Leste de São Paulo. Sou músico, produtor cultural, técnico de som, transsexual, preto. Depois do ensino médio entrei na universidade através do prouni e FIES para estudar psicologia, mas não conclui o curso por conta das demandas da vida, do meu processo de transição, além do desejo de estar diretamente envolvido com a arte. Estudei sonoplastia na SP escola de teatro, fiz curso técnico de audio e acústica que hoje me permitem ter uma profissão, mas ainda sem muita garantia. Há quase 10 anos que tenho desejo de estar no PJMC e a cada inscrição vejo as consquistas de minha trajetória, o que torna esse processo de extrema valia para mim.</t>
  </si>
  <si>
    <t>Hoje estou morador do Jaragua, sou proponente do projeto Diasporaí contemplado pelo VAI 2023  que já está na reta final. Diasporaí é um projeto de gravação de EP de uma banda afrocentrada que mistura elementos do rock alternativo com HIP HOP, chamada AYGAM, onde atuo como integrante musical e produtor executivo. Além disso já fiz diversos trabalhos em diversos aparelhos culturais da cidade como técnico de som de espetáculos, também ja fiz captação de som direto de audiovisual, fiz direção de som e sound design de um curta que foi muito premiado em festivais chamado SUB(Urbana) (2022) e integro como músico a coletiva de teatro, performance e arte urbana Anhangá Coletiva</t>
  </si>
  <si>
    <t>A cultura e a arte me deram possibilidades de existência, um caminho a seguir do qual eu não tenho a mínima vontade de voltar. Apesar de não ter uma formação tradicional, me vejo como um eterno aprendiz e tenho o desejo de atravessar a vida de jovens que assim como eu, não tiveram muitas perspectivas de subsistência. Quero aprofundar meu conhecimento sobre leis de cultura e ter o manejamento de informações que me permitam "hackear" o sistema em prol da comunidade, quero ter acesso as ferramentas necessárias para fazer arte e ter potência para incentivar os meus a ser quem quiserem, quero ser um aliado contra todo esse retrocesso que mata a juventude periférica simbólica e concretamente</t>
  </si>
  <si>
    <t>430.113.788-27</t>
  </si>
  <si>
    <t>Raiane Mendes Dourado</t>
  </si>
  <si>
    <t>mendsrai19@gmail.com</t>
  </si>
  <si>
    <t>https://yz2spukd8h-jbrk7pf7uvw.s3.amazonaws.com/2024/04/idCrV8ymG1w0B6yoK7tcPv9rQejOKpFwEb84QGRtz5I%3D.jpg</t>
  </si>
  <si>
    <t>25 anos, 4 meses, 30 dias</t>
  </si>
  <si>
    <t>Vila João Batista</t>
  </si>
  <si>
    <t>02837-000</t>
  </si>
  <si>
    <t>Rua Domingos Vega</t>
  </si>
  <si>
    <t>334</t>
  </si>
  <si>
    <t>387466629</t>
  </si>
  <si>
    <t>(11) 96479-0612</t>
  </si>
  <si>
    <t>MENDSRAI19@GMAIL.COM</t>
  </si>
  <si>
    <t>https://www.instagram.com/rai.mdz?igsh=dTF4bWN6em9sbWdr</t>
  </si>
  <si>
    <t>INCOMPLETO - FOTOGRAFIA</t>
  </si>
  <si>
    <t>nasci e cresci na zona norte de São Paulo, sou filha única de mãe solo e sempre tive o apoio dela para ir atrás dos meus objetivos e sonhos. Tenho um grande interesse por artes e fotografia e por esse motivo decidi ingressar na faculdade de fotografia mas por conta da pandemia tive que trancar o curso e infelizmente não consegui voltar para finalizar.</t>
  </si>
  <si>
    <t>no momento atual eu trabalho em um brechó como estoquista e apesar de gostar do trabalho não é algo que eu ame e sinto que já não me cabe mais, meus objetivos principais para agora é conseguir finalmente trabalhar com algo que eu tenha interesse maior e que eu sinta que estou crescendo e adquirindo novas experiências para minha vida pessoal e profissional.</t>
  </si>
  <si>
    <t>apesar de amar fotografia e me identificar muito com a área, o meu interesse maior atualmente é ingressar no curso de biblioteconomia.  Meus objetivos pra daqui em diante é conseguir finalmente começar esse curso, ter tempo para voltar a me dedicar para minha arte, ter estabilidade em casa e quero poder estar sempre me aprimorando para a minha área de interesse atual</t>
  </si>
  <si>
    <t>506.552.608-70</t>
  </si>
  <si>
    <t>Gabrielle Nicole Nascimento</t>
  </si>
  <si>
    <t>PAMELA MONTEIRO</t>
  </si>
  <si>
    <t>Pamela Monteiro</t>
  </si>
  <si>
    <t>gabriellen014@gmail.com</t>
  </si>
  <si>
    <t>https://yz2spukd8h-jbrk7pf7uvw.s3.amazonaws.com/2024/05/F83nGAT1B2LRKcYl98BxVCpcJqD5/9fNYiGhwJBRSBI%3D.jpg</t>
  </si>
  <si>
    <t>21 anos, 11 meses, 25 dias</t>
  </si>
  <si>
    <t>O NOME ANTIGO FOI ERRO DO CORRETOR</t>
  </si>
  <si>
    <t>05891-500</t>
  </si>
  <si>
    <t>Rua da Terra Portucalense</t>
  </si>
  <si>
    <t>397952223</t>
  </si>
  <si>
    <t>(11) 95978-4198</t>
  </si>
  <si>
    <t>Me chamo Gabrielle Nicole, nascida e crescida na Cidade de São Paulo, e tenho 21 anos.   Cresci próxima da minha família por parte de mãe, e um ambiente atencioso e colaborador para o meu crescimento em um todo, como pessoa e profissional. Ambiente esse em que também cresci aprendendo a valorizar a arte e a compaixão pelo próximo, e de gancho me considero uma artista e amante da mesma desde que me entendo por gente.</t>
  </si>
  <si>
    <t>Atualmente, acredito que sigo dentro dos valores que sempre tivemos em família, respeitando e valorizando a arte e de tudo mais um pouco que a natureza nos proporciona.  Sendo assim, vou contar um pouquinho do que faço para manter a arte viva na minha vida e como eu a exerço diariamente. Sou dançarina de danças urbanas em estudo constante, pois ainda não me considero uma profissional, mas foi na dança onde me enxerguei de forma genuína e transparente, pois acredito que a dança, especificamente essa forma de arte, foi o que coloriu ainda mais a minha vida, e foi através dela que pude aprender sobre respeito, cultura, dedicação e visão de futuro.  Até porque desistir não acelera o processo!</t>
  </si>
  <si>
    <t>Sendo assim, acho que criar uma visão de futuro consiste em estar sempre próxima da arte, seja dançando, colaborando a fomentar arte e cultura da ponte pra cá ou apoiando artistas locais.   E é assim, toda vez que imagino meu futuro espero estar perto da arte, criando, colaborando e expandindo tudo que temos de bom para outros e novos locais.  E acredito que esse edital seja esse suspiro pra mim, seja a forma de ainda me manter perto do que amo, seja a chance de aprender mais e apoiar mais a cultura linda que temos da ponte pra cá, e acredito que seja a minha chance de me manter na cena para além da minha dança.</t>
  </si>
  <si>
    <t>377.641.048-50</t>
  </si>
  <si>
    <t>Gabriel Lucas Dos Santos Pacheco</t>
  </si>
  <si>
    <t>pachecollucas07@gmail.com</t>
  </si>
  <si>
    <t>https://yz2spukd8h-jbrk7pf7uvw.s3.amazonaws.com/2024/04/bIRQbCw6NKyISrWc3kQutb/W0fiBxz4Lk0aWEMEVFqM%3D.jpeg</t>
  </si>
  <si>
    <t>26 anos, 3 meses, 23 dias</t>
  </si>
  <si>
    <t>Jardim Cidade Pirituba</t>
  </si>
  <si>
    <t>02941-030</t>
  </si>
  <si>
    <t>Rua José Antônio de Brito</t>
  </si>
  <si>
    <t>169</t>
  </si>
  <si>
    <t>58.807.522-x</t>
  </si>
  <si>
    <t>(11) 96831-8654</t>
  </si>
  <si>
    <t>11-968318654</t>
  </si>
  <si>
    <t>sonoplastia e fotografia</t>
  </si>
  <si>
    <t>Natural de Salvador na Bahia, criado pelas mulheres mais fortes que conheço (minhas tias, avó e mãe). Culturalmente, sempre fui cercado por tradições muito enraizadas, músicas regionais e únicas, que formaram minha identidade, percepções, visão de mundo e moldaram minha forma de pensar.  Atualmente morando em São Paulo, aos 26 anos descobri a beleza dos meus traços e da minha pele e sigo buscando transmitir essas descobertas à todos.</t>
  </si>
  <si>
    <t>Me especializei em sonoplastia e audiovisual, sou técnico formado pelo Senac São Paulo. A música sempre fez parte da minha trajetória e me conecta com muitos sentimentos e memórias, por isso estou fazendo disso parte da minha profissão.  Busco oportunidades e experiências na minha área, para abranger meu conhecimento, fazer novas conexões e experimentar novos modos de pensar.</t>
  </si>
  <si>
    <t>Rumo à faculdade de audiovisual, trilhando um caminho de expressão e representatividade. Meus próximos passos é concentrar minhas energias e conhecimento em elevar o poder do povo preto a novos ambientes e patamares, através das lentes e do som que contam muitas histórias de todo um povo. Minha expectativa é alcançar novos horizontes de 5 a 10 anos.</t>
  </si>
  <si>
    <t>042.058.545-10</t>
  </si>
  <si>
    <t>ANA BEATRIZ DA SILVA DAMASCENO</t>
  </si>
  <si>
    <t>Ana Beatriz Da Silva Damasceno</t>
  </si>
  <si>
    <t>Rudá Rael Da Silva Damasceno</t>
  </si>
  <si>
    <t>damascenorudarael@gmail.com</t>
  </si>
  <si>
    <t>https://yz2spukd8h-jbrk7pf7uvw.s3.amazonaws.com/2024/06/nfOedmmn70gVGZ6Lfli8xnN2RjabEcCZ3cqmgBJPVxI%3D.jpeg</t>
  </si>
  <si>
    <t>23 anos, 11 meses, 12 dias</t>
  </si>
  <si>
    <t>Vila Constança</t>
  </si>
  <si>
    <t>73015-602</t>
  </si>
  <si>
    <t>Rua das vertentes</t>
  </si>
  <si>
    <t>3173876 ssp/DF</t>
  </si>
  <si>
    <t>(61) 99537-2442</t>
  </si>
  <si>
    <t>DAMASCENORUDARAEL@GMAIL.COM</t>
  </si>
  <si>
    <t>https://www.instagram.com/rud4_r4el?igsh=MW00bGw0MHYxaGp6MA==</t>
  </si>
  <si>
    <t>INCOMPLETO - CIENCIAS SOCIAIS</t>
  </si>
  <si>
    <t>https://drive.google.com/file/d/1nqrzXD0TIdtdLrnIymbxEuKT_RRZwOa-/view?usp=drivesdk</t>
  </si>
  <si>
    <t>039.516.361-73</t>
  </si>
  <si>
    <t>Igor Guilherme Mascarenhas Reis</t>
  </si>
  <si>
    <t>igor.gui_mreis@hotmail.com</t>
  </si>
  <si>
    <t>https://yz2spukd8h-jbrk7pf7uvw.s3.amazonaws.com/2024/06/ohZhzrvZ8VbI/Uxauw5Qd9SWQNMr3EWzfL0CGDqszwg%3D.png</t>
  </si>
  <si>
    <t>19 anos, 6 meses, 16 dias</t>
  </si>
  <si>
    <t>Vila Siqueira (Zona Norte)</t>
  </si>
  <si>
    <t>02723-050</t>
  </si>
  <si>
    <t>Apto 94 Bloco A</t>
  </si>
  <si>
    <t>Avenida Sebastião Henriques</t>
  </si>
  <si>
    <t>521064211</t>
  </si>
  <si>
    <t>(11) 97838-1708</t>
  </si>
  <si>
    <t>11-978381708</t>
  </si>
  <si>
    <t>Vim da brasilândia, zona norte, vim de um curso de teatro da fábrica de cultura da cachoeirinha, amando cada vez mais a arte e realizando o ateliê de projeto espetáculo do ano de 2021. Definitivamente o melhor projeto que já participei na minha vida, sinto muita saudade até hoje de todo processo. Despertou todos meus sentimentos para a arte e o jeito de como me relacionar com ela.</t>
  </si>
  <si>
    <t>Agora estou na freguesia do ó, ainda zona norte (pretendo nunca sair dela), morando com minha mãe e minha irmã caçula, tentando ser adulto e conseguindo, trabalhando em um mercado estreiando meu segundo emprego no mundo. Lendo demais nas horas vagas, me perdendo em Virginia Woolf, Fiodor Dostoiévski e Charles Buckowski. Escrevendo poemas sobre o céu a noite e o amor.</t>
  </si>
  <si>
    <t>Quero ir a fundo nas letras, descobrir mais escritores na faculdade, aprender mais duas línguas, me envolver cada vez mais com a arte de escrever, talvez compor mais canções como no projeto espetáculo, ou ser um professor que faça um próximo Machado de Assis se despertar, tentar fazer qualquer aluno se apaixonar pelo desabafo da mente nas páginas, incentivar a escrita livre, sem padrões, sem pontuações, diferente e sincero</t>
  </si>
  <si>
    <t>471.048.198-94</t>
  </si>
  <si>
    <t>Luiz Henrique Weimann Furtado</t>
  </si>
  <si>
    <t>furtadohenriqueluiz@gmail.com</t>
  </si>
  <si>
    <t>https://yz2spukd8h-jbrk7pf7uvw.s3.amazonaws.com/2024/06/e/sTGqm%2BWq/DmqXgiUUuRrKDfTO9La6DBbsrrRKErII%3D.jpg</t>
  </si>
  <si>
    <t>26 anos, 1 meses, 7 dias</t>
  </si>
  <si>
    <t>Vila Granada</t>
  </si>
  <si>
    <t>03622-000</t>
  </si>
  <si>
    <t>01</t>
  </si>
  <si>
    <t>Rua Mandu</t>
  </si>
  <si>
    <t>288</t>
  </si>
  <si>
    <t>288095374</t>
  </si>
  <si>
    <t>(11) 97840-9236</t>
  </si>
  <si>
    <t>FURTADOHENRIQUELUIZ@GMAIL.COM</t>
  </si>
  <si>
    <t>https://www.instagram.com/dongordon.mc?igsh=MTZ5bDB4dnF2M2J6Yw==</t>
  </si>
  <si>
    <t>PRODUÇÃO AUDIOVISUAL</t>
  </si>
  <si>
    <t>CEU TIQUATIRA</t>
  </si>
  <si>
    <t>BIBLIOTECA HANS CHRISTIAN ANDERSEN</t>
  </si>
  <si>
    <t>Me chamo Luiz, tenho 26.    Nasci e cresci no bairro da Bela Vista, próxima a escola de samba Vai-Vai.  Comecei e completei os estudos no mesmo bairro.    Trabalho desde os 14 anos, onde fui jovem aprendiz.     Me formei com bolsas de estudos no Senac, em produção áudio visual e locução.    Além de outros cursos voltados para a arte, assim como artes cênicas.     Dede jovem, estou em coletivos de batalhas de rima.</t>
  </si>
  <si>
    <t>Há alguns anos, faço trabalho voluntário, como organizador de batalhas de rima e coletivos culturais na Penha e no centro de São Paulo.     Estou desempregado no momento, porém procurando oportunidades voltadas ao setor cultural.    Todas as semanas, produzo e apresento batalha de rimas e outros eventos culturais, principalmente voltados a cultura Hip Hop.</t>
  </si>
  <si>
    <t>Após todos esses anos envolvidos diretamente com a cultura, não consigo imaginar caminho profissional e social, longe da arte e das responsabilidades que a cultura trás. Dentre elas o cuidado social e a fomentação de oportunidades para os cidadãos.    Deste modo, sigo Lutando e buscando um espaço para que breve eu possa desempenhar esse papel na sociedade.</t>
  </si>
  <si>
    <t>472.570.228-52</t>
  </si>
  <si>
    <t>MATHEUS NOVAES LESSA</t>
  </si>
  <si>
    <t>Matheus Novaes Lessa</t>
  </si>
  <si>
    <t>LESSA</t>
  </si>
  <si>
    <t>Lessa</t>
  </si>
  <si>
    <t>m.n.lessa01@gmail.com</t>
  </si>
  <si>
    <t>https://yz2spukd8h-jbrk7pf7uvw.s3.amazonaws.com/2024/04/UVMPA9dO4sgGb5NjCszs2qar43Dw2Af%2BgEMGdiJ6j9w%3D.jpeg</t>
  </si>
  <si>
    <t>23 anos, 0 meses, 30 dias</t>
  </si>
  <si>
    <t>08470-810</t>
  </si>
  <si>
    <t>116</t>
  </si>
  <si>
    <t>Rua Vagner Monzoli</t>
  </si>
  <si>
    <t>39089780-2</t>
  </si>
  <si>
    <t>(11) 96066-2363</t>
  </si>
  <si>
    <t>M.N.LESSA01@GMAIL.COM</t>
  </si>
  <si>
    <t>https://l.facebook.com/l.php?u=https%3A%2F%2Fwww.instagram.com%2Fm.n.lessa%3Ffbclid%3DIwAR15f892JUjNatU_NOHu2NN_crCxtU-FmU5yQX1VIO7KkaZw983j6XaD4TU_aem_AfsVgLTSOSI-2d2Pgzp4nhtrqwSItjo-f7JY_3mMAeocYick</t>
  </si>
  <si>
    <t>TECNICO ANALISE CLINICAS</t>
  </si>
  <si>
    <t>Doutorado</t>
  </si>
  <si>
    <t>Meu nome é, matheus novaes lessa , tenho 22 anos , sou residente do bairro cidade tiradentes, sou artista independente, e desde de os 16 anos venho me dedicado a área da música, e meus primeiros contatos para a arte se introduziram dentro de espaços culturais do meu bairro, No centro de formação cultural cidade tiradentes (CFCCT), foi onde eu tive o primeiro contato com  variadas linguagens artísticas, O céu agúa azul, O pombas urbanas (Centro Cultural Arte em construção) A casa de hip hop leste, que me deu oportunidade de assistir apresentações também com variadas linguagens artísticas ,onde eu pude gravar entrevistas, me apresentar, ver exposições , entre varias outras programações</t>
  </si>
  <si>
    <t>No presente ,estou produzindo meu primeiro trabalho ,e em breve gostaria de poder investir mais na minha profissão, hoje estudo produção musical ,pelo projeto rede daora, e participo de oficinas de leitura, saraus, e continuo frequentando o núcleo artistico, recentemente a casa de Hip Hop Leste, tem dado a oportunidade dos artistas regionais se apresentarem, em um novo sarau ,que por volta eu estou presente, e por fora eu trabalho com alguns eventos , para eu investir na minha arte, como vagonista (Cantor nos vagões de são paulo), auxiliar de limpeza, artesão, ajudante geral e tem sido assim que eu tenho investido meu tempo atualmente</t>
  </si>
  <si>
    <t>Eu quero desenvolver melhor meu trabalho como artista periférico, e como eu já sou frequentador do meio artístico, seria uma ótima oportunidade de estar no meio artístico, e por dentro dos assuntos do meio cultural , onde poderei ascessar de perto ,informações que vão me agregar como profissional, e o PJMC, me chama justamente a atenção para isso, conhecer novos lugares, novas pessoas, e ter novos conhecimentos</t>
  </si>
  <si>
    <t>240.916.548-60</t>
  </si>
  <si>
    <t>malconric2018@gmail.com</t>
  </si>
  <si>
    <t>https://yz2spukd8h-jbrk7pf7uvw.s3.amazonaws.com/2024/05/PUimU6TDbUKOyH5rkZGwHx55qco0TAo%2BAW3fVFyrIK4%3D.jpg</t>
  </si>
  <si>
    <t>22 anos, 3 meses, 27 dias</t>
  </si>
  <si>
    <t>Jardim Maringá</t>
  </si>
  <si>
    <t>03525-050</t>
  </si>
  <si>
    <t>Rua Teodoro Lorencini</t>
  </si>
  <si>
    <t>421</t>
  </si>
  <si>
    <t>532895411</t>
  </si>
  <si>
    <t>(11) 96602-3719</t>
  </si>
  <si>
    <t>MALCOMRICK2018@GMAIL.COM</t>
  </si>
  <si>
    <t>Eu sou um jovem periférico que desde pequeno sempre teve os olhos e o coração voltados para a arte cultural, residi em várias comunidades da zona norte e zona sul, escrevo e componho desde da 5 série, e desde cedo sou curioso , gosto de saber sobre outros nichos da arte, a dança o teatro enfim antigamente escrever era hobby, hoje  é mais que isso, é por amor!</t>
  </si>
  <si>
    <t>atualmente resido proximo a estação guilhermina, e por incrível que pareça pude conhecer chegar pra perto, e participar do slam ministrado pelo Emerson que ocorre aqui no metrô, ainda não cheguei a ganhar, mas a satisfação é imensa!!  No momento estou indo atras de emprego pois sai recentemente de um, e o tempo que tenho por enquanto que não aparece algo,  estou me organizando pois tenho um projeto na qual realizava nas escolas, uma oficina de poesia sarau e slam, já rodei algumas escolas da região com esse projeto inclusive passei até pelo Senac uma experiência foda pra mim!</t>
  </si>
  <si>
    <t>Bom pra onde eu vou exatamente, sinceramente ainda não sei pois, sou um jovem cheio de sonhos a serem realizados, e o mundo muda muito rápido, não se sabe o rumo certo das coisas com tudo que vem acontecendo, e sempre é bom nos reiventarmos mas me vejo lá na frente realizado e realizando projetos incríveis na área da cultura, e incentivando jovens periféricos mostrando a eles que há várias saídas do mundo do crime na qual é uma ilusão, assim como me inspiro escutando Rap, Dançando se expressando quando recito algo meu, isso faz eu me sentir mais vivo, e pretendo despertar isso também nas pessoas ao meu redor!</t>
  </si>
  <si>
    <t>474.457.578-13</t>
  </si>
  <si>
    <t>LAIS HELENA DO NASCIMENTO BRITO</t>
  </si>
  <si>
    <t>lais.hbrito2@gmail.com</t>
  </si>
  <si>
    <t>https://yz2spukd8h-jbrk7pf7uvw.s3.amazonaws.com/2024/05/GQQyeVwMxrcK29YPJOUSztOLlowSCausPdnriWJ9O0g%3D.jpg</t>
  </si>
  <si>
    <t>22 anos, 3 meses, 0 dias</t>
  </si>
  <si>
    <t>SUPERIOR  FISIOTERAPIA  NÃO  CONCLUIDO</t>
  </si>
  <si>
    <t>Vila Esperança</t>
  </si>
  <si>
    <t>03651-060</t>
  </si>
  <si>
    <t>Rua Tapari</t>
  </si>
  <si>
    <t>254</t>
  </si>
  <si>
    <t>532895447</t>
  </si>
  <si>
    <t>(11) 98534-2535</t>
  </si>
  <si>
    <t>LAIS.HBRITO2@GMAIL.COM</t>
  </si>
  <si>
    <t>QUIMICA  E ARTE CENICAS</t>
  </si>
  <si>
    <t>Eu iniciei na arte através da dança. Sempre gostei de dançar, desde os 12 anos de idade quando eu dançava Street Dance. Sinto que a Arte sempre esteve presente na minha vida de alguma forma. Se não através de mim, pelos meus pais, tios, primos, etc. Quando chegou na minha adolescência eu comecei a dançar músicas contemporâneas na igreja que eu frequentava.</t>
  </si>
  <si>
    <t>Além da dança, eu tinha o desejo de ser atriz quando criança, mas parecia ser um sonho muito distante da minha realidade. Atualmente, tive oportunidades de atuar em filmes, curta metragens, publicidades, novelas...sou grata por cada passo dado até aqui, por estar realizando um sonho! Acabei de me formar em um curso técnico de teatro, aonde tivemos noções de criações de oficinas, organizações de eventos culturais... infelizmente foi um aprendizado raso sobre isso, já que o foco do curso era outro .</t>
  </si>
  <si>
    <t>Desejo trabalhar no meio artístico para o resto da vida, se o destino me permitir. Tenho interesse em aprender mais sobre eventos culturais, em dirigir espetáculos teatrais, em trabalhar em produção de audiovisual, em saber como funciona a parte administrativa de uma instituição da Cultura. Quero ser imersa neste campo cada vez mais e levar a arte para o máximo de pessoas possíveis.</t>
  </si>
  <si>
    <t>522.257.528-42</t>
  </si>
  <si>
    <t>Luiz Gustavo Lima Santos</t>
  </si>
  <si>
    <t>luizgustavolls@hotmail.com</t>
  </si>
  <si>
    <t>https://yz2spukd8h-jbrk7pf7uvw.s3.amazonaws.com/2024/06/BwUPjbDIwVZvcbUo9%2BNrSBPZd7FyGfgZ3eNlc80N6V0%3D.jpeg</t>
  </si>
  <si>
    <t>26 anos, 1 meses, 27 dias</t>
  </si>
  <si>
    <t>Campo limpo</t>
  </si>
  <si>
    <t>05790-400</t>
  </si>
  <si>
    <t>rua praia de miramar</t>
  </si>
  <si>
    <t>539772367</t>
  </si>
  <si>
    <t>(11) 91012-5115</t>
  </si>
  <si>
    <t>Nasci e cresci na periferia vibrante do Grajaú, onde a desigualdade e o preconceito muitas vezes caminham de mãos dadas. Como uma pessoa LGBTQI+, enfrentei desafios únicos ao longo da minha jornada. Mas, através da arte da dança, encontrei uma maneira de resistir e transcender essas barreiras. Cada movimento é uma afirmação da minha identidade e uma reivindicação do meu espaço neste mundo.  Ao longo do caminho, tive a oportunidade de explorar uma variedade de formas artísticas.  Desde o teatro, ginástica artística e judô até a dança contemporânea, danças brasileiras, hip hop e jazz funk, cada disciplina acrescentou uma camada única à minha expressão artística.</t>
  </si>
  <si>
    <t>Atualmente ser um jovem estudante de comunicação com bolsa integral em uma instituição de ensino é uma oportunidade que valorizo imensamente. Graças a essa bolsa, tenho acesso a uma educação de qualidade que, de outra forma, seria inacessível para mim e minha família. A cada dia, venho me dedicando  intensamente aos meus estudos, consciente de que esta é a chave para mudar a minha situação de vida e da minha família. Minha motivação para seguir em frente vem da vontade de proporcionar uma vida melhor para minha família. Cada aula, cada projeto, representa um passo em direção a esse objetivo. Sei que o caminho não é fácil, mas estou determinado a fazer o que for necessário para alcançar.</t>
  </si>
  <si>
    <t>Olhando para o futuro, me vejo fundindo essas duas paixões: a arte e a comunicação. Me visualizo  trabalhando em projetos que unam a arte, criatividade e estratégia, onde possa explorar novas formas de contar histórias e inspirar mudanças positivas na sociedade. Sei que o caminho adiante será desafiador, mas estou pronto para enfrentar cada obstáculo com determinação e entusiasmo, sempre alimentado pelo amor pela arte e pela comunicação que impulsiona a seguir em frente.</t>
  </si>
  <si>
    <t>456.955.108-48</t>
  </si>
  <si>
    <t>Joyce Elvira De Oliveira Pereira Machado</t>
  </si>
  <si>
    <t>joyceeuoliveira@gmail.com</t>
  </si>
  <si>
    <t>https://yz2spukd8h-jbrk7pf7uvw.s3.amazonaws.com/2024/06/gmuQEEHHaTID3gFuPQ8Z7%2B/d335PcaseJHqCyYRHI8o%3D.jpg</t>
  </si>
  <si>
    <t>22 anos, 7 meses, 0 dias</t>
  </si>
  <si>
    <t>BACHARELADO EM ANDAMENTO TRANCADO, MAS PRETENDE VOLTAR</t>
  </si>
  <si>
    <t>05820-120</t>
  </si>
  <si>
    <t>Rua Capitanias Hereditárias</t>
  </si>
  <si>
    <t>1401</t>
  </si>
  <si>
    <t>50031640-x</t>
  </si>
  <si>
    <t>(11) 95854-5028</t>
  </si>
  <si>
    <t>BACHARELADO EM CIENCIAS SOCIAIS</t>
  </si>
  <si>
    <t>Saudações a todxs. Meu nome é Joyce Elvira, tenho 22 anos e resido na zona sul de São Paulo, no distrito Jd. São Luis. Moro com minha mãe. Já trabalhei com vendas no segmento, imobiliário e seguro de carro. Estudei ciências sociais, até o quinto ano, tenho interesse em retornar em breve. Atualmente estou trabalhando como atendente em um empório árabe na região do campo belo.</t>
  </si>
  <si>
    <t>Conclui meus estudos na escola do bairro e participei de campanhas e projetos sociais em parceria da escola com a comunidade. Como o programa "escola da família" onde os pais eram convidados a participar de atividades junto aos seus filhos. Fui vice presidente do grêmio estudantil, participei de ações e projetos culturais, junto a escola e a comunidade. Projetos em na fábrica de cultura do meu distrito. Tendo como objetivo trazer a comunidade e os jovens para mais perto da acessibilidade e os direitos básicos de todo jovem necessita; lazer, cultura e educação. Através de espaços culturais públicos, poderão desenvolver seu senso de cidadão e suas habilidades cognitivas.</t>
  </si>
  <si>
    <t>Tenho como objetivo principal em fazer parte do grupo de jovens monitores culturais da prefeitura de São Paulo. é poder ajudar ao máximo aos jovens do meu bairro e de todas as regiões, a desenvolver seu senso critico e as possibilidades que o lazer e a cultural podem proporcionar ao um jovem de periferia e que isso não é algo impossível, em ter em seu bairro espaços que terão oficinas, apresentações que trarão a esperança de volta para a juventude e que todos nós somos e podemos ser artistas se quisermos e que nenhum sonho é impossível. Sendo uma oportunidade esplêndida em minha vida, poderei dar continuidade na minha área, voltar a cursar a faculdade e assim fazer o que eu amo.</t>
  </si>
  <si>
    <t>407.101.938-74</t>
  </si>
  <si>
    <t>ANDRESSA SANTOS DOURADO</t>
  </si>
  <si>
    <t>Andressa Santos Dourado</t>
  </si>
  <si>
    <t>Dressa Dourado</t>
  </si>
  <si>
    <t>douradoandressa38@gmail.com</t>
  </si>
  <si>
    <t>https://yz2spukd8h-jbrk7pf7uvw.s3.amazonaws.com/2024/05/QDl8EaQv3f/yzqHZaEJ1OQdgrGpIN5AKoWJAVsHR9yM%3D.jpg</t>
  </si>
  <si>
    <t>20 anos, 7 meses, 6 dias</t>
  </si>
  <si>
    <t>Parque Regina</t>
  </si>
  <si>
    <t>05773-010</t>
  </si>
  <si>
    <t>Bloco 11 AP 31</t>
  </si>
  <si>
    <t>Avenida Andréa Pisano</t>
  </si>
  <si>
    <t>30</t>
  </si>
  <si>
    <t>503667821</t>
  </si>
  <si>
    <t>(11) 94921-4286</t>
  </si>
  <si>
    <t>TECNICO EM FOTOGRAFIA</t>
  </si>
  <si>
    <t>Me chamo Andressa Dourado e tenho 20 anos, sou de São Paulo, eu vim de cultura, culturas totalmente diferentes, mas que quando se juntam se tornam algo incrível, vim de família humilde,  nunca tive privilégios sobre a vida, mas sempre correndo atrás de oportunidades, meus pais me apoiam, diante de tudo, mas nunca conseguiram me ajudar com os meus sonhos, mas sou grata por eles.</t>
  </si>
  <si>
    <t>Atualmente, estou em um trabalho que não me agrada mais, sinto em dizer que sinto muita ansiedade, geralmente com a mesma rotina, então realmente estou em um nevoeiro da vida, sofro muita exploração por lá, mas estou em busca de coloração pra vida, me mantendo lá pelo financeiro, já não consigo ser a mesma no meu ambiente de trabalho, perdir a vida e quero ela de volta.</t>
  </si>
  <si>
    <t>Estou em busca de coloração, em busca de experiências a mais, estou em uma direção em que a cultura será o destaque do meu objetivo, quero fazer momentos para as pessoas também de preferências inesquecíveis, quero viver da arte, voltar a ser quem eu fui um dia e quem eu serei em breve e sim a fotografia está sendo o meu maior objetivo, quero ser arte um dia.</t>
  </si>
  <si>
    <t>479.691.178-21</t>
  </si>
  <si>
    <t>KAUA DOS SANTOS PRIETO CAGGIANO</t>
  </si>
  <si>
    <t>Kauã Dos Santos Prieto Caggiano</t>
  </si>
  <si>
    <t>KAUÃ</t>
  </si>
  <si>
    <t>Kauã</t>
  </si>
  <si>
    <t>kauaprieto14@gmail.com</t>
  </si>
  <si>
    <t>https://yz2spukd8h-jbrk7pf7uvw.s3.amazonaws.com/2024/06/Bn0%2BGexgKdNMnWliKm7amCmuEdSDJ6n56Y518RYMm2c%3D.jpeg</t>
  </si>
  <si>
    <t>21 anos, 11 meses, 13 dias</t>
  </si>
  <si>
    <t>Jardim Adhemar de Barros</t>
  </si>
  <si>
    <t>05539-080</t>
  </si>
  <si>
    <t>ap 13</t>
  </si>
  <si>
    <t>Rua José Álvares Maciel</t>
  </si>
  <si>
    <t>241</t>
  </si>
  <si>
    <t>397103554</t>
  </si>
  <si>
    <t>(11) 97024-5990</t>
  </si>
  <si>
    <t>Kauaprieto14@gmail.com</t>
  </si>
  <si>
    <t>https://www.instagram.com/ksd_emicii?igsh=cmwyeGExbXI5NzJ1</t>
  </si>
  <si>
    <t>eu nome é Kauã , sou um jovem de 21 pra 22 anos nasci na Lapa e sou morador do Butantã desde 2014 , morei com minha mãe e meus 4 irmãos até os 12 anos e após fui morar com minha avó no Butantã que infelizmente tem esclerose múltipla, mas jamais atrapalhou de cuidar de mim , ajudo ela como voluntário na instituição do câncer chamado graacc, e desde então é minha meta é orgulhar ela .</t>
  </si>
  <si>
    <t>Atualmente moro com minha avó e meu avó, os dois com 75 anos , estou desempregado e em busca de uma oportunidade que me abre portas e mude minha mente , atualmente faço curso de espanhol para melhorar algo que eu gosto , fora isso eu canto e escrevo poesias para mim mesmo , cuido da minha avó e meu avô retribuindo tudo que eles fizeram por mim a vida toda.</t>
  </si>
  <si>
    <t>Penso para aonde vou a todo momento e quero fazer algo que esteja próximo de mudar meu futuro, quero abrir um bazar de roupas , livros para ajudar os mais necessitados e é o sonho da minha avó também , penso em ajudar meus irmãos que são 4 e ver eles crescendo , quero fazer uma faculdade de produção ou marketing que é algo que gosto bastante,estudar também é algo que eu queria voltar .</t>
  </si>
  <si>
    <t>523.335.878-65</t>
  </si>
  <si>
    <t>Larissa Costa Da Silva</t>
  </si>
  <si>
    <t>larissa.costa.silva123@gmail.com</t>
  </si>
  <si>
    <t>https://yz2spukd8h-jbrk7pf7uvw.s3.amazonaws.com/2024/06/M1qdr70O3OmGTbIjIsHaLCDdDNzv4GekuEZGuvJaHZ4%3D.jpeg</t>
  </si>
  <si>
    <t>20 anos, 5 meses, 30 dias</t>
  </si>
  <si>
    <t>Parque Boa Esperança</t>
  </si>
  <si>
    <t>08341-090</t>
  </si>
  <si>
    <t>Rua Pedro Leme</t>
  </si>
  <si>
    <t>557435146</t>
  </si>
  <si>
    <t>(11) 95808-4715</t>
  </si>
  <si>
    <t>LARISSA.COSTA.SILVA123@GMAIL.COM</t>
  </si>
  <si>
    <t>Meu nome é Larissa e tenho 20 anos. A maior parte das minhas experiências artísticas foram realizadas na fábrica de cultura Sapopemba, onde fiz aulas de circo, teatro e música durante o final da infância e adolescência. Depois de terminar o ensino médio, ingressei na   Universidade de São Paulo, na graduação em Letras, mas não concluí o curso. Em 2023 ingressei na formação de atores da Escola Livre de   Teatro de Santo André, onde sigo estudando. Tenho interesse em seguir nas áreas da atuação, direção, dramaturgia e música. Também me interesso muito por literatura, por clubes de leitura e contação de histórias, principalmente para o público infantil.</t>
  </si>
  <si>
    <t>Eu sempre morei na zona leste de São Paulo.  Durante a maior parte da minha vida, morei especificamente no bairro Parque Boa Esperança, região de São Mateus, mas durante a infância já vivi em Guaianases/Itaquera. Minha vivência artística sempre se deu em   espaços públicos perto da região onde moro. Apesar de ter frequentado mais a Fábrica de Cultura de Sapopemba, região vizinha, também   sempre tive um contato próximo com o CEU São Mateus. Atualmente eu ainda participo de um ateliê na mesma fábrica de cultura e faço formação artística em Santo André, cidade que faz divisa com São Mateus.</t>
  </si>
  <si>
    <t>Para o futuro, tenho  o objetivo e o interesse de trabalhar buscando intersecções entre teatro, música e literatura. O Programa Jovem Monitor Cultural é um meio pelo qual eu acredito ser possível alcançar esse objetivo na minha região, a zona leste de São Paulo. Tenho vontade de conhecer mais os espaços públicos culturais localizados perto de onde eu moro e articular meus possíveis futuros projetos com esses espaços.</t>
  </si>
  <si>
    <t>528.917.078-26</t>
  </si>
  <si>
    <t>Cintia Pereira Da Silva</t>
  </si>
  <si>
    <t>cintia.pereira21@gmail.com</t>
  </si>
  <si>
    <t>https://yz2spukd8h-jbrk7pf7uvw.s3.amazonaws.com/2024/06/AstKBu6gqISgsqXhixkd3aSYysxHED3%2BOaihC73iNRM%3D.jpg</t>
  </si>
  <si>
    <t>23 anos, 8 meses, 17 dias</t>
  </si>
  <si>
    <t>Jardim Sydney</t>
  </si>
  <si>
    <t>02982-040</t>
  </si>
  <si>
    <t>Rua Nova Guataporanga</t>
  </si>
  <si>
    <t>327</t>
  </si>
  <si>
    <t>389048328</t>
  </si>
  <si>
    <t>(11) 93956-7442</t>
  </si>
  <si>
    <t>https://www.instagram.com/cinthia_pmiller?utm_source=ig_web_button_share_sheet&amp;igsh=ZDNlZDc0MzIxNw==</t>
  </si>
  <si>
    <t>pedagogia e psicologia</t>
  </si>
  <si>
    <t>https://www.youtube.com/watch?v=Xmu4p2CxxNo</t>
  </si>
  <si>
    <t>468.325.748-35</t>
  </si>
  <si>
    <t>Erik balbino alves</t>
  </si>
  <si>
    <t>Erik Balbino Alves</t>
  </si>
  <si>
    <t>ERIK ALVES</t>
  </si>
  <si>
    <t>Erik Alves</t>
  </si>
  <si>
    <t>contatoerikalves@outlook.com</t>
  </si>
  <si>
    <t>https://yz2spukd8h-jbrk7pf7uvw.s3.amazonaws.com/2024/05/vRUykyCWRvNJpITwTtUJjMwi66lcbTEelmXMVLRNdao%3D.jpeg</t>
  </si>
  <si>
    <t>27 anos, 5 meses, 30 dias</t>
  </si>
  <si>
    <t>telefone deixado pertence à mãe</t>
  </si>
  <si>
    <t>Jardim Aurélio</t>
  </si>
  <si>
    <t>05857-170</t>
  </si>
  <si>
    <t>Rua Accácio Figueiredo</t>
  </si>
  <si>
    <t>465</t>
  </si>
  <si>
    <t>398838987</t>
  </si>
  <si>
    <t>(11) 98731-8248</t>
  </si>
  <si>
    <t>TECNICO EM BIBLIOTECONOMIA</t>
  </si>
  <si>
    <t>CEU CANTOS DO AMANHECER</t>
  </si>
  <si>
    <t>Vim de um bairro carente, bairro esse com um histórico de violência criminal e policial muito grande. Meus pais passaram muitas dificuldades para criar eu e meus outros cinco irmãos. Apesar disso, meus pais sempre me incentivou a estudar e correr atrás de meus sonhos. E Ingressar no programa Jovem monitor cultural é um dos meus maiores sonhos atualmente.  compreendo que através do programa eu terei mais acesso a cultura e a arte.</t>
  </si>
  <si>
    <t>Estou inserido numa região com pouco acesso a cultura. há algumas ONGs e projétos artísticos e sociais, mas ainda assim é pouco para suprir a demanda de pessoas que procuram por esses espaços e, por falta deste acesso  a cultura, muitos jovens acabam migrando para a criminalidade. Há também aqueles que, por passarem muita necessidade, acabam por escolher apenas trabalhar para ajudar suas famílias com as despesas de casa ou pagar alugueis, e com isso acabam se afastando até mesmo da escola.</t>
  </si>
  <si>
    <t>Quero sonhar alto e, através da cultura, proporcionar uma vida melhor para mim e para os meus pais, seja no teatro, na música, no audiovisual,  em bibliotecas ou onde for possível ocupar um espaço. Quero conhecer novas pessoas, novos lugares, poder disseminar e abraçar novas ideias. E sei que através do programa jovem monitor cultural poderei alcançar maiores níveis tanto intelectualmente, quanto profissionalmente.</t>
  </si>
  <si>
    <t>431.537.098-31</t>
  </si>
  <si>
    <t>KAUAN ALVES DE SOUSA</t>
  </si>
  <si>
    <t>Kauan Alves De Sousa</t>
  </si>
  <si>
    <t>KAUAN</t>
  </si>
  <si>
    <t>Kauan</t>
  </si>
  <si>
    <t>alveskauan964@gmail.com</t>
  </si>
  <si>
    <t>https://yz2spukd8h-jbrk7pf7uvw.s3.amazonaws.com/2024/04/YEEHCFohSilbubxxOp0%2Bi7kO0F7z2qW4M9Cv1/KXUNc%3D.jpeg</t>
  </si>
  <si>
    <t>18 anos, 7 meses, 27 dias</t>
  </si>
  <si>
    <t>Vila missionária</t>
  </si>
  <si>
    <t>04430-010</t>
  </si>
  <si>
    <t>Rua rainha das missões</t>
  </si>
  <si>
    <t>579416847</t>
  </si>
  <si>
    <t>(11) 94547-0751</t>
  </si>
  <si>
    <t>https://www.instagram.com/inflka?igsh=aXhjZnhoZG02eWMx&amp;utm_source=qr</t>
  </si>
  <si>
    <t>https://photos.app.goo.gl/rdK7TcgSA5UN1GJU7</t>
  </si>
  <si>
    <t>590.119.388-10</t>
  </si>
  <si>
    <t>Sabrina Barbosa Silva</t>
  </si>
  <si>
    <t>sabrinassb2102@gmail.com</t>
  </si>
  <si>
    <t>https://yz2spukd8h-jbrk7pf7uvw.s3.amazonaws.com/2024/06/CyDoDQMhjuAbS3Ueikq1TreQ2z56oyVuXNRc/zv5cyo%3D.jpeg</t>
  </si>
  <si>
    <t>21 anos, 3 meses, 28 dias</t>
  </si>
  <si>
    <t>Vila Guacuri</t>
  </si>
  <si>
    <t>04475-220</t>
  </si>
  <si>
    <t>Rua das Piraibas</t>
  </si>
  <si>
    <t>69</t>
  </si>
  <si>
    <t>384964680</t>
  </si>
  <si>
    <t>(11) 94970-8232</t>
  </si>
  <si>
    <t>TÉCNICO EM MODA</t>
  </si>
  <si>
    <t>Sou Sabrina, 21 anos. Cresci e moro na periferia da Pedreira, zona sul de São Paulo.   Desde pequena, apaixonada pelo ramo das artes, estudo por conta, almejando uma carreira na área de character designer. Já fiz cursos de diversos assuntos, história em quadrinho, animação, desenho, pintura, roteiro, moda, entre outros e pretendo continuar meus estudos na área de arte e cultura.</t>
  </si>
  <si>
    <t>Atualmente, além de estudar, faço trabalho voluntário na região, em uma organização humanista (BSGI), ajudando a organizar atividades e reuniões, onde estou propondo um projeto para realização de um campeonato de xadrez, além disso também ajudo e participo de encontros de um grupo de dança feminino para criancas e jovens, vinculado a essa organização.</t>
  </si>
  <si>
    <t>Gostaria de participar do jovem monitor porque essa é uma oportunidade de ingressar no ramo da arte e cultura enquanto dou continuidade aos meus estudos, visando me tornar um profissional competente na área almejada, onde posso abrir novos diálogos e compartilhar as minhas experiências e pontos de vista, assim inspirando outras pessoas através da arte.</t>
  </si>
  <si>
    <t>529.636.208-02</t>
  </si>
  <si>
    <t>JOSE MAXSUEL CAMPOS XAVIER</t>
  </si>
  <si>
    <t>José Maxsuel Campos Xavier</t>
  </si>
  <si>
    <t>MAX CAMPOS</t>
  </si>
  <si>
    <t>Max Campos</t>
  </si>
  <si>
    <t>maxsuelgt1@gmail.com</t>
  </si>
  <si>
    <t>https://yz2spukd8h-jbrk7pf7uvw.s3.amazonaws.com/2024/06/bnP4ypbW4NN6r28IT1t2x1aNeM3xwCtca9T7nEiE3co%3D.jpeg</t>
  </si>
  <si>
    <t>24 anos, 1 meses, 5 dias</t>
  </si>
  <si>
    <t>Jardim São Gonçalo</t>
  </si>
  <si>
    <t>08370-210</t>
  </si>
  <si>
    <t>Rua Oronzo Mastrorosa</t>
  </si>
  <si>
    <t>498</t>
  </si>
  <si>
    <t>387799825</t>
  </si>
  <si>
    <t>(11) 97679-5381</t>
  </si>
  <si>
    <t>MAXSUELGT1@GMAIL.COM</t>
  </si>
  <si>
    <t>https://www.instagram.com/maxsuelcampos?utm_source=ig_web_button_share_sheet&amp;igsh=ZDNlZDc0MzIxNw==</t>
  </si>
  <si>
    <t>Nascido na Paraíba, mudei-me para São Paulo aos 2 anos de idade, acompanhado pelos meus pais e meu recém-nascido irmão. Ingressei no mercado de trabalho aos 15 anos, atuando em supermercados por 8 anos, até despertar meu interesse pelo setor artístico e cultural. Iniciei minha trajetória nesse campo quando meu irmão optou por seguir a carreira artística, assumindo a responsabilidade pela gestão de todos os aspectos relacionados à sua carreira, como organização de shows, elaboração de roteiros para clipes e agendamento de estúdios.</t>
  </si>
  <si>
    <t>Atualmente, estou dedicado a ampliar meus conhecimentos e explorar novas oportunidades para avançar na área de produção. Estou absorvendo todas as experiências que acumulei para aprimorar minha profissionalização contínua. Além disso, já participei de projetos significativos, incluindo:    ZL TRAP  BATIDÃO CULTURAL  Produção de shows do mês do Hip Hop  Direção de videoclipes  Virada Cultural  BDR FESTIVAL    Aniversário da Batalha do Rodoanel  Estou comprometido em continuar crescendo e contribuindo de maneira significativa para o cenário artístico e cultural.</t>
  </si>
  <si>
    <t>Meu objetivo é continuar crescendo e contribuir de maneira impactante para o desenvolvimento cultural e artístico. Pretendo aplicar meu conhecimento adquirido e minha paixão pela produção artística em novos desafios, buscando sempre a excelência e a inovação. Aspirando a assumir papéis mais estratégicos e de liderança dentro deste setor vibrante, estou determinado a colaborar para o sucesso de projetos que promovam a diversidade cultural e artística.</t>
  </si>
  <si>
    <t>486.808.628-60</t>
  </si>
  <si>
    <t>VINICIUS APOSTOLO GARCIA MATTOS</t>
  </si>
  <si>
    <t>Vinicius Apostolo Garcia Mattos</t>
  </si>
  <si>
    <t>apostolovinicius0@gmail.com</t>
  </si>
  <si>
    <t>https://yz2spukd8h-jbrk7pf7uvw.s3.amazonaws.com/2024/05/t5YcMEh/jGubKBNJHlAArCvhrmQF4PETDITCyuboSdo%3D.jpg</t>
  </si>
  <si>
    <t>19 anos, 6 meses, 4 dias</t>
  </si>
  <si>
    <t>Vila Progresso (Zona Leste)</t>
  </si>
  <si>
    <t>08240-585</t>
  </si>
  <si>
    <t>Rua Hiroaki Torigoi</t>
  </si>
  <si>
    <t>37</t>
  </si>
  <si>
    <t>57.311.882-6</t>
  </si>
  <si>
    <t>(11) 95136-2845</t>
  </si>
  <si>
    <t>APOSTOLOVINICIUS0@GMAIL.COM</t>
  </si>
  <si>
    <t>https://youtu.be/bZjjvMsNdRA</t>
  </si>
  <si>
    <t>457.925.828-23</t>
  </si>
  <si>
    <t>FERNANDA AMARAL BIANCHINI DA LUZ</t>
  </si>
  <si>
    <t>FERNANDA AMARAL</t>
  </si>
  <si>
    <t>fernandaamaralb91@icloud.com</t>
  </si>
  <si>
    <t>https://yz2spukd8h-jbrk7pf7uvw.s3.amazonaws.com/2024/04/ape%2BaJl9dPg2R/9n4iiBNVhn5F4U0SFyzpZ2zK2TS0E%3D.jpg</t>
  </si>
  <si>
    <t>22 anos, 4 meses, 7 dias</t>
  </si>
  <si>
    <t>Vila Nova Parada</t>
  </si>
  <si>
    <t>02883-150</t>
  </si>
  <si>
    <t>casa 24</t>
  </si>
  <si>
    <t>Rua Dona Sebastiana Alves</t>
  </si>
  <si>
    <t>538802479</t>
  </si>
  <si>
    <t>(11) 91424-0516</t>
  </si>
  <si>
    <t>11-991654778</t>
  </si>
  <si>
    <t>https://www.instagram.com/fehhbianchini</t>
  </si>
  <si>
    <t>edição de videos</t>
  </si>
  <si>
    <t>Venho do bairro Santa Cruz - Cachoeirinha, Zona Norte, nascida e criada. Sou de uma família humilde e muito prestativa, sempre correndo atrás do melhor e lutando muito por cada conquista. Sou pontual, interessada em aprender cada vez mais, gosto de coisas novas, de estar em constante aprendizagem. Sou dedicada e esforçada, sempre a disposição para somar.</t>
  </si>
  <si>
    <t>No momento estou desempregada e cursando Edição de vídeo na escola Senac Sp Scipião. Estou interessada em melhorar meus conhecimentos no momento, então pretendo realizar outros cursos assim que terminar o atual. Estou focada em construir a minha carreira mas ainda não tenho certeza de onde gostaria de me consolidar, por isso estou aberta á tudo e sempre com muita disposição.</t>
  </si>
  <si>
    <t>Pretendo engatar na área de edição de vídeo por enquanto porém sou apaixonada por tudo que envolva o audiovisual então quero estar sempre por dentro de tudo que eu conseguir cursar ou trabalhar. Quero me aprofundar na área do audiovisual, estudar muito e valorizar cada vez mais projetos e espaços culturais que temos acesso mas não frequentamos por falta de informação.</t>
  </si>
  <si>
    <t>513.005.568-38</t>
  </si>
  <si>
    <t>Elissa Gomes Oliveira Dos Santos</t>
  </si>
  <si>
    <t>elissa.artes@outlook.com</t>
  </si>
  <si>
    <t>https://yz2spukd8h-jbrk7pf7uvw.s3.amazonaws.com/2024/05/rxHBy2DHSOxwFjMjfU2Ju6wU98cpBpd/iFHZdLuubvs%3D.jpg</t>
  </si>
  <si>
    <t>23 anos, 3 meses, 3 dias</t>
  </si>
  <si>
    <t>Jardim São Vicente</t>
  </si>
  <si>
    <t>387308969</t>
  </si>
  <si>
    <t>(11) 94114-1877</t>
  </si>
  <si>
    <t>cursando</t>
  </si>
  <si>
    <t>https://www.instagram.com/_elissa.gomes_?igsh=MTZ2cTFhOXh5eTJsZw==</t>
  </si>
  <si>
    <t>Teatro na elt</t>
  </si>
  <si>
    <t>Apresentando-me brevemente, sou artista visual, plástica e cênica, formada informalmente. Minha relação com campo artistico é direta, vendo pinturas em telas na rua, especificamento na Avenida Paulista, aos domingos, sou tatuadora iniciante e estou me formando na Escola Livre de Teatro de Santo André. Já fui chamada para feira de empreendedores do Festival Batekoo e fui monitora da exposição "Sample - DJ KLjay" no CCSP, eventualmente organizo exposições entre amigos para movimentar arte no centro e na Zona leste e participo ativamente de Saraus montando minha bancada como artista convidada.</t>
  </si>
  <si>
    <t>Na região em que moro ainda existe, da minha parte, um empoderamento de território e uma retomada de movimento na periferia que seria sobre tirar os eventos do centro para os extremos e irmos até o centro pra tirar dinheiro para nosso dia a dia, acredito que da minha melhor contribuição seria sobre organizar exposições pela zona leste. Onde existe um movimento de negociação com os comercios locais para abrir espaço para venda ou exposições artisticas.</t>
  </si>
  <si>
    <t>Meu intuito ao tentar adentrar o Programa Jovem Monitor Cultural é de apredizagem para as áreas que tenho um breve conhecimento e aprofunda-lás, acredito que para além de um leque de possibilidades, que possa vir a abrir, seria um perfeito networking, uma forma de estudar como as organizações culturais funcionam para em um futuro aprender articular com as mesmas. Creio que também tenho muito a oferecer para o programa como artista e como pessoa.</t>
  </si>
  <si>
    <t>be</t>
  </si>
  <si>
    <t>368.802.368-47</t>
  </si>
  <si>
    <t>Mayhara Ribeiro Da Silva</t>
  </si>
  <si>
    <t>MAYHARA RIBEIRO</t>
  </si>
  <si>
    <t>Mayhara Ribeiro</t>
  </si>
  <si>
    <t>ribeiro.mayhara@gmail.com</t>
  </si>
  <si>
    <t>https://yz2spukd8h-jbrk7pf7uvw.s3.amazonaws.com/2024/06/5qaSE1NHLmnn9saRUdVq6S4c7LX3lddqxG9Q2y8H2%2Bw%3D.jpeg</t>
  </si>
  <si>
    <t>27 anos, 10 meses, 26 dias</t>
  </si>
  <si>
    <t>Vila Bela</t>
  </si>
  <si>
    <t>03202-000</t>
  </si>
  <si>
    <t>Rua Baía Grande</t>
  </si>
  <si>
    <t>744</t>
  </si>
  <si>
    <t>375475175</t>
  </si>
  <si>
    <t>(11) 99802-7855</t>
  </si>
  <si>
    <t>RIBEIRO.MAYHARA@GMAIL.COM</t>
  </si>
  <si>
    <t>www.instagram.com/maygriss</t>
  </si>
  <si>
    <t>Meu nome é mayhara, tenho 27 anos. Nasci em São Bernardo do Campo. Cursei parte dos meus estudos no ABC Paulista e comecei a fazer teatro aos 13 anos pela prática juvenil em São Caetano, depois segui para o ETA onde pude começar a entender os caminhos para o fazer teatral, segui os estudos no Macunaíma, sempre trabalhando com freelas, entrando na produção de espetáculos e projetos artísticos.</t>
  </si>
  <si>
    <t>Hoje moro com minha mãe, meu irmão e minha avó! Faço parte da Cia do Piolho, na qual estamos pesquisando a cosmogonia Tupi Guarani tendo como sede para os estudos, Pirituba! Estudo também na ELT, na qual ingressei pelo Teatro e Rua e atualmente estou pelo Núcleo de Sonoridades e Núcleo de Circo e Teatro Físico, visando me aprimorar para a cena. Faço parte do Comunidade Nac, com o qual temos um viés teórico reflexivo a partir do ciclo de estudo escolhido no momento.</t>
  </si>
  <si>
    <t>Me aprimorando cada vez mais como atriz, e sem  sem deixar de estudar, quero me inserir no circuito e achar possibilidades para conseguir manter alguma estabilidade financeira a partir da arte e seus desdobramentos. Tendo experiência em comunicação, producao e fotografia, acredito que consiga entender essas portas como possibilidades pra encrementar meus projetos e viabilizar uma independência financeira, a qual não tenho, pela arte.</t>
  </si>
  <si>
    <t>417.118.678-10</t>
  </si>
  <si>
    <t xml:space="preserve">Sim </t>
  </si>
  <si>
    <t>Alexandre Prado De Aguiar</t>
  </si>
  <si>
    <t>alexandrepradoaguiar@gmail.com</t>
  </si>
  <si>
    <t>https://yz2spukd8h-jbrk7pf7uvw.s3.amazonaws.com/2024/04/5wd7ND29BtGWsfglXOGJ/5XFTlwxb3%2BqDMYDesFQ4I4%3D.jpg</t>
  </si>
  <si>
    <t>24 anos, 0 meses, 12 dias</t>
  </si>
  <si>
    <t>Jardim Aricanduva</t>
  </si>
  <si>
    <t>03454-060</t>
  </si>
  <si>
    <t>Rua João Augusto Navarro</t>
  </si>
  <si>
    <t>32</t>
  </si>
  <si>
    <t>381622149</t>
  </si>
  <si>
    <t>(11) 91353-3553</t>
  </si>
  <si>
    <t>https://www.instagram.com/carecadoano</t>
  </si>
  <si>
    <t>https://www.youtube.com/watch?v=p6hg3vn41c8</t>
  </si>
  <si>
    <t>405.815.558-21</t>
  </si>
  <si>
    <t>Rhayssa Soares Santos</t>
  </si>
  <si>
    <t>rsoaressantos09@gmail.com</t>
  </si>
  <si>
    <t>https://yz2spukd8h-jbrk7pf7uvw.s3.amazonaws.com/2024/05/ok4pOdAV41Bpmt49jqYVl0HU8QKgG1EsYWLuBP1Rvsg%3D.PNG</t>
  </si>
  <si>
    <t>03164-300</t>
  </si>
  <si>
    <t>ap 182 bloco 2</t>
  </si>
  <si>
    <t>Rua Visconde de Parnaíba</t>
  </si>
  <si>
    <t>1461</t>
  </si>
  <si>
    <t>50436587-3</t>
  </si>
  <si>
    <t>(11) 99443-6285</t>
  </si>
  <si>
    <t>RSOARESSANTOS09@GMAIL.COM</t>
  </si>
  <si>
    <t>https://www.instagram.com/adobambole/</t>
  </si>
  <si>
    <t>QUÍMICA</t>
  </si>
  <si>
    <t>https://drive.google.com/file/d/1iKnI0nwMnBT8G_ZVZIcFZMVWFjXKe7T0/view?usp=drive_link</t>
  </si>
  <si>
    <t>475.741.758-61</t>
  </si>
  <si>
    <t>RAFAELA VIEIRA DA CRUZ</t>
  </si>
  <si>
    <t>Rafaela Vieira Da Cruz</t>
  </si>
  <si>
    <t>RAFAELA VIEIRA</t>
  </si>
  <si>
    <t>Rafaela Vieira</t>
  </si>
  <si>
    <t>rafaviictuz@gmail.com</t>
  </si>
  <si>
    <t>https://yz2spukd8h-jbrk7pf7uvw.s3.amazonaws.com/2024/06/ukeDr9rZclZbjql%2B05he0yofDqizZGMotivhJtP%2BEfk%3D.jpg</t>
  </si>
  <si>
    <t>19 anos, 4 meses, 7 dias</t>
  </si>
  <si>
    <t>Vila Nova York</t>
  </si>
  <si>
    <t>03480-030</t>
  </si>
  <si>
    <t>Barreira Grande</t>
  </si>
  <si>
    <t>Rua dos Fonsecas</t>
  </si>
  <si>
    <t>54.556.464-5</t>
  </si>
  <si>
    <t>(11) 95934-5885</t>
  </si>
  <si>
    <t>RAFAVIICRUZ@GMAIL.COM</t>
  </si>
  <si>
    <t>Meu Rafaela Vieira, tenho 19 anos de idade, sou a mais nova dentre dois irmãos, um menino de 21 e uma menina de 24. Moro com a minha mãe, meu pai e meus dois irmãos.   Meus pais e meus irmãos trabalham e eu terminei os estudos. Do 1° ano ao 9° ano do ensino fundamental estudei na escola EMEF  Professor Gilmar Taccola,e do  1° ao 3° ano do ensino médio estudei na escola Professor José Marques da Cruz.</t>
  </si>
  <si>
    <t>Atualmente não estou mais estudando, porém dia 31/07/2023 me inscrevi para fazer um curso de Recursos humanos na instituição CENLEP localizado no bairro Anália franco com duração de 6 meses, sendo assim terminando no dia 21/12/2023.  Logo depois resolvi fazer um curso de Administração para complementar. Tendo início no dia 29/01/2024 e tendo o final no dia 28/06/2024</t>
  </si>
  <si>
    <t>Após o término deste segundo curso (sendo administração) pretendo trabalhar no programa jovem monitor que é o que vai começar a abrir portas para que eu possa começar uma faculdade que ainda não possuo em mente especificamente qual.  E futuramente começar a trabalhar na área em que realmente desejo, juntar dinheiro para primeiramente ter minha casa própria e ganhar minha própria estabilidade.</t>
  </si>
  <si>
    <t>432.462.378-32</t>
  </si>
  <si>
    <t>JULIA BEDE BARBOSA CASTRIGUINI</t>
  </si>
  <si>
    <t>Júlia Bedê Barbosa Castriguini</t>
  </si>
  <si>
    <t>JÚLIA</t>
  </si>
  <si>
    <t>Júlia</t>
  </si>
  <si>
    <t>juliabede216@gmail.com</t>
  </si>
  <si>
    <t>https://yz2spukd8h-jbrk7pf7uvw.s3.amazonaws.com/2024/04/E7FajTtDX92oW6V4HYJwZVzHg1OG0un1cXwALVnfm/A%3D.jpg</t>
  </si>
  <si>
    <t>18 anos, 4 meses, 18 dias</t>
  </si>
  <si>
    <t>Parque São Jorge</t>
  </si>
  <si>
    <t>03085-030</t>
  </si>
  <si>
    <t>apartamento 153</t>
  </si>
  <si>
    <t>TATUAPÉ</t>
  </si>
  <si>
    <t>Rua José Tavares Siqueira</t>
  </si>
  <si>
    <t>426</t>
  </si>
  <si>
    <t>530205026</t>
  </si>
  <si>
    <t>(19) 98996-8214</t>
  </si>
  <si>
    <t>JULIABEDE216@G]MAIL.COM</t>
  </si>
  <si>
    <t>Meu nome é Júlia, tenho 18 anos, sou natural de Santo André, no ABC Paulista e desde pequena frequento lugares onde a cultura sempre teve um papel fundamental. Quando me mudei para São Paulo tive a oportunidade de participar de alguns cursos na unidade da Fábrica de Cultura da região e essa experiência me permitiu ter um primeiro contato    prático com esse lado cultural que a cidade oferece, além de poder ter conhecido pessoas que atuavam área, o que me despertou bastante interesse.</t>
  </si>
  <si>
    <t>Atualmente estou em São Paulo, e agora com o ensino médio concluído me encontro numa fase de descobertas e querendo mergulhar de cabeça no mundo cultural e de comunicação da cidade. Estou no primeiro semestre de um curso livre de audiovisual oferecido pela prefeitura e pela Secretaria de Cultura e Juventude de SBC e essa oportunidade está me proporcionando conhecimentos práticos e teóricos na área, além de abrir portas para futuras oportunidades de atuação no campo do audiovisual e da comunicação</t>
  </si>
  <si>
    <t>Vejo o Programa Jovem Monitor Cultural como uma ótima oportunidade de expandir meus conhecimentos na área, conhecer novas pessoas e continuar aprendendo e crescendo na área. Colocar em práticas coisas que já sei mas principalmente aprender coisas novas, aprimorar minhas habilidades de trabalho em equipe através de projetos colaborativos, aprender sobre diferentes formas de expressão artística e explorar novas perspectivas culturais através de interações com pessoas de diferentes origens e experiências.</t>
  </si>
  <si>
    <t>516.691.398-16</t>
  </si>
  <si>
    <t>Mariana Quirino Do Nascimento</t>
  </si>
  <si>
    <t>mariananasc30@gmail.com</t>
  </si>
  <si>
    <t>https://yz2spukd8h-jbrk7pf7uvw.s3.amazonaws.com/2024/04/EEQzYXpQNCEtW5980hkzwtolNHx2exiId35EbQwST%2BU%3D.jpg</t>
  </si>
  <si>
    <t>20 anos, 11 meses, 19 dias</t>
  </si>
  <si>
    <t>Jardim Rubilene</t>
  </si>
  <si>
    <t>04475-380</t>
  </si>
  <si>
    <t>Travessa Rubilene, N106A</t>
  </si>
  <si>
    <t>Rua Valentino Fioravanti</t>
  </si>
  <si>
    <t>106</t>
  </si>
  <si>
    <t>552825505</t>
  </si>
  <si>
    <t>(11) 97974-2309</t>
  </si>
  <si>
    <t>marianaqnascimento@gmail.com</t>
  </si>
  <si>
    <t>https://www.instagram.com/maquina444/</t>
  </si>
  <si>
    <t>TÉCNICO EM CENOGRAFIA E FIGURINO</t>
  </si>
  <si>
    <t>Negra, paulistana periférica da Zona Sul, nascida e criada na região da Pedreira. Quando mais jovem, fui aluna da Casa de Cultura &amp; Cidadania (que seria, em poucos anos, desativada) onde esboçava uma crescente investigação pela vocação artística, pouco estimulada no cotidiano da periferia. Por conseguinte, estudei em escolas públicas da região e, em 2020, graduei-me no ensino médio pela Escola Estadual Artista Plástico Emanoel Alves de Araújo.</t>
  </si>
  <si>
    <t>Conciliando arte e trabalho, atuo como tatuadora autônoma desde 2022, atendendo somente na região onde resido. Além de estudar desenho e costura, de maneira autodidata; Curso o segundo semestre regular de Cenografia e Figurino na SP Escola de Teatro, o que tem me proporcionado maior envolvimento com a teatralidade atual e todos os processos conceptivos e culturais que nela abarcam.</t>
  </si>
  <si>
    <t>Como objetivo visceral; Projeto alastrar a comunicação democrática em locais que somente a cultura alcança. Promover a arte como ferramenta de opinião social, e, reafirmar, quantas vezes for necessário, a potência artística da cultura periférica. Almejo estar presente e engajada sobre continuidade em propostas de arte-educação para ambientes e público plural, e por meio destas, integrar espaços e vivências culturais dissipando cada vez mais barreiras socioeconômicas.</t>
  </si>
  <si>
    <t>521.108.258-39</t>
  </si>
  <si>
    <t>michelle.freitas@santamarcelinacultura.org.br</t>
  </si>
  <si>
    <t>https://yz2spukd8h-jbrk7pf7uvw.s3.amazonaws.com/2024/05/RViv4sKxswq9NO0H0D3/wdkKKe5Mo1JVCYhmgS4vnOs%3D.jpeg</t>
  </si>
  <si>
    <t>19 anos, 7 meses, 30 dias</t>
  </si>
  <si>
    <t>04849-034</t>
  </si>
  <si>
    <t>Travessa Domingo no Parque</t>
  </si>
  <si>
    <t>394118777</t>
  </si>
  <si>
    <t>(11) 91432-2600</t>
  </si>
  <si>
    <t>MELOGABRIEL489@GMAIL.COM</t>
  </si>
  <si>
    <t>https://www.facebook.com/profile.php?id=100017056621006&amp;mibextid=ZbWKwL</t>
  </si>
  <si>
    <t>MÚSICA</t>
  </si>
  <si>
    <t>https://photos.app.goo.gl/SKejPPjwqUrgp5At9</t>
  </si>
  <si>
    <t>SUL - 4</t>
  </si>
  <si>
    <t>538.996.888-30</t>
  </si>
  <si>
    <t>PEDRO HENRIQUE SIQUEIRA BRITO</t>
  </si>
  <si>
    <t>Pedro Henrique Siqueira Brito</t>
  </si>
  <si>
    <t>APEDRO PIETRA SIQUEIRA BRITO</t>
  </si>
  <si>
    <t>Apedro Pietra Siqueira Brito</t>
  </si>
  <si>
    <t>pie.siqueira@gmail.com</t>
  </si>
  <si>
    <t>https://yz2spukd8h-jbrk7pf7uvw.s3.amazonaws.com/2024/06/hWbVkcLtBF1Xp3Kb9Ivrk2O6ukmdB56q2GVMz5IT%2B9k%3D.jpeg</t>
  </si>
  <si>
    <t>25 anos, 3 meses, 27 dias</t>
  </si>
  <si>
    <t>SE INSCREVEU COM O NOME APEDRO, POREM GOSTARIA DE ALTERAR PARA SEU NOME SOCIAL PIETRA</t>
  </si>
  <si>
    <t>Jardim Peri</t>
  </si>
  <si>
    <t>02676-040</t>
  </si>
  <si>
    <t>Ao lado da viela, portão grande</t>
  </si>
  <si>
    <t>Rua Serrana Fluminense</t>
  </si>
  <si>
    <t>886</t>
  </si>
  <si>
    <t>52136145X</t>
  </si>
  <si>
    <t>(11) 99834-0403</t>
  </si>
  <si>
    <t>PIE.SIQUEIRA@GMAIL.COM</t>
  </si>
  <si>
    <t>https://www.instagram.com/piesiqueira/</t>
  </si>
  <si>
    <t>CURSANDO - DANCA E PERFORMANCE</t>
  </si>
  <si>
    <t>Cresci na periferia da zona norte, entre o jardim santa cruz e o peri alto, filha de mãe solo que sempre transitou comigo entre o morro para me deixar com minha avó, para ir trabalhar como funcionaria domestica. Desde cedo flertava com o universo artístico, inventando historias, encenando os próprios devaneios e sonhando em algum dia trabalhar com esse universo.  Na adolescência me tornei uma pessoa retraída e tímida, mas sempre soube que essas características não me pertencia de fato, foi quando aos 17 anos comecei a estudar teatro e me dei conta que a arte e cultura foram e são pilares importantes para a minha vida, me enxergando como potencia e veiculo para praticas pedagógicas.</t>
  </si>
  <si>
    <t>Recentemente pedi demissão de uma loja de roupa no centro da cidade para poder me dedicar na produção de um curta metragem do coletivo audiovisual "Muita Treta", projeto contemplado pelo VAI I. Não estava conseguindo conciliar os dois, tendo que deixar por muitas vezes os afazeres da produção de lado pela rotina exaustiva, me sentia frutada por não contribuir com o meu melhor.  O projeto esta presta a ser finalizado e sinto que fiz a escolha certa, hoje em dia sobrevivo financeiramente com minhas economias e de freelance, mas satisfeita em poder dar continuidade em estudos sobre produção cultural, dança e focar na minha loja de adereços artesanais para o publico de periferia e LGBTQIAPN+.</t>
  </si>
  <si>
    <t>Ao descobri uma pessoa trans, passei a ter outro olhar para o mundo e a arte que estava querendo produzir. Comecei a estudar performance, dança contemporânea e vogue na Fabrica de Cultura do Cachoerinha, porem interrompi devido a pandemia de COVID e comecei a trabalhar em áreas distintas.  Tenho desejo e já trilho meios para resgatar o que deixei de lado, junto com o interesse que desenvolvi da produção cultural, apesar das experiencias obtidas, quero me especializar e ter diplomas sobre ambas linguagens (dança e produção). Também tenho vontade de escrever uma dramaturgia sobre a dificuldade que pessoas de periferia tem de seguir seus sonhos com base em experiências pessoais.</t>
  </si>
  <si>
    <t>476.164.068-58</t>
  </si>
  <si>
    <t>Edi Wilson Thomaz Silva Da Cruz</t>
  </si>
  <si>
    <t>EDINHO</t>
  </si>
  <si>
    <t>Edinho</t>
  </si>
  <si>
    <t>ed.thomas12@icloud.com</t>
  </si>
  <si>
    <t>https://yz2spukd8h-jbrk7pf7uvw.s3.amazonaws.com/2024/06/jraXKZY3kyJ2Lqn7Iz6cj0O5rAMlVqe7HFTFLoyYst4%3D.jpg</t>
  </si>
  <si>
    <t>27 anos, 6 meses, 16 dias</t>
  </si>
  <si>
    <t>apartamento 53</t>
  </si>
  <si>
    <t>3015</t>
  </si>
  <si>
    <t>534502210</t>
  </si>
  <si>
    <t>(11) 98063-4124</t>
  </si>
  <si>
    <t>https://www.instagram.com/ediinho_lino?utm_source=ig_web_button_share_sheet&amp;igsh=ZDNlZDc0MzIxNw==</t>
  </si>
  <si>
    <t>TECNICO EM GERENCIAMENTO DE QUALIDADE DO MEIO AMBIENTE</t>
  </si>
  <si>
    <t>bom dia prezado me chamo ed wilson tenho 27 anos , trabalhei na area de blindagem de carros  e na area da segurança privada no momento estou há procura de novas oportunidades para atuar no mercado de trabalho.  atualmente estou cursando gerenciamento de qualidade do meio ambiente na faculdade cruzeiro do sul e estou no primeiro ano de curso .   sou uma pessoa de bom relacionamento interpessoal e tenho facilidades de desenvolver novas tarefas.  tenho carteira nacinal de habilitação categoria B desde 2018.  desde ja agradeço pela atenção e a oprtunidade.</t>
  </si>
  <si>
    <t>atualmente estou trabalhando na area da segurança privada , mais estou em busca de novas oportunidades de trabalho..</t>
  </si>
  <si>
    <t>atualmente cursando gerenciamento de qualidade do meio ambiente,  meu foco maior é terminar meu cuso e me especializar cada vez mais naquilo que estou realizando para melhor desenvolver meu trabalho e ajudar a equipe.</t>
  </si>
  <si>
    <t>492.714.658-81</t>
  </si>
  <si>
    <t>Guilherme Da Silva Alves</t>
  </si>
  <si>
    <t>guilherme.salves02@gmail.com</t>
  </si>
  <si>
    <t>https://yz2spukd8h-jbrk7pf7uvw.s3.amazonaws.com/2024/05/l/8pYeshD7qzKJsNTEoyZrecHo4rXxWY8CVV0KMi3fA%3D.jpeg</t>
  </si>
  <si>
    <t>22 anos, 1 meses, 24 dias</t>
  </si>
  <si>
    <t>cursando  danca</t>
  </si>
  <si>
    <t>Jardim Indaiá</t>
  </si>
  <si>
    <t>08141-200</t>
  </si>
  <si>
    <t>Rua Bicudo de Mendonça</t>
  </si>
  <si>
    <t>39754943x</t>
  </si>
  <si>
    <t>(11) 91196-3329</t>
  </si>
  <si>
    <t>https://www.instagram.com/abettergui/</t>
  </si>
  <si>
    <t>https://youtu.be/a7bBHecCAtY</t>
  </si>
  <si>
    <t>504.682.068-41</t>
  </si>
  <si>
    <t>VINICIUS MENDONÇA VERDERAME</t>
  </si>
  <si>
    <t>VINÍCIUS</t>
  </si>
  <si>
    <t>verderame.vinicius@hotmail.com</t>
  </si>
  <si>
    <t>https://yz2spukd8h-jbrk7pf7uvw.s3.amazonaws.com/2024/06/zqEddztLXfGTKVosImtPZ/UFhc32XWDl25kfjl6YjUg%3D.png</t>
  </si>
  <si>
    <t>21 anos, 11 meses, 28 dias</t>
  </si>
  <si>
    <t>Vila Nova</t>
  </si>
  <si>
    <t>03288-020</t>
  </si>
  <si>
    <t>Rua Ateneu Paulista</t>
  </si>
  <si>
    <t>381959132</t>
  </si>
  <si>
    <t>(11) 97040-3241</t>
  </si>
  <si>
    <t>https://www.instagram.com/verderame___/</t>
  </si>
  <si>
    <t>TECNICO EM MODELAGEM DE VESTUARIO</t>
  </si>
  <si>
    <t>Nascido em Artur Alvim e criado dentro da Zona Leste de São Paulo, me chamo Vinícius Mendonça e tenho 21 anos. Cresci num bairro que evoluiu aos poucos, e durante o convívio na região fui sendo imerso na nossa ampla diversidade cultural ali presente. Criei amizades no período da escola e chegamos inicialmente a frequentar algumas batalhas de rima (Batalha da Leste) e ter contato com a arte do graffite. Nessa época também despertei muita curiosidade sobre a área musical e através do SESI A.E CARVALHO tive minha primeira oportunidade no PROJETO GURI de aprender sobre música nas aulas de violão e coral, experiência onde pude criar conexões e sentir a importância da cultura em nossas vida.</t>
  </si>
  <si>
    <t>Após meu primeiro aprendizado no Projeto Guri, criei um forte interesse pela área musical. Em 2018, iniciei minha trajetória, comecei a criar minhas próprias músicas e também explorar outras áreas artísticas que viabilizaram novas formas de se expressar naquele momento, uma delas foi a área de figurino, que me incentivou a iniciar o Curso Técnico de MODA em 2019 na ETEC Carlos de Campos. Unindo essas diversas experiências, atualmente trabalho na área de produção musical num projeto criado pelo coletivo RevelStarClub, que busca valorizar e ampliar a música alternativa independente presente na Zona Leste de São Paulo, unindo ritmos como Hip-Hop, Indie Rock, EDM e Funk.</t>
  </si>
  <si>
    <t>Pretendo sempre participar e estar inserido em novos programas, como o Rede Daora, que participo atualmente, e do PJMC, projetos que mudam vidas e servem como porta de entrada para conexões com novas pessoas e profissionalização na área cultural. Sempre buscando conhecimento e caminhos para continuarmos valorizando e enriquecendo de forma plural nossas raízes culturais.</t>
  </si>
  <si>
    <t>339.199.748-67</t>
  </si>
  <si>
    <t>Letícia Polato</t>
  </si>
  <si>
    <t>leticia.polato@hotmail.com</t>
  </si>
  <si>
    <t>https://yz2spukd8h-jbrk7pf7uvw.s3.amazonaws.com/2024/06/YiYX1b3yc0Av5zZDmnQaClGW7LP7cGJzdQQ8M9jtc/w%3D.jpg</t>
  </si>
  <si>
    <t>25 anos, 7 meses, 12 dias</t>
  </si>
  <si>
    <t>03061-000</t>
  </si>
  <si>
    <t>Rua Toledo Barbosa</t>
  </si>
  <si>
    <t>637</t>
  </si>
  <si>
    <t>553341133</t>
  </si>
  <si>
    <t>(11) 96477-9265</t>
  </si>
  <si>
    <t xml:space="preserve">GRAD LAZER E TURISMO </t>
  </si>
  <si>
    <t>053835269-86</t>
  </si>
  <si>
    <t>Venho de uma longa jornada na área das artes e cultura, comecei meu primeiro curso e teatro aos 11 anos e hoje sou atriz profissional formada pelo Senac São Miguel Paulista. Estou procurando oportunidades nessa área já tem algum tempo, tentei me inscrever no jovem monitor cultural ano passado, mas acabei não completando meus dados, por isso, ao ver que o edital tinha saído eu vim me inscrever. Morava em Guarulhos, mas estou em São Paulo devido as oportunidades que este local me oferece.</t>
  </si>
  <si>
    <t>Agora, estou cursando minha graduação em Lazer e Turismo na USP, contudo numa questão acima coloquei a opção PROUNI 100% porque não achei a opção de curso superior na rede pública. Estou no meu último ano da faculdade e espero me formar e conseguir algo na área, porque onde trabalho não tem relação nenhuma com o que gosto e quero fazer. Quero continuar morando em São Paulo e não pretendo ir para outro Estado.</t>
  </si>
  <si>
    <t>Com relação a moradia, não irei pra nenhum lugar longe. Gosto de São Paulo e quero ficar aqui por muito tempo, mas com relação ao meu futuro profissional pretendo ir para locais que me ofereçam opções que conversam diretamente comigo e com meus objetivos. Tenho muito claro onde quero chegar, quero focar na área teatral, fazer mais cursos e especializações nas áreas que tenho interesse e quero ser feliz e realizada com minhas escolhas sem ter arrependimentos.</t>
  </si>
  <si>
    <t>318.952.918-36</t>
  </si>
  <si>
    <t>Sylas Casaes Rocha</t>
  </si>
  <si>
    <t>sylas.casaes.rocha@gmail.com</t>
  </si>
  <si>
    <t>https://yz2spukd8h-jbrk7pf7uvw.s3.amazonaws.com/2024/05/wWRb3CKf/A146LkhbqkJFy60ByTx6PfjLRdoUGJuodM%3D.jpg</t>
  </si>
  <si>
    <t>24 anos, 11 meses, 27 dias</t>
  </si>
  <si>
    <t>TECNICO CONCLUIDO</t>
  </si>
  <si>
    <t>08421-570</t>
  </si>
  <si>
    <t>Rua Chuvas de Verão</t>
  </si>
  <si>
    <t>50849748-6</t>
  </si>
  <si>
    <t>(11) 98541-2719</t>
  </si>
  <si>
    <t>SYLAS.CASAES.ROCHA@GMAIL.COM</t>
  </si>
  <si>
    <t>Eu nasci em guarulhos em 1999, e antes de nascer fui diagnosticado com uma síndrome rara, a síndrome de Prune Belly, que é a má formação na musculatura abdominal e sistema urinário, felizmente recebi tratamento desde o nascimento.  Sou de Guarulhos mas toda minha família veio da Bahia, aos meus seis anos nos mudamos para Itaquera onde vivemos até hoje, cresci aqui, fiz amigos e estudei, sempre estudei em escolas públicas até o ensino médio.</t>
  </si>
  <si>
    <t>Ao terminar o ensino médio eu não sabia direito o que iria fazer, mas pesquisas que fiz das profissões descobri a dublagem e me apaixonei então fui atrás pra conseguir, comecei um curso na fábrica de cultura da cidade de Tiradentes, fiz o curso inteiro mas saí pois tinha que trabalhar, comecei em uma rede de fast food, onde aprendi várias áreas no Campo profissional como atendimento, limpeza, organização e etc, juntei dinheiro e comecei um curso técnico de teatro, trabalhei um tempo como inspetor de escola pública mas tive que sair por conflitos de horário, fiz estágio na área do teatro na CET fazendo peças educativas e mímica, me formei ano passado e estou a procura de novos aprendizados.</t>
  </si>
  <si>
    <t>Mesmo formado na área que almejo, ainda quero mais aprendizado e experiência, quero conhecer novas áreas das artes, fazer novos cursos em várias vertentes das artes e conhecer novas pessoas, ter novos trabalhos para me tornar um excelente profissional e uma pessoa melhor, ter vários conhecimentos, não só para mim mas também para ajudar e ensinar as outras pessoas.</t>
  </si>
  <si>
    <t>414.141.888-97</t>
  </si>
  <si>
    <t>Juliana Rocha De Lima</t>
  </si>
  <si>
    <t>rochali.0107@gmail.com</t>
  </si>
  <si>
    <t>https://yz2spukd8h-jbrk7pf7uvw.s3.amazonaws.com/2024/05/8uy%2Bv0u2woaU4tsoOj/xVED8txVA9Egq1XNBcZjCTjc%3D.jpg</t>
  </si>
  <si>
    <t>21 anos, 11 meses, 14 dias</t>
  </si>
  <si>
    <t>TRANCOU BIOTECNOLOGIA, MAS PRETENDE VOLTAR ESSE ANO</t>
  </si>
  <si>
    <t>Jardim Mitsutani</t>
  </si>
  <si>
    <t>05791-070</t>
  </si>
  <si>
    <t>Bl 03 Apt 12</t>
  </si>
  <si>
    <t>Rua Francisco Caminhoa</t>
  </si>
  <si>
    <t>381897229</t>
  </si>
  <si>
    <t>(11) 94528-5664</t>
  </si>
  <si>
    <t>TECNICO EM ELETRONICA E TECNICO EM BIOTECNOLOGIA</t>
  </si>
  <si>
    <t>CEU CAMPO LIMPO</t>
  </si>
  <si>
    <t>Sou Juliana Rocha, tenho 21 anos nascida e criada em SP. Venho de uma realidade onde a luta para acessos é constante, a realidade da periferia paulista. Sempre almejei ser maior do que as dificuldades, com isso ingressei na ETEC para cursar o ensino médio técnico em eletrônica, que acreditava ser a área que gostaria de seguir em uma futura graduação. Porém, no decorrer da formação técnica, percebi que queria algo para além da área de exatas, me levando a pensar sobre superior em Biotecnologia. Para me familiarizar, me voluntariei em ongs de meio ambiente e/ou animais, vendo que era essa área que queria para o futuro.</t>
  </si>
  <si>
    <t>Atualmente me encontro no processo de transferência para a Universidade de São Paulo. Havia antes ingressado na Universidade Federal de São Carlos em Biotecnologia, porém tive que interrompê-la por motivos de saúde, além das dificuldades de me manter em outra cidade, mas não pretendo parar meu processo em busca de um diploma. Para não parar meus estudos, me mantive em trabalho voluntário na Catland e cursos complementares dados a instituições como Instituto Butantã.</t>
  </si>
  <si>
    <t>A partir de onde estou agora e pela oportunidade em ser Jovem Monitora Cultural, procuro ampliar meus conhecimentos estando inserida a aquilo que me foi escasso na infância. Não pretendo me acomodar, almejo a aprovação na transferência de universidade, me especializar e conseguir meu lugar em empresas ambientais de grande reconhecimento, com objetivo final de ingressar por meio de concurso público na equipe IBAMA. E, o mais importante, sempre procurar o novo, onde no meio de todo esse trajeto, não negarei novos cursos e experiências.</t>
  </si>
  <si>
    <t>515.985.328-63</t>
  </si>
  <si>
    <t>Ellen Cristine De Oliveira</t>
  </si>
  <si>
    <t>ellenluz.olv@gmail.com</t>
  </si>
  <si>
    <t>https://yz2spukd8h-jbrk7pf7uvw.s3.amazonaws.com/2024/06/f3/QWWs1hV8lg8RiqiH68Xv%2BpZap6HBWpXQvoBLAVRE%3D.jpg</t>
  </si>
  <si>
    <t>21 anos, 2 meses, 18 dias</t>
  </si>
  <si>
    <t>Jardim Coimbra</t>
  </si>
  <si>
    <t>03693-070</t>
  </si>
  <si>
    <t>Rua Leonhard Euler</t>
  </si>
  <si>
    <t>56856392X</t>
  </si>
  <si>
    <t>(51) 99333-8419</t>
  </si>
  <si>
    <t>HELLEYN.EC2003OLIVEIRA@GMAIL.COM</t>
  </si>
  <si>
    <t>https://www.instagram.com/luzolv_?igsh=MWFkNWo3Y3d0aTI5dA==</t>
  </si>
  <si>
    <t>Sou nascida e criada na Zona Leste de São Paulo, tenho 21 anos de idade, fui criada por mãe Solo e avós maternos, meu pai mora no Rio Grande do sul e sempre cumpriu com os mínimos de obrigação que ele obtinha, sempre suprida das coisas básicas. Minha família veio da arte, avós poetisas, pai musicista e avô professor de música na igreja, sempre foram presentes eventos culturais na minha infância, o que me fez admirar e partir pra área artística.</t>
  </si>
  <si>
    <t>Hoje me encontro trabalhando em um salão de cabeleireiro, onde sou auxiliar de cabeleireira, terapeuta capilar e trancista, lá eu atuo como designer de sobrancelha e maquiadora. Sou artista independente também, dançarina em um coletivo chamado Passos Periféricos onde fazemos eventos próprios nossos, e dançamos em escolas, sarau e slam, e casas de eventos que nos contaram. A parte sou cantora e poeta, sou freelancer também em alguns momentos como complemento de renda na área de atendimento em casas de show.</t>
  </si>
  <si>
    <t>Me encontro reavaliando rotas e revendo possibilidades que possam me enriquecer de informações e vivências a fora que ainda não conheço, pois trabalho como cabeleireira desde os 17 anos e atuo na área até hoje aos 21, porém a área da cultura sempre me chamou fortemente. Então hoje procuro ir a caminho de coisas que somam com meus objetivos, de estar nao meio cultural e somar de diversas formas, tanto no palco, quanto a elaboração de um projeto</t>
  </si>
  <si>
    <t>LESTE - 4</t>
  </si>
  <si>
    <t>535.551.508-80</t>
  </si>
  <si>
    <t>Alisson Nascimento De Lima</t>
  </si>
  <si>
    <t>alisson.nlima15@hotmail.com</t>
  </si>
  <si>
    <t>https://yz2spukd8h-jbrk7pf7uvw.s3.amazonaws.com/2024/05/U5Id/4qMuz/6j%2Bh2K3TsW73C9LNn6jrv3BLUNPJ4fPg%3D.jpeg</t>
  </si>
  <si>
    <t>20 anos, 11 meses, 7 dias</t>
  </si>
  <si>
    <t>04372-062</t>
  </si>
  <si>
    <t>Cs 20</t>
  </si>
  <si>
    <t>Rua Tenente Américo Moretti</t>
  </si>
  <si>
    <t>580804069</t>
  </si>
  <si>
    <t>(11) 94515-8625</t>
  </si>
  <si>
    <t>ALISSON.NLIMA15@HOTMAIL.COM</t>
  </si>
  <si>
    <t>https://youtu.be/SzM3kYBrPtQ?si=EtugOIrxu-sb-eVr</t>
  </si>
  <si>
    <t>SUL - 1</t>
  </si>
  <si>
    <t>537.221.798-74</t>
  </si>
  <si>
    <t>Gabriela Barbosa Magalhães</t>
  </si>
  <si>
    <t>magalhaesbarbosagabriela@gmail.com</t>
  </si>
  <si>
    <t>https://yz2spukd8h-jbrk7pf7uvw.s3.amazonaws.com/2024/06/LDnn%2BHPLl2B9VrwdeLSy/K2cFyf9OZ4GnG1RtxrwIaQ%3D.JPG</t>
  </si>
  <si>
    <t>26 anos, 3 meses, 30 dias</t>
  </si>
  <si>
    <t>05831-150</t>
  </si>
  <si>
    <t>D</t>
  </si>
  <si>
    <t>Rua Manuel Vieira Sarmento</t>
  </si>
  <si>
    <t>394780711</t>
  </si>
  <si>
    <t>(11) 97594-9760</t>
  </si>
  <si>
    <t>MAGALHAESBARBOSAGABRIELA@GMAIL.COM</t>
  </si>
  <si>
    <t>https://www.instagram.com/gabriela____barbosa/</t>
  </si>
  <si>
    <t>https://drive.google.com/file/d/1hPe0oCOU6f7nM9Iryfdoirn99_6VIlDY/view</t>
  </si>
  <si>
    <t>468.323.708-30</t>
  </si>
  <si>
    <t>Lucas Queiroz Da Silva</t>
  </si>
  <si>
    <t>LUCAS</t>
  </si>
  <si>
    <t>Lucas</t>
  </si>
  <si>
    <t>lluquinhaq80@gmail.com</t>
  </si>
  <si>
    <t>https://yz2spukd8h-jbrk7pf7uvw.s3.amazonaws.com/2024/04/Z%2B1RykGPta1lL1M6Dl2WLyAV1aW6x5P2jfu39k6e07k%3D.jpg</t>
  </si>
  <si>
    <t>21 anos, 1 meses, 19 dias</t>
  </si>
  <si>
    <t>CURSANDO TECNICO EM ATUACAO</t>
  </si>
  <si>
    <t>Jardim Dom José</t>
  </si>
  <si>
    <t>05887-170</t>
  </si>
  <si>
    <t>Rua Aborígene</t>
  </si>
  <si>
    <t>602641858</t>
  </si>
  <si>
    <t>(11) 94879-4321</t>
  </si>
  <si>
    <t>luquinhaq80@gmail.com</t>
  </si>
  <si>
    <t>TECNICO EM MULTIMIDIA, TECNICO EM TEATRO, TECNICO EM ATUACAO</t>
  </si>
  <si>
    <t>Me chamo Lucas, tenho 20 anos e resido no Capão Redondo. Por ter crescido em escola pública, fui apresentado ao mundo das artes ainda muito pequeno. Mas, sabendo dos riscos de se querer uma carreira artística, em 2021 me formei como técnico em multimídia pela Etec Jornalista Roberto Marinho, onde desenvolvi habilidades com programas de edição, criação de conteúdo e marketing digital. Não conformado em abandonar tão cedo meus sonhos, em 2022 me formei no curso técnico em teatro pela Etec de Artes, onde percebi que há sim possibilidades no mercado cultural justamente por ser o espaço mais aberto para discutir minhas vivências como um jovem da periferia e LGBTQIAP+, mesclando vida e trabalho.</t>
  </si>
  <si>
    <t>Atualmente, estudo na SP Escola de Teatro, no penúltimo módulo do curso de atuação, alimentando meu sonho de ser artista da cena. No começo deste ano, 2024, finalizei o programa de bolsas do Theatro Municipal de São Paulo, na área de produção. A formação prática me auxiliou a entender outros processos que compõem o trabalho cultural, fomentando mais um objetivo, que é ingressar no mercado de gestão e produção cultural, já que em 2022,  havia experimentado essa dualidade de serviços através de um coletivo de teatro onde atuei como atuante e assistente de produção.</t>
  </si>
  <si>
    <t>Dessa forma, tenho grandíssimo interesse em participar do programa jovem monitor cultural, especialmente em funções de produção e gestão cultural, já que devido a algumas falhas na estrutura da minha formação prática anterior, algumas coisas foram “rasas”, tendo assim a expectativa de que nesta oportunidade, conseguirei aprofundá-las. Tenho o objetivo de não apenas ingressar, mas de fato permanecer no mercado cultural, além de, ao estar em contato com artistas da cena, aumentar minha rede de contatos para futuras oportunidades. Com o auxílio financeiro penso que em um futuro não tão distante, também possa ter a oportunidade de ingressar em uma graduação na área.</t>
  </si>
  <si>
    <t>557.839.178-85</t>
  </si>
  <si>
    <t>Kauan Paiola Sasso</t>
  </si>
  <si>
    <t>KAUAN SASSO</t>
  </si>
  <si>
    <t>Kauan Sasso</t>
  </si>
  <si>
    <t>kauan.sasso@unifesp.br</t>
  </si>
  <si>
    <t>https://yz2spukd8h-jbrk7pf7uvw.s3.amazonaws.com/2024/06/iofYflememjx8oUcIjkmDpBEJgilNJsX6FNRemVScrQ%3D.jpg</t>
  </si>
  <si>
    <t>27 anos, 3 meses, 21 dias</t>
  </si>
  <si>
    <t>Jardim Santa Cruz (Zona Norte)</t>
  </si>
  <si>
    <t>02674-030</t>
  </si>
  <si>
    <t>Rua Doutor Paulo Furtado de Oliveira</t>
  </si>
  <si>
    <t>176</t>
  </si>
  <si>
    <t>39.202.311-8</t>
  </si>
  <si>
    <t>(11) 99333-3553</t>
  </si>
  <si>
    <t>https://www.instagram.com/httpsasso/</t>
  </si>
  <si>
    <t xml:space="preserve">tec - turismo e hotelaria </t>
  </si>
  <si>
    <t>15549988376</t>
  </si>
  <si>
    <t>sou kauan sasso, homem cis gay, moro na brasilandia zona norte mais especificamente no jardim peri alto onde passo a maior parte da minha vida e onde tenho meus amigos e colegas. hoje acabo residindo em partes de sao paulo como uma  mobilidade temporal, uma hora to no pimentas, onde fiva minha universidade(guarulhos) e em outra to pelo centro. sou uma pessoa que gosta de estar em ambientes bem mesclado com cultura e periferia, onde o lugar que moro me proporciona isso.</t>
  </si>
  <si>
    <t>hoje ajudo meu pai na serralheiria nos dias em que não tenho aula para conseguir pagar minhas despesas e pelo menos ir pra faculdade, e garante a minha estadia como aluno. sou aluno da universidade federal de São Paulo e faço filosofia, minha paixão sempre foi historia e arte mas na filosofia encontrei outras formas de aplicar a arte ou mesmo lê-la de uma outra forma, participei de centro acadêmico estudantil, na qual eu era coordenador politico mas me envolvia em vários projetos culturais no qual mobilizava o campus todo.</t>
  </si>
  <si>
    <t>hoje estou desenvolvendo uma pesquisa em neurotecnologia, ética e comportamento humano, mas quero levar tais assuntos por meio da arte para conscientizarmos a sociedade em que vivemos. Pretendo dar aulas em escolas mais carentes pois esse seria meu retorno por conseguir chegar dentro dessa universidade incrível e politizar mais o aprendizado e a forma em que olhamos e consumimos nosso mundo e realidade</t>
  </si>
  <si>
    <t>452.723.228-27</t>
  </si>
  <si>
    <t>BEATRYS VICTORIA GOUVEIA DA SILVA</t>
  </si>
  <si>
    <t>Beatrys Victoria Gouveia Da Silva</t>
  </si>
  <si>
    <t>BEATRYS</t>
  </si>
  <si>
    <t>Beatrys</t>
  </si>
  <si>
    <t>gouveiabeatrys@gmail.com</t>
  </si>
  <si>
    <t>https://yz2spukd8h-jbrk7pf7uvw.s3.amazonaws.com/2024/06/eCfrIVeqzO9nNylUI4JyC8n76s7LonEFJWDNeyXpD4w%3D.jpg</t>
  </si>
  <si>
    <t>19 anos, 10 meses, 15 dias</t>
  </si>
  <si>
    <t>08341-070</t>
  </si>
  <si>
    <t>Bar e Lanchonete - Parada 47</t>
  </si>
  <si>
    <t>Rua Antônio Pavão</t>
  </si>
  <si>
    <t>47</t>
  </si>
  <si>
    <t>500084592</t>
  </si>
  <si>
    <t>(11) 99003-9232</t>
  </si>
  <si>
    <t>Tecnica</t>
  </si>
  <si>
    <t>https://www.instagram.com/violinobranco?igsh=MTR6MHNpMGY3anF2Mw==</t>
  </si>
  <si>
    <t>financas</t>
  </si>
  <si>
    <t>Prezados,    Escrevo para compartilhar um pouco da minha jornada e daquilo que me trouxe até aqui. Cresci em uma família humilde, sendo a caçula de cinco irmãos criados com muito amor por uma mãe dedicada e incansável. Desde cedo, aprendi a valorizar cada pequeno momento e a lutar pelos meus sonhos.    A música foi a minha descoberta de paixão e o meu violino se tornou meu refúgio. Ele foi mais do que um instrumento para mim; foi através das suas cordas que aprendi a expressar meus sentimentos mais profundos e a conectar-me com o mundo ao meu redor.</t>
  </si>
  <si>
    <t>Ao longo dos anos transformei meu amor pela música em uma jornada de aprendizado constante e auto descoberta. Inclusive, quando participei do projeto Guri. Comecei a me a frequentar mais ambiente culturais, e foi dentro dessa esfera, que descobri o poder que a arte tem na vida das pessoas. Hoje eu sei que quero mergulhar nesse ambiente artístico e cultural colaborando para expandir cada vez mais esses potenciais.</t>
  </si>
  <si>
    <t>Vejo hoje que eu posso usar as minhas experiências e competências como força para expandir a arte e cultura para a população e sei que o programa Jovem Monitor Cultural vai me auxiliar em melhoria pessoal e me honrar com uma bagagem que me faça expandir meus horizontes. Me possibilitando a ser determinada para levar a arte e cultura para São Paulo .</t>
  </si>
  <si>
    <t>532.144.948-13</t>
  </si>
  <si>
    <t>Suellen Carolyne Cosme Félix</t>
  </si>
  <si>
    <t>SUELLEN</t>
  </si>
  <si>
    <t>Suellen</t>
  </si>
  <si>
    <t>suellen.carooolyne@gmail.com</t>
  </si>
  <si>
    <t>https://yz2spukd8h-jbrk7pf7uvw.s3.amazonaws.com/2024/05/1YYK2vBQXeH9ZFUHAhcElyQB0CY4VV9yO/BzfOQlRB0%3D.jpeg</t>
  </si>
  <si>
    <t>24 anos, 2 meses, 9 dias</t>
  </si>
  <si>
    <t>08473-140</t>
  </si>
  <si>
    <t>Rua Meu Destino</t>
  </si>
  <si>
    <t>99</t>
  </si>
  <si>
    <t>383419633</t>
  </si>
  <si>
    <t>(11) 93462-5412</t>
  </si>
  <si>
    <t>SUELLENCAROOOLYNE@GMAIL.COM</t>
  </si>
  <si>
    <t>https://www.instagram.com/s.suellencarolyne?igsh=eDk0dnM1OGtkbGI0</t>
  </si>
  <si>
    <t>Nascida em 9 de Abril no ano de 2000, em Suzano, criada pela mãe solo na maior parte dos anos na Cidade Tiradentes extremo leste de São Paulo desde então até hoje residindo. Minha mãe, na maior parte do tempo, trabalhava e eu, no entanto, focada nos estudos, para que pudesse garantir um futuro melhor, nisso, ingressei em fazer curso de informática e inglês (que no caso não me adaptei) . Terminado o ensino médio, vieram diversas cobranças sobre faculdade. Mas fiquei 1 ano para decidir o que de fato seguir.</t>
  </si>
  <si>
    <t>Após decisão de curso da faculdade (Marketing), no final do curso, decidi que não passava de sonhos desejados pela minha mãe, e então decidi segurar com minhas próprias mãos as rédeas da minha história.   Nunca me imaginei trabalhando como CLT, mas para a sobrevivência, abrimos mão de algumas coisas. Em 2021, conheci minha companheira que no caso me trouxe diversas inspirações sobre ser empreendedora, acompanhei de perto, eventos artísticos. Me identifiquei e decidi sair da antiga empresa e me dedicar em ser microempreendedora. Hoje tenho curso de Cozinha, sou assistente de produção do Núcleo Ximbra, que no caso ampliou ainda mais o olhar sobre produções.</t>
  </si>
  <si>
    <t>Espero obter mais conhecimento sobre as áreas que escolhi seguir, quero me aprofundar em produções culturais e também ampliar o empreendimento (PãoCasa13) que é atualmente minha fonte de renda. Futuramente, estarei com as portas abertas do estabelecimento, com oportunidades para que pessoas possam trabalhar sem toda a burocracia como existe hoje em dia, e produzindo diversos eventos culturais com sucesso.</t>
  </si>
  <si>
    <t>471.684.598-21</t>
  </si>
  <si>
    <t>Karolina Coelho de Santana</t>
  </si>
  <si>
    <t>Karolina Coelho De Santana</t>
  </si>
  <si>
    <t>karolinacoelho2928@gmail.com</t>
  </si>
  <si>
    <t>https://yz2spukd8h-jbrk7pf7uvw.s3.amazonaws.com/2024/05/UYu8/Ta9ErA6yBseKR0%2BZOPJFjw6g3ac5GoGTNvXIUg%3D.jpeg</t>
  </si>
  <si>
    <t>26 anos, 3 meses, 14 dias</t>
  </si>
  <si>
    <t>Heliópolis</t>
  </si>
  <si>
    <t>04231-030</t>
  </si>
  <si>
    <t>Casa 22A, ao lado dentista ok</t>
  </si>
  <si>
    <t>Cônego Xavier</t>
  </si>
  <si>
    <t>22</t>
  </si>
  <si>
    <t>52.095.382.4</t>
  </si>
  <si>
    <t>(11) 99949-4544</t>
  </si>
  <si>
    <t>https://www.instagram.com/kkushow_?igsh=c3h6bmQzaGI4eGt2&amp;utm_source=qr</t>
  </si>
  <si>
    <t>TÉCNICO EM ADMINISTRAÇÃO, TÉCNICO EM NUTRIÇÃO E DIETÉTICA</t>
  </si>
  <si>
    <t>https://drive.google.com/file/d/1x0QSCoYtQVquaHoo_Kuz0o40Wb07p-UU/view?usp=drivesdk</t>
  </si>
  <si>
    <t>476.121.498-85</t>
  </si>
  <si>
    <t>Lucas Matheus Theodoro Gomes Dos Santos</t>
  </si>
  <si>
    <t>lucas.matheus.theodoro@gmail.com</t>
  </si>
  <si>
    <t>https://yz2spukd8h-jbrk7pf7uvw.s3.amazonaws.com/2024/06/RNGS4lkmyCz9qspahnQyFAU288FpLqdl5W/o/8XfZuQ%3D.jpg</t>
  </si>
  <si>
    <t>24 anos, 1 meses, 23 dias</t>
  </si>
  <si>
    <t>Tatuapé</t>
  </si>
  <si>
    <t>03068-000</t>
  </si>
  <si>
    <t>Rua Vilela</t>
  </si>
  <si>
    <t>192</t>
  </si>
  <si>
    <t>50.220.762-0</t>
  </si>
  <si>
    <t>(11) 98709-5524</t>
  </si>
  <si>
    <t>LUCAS.MATHEUS.THEODORO@GMAIL.COM</t>
  </si>
  <si>
    <t>https://www.instagram.com/nihil_l5?igsh=MWF6NTh6bTN2ZnE1ZA==</t>
  </si>
  <si>
    <t>MARKETING DIGITAL</t>
  </si>
  <si>
    <t>eu venho de família humilde, filho de mãe solo, cresci no bairro do carrão e foi lá onde me formei até vir para o tatuapé onde moro atualmente, desde os 5 anos fui inserido em projetos sociais como o instituto mami e cursos básicos  disponíveis nos céu´s. sempre estive em contato com a cultura por meio da minha paixão por musica e de ações sociais de igrejas e escolas que frequentei, me aproximei mais da musica do que qualquer outra área ainda na adolescência quando me juntei ao grupo de rap leste 5, nome vindo da secretaria de ensino que atuava na nossa escola "E.E. Caramuru", durante meu tempo la fui apresentado a diversas artes de rua como o hip-hop, o skate, o grafite e street dance</t>
  </si>
  <si>
    <t>atualmente estou buscando meu lugar no mundo, continuo com meu grupo de rap e estamos gradualmente nos infiltrando mais na cultura em si, ja participamos de eventos como perifacon, mic livre em casas de culturas e eventos  como o bloco de hip-hop pós carnaval que aconteceu no centro de cultura do itaim paulista. hoje eu acredito que eu devo buscar mais da arte e cultura para realizar o proposito do meu grupo que é dar voz as ruas, e fazer a periferia ter mais alcance no cenário nacional, atualmente moro como minha família( minha mãe, minha irmã que é especial e trabalha em um projeto social, e meu tio avó) me viro entre o trabalho e a arte para alcançar meu objetivo de futuro digno com arte</t>
  </si>
  <si>
    <t>para o futuro eu planejo sempre ir fomentando a musica que é minha paixão e enquanto não tenho a visibilidade para viver da arte eu planejo seguir estudando e trabalhando. acho que tenho certa facilidade com idiomas novos então é uma aera que quero explorar junto com marketing e propaganda, com não existem muitas oportunidades de cursos de produção musical gratuitas eu vou aprendendo de casa como conseguir. para meu futuro eu quero estar trabalhando com a arte de rua mais especificamente e por meio do meu trabalho e da minha musica possa estar levando cultura para a periferia e exercendo boa influencia sobre os jovens, assim como sustentando minha família em casa.</t>
  </si>
  <si>
    <t>396.639.398-00</t>
  </si>
  <si>
    <t>Paulo Marques Gomes Oliveira</t>
  </si>
  <si>
    <t>paulo-marques.oliveira@unesp.br</t>
  </si>
  <si>
    <t>https://yz2spukd8h-jbrk7pf7uvw.s3.amazonaws.com/2024/04/%2B1E4Vz2bTO4jzhDpSqw%2BU55fqKSKVoIbueZTFxLayZI%3D.jpg</t>
  </si>
  <si>
    <t>28 anos, 0 meses, 12 dias</t>
  </si>
  <si>
    <t>567</t>
  </si>
  <si>
    <t>541557051</t>
  </si>
  <si>
    <t>(11) 96362-1915</t>
  </si>
  <si>
    <t>PAULO-MARQUES.OLIVEIRA@UNESP.BR</t>
  </si>
  <si>
    <t>TECNICO EM SERVIÇOS PUBLICOS</t>
  </si>
  <si>
    <t>072694312-64</t>
  </si>
  <si>
    <t>Meu nome é Paulo Marques, apelidado por Paulinho, tenho 27 anos, nascido em Candeias no Estado da Bahia, porém criado na Cidade de São Paulo-SP, na zona oeste, onde cresci. Tenho muitas coisas que já participei, vamos então. Escrevo para expressar minha sincera motivação em me candidatar a este intercâmbio que está em aberto. Minha jornada até agora foi marcada por um profundo compromisso com o serviço público e o desenvolvimento da cidadania, e é esse compromisso que me impulsiona a buscar oportunidades para continuar fazendo a diferença.</t>
  </si>
  <si>
    <t>Desde meu envolvimento como presidente do Grêmio Estudantil da Escola Municipal Tenente Alípio de Andrade Serpa até minha atuação como presidente do Centro Acadêmico de Administração Pública (CAAP), em 2023, tenho procurado liderar com paciência, resiliência e empatia. Acredito firmemente que construir algo coletivo requer não apenas habilidades técnicas, mas também a capacidade de ouvir, compreender e inspirar os outros.  A criação da oficina "Cidadania na Prática", em parceria com o SESC (Serviço Social do Comércio), foi um marco em minha trajetória.</t>
  </si>
  <si>
    <t>Estou animado com a oportunidade de continuar contribuindo de maneira significativa, trazendo minha energia, experiência e paixão para o trabalho que esta posição exige. Estou pronto para enfrentar novos desafios e colaborar com uma equipe dedicada a fazer a diferença na sociedade. Formado em dois técnicos, serviços públicos e Jurídicos, a visando de realidade serviço públicos ampliou, é agora já quase formado em Administração Pública na Unesp, coloca as minhas expectativas para está em gestão pública aumenta.</t>
  </si>
  <si>
    <t>497.367.398-64</t>
  </si>
  <si>
    <t>Thamiris Lopes Dos Santos</t>
  </si>
  <si>
    <t>thamydosantos3@gmail.com</t>
  </si>
  <si>
    <t>https://yz2spukd8h-jbrk7pf7uvw.s3.amazonaws.com/2024/04/3atFED5n2L%2Bz8BSXG5lt8hptR0qcoAhWokUe0vbXOAo%3D.png</t>
  </si>
  <si>
    <t>22 anos, 9 meses, 19 dias</t>
  </si>
  <si>
    <t>Jardim Imperador (Zona Leste)</t>
  </si>
  <si>
    <t>03935-005</t>
  </si>
  <si>
    <t>Rua José Ramiro Sobrinho - Pena Branca</t>
  </si>
  <si>
    <t>52.006.987-0</t>
  </si>
  <si>
    <t>(11) 99357-8842</t>
  </si>
  <si>
    <t>THAMYDOSSANTOS3@GMAIL.COM</t>
  </si>
  <si>
    <t>Sempre tive contato com pessoas quais as profissões são de cuidado com as pessoas, enfermeiros, professores, isso sempre me abriu os olhos para cuidado e apoio as outras pessoas e principalmente pessoas sem acesso a esse cuidado, e assim descobri que a arte faz parte de mim e que pode também fazer parte desse cuidado que desejo ter com outras pessoas, com o acesso a arte e cultura tive conhecimento do que quero ser e do meu lugar no mundo.</t>
  </si>
  <si>
    <t>Com a descoberta da importância e do meu gosto pela arte estou em busca de colocar ela na minha vida de forma profissional, entendendo que posso mudar a vida de outras pessoas e o conhecimento delas em relação a isso, fazer com que elas entendam que a arte e cultura pode mudar vidas, de formas diferentes na vida de cada um, mas que assim como eu descobri que outros jovens também possam descobrir que a arte pode ser algo a mais da vida de todos.</t>
  </si>
  <si>
    <t>Minha maior pretensão é poder concluir minhas vontades de ajudar e auxiliar outras pessoas, trabalhar em abrigos e em projetos que impulsiona outros jovens a se descobrirem e ir em busca de a trabalhos e estudos que os façam felizes e que possam ter sempre outra motivação e outros caminhos e nunca se sentir presos a só uma escolha, acredito que poderei fazer isso por outras pessoas.</t>
  </si>
  <si>
    <t>459.153.618-11</t>
  </si>
  <si>
    <t>Nickollas Vinicius Bezerra Ramos</t>
  </si>
  <si>
    <t>NICO</t>
  </si>
  <si>
    <t>Nico</t>
  </si>
  <si>
    <t>nicolasjaragua@outlook.com</t>
  </si>
  <si>
    <t>https://yz2spukd8h-jbrk7pf7uvw.s3.amazonaws.com/2024/04/TA7OxuKdYZ6pyRv38gucONb2sgWofJskwdzxtpkWRTI%3D.jpeg</t>
  </si>
  <si>
    <t>22 anos, 2 meses, 4 dias</t>
  </si>
  <si>
    <t>05183-240</t>
  </si>
  <si>
    <t>Rua Ana Jaqueline</t>
  </si>
  <si>
    <t>74</t>
  </si>
  <si>
    <t>628177549</t>
  </si>
  <si>
    <t>(11) 91371-4244</t>
  </si>
  <si>
    <t>NICOLASJARAGUA@OUTLOOK.COM</t>
  </si>
  <si>
    <t>https://www.instagram.com/nico_doblack/</t>
  </si>
  <si>
    <t>Nascido e criado no bairro do Jaraguá. Ao longo dos anos me descobri artista musico, venho me aperfeiçoando e buscando melhorar através de estudos, trabalhos coletivos e buscando conhecer mais sobre editais de fomento a cultura. Já participei de oficinas de circo, musica, artesanato e dança. Levo como um hobby por enquanto criar conteúdos digitais relevantes culturais.</t>
  </si>
  <si>
    <t>Resido na zona noroeste de São Paulo, mais precisamente ao lado do Pico do Jaraguá. Tenho buscado me aprendizado por meio de espaços culturais, tais como MORADA JARAGUÁ. Busco por realizações artísticas e aprendizado sobre o meu cultural. Atualmente invisto meu tempo entre trabalhar e estudar sobre produção musical. Pratico musica em grupo em momentos de descontração com amigos pelas praças do bairro.</t>
  </si>
  <si>
    <t>Com meu projeto de vida, pretendo encontrar um caminho para trabalhar com algo que já me descobri, no caso, arte. Buscando sempre me aperfeiçoar, com o intuito de desenvolver projetos culturais pela região onde moro. Produzir artistas que não tem uma visão no mercado cultural, levando a possibilidade de desvia-los dos caminhos da ilegalidade. Com todo o histórico prático como artista, e a referência por ter nascido e crescido no Jaraguá, já tenho uma imagem conhecida, podendo introduzir ainda mais a arte na comunidade.</t>
  </si>
  <si>
    <t>527.996.408-50</t>
  </si>
  <si>
    <t>Emilly Vitória De França Penha</t>
  </si>
  <si>
    <t>EMILLY</t>
  </si>
  <si>
    <t>Emilly</t>
  </si>
  <si>
    <t>ilypenha@gmail.com</t>
  </si>
  <si>
    <t>https://yz2spukd8h-jbrk7pf7uvw.s3.amazonaws.com/2024/06/aQ1DTjHELj0E0RfE5fsTZ4vI6VPeX4OZRrQeGddoqSg%3D.jpg</t>
  </si>
  <si>
    <t>18 anos, 1 meses, 24 dias</t>
  </si>
  <si>
    <t>05201-050</t>
  </si>
  <si>
    <t>CASA 4</t>
  </si>
  <si>
    <t>Avenida Fiorelli Peccicacco</t>
  </si>
  <si>
    <t>1630</t>
  </si>
  <si>
    <t>581633337</t>
  </si>
  <si>
    <t>(11) 97892-0093</t>
  </si>
  <si>
    <t>11-978920093</t>
  </si>
  <si>
    <t>Meu nome e Emilly e recentemente fiz 18 anos. Nasci na região do capão redondo onde passe quase toda a minha vida, quando estava no fundamental participava de vários projetos tanto da escola como xadrez, e canto como outros fora, assim fui descobrindo o que eu gostava e queria fazer, descobri que gostava de escrever e comecei a produzir alguns poemas. Todas essas experiências que passei me ajudaram e me ensinaram muitas coisas que carrego ate hoje.</t>
  </si>
  <si>
    <t>Atualmente moro sozinha sem a minha família, estou a terminar o ensino médio e a procura de emprego, no momento venho fazendo trabalhos aos finais de semana e me preparando para fazer o vestibular também, no momento busco uma oportunidade para demonstra minhas habilidades e crescer no mercado de trabalho, meu grande foco no momento e conseguir terminar a escola passar no Enem para seguir uma faculdade e em algum momento poder fazer o que eu quero sem me preocupar.</t>
  </si>
  <si>
    <t>Para o futuro ainda não sei bem por onde começo ou vou mas quero ano que vem começar a buscar a faculdade e inicia-la, quero ter um emprego estável a um prazo maior gostaria de sair do pais ter grandes experiências que aprimorem o meu currículo. Gostaria muito de conseguir a vaga para poder dar esse passo e começar tudo isso, desde ja estou grata pela oportunidade desde já.</t>
  </si>
  <si>
    <t>553.961.228-03</t>
  </si>
  <si>
    <t>Sarah Fernanda Nunes Amparado</t>
  </si>
  <si>
    <t>sarahamparado@hotmail.com</t>
  </si>
  <si>
    <t>https://yz2spukd8h-jbrk7pf7uvw.s3.amazonaws.com/2024/04/W3yFNUYveM3ggvmM8uKN3dbmeWa2NCIrU4zlU8PEbUQ%3D.jpeg</t>
  </si>
  <si>
    <t>22 anos, 0 meses, 26 dias</t>
  </si>
  <si>
    <t>02533-000</t>
  </si>
  <si>
    <t>Rua Doutor Gabriel Covelli</t>
  </si>
  <si>
    <t>1155</t>
  </si>
  <si>
    <t>53100384X</t>
  </si>
  <si>
    <t>(11) 97523-9558</t>
  </si>
  <si>
    <t>SARAHAMPARADO@GMAIL.COM</t>
  </si>
  <si>
    <t xml:space="preserve"> SIM - TEC</t>
  </si>
  <si>
    <t>https://www.instagram.com/sah.amparado?igsh=YzAwZjE1ZTI0Zg%3D%3D&amp;utm_source=qr</t>
  </si>
  <si>
    <t>TEC - DANÇA</t>
  </si>
  <si>
    <t>https://youtu.be/8Vr7-dBc6FU?si=K4MRiM0WuYohxfAV</t>
  </si>
  <si>
    <t>510.959.678-60</t>
  </si>
  <si>
    <t>DAVI DOS ANJOS DA SILVA REIS FILHO</t>
  </si>
  <si>
    <t>Davi Dos Anjos Da Silva Reis Filho</t>
  </si>
  <si>
    <t>Davi Silva</t>
  </si>
  <si>
    <t>davisilvareis1405@gmail.com</t>
  </si>
  <si>
    <t>https://yz2spukd8h-jbrk7pf7uvw.s3.amazonaws.com/2024/06/rnzJhGlvJ5TkUtMzrqU70RKnaa5DFescM%2BecpNQvw9U%3D.jpg</t>
  </si>
  <si>
    <t>21 anos, 1 meses, 4 dias</t>
  </si>
  <si>
    <t>Liberdade</t>
  </si>
  <si>
    <t>01508-010</t>
  </si>
  <si>
    <t>Em frente a igreja do sentimo dia.</t>
  </si>
  <si>
    <t>Rua Taguá</t>
  </si>
  <si>
    <t>83</t>
  </si>
  <si>
    <t>09892626184</t>
  </si>
  <si>
    <t>(61) 99881-3120</t>
  </si>
  <si>
    <t>Ensino Medio</t>
  </si>
  <si>
    <t>https://www.instagram.com/eudavisilva_oficial?igsh=dTdjeW9oeHJoZ3lo</t>
  </si>
  <si>
    <t>061657775-38</t>
  </si>
  <si>
    <t>Da dança</t>
  </si>
  <si>
    <t>No momento estou fazendo trabalhos de modelo e também tendo vivencia em dança,hip hop, Funk.</t>
  </si>
  <si>
    <t>BUSCO FAZER CURSO ESPECIALIZAÇÃO EM TEATRO PRA TIRAR DRT E TRABALHAR NA ÁREA.</t>
  </si>
  <si>
    <t>098.926.261-84</t>
  </si>
  <si>
    <t>Luana Xavier Marques</t>
  </si>
  <si>
    <t>luana.xm@gmail.com</t>
  </si>
  <si>
    <t>https://yz2spukd8h-jbrk7pf7uvw.s3.amazonaws.com/2024/06/nPaVuhpdIHVMk91MD3fPCXFomjjS6BHvmxt3hfz6ZAw%3D.jpeg</t>
  </si>
  <si>
    <t>21 anos, 4 meses, 8 dias</t>
  </si>
  <si>
    <t>Jardim Faria Lima</t>
  </si>
  <si>
    <t>05760-090</t>
  </si>
  <si>
    <t>Muro desenhado de pedras</t>
  </si>
  <si>
    <t>Rua Frei Jerônimo da Graça</t>
  </si>
  <si>
    <t>179</t>
  </si>
  <si>
    <t>521066268</t>
  </si>
  <si>
    <t>(11) 95676-6551</t>
  </si>
  <si>
    <t>https://www.instagram.com/luanaxav1er?igsh=MXMxbGRlc3Q2cXFhMA%3D%3D&amp;utm_source=qr</t>
  </si>
  <si>
    <t>Prazer eu sou a Luana, tenho 21 anos, nasci em Cotia-Sp. Vim de uma família majoritariamente feminina e muito grande, a qual me sinto honrada em fazer parte. Sempre estive incluída em lugares culturais desde a creche, me ingressei na Associação Filantrópica Criança Feliz antes dos dois anos, e lá fui me desenvolvendo com todas oficinas, aulas de danças e musica, também estudei no projeto Âncora uma escola construtivista que foi fundamental pro meu crescimento e essas duas instituições eu frequentei em paralelo a escola publica. Iniciei no teatro aos 6 anos na Casa de Cultura do Butantã onde encenei diversas peças em conjunto ao grupo Mito ao qual pertenci por 7 anos.</t>
  </si>
  <si>
    <t>Atualmente moro com os meu tios aqui no Campo Limpo e trabalho em Cotia como Auxiliar de Educação Infantil pela Prefeitura de Cotia, esse mês conclui um ano de contrato. Estudo musica em casa e pratico o canto também. Hoje estou imersa no cuidado com as crianças e amo o que eu faço, desde a roda com eles de manhã até a hora de arrumar eles para irem embora, colaboro também com a programação das atividades diarias e auxilio em outras salas quando necessaio desde o berçario ao maternal, aprendo muito com as crianças. Mesmo grata pelo que tenho, a sede de mudança é constante para finalmente ingressar para área da cultura o que eu sempre almejei.</t>
  </si>
  <si>
    <t>Meu intuito para o ano que vem é iniciar meus estudos na Etec de Artes onde quero cursar Canto. E estar trabalhando na área da cultura onde espero aprender mais e mais e contribuir com o que eu carrego, podendo auxiliar nas atividades e oficinas. Minha paixão e combustivel é a musica e a dança e pretendo focar nos estudos e atividas cada vez mais, para assim me expecializar e atuar como Cantora.</t>
  </si>
  <si>
    <t>387.369.528-69</t>
  </si>
  <si>
    <t>Matheus Santos De Alcantara</t>
  </si>
  <si>
    <t>matheussantosalcantara463@gmail.com</t>
  </si>
  <si>
    <t>https://yz2spukd8h-jbrk7pf7uvw.s3.amazonaws.com/2024/06//Hby7wdJyw6R07T0cmXttN3QON/v/L9rPfb7aDyGic8%3D.jpeg</t>
  </si>
  <si>
    <t>18 anos, 5 meses, 29 dias</t>
  </si>
  <si>
    <t>Jardim São Luís</t>
  </si>
  <si>
    <t>05843-160</t>
  </si>
  <si>
    <t>Rua Arlindo Fraga de Oliveira</t>
  </si>
  <si>
    <t>128</t>
  </si>
  <si>
    <t>52905212X</t>
  </si>
  <si>
    <t>(11) 96922-2752</t>
  </si>
  <si>
    <t>https://www.instagram.com/matth.alcn?igsh=YzY5dGlxNHo2dHc5</t>
  </si>
  <si>
    <t>CEU CASA BLANCA</t>
  </si>
  <si>
    <t>Sou um jovem de 18 anos, nascido e criado na periferia, um ambiente que me ensinou a valorizar a diversidade cultural e a resiliência. Desde cedo, desenvolvi uma paixão profunda pela arte e cultura, encontrando nelas uma maneira de me expressar e explorar minha cidadania. Como um homem homossexual, a cultura sempre foi um refúgio e uma plataforma para encontrar e dar voz às minhas próprias experiências e às da minha comunidade.</t>
  </si>
  <si>
    <t>Atualmente, estou trabalhando em um escritório, o que me proporciona uma compreensão prática da organização e gestão. Paralelamente, dedico meu tempo livre ao estudo do cinema periférico e à participação em projetos audiovisuais independentes.  Através dessas iniciativas, estou aprendendo sobre a importância de criar espaços para a auto expressão e a representação cultural genuína.</t>
  </si>
  <si>
    <t>Busco no PJMC uma oportunidade para continuar minha jornada na arte e cultura. Vejo neste programa um caminho para ampliar meu impacto, ajudando a apoiar e dar voz às diferentes culturas. Minha visão para o futuro é que quero trabalhar com arte e cultura, não apenas como um meio de expressão pessoal, mas como uma ferramenta poderosa para inclusão social e cidadania. Acredito que, através do PJMC, poderei contribuir de forma significativa para a valorização e a expansão das culturas periféricas, garantindo que todos tenham a chance de se expressar e serem ouvidos.</t>
  </si>
  <si>
    <t>478.225.528-48</t>
  </si>
  <si>
    <t>Tiffany Fatima Flores Dias</t>
  </si>
  <si>
    <t>TIFFANY DIAS</t>
  </si>
  <si>
    <t>Tiffany Dias</t>
  </si>
  <si>
    <t>assuntostiffany@gmail.com</t>
  </si>
  <si>
    <t>https://yz2spukd8h-jbrk7pf7uvw.s3.amazonaws.com/2024/06/fxwsAqHd4vi%2BWEU6VFF%2B85Y03EJh%2ByuXWUwwjhUOsP8%3D.jpg</t>
  </si>
  <si>
    <t>25 anos, 1 meses, 28 dias</t>
  </si>
  <si>
    <t>CURSANDO  A GRADUAÇÃO  EDM ARTES</t>
  </si>
  <si>
    <t>Colônia (Zona Leste)</t>
  </si>
  <si>
    <t>08260-100</t>
  </si>
  <si>
    <t>Bloco 2b apto 41b</t>
  </si>
  <si>
    <t>Rua Chubei Takagashi</t>
  </si>
  <si>
    <t>04</t>
  </si>
  <si>
    <t>609011303</t>
  </si>
  <si>
    <t>(11) 98625-2465</t>
  </si>
  <si>
    <t>ASSUNTOSTIFFANY@GMAIL.COM</t>
  </si>
  <si>
    <t>Múltipla</t>
  </si>
  <si>
    <t>https://drive.google.com/file/d/1AwNJw5UXnvVDba5iprz2Vukjrb0neLuB/view?usp=drivesdk</t>
  </si>
  <si>
    <t>CID 11</t>
  </si>
  <si>
    <t>513.174.128-93</t>
  </si>
  <si>
    <t>Victor Leonardo Braga</t>
  </si>
  <si>
    <t>leo.bragga10@gmail.com</t>
  </si>
  <si>
    <t>https://yz2spukd8h-jbrk7pf7uvw.s3.amazonaws.com/2024/06/fIK0/ZK/2lPeV/v37HlLOxPFv42UmgqppL0Bg2oil74%3D.jpeg</t>
  </si>
  <si>
    <t>22 anos, 8 meses, 11 dias</t>
  </si>
  <si>
    <t>Jardim Mangalot</t>
  </si>
  <si>
    <t>05135-040</t>
  </si>
  <si>
    <t>Rua Ramon Falcão</t>
  </si>
  <si>
    <t>52275588-4</t>
  </si>
  <si>
    <t>(11) 97140-5373</t>
  </si>
  <si>
    <t>LEO.BRAGGA10@GMAIL.COM</t>
  </si>
  <si>
    <t>https://www.instagram.com/leox_braga/?next=%2F</t>
  </si>
  <si>
    <t>ADMINISTRACAO</t>
  </si>
  <si>
    <t>Eu sou o Léo, filho da dona Sônia e do Seu Carlos, nascido e criado em Caieiras, atualmente moro em Pirituba. Comecei ter contato com os movimentos culturais à partir do sarau de poesia que acontecia na escola onde estudava. Foi onde comecei escrever, recitar e voltar meus olhos para a cultura no geral. Em Caieiras, nós que éramos mais jovens sentíamos a necessidade de ter algum espaço que nos representasse, a partir daí eu e um grupo de amigos começamos a cultivar um movimento orgânico-independente que pudesse fomentar a cultura e o trabalho dos artistas que estavam ao nosso redor, mas não tinham a oportunidade de mostrar seu talento.</t>
  </si>
  <si>
    <t>De lá pra cá algumas coisas mudaram, mas o ímpeto de continuar fazendo algo que fosse de nós pra nós continuou. Hoje faço parte do coletivo Deliricamente, criado em 2022, a fim de tornar a cultura de rua uma referência na cidade através do nossos sons, sonhos e intervenções na rua. O Deliricamente faz parte do selo Arte, Guerrilha e Conhecimento coligado com outros dois coletivos parceiros, a Mangueio Filmes e o Coletivo Preludio. Atualmente, nós atuamos realizando a Batalha do Boulevard uma vez por mês em Caieiras, apresentações pela cidade de SP, oficinas e intervenções nas escolas, produzindo musicas e escrevendo poesias.</t>
  </si>
  <si>
    <t>Eu acredito que pra falar do nosso futuro, é necessário revisitar o nosso passado. Hoje em dia, eu sou metalúrgico, mas sinto que o lugar onde me encontro não contempla minha existência. Desde meu primeiro contato com a literatura, com a poesia, eu entendi que queria ter pra vida. mais contato com as pessoas, os movimentos culturais, com a vida acontecendo ao meu redor. Pro meu futuro artístico, enxergo meu caminho sendo guiado pelas palavras, pela poesia, pela música; quero continuar escrevendo, procurando alguma forma de me expressar. No mais, quero continuar me conectando com as pessoas, os espaços de cultura, a fim de promover a mesma transformação que a arte causou em mim.</t>
  </si>
  <si>
    <t>554.798.678-06</t>
  </si>
  <si>
    <t>IGOR DE SOUZA PEREIRA</t>
  </si>
  <si>
    <t>Igor De Souza Pereira</t>
  </si>
  <si>
    <t>igorsouzap654@gmail.com</t>
  </si>
  <si>
    <t>https://yz2spukd8h-jbrk7pf7uvw.s3.amazonaws.com/2024/06/JtHBft14Zu0wbd9Y3UuUpTVzpswi/1ZXZ9xXlXXpp/M%3D.jpeg</t>
  </si>
  <si>
    <t>24 anos, 9 meses, 5 dias</t>
  </si>
  <si>
    <t>MULHER TRANS. CURSO DE RECEPÇÃO</t>
  </si>
  <si>
    <t>Vila Jacuí</t>
  </si>
  <si>
    <t>08050-080</t>
  </si>
  <si>
    <t>VILA JACUÍ</t>
  </si>
  <si>
    <t>Rua Flor do Espírito Santo</t>
  </si>
  <si>
    <t>473</t>
  </si>
  <si>
    <t>21724667</t>
  </si>
  <si>
    <t>(35) 9995-5889</t>
  </si>
  <si>
    <t>IGORSOUZAP654@GMAIL.COM</t>
  </si>
  <si>
    <t>https://www.instagram.com/zuriszp/</t>
  </si>
  <si>
    <t>CURSO STYLLING</t>
  </si>
  <si>
    <t>https://drive.google.com/drive/folders/1VkUp-cNtjDm-42GqsKeSWwfXqc_cE31U</t>
  </si>
  <si>
    <t>702.280.066-94</t>
  </si>
  <si>
    <t>JULIA NICOLLY DA SILVA CAMPOS</t>
  </si>
  <si>
    <t>Julia Nicolly Da Silva Campos</t>
  </si>
  <si>
    <t>julianicolly.0502@gmail.com</t>
  </si>
  <si>
    <t>https://yz2spukd8h-jbrk7pf7uvw.s3.amazonaws.com/2024/06/v0RucLSddNynfxPxvrhjtQsAx2BOUqiF6ODKs1ZH9SU%3D.JPG</t>
  </si>
  <si>
    <t>19 anos, 4 meses, 13 dias</t>
  </si>
  <si>
    <t>CONCLUIDO CURSO TECNICO  NO SEMESTRE PASSADO</t>
  </si>
  <si>
    <t>Jardim Artur Alvim</t>
  </si>
  <si>
    <t>03687-010</t>
  </si>
  <si>
    <t>Bl.A5 apt 74</t>
  </si>
  <si>
    <t>Avenida Nicolau Jacinto</t>
  </si>
  <si>
    <t>659</t>
  </si>
  <si>
    <t>55.003.162-5</t>
  </si>
  <si>
    <t>(11) 94809-3379</t>
  </si>
  <si>
    <t>JULIKANICOLLY.0502@GMAIL.COM</t>
  </si>
  <si>
    <t>https://www.instagram.com/julianicolly?igsh=djJ4d2l4MmtyZHox</t>
  </si>
  <si>
    <t>https://youtu.be/q4TSXguXCz0?si=y2TWqLPR3-e5C8gy</t>
  </si>
  <si>
    <t>518.164.648-48</t>
  </si>
  <si>
    <t>ADRIAN BELFORT CRUZ SILVA</t>
  </si>
  <si>
    <t>Adrian Belfort Cruz Silva</t>
  </si>
  <si>
    <t>JOE BELFORT</t>
  </si>
  <si>
    <t>Joe Belfort</t>
  </si>
  <si>
    <t>adrianbelfort4@gmail.com</t>
  </si>
  <si>
    <t>https://yz2spukd8h-jbrk7pf7uvw.s3.amazonaws.com/2024/06/Rey7hSg%2BXiMvmDN7bZXFI9xQNcfSIrSogV1aH5wfRIM%3D.jpg</t>
  </si>
  <si>
    <t>18 anos, 6 meses, 14 dias</t>
  </si>
  <si>
    <t>Jardim Sapopemba</t>
  </si>
  <si>
    <t>03944-170</t>
  </si>
  <si>
    <t>Rua Henrique mazzauti</t>
  </si>
  <si>
    <t>267</t>
  </si>
  <si>
    <t>602550221</t>
  </si>
  <si>
    <t>(11) 96693-6002</t>
  </si>
  <si>
    <t>ADRIANBELFORT4@GMAIL.COM</t>
  </si>
  <si>
    <t>https://www.instagram.com/joeiddle?igsh=YjZmOXdwbGQzMzhx&amp;utm_source=qr</t>
  </si>
  <si>
    <t>CASA DE CULTURA SÃO RAFAEL</t>
  </si>
  <si>
    <t>https://drive.google.com/file/d/19UijbuzW7CbWKLwsH6gwxBOsyzRTHVDA/view?usp=drivesdk</t>
  </si>
  <si>
    <t>509.143.908-05</t>
  </si>
  <si>
    <t>Lucio Daleiro Ayala</t>
  </si>
  <si>
    <t>lucifreshness@gmail.com</t>
  </si>
  <si>
    <t>https://yz2spukd8h-jbrk7pf7uvw.s3.amazonaws.com/2024/06/R9ulBBY0bsLQoYK8Fth0xKZ/9Si/8TXkkGObok57RiA%3D.png</t>
  </si>
  <si>
    <t>24 anos, 10 meses, 18 dias</t>
  </si>
  <si>
    <t>Sumaré</t>
  </si>
  <si>
    <t>01257-166</t>
  </si>
  <si>
    <t>PINHEIROS</t>
  </si>
  <si>
    <t>Rua Oswaldo Presciliano de Carvalho</t>
  </si>
  <si>
    <t>60</t>
  </si>
  <si>
    <t>57307401x</t>
  </si>
  <si>
    <t>(11) 95390-9596</t>
  </si>
  <si>
    <t>https://www.youtube.com/channel/UCtL3kzWGID5douTa1lEwdxw</t>
  </si>
  <si>
    <t>˜</t>
  </si>
  <si>
    <t>BIBLIOTECA ÁLVARO GUERRA</t>
  </si>
  <si>
    <t>https://youtu.be/Kl8JYwY1VOg</t>
  </si>
  <si>
    <t>491.770.928-80</t>
  </si>
  <si>
    <t>jeffersonfrodrigues@gmail.com</t>
  </si>
  <si>
    <t>https://yz2spukd8h-jbrk7pf7uvw.s3.amazonaws.com/2024/06/e0jFJj0YwWgqcgtkImhvzQU7NvgqGsdhJITdLlUCsFA%3D.jpeg</t>
  </si>
  <si>
    <t>18 anos, 9 meses, 1 dias</t>
  </si>
  <si>
    <t>Alto da Lapa</t>
  </si>
  <si>
    <t>05083-010</t>
  </si>
  <si>
    <t>LAPA</t>
  </si>
  <si>
    <t>Avenida Diógenes Ribeiro de Lima</t>
  </si>
  <si>
    <t>2930</t>
  </si>
  <si>
    <t>0527698325</t>
  </si>
  <si>
    <t>(11) 98252-0619</t>
  </si>
  <si>
    <t>jeffersonfgrodrigues@gmail.com</t>
  </si>
  <si>
    <t>11-982520619</t>
  </si>
  <si>
    <t>tec-serviços publicos</t>
  </si>
  <si>
    <t>ou um jovem negro, homossexual, pertencente as religiões de Matriz Africana. Original da cidade de Osasco morava com os meus pais e minhas duas irmãs mais novas, me mudei para região da Lapa em busca de melhor oportunidade de estudos para morar com a minha vó e auxilia-la nas atividades do cotidiano. Com o período pandemico precisei retornar a Osasco por ambos pertencemos ao grupo de risco e fui aprovado na Etec local para cursar o Ensino Médio com Ênfase em Linguagens, Ciências Humanas e Sociais, no ano seguinte ingresso na Etec Cepam para cursar o técnico em Serviços Públicos e uma especialização em Assessoria Parlamentar. Retorno a morar na Lapa para facilitar a dupla jornada estudantil.</t>
  </si>
  <si>
    <t>om a finalização da vida estudantil no ano passado, optei por tirar um período para cuidar da saúde mental e me inscrever num cursinho popular para tentar o ingresso na universidade pública ou privada pra cursar Ciências Sociais, Gestão de Políticas Públicas ou Administração Pública com Bolsa 100% na Faculdade Getúlio Vargas. E arranjar um emprego para complementar a renda familiar.</t>
  </si>
  <si>
    <t>Participar do Programa Jovem Monitor para por em prática e exercer minhas formações como porta de entrada para o mercado de trabalho na área pública e expandir meus conhecimentos, além de auxiliar financeiramente na renda familiar, pois minha família atravessa um momento delicado em relação a dívidas correndo risco de perder o apartamento onde moram. Conquistar a formação no Ensino Superior.</t>
  </si>
  <si>
    <t>524.110.868-81</t>
  </si>
  <si>
    <t>Maryanna Vieira Kowaliski</t>
  </si>
  <si>
    <t>MARYANNA</t>
  </si>
  <si>
    <t>Maryanna</t>
  </si>
  <si>
    <t>vieirakowaliski@gmail.com</t>
  </si>
  <si>
    <t>https://yz2spukd8h-jbrk7pf7uvw.s3.amazonaws.com/2024/05/DdNkq/bmnnEjevhNs6ejjDJ/4PDd9Tlp3V8CQL8fjUk%3D.jpg</t>
  </si>
  <si>
    <t>19 anos, 6 meses, 2 dias</t>
  </si>
  <si>
    <t>capão redondo</t>
  </si>
  <si>
    <t>05863-280</t>
  </si>
  <si>
    <t>Rua Teodoro Ardemans</t>
  </si>
  <si>
    <t>18</t>
  </si>
  <si>
    <t>557586926</t>
  </si>
  <si>
    <t>(11) 98475-4706</t>
  </si>
  <si>
    <t>Uma pessoa de periferia, residente do capão redondo que ama cultura ,arte, música. Nela me encontro como ser humano e sinto que ali é onde eu exatamente deveria estar , sou musicista e compositora , toco a quase 11 anos e meu instrumento principal é guitarra. Desde pequena vejo eventos e sua organização e sempre senti muito interesse, essa é minha essência.</t>
  </si>
  <si>
    <t>Infelizmente a arte não é valorizada aqui no Brasil , por isso , estou em busca de oportunidades para poder me expressar e ter mais contato com o que amo. A cultura é a fonte de conhecimento que todos deveriam ter a chance de ter contato , e meu objetivo é levá-la para pessoas com pouco acesso através do meu trabalho , mostrando  a minha arte e a arte de outros artistas.</t>
  </si>
  <si>
    <t>O maior objetivo de todo e qualquer artista é ser reconhecido fazendo o que ama , quero ter a chance de dar essa oportunidade para esses artistas que , as vezes , não sabem nem por onde começar , assim como já aconteceu comigo.Quero que todos tenham a chance de conquistar um lugar e um reconhecimento através da sua arte. Como uma pessoa de periferia , sei que muitos correm todos os dias atrás de conseguir o básico e , muita das vezes, pelo fato de ter que sobreviver , acabam deixando os seus sonhos e sua arte de lado , como artista pretendo mostrar e levar cada dia mais a arte de cada um.</t>
  </si>
  <si>
    <t>444.874.968-10</t>
  </si>
  <si>
    <t>Schelly Da Silva Lima</t>
  </si>
  <si>
    <t>schelly.s.lima@gmail.com</t>
  </si>
  <si>
    <t>https://yz2spukd8h-jbrk7pf7uvw.s3.amazonaws.com/2024/06/QNGgD33dNTkl20vycZu1Dt%2BjnXpWBnrUGvYzSAaM3BY%3D.jpg</t>
  </si>
  <si>
    <t>20 anos, 11 meses, 22 dias</t>
  </si>
  <si>
    <t>05891-250</t>
  </si>
  <si>
    <t>Rua Flores Silvestres</t>
  </si>
  <si>
    <t>9</t>
  </si>
  <si>
    <t>571171424</t>
  </si>
  <si>
    <t>(11) 99105-0102</t>
  </si>
  <si>
    <t>Eu venho de uma família de origem humilde, com raízes nordestinas. Moro no Capão Redondo desde que nasci e frequentei escola pública durante toda minha vida. Na infância, não tive acesso a atividades culturais devido à falta de informação e estímulo por parte da família, que também não teve acesso e conhecimento devido à posição social em que estão inseridos. Meu primeiro contato com atividades culturais foi na Fábrica de Cultura, onde cursei teatro e pude ampliar minha visão de mundo em vários aspectos da minha vida e da sociedade.</t>
  </si>
  <si>
    <t>Tenho uma bagagem recheada de aprendizados, experiências e vivências nesse meu primeiro contato com a área cultural e o espaço como um todo, que me proporcionou fazer o curso de teatro, visitar outros espaços, conhecer pessoas e outras áreas artísticas também. A pessoa que sou hoje deve muito a esse espaço, mas principalmente às pessoas que estavam lá ensinando. Atualmente, estou participando de um curso com foco na produção audiovisual de um documentário e já estou no período de gravações, trabalhando com a equipe. Em breve, estarei na fase final do curso e não pretendo parar por aqui...</t>
  </si>
  <si>
    <t>Estou plantando sementes agora para que no futuro eu possa colher realizações, projetos e trabalhos voltados para essa área que me identifico. Estou correndo atrás de cursos gratuitos na área artística para que eu possa ficar cada vez mais por dentro desse universo e criar estratégias de como conciliar isso com o trabalho. Sei exatamente onde quero estar, embora saiba que o caminho não será fácil. Mas é na área cultural que eu quero estar.</t>
  </si>
  <si>
    <t>524.682.098-00</t>
  </si>
  <si>
    <t>Rafaela Marcele Soares Da Silva</t>
  </si>
  <si>
    <t>rafaela.marcele@unifesp.br</t>
  </si>
  <si>
    <t>https://yz2spukd8h-jbrk7pf7uvw.s3.amazonaws.com/2024/06/I0NcmIisCnd19OH8H70KDtYidTPTcl55PBo2AtV1cxE%3D.jpeg</t>
  </si>
  <si>
    <t>20 anos, 11 meses, 5 dias</t>
  </si>
  <si>
    <t>08290-490</t>
  </si>
  <si>
    <t>Rua Jamile Japur</t>
  </si>
  <si>
    <t>601058239</t>
  </si>
  <si>
    <t>(11) 95869-4468</t>
  </si>
  <si>
    <t>RAFAELA.MARCELE@UNIFESP.BR</t>
  </si>
  <si>
    <t>Eu vim de uma família de migrantes nordestinos, que escolheram a zona leste para construir uma nova vida. Nasci em Artur Alvim, e lá vivi toda a minha infância e adolescência; também lá nutri experiências importantes para minha formação. Os espaços de lazer e cultura que eu frequentava com a minha família (a biblioteca, por exemplo) marcaram a minha vivência neste bairro. Cresci observando o cotidiano dos trabalhadores no metrô (próximo à minha residência), nas feiras livres, aos domingos, no dia a dia escolar com meus amigos. Por fim, o lugar periférico de onde vim ajudou a construir a minha subjetividade e minhas ideologias de mundo, como, por exemplo, a escolha da minha graduação.</t>
  </si>
  <si>
    <t>Atualmente curso licenciatura em História pela Unifesp, localizado no bairro dos Pimentas, em Guarulhos. A bagagem que o curso fornece corrobora com a visão de mundo que, desde da minha formação no meu bairro, nutro e acredito. Hoje permaneço estudando História, pois creio que o seu ensino crítico torna possível a emancipação, principalmente, de sujeitos periféricos. Nesse sentido, penso que a prática e estudo deste tipo de História pode ocorrer e ser potencializado  também em espaços culturais, como a biblioteca, as casas de cultura, os acervos, etc. Portanto, o lugar (tanto físico quanto de estudo) que estou no momento se relaciona com a vivência desses locais culturais.</t>
  </si>
  <si>
    <t>Como estou cursando licenciatura, pretendo ser professora na rede pública e contribuir com a formação escolar e crítica de jovens periféricos. Além disso, gostaria de seguir no campo de pesquisa acadêmica sobre mundos do trabalho, que se trata de observar, a partir de uma perspectiva histórica, as dinâmicas e relações de trabalho no Brasil. Enfim, meu compromisso acadêmico e social é dar destaque à história e sujeitos marginalizados.</t>
  </si>
  <si>
    <t>499.714.818-04</t>
  </si>
  <si>
    <t>KAROLYNE LIMA BARBOSA</t>
  </si>
  <si>
    <t>karollynelima021@gmail.com</t>
  </si>
  <si>
    <t>https://yz2spukd8h-jbrk7pf7uvw.s3.amazonaws.com/2024/04/6AI5ndxiJg62ZJwNYuLkwZLVPdG/51J5e8RjO9e9f%2B8%3D.pdf</t>
  </si>
  <si>
    <t>18 anos, 6 meses, 28 dias</t>
  </si>
  <si>
    <t>Cidade Líder</t>
  </si>
  <si>
    <t>08280-500</t>
  </si>
  <si>
    <t>Rua Fraiburgo</t>
  </si>
  <si>
    <t>925</t>
  </si>
  <si>
    <t>503492310</t>
  </si>
  <si>
    <t>(11) 95768-5568</t>
  </si>
  <si>
    <t>KAROLLYNELIMA021@GMAIL.COM</t>
  </si>
  <si>
    <t>Creci com a minha Bisa, a incrível Dona Maria, guerreira e que sempre fez de tudo para me dar a melhor educação, enquanto minha mãe estava fora, cuidando para que não faltasse nada.  Luana, minha mãe, é professora, sempre muito batalhadora, sonhadora, não media esforços pra ir atrás do que acreditava e foi com esse exemplo que cresci. Por incentivo da minha mãe, comecei as aulas de dança no circo social- Vila Ré.  Foi nesse espaço que comecei na arte e me encantava com tudo o que aprendia e isso me possibilitou ir para outros caminhos da arte, e nesse período de 6/7 anos que permaneci lá, percebi o quanto aquilo me fazia bem, assim, seguindo com a arte ao meu lado.</t>
  </si>
  <si>
    <t>Atualmente estudo na Etec de Artes, mas especificamente técnico em dança (formarei em junho de 2024) e me encontro em uma grande euforia e amor nessa reta final de um ciclo.  Sempre procuro ocupar onde há arte, afinal,nós artistas precisamos fomentar esse espaços, buscando incentivar esses encontros entre as pessoas.  Minha arte também me ajuda com o meu trabalho, onde atuo como atendente de loja em um pequeno mercado no bairro de Arthur Alvim. Sempre fui muito tímida, mas as minhas vivências com a arte pôde melhorar a minha comunicação com as pessoas ao meu redor,uma pessoa aberta, pronta para o diálogo e me vendo como uma mulher que consegue ir atrás do que acredita.</t>
  </si>
  <si>
    <t>Para onde eu vou, eu não sei muito bem ainda, mas quero a arte do meu lado, quero as pessoas do meu lado, quero ter o social e artístico como cúmplices nessa minha jornada de vida.  Tenho uma vontade enorme de poder trilhar o meu caminho ajudando as pessoas, levando o acesso à cultura para aqueles que muitas das vezes nem enxergam esse universo como uma oportunidade de conhecer e se aprofundar, quero ser a mulher que inspira e fomenta esse cenário, muitas das vezes desvalorizado.  Ao pensar no futuro, me vejo assim, unindo esses dois lados e fazendo as coisas acontecerem, me vejo sendo forte e realizada, me olhando e me vendo sendo a minha melhor versão para mim e para os outros.</t>
  </si>
  <si>
    <t>LESTE - 9</t>
  </si>
  <si>
    <t>386.872.438-98</t>
  </si>
  <si>
    <t>RAYANE CRISTINA DA CONCEICAO LIMA</t>
  </si>
  <si>
    <t>Rayane Cristina Da Conceição Lima</t>
  </si>
  <si>
    <t>rayanecristina99.rc@gmail.com</t>
  </si>
  <si>
    <t>https://yz2spukd8h-jbrk7pf7uvw.s3.amazonaws.com/2024/05/wwL3Ts9xgNKUQL96bzR0n2GZ0sVd4L1QG%2BodVJ03XwE%3D.jpeg</t>
  </si>
  <si>
    <t>24 anos, 7 meses, 4 dias</t>
  </si>
  <si>
    <t>Jardim Casablanca</t>
  </si>
  <si>
    <t>05842-040</t>
  </si>
  <si>
    <t>Rua Clarice Forster</t>
  </si>
  <si>
    <t>311866042</t>
  </si>
  <si>
    <t>(21) 96440-8087</t>
  </si>
  <si>
    <t>https://www.instagram.com/rcclx?igsh=MXJ6OXlqcGJ0aXV1MQ%3D%3D&amp;utm_source=qr</t>
  </si>
  <si>
    <t>Eu vim de uma família de baixa renda, localizada na Baixada Fluminense do Rio de Janeiro, no município de Belford Roxo. Sempre estudei em escolas públicas, mas no último ano de formação optei por me formar pelo ensino privado EJA.   Por falta de acesso à cultura e outros diversos acessos no meu município, decidi trabalhar de carteira assinada como forma de conseguir uma estabilidade financeira e seguir meu sonho de mudar minha história e da minha família. E quando fui demitida embarquei na jornada de seguir meu sonho. Foi a partir dessa decisão que resolvi arriscar minha vida em São Paulo. Enfrento muitos desafios, desde a adaptação até a superação de dificuldades financeiras.</t>
  </si>
  <si>
    <t>Em São Paulo, busquei oportunidades de crescimento pessoal e profissional. Comecei a investir em minha educação, participando de cursos públicos livres e oficinas em casa de cultura que pudessem me proporcionar habilidades  e conhecimentos. Aos poucos, fui construindo uma rede de amigos que me ajudou a encontrar uma casa para morar de favor e melhores oportunidades como a do jovem monitor.</t>
  </si>
  <si>
    <t>Ser um Jovem Monitor será um passo importante na realização e na construção de um futuro melhor. Estou desenvolvendo projetos como o ‘Teruza’, que fundei durante a pandemia em 2021. Esses projetos não apenas me permitem expressar minha criatividade e habilidades, mas também ajuda a comunidade, oferecendo workshops e oficinas. Minha jornada de Belford Roxo a São Paulo foi repleta de desafios, mas cada obstáculo superado fortaleceu minha determinação de continuar lutando pelos meus sonhos e de criar um futuro melhor para mim e para minha família.</t>
  </si>
  <si>
    <t>181.476.447-01</t>
  </si>
  <si>
    <t>Yasmin Ferreira Vaz Cordeiro</t>
  </si>
  <si>
    <t>yasmin.ferreira713@gmail.com</t>
  </si>
  <si>
    <t>https://yz2spukd8h-jbrk7pf7uvw.s3.amazonaws.com/2024/06/Lpyga40z6zJwE3J5eowjoYXwO%2BoLYor2grSAHtNaYz8%3D.jpg</t>
  </si>
  <si>
    <t>19 anos, 9 meses, 19 dias</t>
  </si>
  <si>
    <t>Jardim Shangrilá (Zona Norte)</t>
  </si>
  <si>
    <t>02990-195</t>
  </si>
  <si>
    <t>91</t>
  </si>
  <si>
    <t>Travessa Maurício de Heriarte</t>
  </si>
  <si>
    <t>59428887-3</t>
  </si>
  <si>
    <t>(11) 99272-4292</t>
  </si>
  <si>
    <t>YASMIN.FERREIRA713@GMAIL.COM</t>
  </si>
  <si>
    <t>https://www.instagram.com/whoisyasm.in?igsh=eHhid2Nob3V4bnBh</t>
  </si>
  <si>
    <t>TEC - LOGISCA, DESEGNER GRAFICO, AUDIO VISUAL +  CURSANDO GRAD - MARKETING</t>
  </si>
  <si>
    <t>Sou Yasmin Ferreira Vaz Cordeiro, uma multiartista independente de 19 anos, residente no Jaraguá, na região Noroeste de São Paulo. Desde os doze anos, a arte tem sido minha companheira, começando pela ilustração e expandindo para o design e o audiovisual. Meu percurso inclui a formação técnica em Design Gráfico pela ETEC José Rocha Mendes e participação no Instituto CRIAR, onde desenvolvi projetos audiovisuais, incluindo uma animação na qual atuei como roteirista e diretora. Recentemente, realizei serviços de design gráfico para projetos culturais, como a 13ª Mostra de Teatro de Rua de Guarulhos e o Projeto Kilimanjaro, ambos apoiados pela lei Paulo Gustavo.</t>
  </si>
  <si>
    <t>No entanto, percebo a necessidade de um acolhimento cultural mais amplo e acessível no meu território.    Minha relação com minha comunidade iniciou cedo, vinda de escola pública, percebi a falta de atenção às questões culturais e educacionais, especialmente para quem deseja viver de arte. Apesar da riqueza histórica e cultural da região presente no Jaraguá, em Pirituba, Taipas e Perus, senti a ausência de apoio cultural. Isso me motivou a buscar oportunidades para contribuir com o desenvolvimento cultural local.</t>
  </si>
  <si>
    <t>Vejo o programa Jovem Monitor Cultural como uma oportunidade de impactar positivamente minha região, facilitando o acesso à educação e cultura para pessoas de diversas gerações. Acredito que posso fazer a diferença ao adquirir conhecimento e compartilhá-lo com minha comunidade. Este não é apenas um objetivo político, mas também uma questão humanitária que estou comprometida em abordar.    Agradeço a oportunidade de participar deste processo seletivo e espero contribuir de forma significativa para o desenvolvimento cultural e educacional do meu território.    Atenciosamente,  Yasmin Ferreira Vaz Cordeiro</t>
  </si>
  <si>
    <t>551.780.548-57</t>
  </si>
  <si>
    <t>Vinicius Barbosa Teixeira</t>
  </si>
  <si>
    <t>VINY WE</t>
  </si>
  <si>
    <t>Viny WE</t>
  </si>
  <si>
    <t>vinybarbosa2009@gmail.com</t>
  </si>
  <si>
    <t>https://yz2spukd8h-jbrk7pf7uvw.s3.amazonaws.com/2024/05/iVFAyu/t9MLiPPvfauyW5TJE/y3YqhfJq8KHKO47AcA%3D.jpeg</t>
  </si>
  <si>
    <t>28 anos, 10 meses, 15 dias</t>
  </si>
  <si>
    <t>JA  CONCLUIU OS  DOIS  TÉCNICOS</t>
  </si>
  <si>
    <t>Parque Central</t>
  </si>
  <si>
    <t>08420-500</t>
  </si>
  <si>
    <t>Avenida Ribeirão Itaquera</t>
  </si>
  <si>
    <t>395095967</t>
  </si>
  <si>
    <t>(11) 94817-3570</t>
  </si>
  <si>
    <t>VINYBARBOSA2009@GMAIL.COM</t>
  </si>
  <si>
    <t>https://www.instagram.com/vinyweart/</t>
  </si>
  <si>
    <t>DANÇA  E TEATRO</t>
  </si>
  <si>
    <t>Meu nome é Vinicius Barbosa Teixeira, mas eu me chamo  Viny We. Sou natural de Guaianazes, na zona leste de São Paulo, sou um artista periférico Multilinguagem. Minha jornada artística começou com o estudo de teatro, participando de programas como o Vocacional e também explorando o teatro independente. Mais tarde, busquei aprimorar meus conhecimentos na área e me formei em Teatro - ETEC de Artes. Em 2022, tive a oportunidade de adquirir uma valiosa formação em produção cultural através do Programa Criatividade. Além disso, obtive uma sólida formação em Educação Social pelo SENAC. Como fruto do Programa Vocacional, fundei a companhia de teatro CIA433.</t>
  </si>
  <si>
    <t>Atualmente, dedico-me ao estudo da dança na ETEC de Artes, aprimorando minhas habilidades nessa expressão artística. Sou membro ativo da CIA 433, minha companhia teatral, envolvido em diversos projetos criativos. Paralelamente, pesquiso arte performance e dança contemporânea, explorando novas formas de expressão. Apaixonado por poesia, exponho meus versos em projetos como o Lambe-Lambe. Também trabalho com zines e recentemente exibi meu trabalho em exposições na Casa de Cultura Raul Seixas e na ETEC de Artes.</t>
  </si>
  <si>
    <t>No futuro, pretendo participar do Programa Jovem Monitor Cultural para explorar minha afinidade com a produção cultural, focando em áreas como curadoria e aspectos técnicos. Busco aprofundar meu conhecimento e aproveitar as formações oferecidas pelo programa. Também desejo desenvolver grupos de estudos, como fiz no Programa Criatividade, abordando temas como poesia, teatro e dramaturgia. Paralelamente, almejo me formar em filosofia para ampliar minha compreensão do mundo e das artes.</t>
  </si>
  <si>
    <t>462.359.218-96</t>
  </si>
  <si>
    <t>BRUNA RAMOS DOS SANTOS</t>
  </si>
  <si>
    <t>Bruna Ramos Dos Santos</t>
  </si>
  <si>
    <t>Bruna</t>
  </si>
  <si>
    <t>bruna.tv.ramos@gmail.com</t>
  </si>
  <si>
    <t>https://yz2spukd8h-jbrk7pf7uvw.s3.amazonaws.com/2024/06/FqU6vF1GWmADqzSvJ7J0DQGEakVLiFNigGIz9x1yj5o%3D.jpeg</t>
  </si>
  <si>
    <t>18 anos, 11 meses, 13 dias</t>
  </si>
  <si>
    <t>03729-140</t>
  </si>
  <si>
    <t>Rua Jataúba</t>
  </si>
  <si>
    <t>576604409</t>
  </si>
  <si>
    <t>(11) 94943-8169</t>
  </si>
  <si>
    <t>superior : cursando</t>
  </si>
  <si>
    <t>https://www.instagram.com/eu_ramosbrubs/?hl=pt-br</t>
  </si>
  <si>
    <t xml:space="preserve">comércio exterior </t>
  </si>
  <si>
    <t>Me chamo Bruna tenho 18 anos nasci no paraná mas cresci em Sp. Sou formada no terceiro ano do ensino medio, sou fruto de uma série de vivência e momentos de crescimento sempre me interessei por expêriencias novas sempre fui uma pessoa disposta e aberta ao novo</t>
  </si>
  <si>
    <t>Atualmente, me encontro em um estágio de transição e crescimento. Estou em constante evolução, buscando aprimorar minhas habilidades e conhecimentos. Tenho me dedicado a explorar novas áreas e expandir meus horizontes, sempre em busca de novas oportunidades de aprendizado e desenvolvimento</t>
  </si>
  <si>
    <t>Quanto ao meu futuro, tenho grandes ambições e sonhos que desejo realizar. Pretendo seguir um caminho que me permita contribuir positivamente a vida de outras pessoas e deixar um legado significativo. Tenho a determinação de fazer a diferença.</t>
  </si>
  <si>
    <t>471.457.108-70</t>
  </si>
  <si>
    <t>GABRIELLE BARBOSA SILVA</t>
  </si>
  <si>
    <t>Gabrielle Barbosa Silva</t>
  </si>
  <si>
    <t>Oliver Barbosa</t>
  </si>
  <si>
    <t>guchiitadashi@gmail.com</t>
  </si>
  <si>
    <t>https://yz2spukd8h-jbrk7pf7uvw.s3.amazonaws.com/2024/06/tekKRoAEkYLkU2B14FsVp9aGB2mgpv62Xtn20keZNbw%3D.png</t>
  </si>
  <si>
    <t>18 anos, 0 meses, 16 dias</t>
  </si>
  <si>
    <t>NOME DIFERENTE DO QUE CONSTA NO DOCUMENTO (A SABER GABRIELE BARBOSA DA SILVA) - PRECISA SER VERIFICADO PELA BANCA DE HETEROIDENTIFICACAO</t>
  </si>
  <si>
    <t>Rua das Piraíbas</t>
  </si>
  <si>
    <t>66821952x</t>
  </si>
  <si>
    <t>(11) 95841-5085</t>
  </si>
  <si>
    <t>BIBLIOTECA MONTEIRO LOBATO</t>
  </si>
  <si>
    <t>Nasci e moro no bairro da Vila Guacuri, localizado no Pedreira, periferia da zona sul de São Paulo. Sou um jovem transmasculino em processo de transição de gênero e criado por mãe solo e mais dois irmãos. Minha casa e família são bem humildes, sem muitas condições financeiras ou estruturais. Estudo a vida toda em escola pública e tenho curiosidade e vontade de aprender cada vez mais. Minhas experiências no campo artístico cultural são vivenciando a arte. Cresci ao lado dos meus irmãos, frequentando aulas de teatro, dança ou desenho com eles, assistindo espetáculos e filmes diariamente. Vivo rodeado por arte desde que nasci e isso faz parte do meu desenvolvimento como ser humano.</t>
  </si>
  <si>
    <t>Me sinto muito à vontade no meu território, por ter passado toda minha vida aqui. A periferia me acolhe e busco frequentar os espaços artísticos e de troca que existem no território. Sinto uma defasagem em algumas ações e movimentos culturais do bairro, mas gostaria de, a partir do Programa, movimentar mais os espaços culturais, seja através da dança, da música, do grafitti ou outros meios artísticos.</t>
  </si>
  <si>
    <t>Quero participar do Programa Jovem Monitor Cultural para aprender e experienciar o ramo artístico cultural de forma independente, trilhando meu próprio caminho e descobrindo por conta própria os lugares que me identifico. O Programa é uma forma de dar o suporte e o conhecimento que busco. Acredito muito no poder da pedagogia e tenho isso como objetivo dentro do programa também, de aprender coisas novas e ensinar meus amigos e pessoas próximas do meu território. Tenho por mim que a arte está em todas as áreas, e gostaria de participar do Programa Jovem Monitor como forma de me desenvolver melhor na sociedade e no meu futuro como biólogo.</t>
  </si>
  <si>
    <t>583.460.328-97</t>
  </si>
  <si>
    <t>Gabriela Dos Santos Felix</t>
  </si>
  <si>
    <t>GABRIELA</t>
  </si>
  <si>
    <t>Gabriela</t>
  </si>
  <si>
    <t>gabyfelix1508@gmail.com</t>
  </si>
  <si>
    <t>https://yz2spukd8h-jbrk7pf7uvw.s3.amazonaws.com/2024/05/ZYgsn6nGTUyXClfRoZUVaUNid/BWlWEahHfmV/TxkhM%3D.jpg</t>
  </si>
  <si>
    <t>23 anos, 4 meses, 13 dias</t>
  </si>
  <si>
    <t>02814-000</t>
  </si>
  <si>
    <t>Rua Aparecida do Taboado</t>
  </si>
  <si>
    <t>52810421-4</t>
  </si>
  <si>
    <t>(11) 96795-1490</t>
  </si>
  <si>
    <t>https://www.instagram.com/hbi.felix?igsh=MWh2NTJvMXdldm1xMQ%3D%3D&amp;utm_source=qr</t>
  </si>
  <si>
    <t xml:space="preserve">designer gráfico </t>
  </si>
  <si>
    <t>Eu me chamo Gabriela Felix sou natural de São Paulo - Brasilândia , filha de dois paulistanos cresci em um bairro simples de São Paulo de poucas oportunidades estudei em escola publica durante todo período escolar , conclui o curso técnico de Auxiliar Administrativo e Informática em paralelo ao ensino médio em seguida ingressei como jovem aprendiz na Leroy Merlin, fiquei 1 ano como auxiliar de atendimento e comercio, tive a oportunidade de aprender e ingressar no mercado de trabalho, me aprimorar profissionalmente.</t>
  </si>
  <si>
    <t>Atualmente possuo 23 anos trabalho com atendimento ao cliente e estudo Design Gráfico na Etec Carlos de Campos , estou a aproximadamente 6 meses atuando como atendente e minhas principais funções são organizar os estoques dos produtos de cafeteria ,organizar o salão para receber os clientes, atendimento e preparação dos produtos solicitados, no curso de Design trabalhamos com a criação de identidade visual da empresa além de trabalhar com ferramentas como Adobe Photoshop, Illustrator, InDesing, Fotografia , Criação artística e Pintura.</t>
  </si>
  <si>
    <t>Minha meta atual é concluir o curso de Design Gráfico e desenvolver o aprendizado que tive durante esse período de estudos e aplicar o que aprendi ao longo de minha carreira profissional lidando com atendimento ao cliente e dentre outras áreas, acredito que essa oportunidade vai ser muito engrandecedora na minha jornada profissional e também na minha jornada pessoal.</t>
  </si>
  <si>
    <t>503.113.918-85</t>
  </si>
  <si>
    <t>Elizabeth Nathalie Gomes Vizoki</t>
  </si>
  <si>
    <t>elizabethnathalie45@gmail.com</t>
  </si>
  <si>
    <t>https://yz2spukd8h-jbrk7pf7uvw.s3.amazonaws.com/2024/05/WBk2vSDuQXSgH6kEKvNn6BLdWdnHq2RhLq8KN/ep0TU%3D.jpg</t>
  </si>
  <si>
    <t>20 anos, 11 meses, 9 dias</t>
  </si>
  <si>
    <t>02714-000</t>
  </si>
  <si>
    <t>Bl 13 AP 24</t>
  </si>
  <si>
    <t>Av Otaviano A De Lima</t>
  </si>
  <si>
    <t>3600</t>
  </si>
  <si>
    <t>57.714.589-7</t>
  </si>
  <si>
    <t>(11) 91555-4527</t>
  </si>
  <si>
    <t>11-915554527</t>
  </si>
  <si>
    <t xml:space="preserve">administração e pacote ofice </t>
  </si>
  <si>
    <t>Olá, eu começo esta carta de apresentação dizendo que meu nome é Elizabeth e tenho 20 anos, logo farei 21 em julho. Eu costumava morar em Interlagos na vila da paz mas por consequências pessoais e não muito animadoras tive que me mudar. As coisas na vila eram mais acessíveis para mim por serem perto como biblioteca por exemplo. Eu costumava ir muito na biblioteca Malba Tahan desde a época da escola até minha atual fase e também vivia na biblioteca da escola, pode-se dizer que sou uma " ratinha de biblioteca nata". As bibliotecas sempre foram um refúgio e local de conforto para mim, a paz, os espaços confortáveis. Eu podia ler e desenhar e até mesmo interagir com os bibliotecários.</t>
  </si>
  <si>
    <t>Atualmente estou morando com a minha avó na freguesia do Ó e em um emprego de limpeza, a adaptação não está sendo tão difícil mas também nem tão fácil, quando eu soube do Jovem Monitor cultural eu fiquei empolgada, um trabalho onde eu poderia ficar próxima da cultura e da arte ( que para mim andam juntas) um trabalho com um enriquecimento cultural imenso e extremamente inclusivo, eu vejo a diversidade dos jovens e isso me deixa feliz e confortável pois eu me considero uma pessoa alternativa e sempre que vou procurar emprego preciso me " padronizar" e vi como isso talvez não seja necessário neste emprego afinal a cultura é muito abrangente e diversa e única ao mesmo tempo.</t>
  </si>
  <si>
    <t>Eu desejo estar em um emprego onde eu ficaria perto de coisas que eu gosto/ exerceria o que eu gosto e eu espero futuramente ter conseguido ingressar na faculdade, eu pretendo fazer artes visuais na UNESP, eu também espero ter terminado meu curso e espero estar em um emprego bom, eu espero dar orgulho a minha avó e me provar que eu não preciso estar onde eu não me sinto bem e que também tenho potencial para conseguir o que eu quiser, espero muito poder morar sozinha um dia ou até mesmo conseguir um dormitório na UNESP. Eu vou persistir para ter um futuro e vida melhor.</t>
  </si>
  <si>
    <t>476.191.838-17</t>
  </si>
  <si>
    <t>JENIFFER BERNARDES DIAS</t>
  </si>
  <si>
    <t>Jeniffer Bernardes Dias</t>
  </si>
  <si>
    <t>James Bernardes Dias</t>
  </si>
  <si>
    <t>jamiefraser014@gmail.com</t>
  </si>
  <si>
    <t>https://yz2spukd8h-jbrk7pf7uvw.s3.amazonaws.com/2024/06/ajS0JoqGDnD7VtrdtIDkkmgnIQDuG7wm/e134D4L6Ak%3D.jpg</t>
  </si>
  <si>
    <t>23 anos, 5 meses, 16 dias</t>
  </si>
  <si>
    <t>08473-280</t>
  </si>
  <si>
    <t>Rua Joaquim Amaral</t>
  </si>
  <si>
    <t>285</t>
  </si>
  <si>
    <t>566510479</t>
  </si>
  <si>
    <t>(11) 94891-2876</t>
  </si>
  <si>
    <t>JAMIEFRASER014@GMAIL.COM</t>
  </si>
  <si>
    <t>https://www.instagram.com/jaamesjomon?igsh=MWt1OTZxYTB3ODJsag==</t>
  </si>
  <si>
    <t>Não possuo ainda</t>
  </si>
  <si>
    <t>Vim de uma vida difícil durante infância e adolescência, com muitas barreiras na favela da cidade tiradentes, onde foi complicado ser um homem trans, preto e do candomblé, mesmo com tantos problemas, desde pequeno aprendi muito sobre responsabilidade e independência, foi assim que saí de casa com 16 anos para morar sozinho enfrentando o mundo da forma que pude, já morei de favor na casa de muitas pessoas, conheci o lado bom e o lado ruim da vida e da favela, graças a Jah tive cabeça  quando precisei escolher entre o mundo do crime e o estudo.</t>
  </si>
  <si>
    <t>Me considero a pessoa mais batalhadora que conheço e não tenho medo de afirmar isso, ainda moro sozinho e aos poucos vou conquistando meu lugar no mundo e na sociedade de forma leve.   A cada dia tento me conhecer mais, entender meus limites, ponderar meus erros  e acertos e acredito que estou no caminho certo.    Desde que me conheço, posso afirmar que essa é minha melhor fase, por mais que ainda esteja passando por algumas batalhas mas consegui acompanhamento gratuito pro meu processo transexualizador e aos poucos estou em progresso.</t>
  </si>
  <si>
    <t>Mesmo com tanta satisfação em minha vida atual, não quero estacionar nessa fase da vida, acredito que estou vivo por um motivo bem maior e toda minha evolução tem propósito, penso muito mas não me prendo num plano futuro específico, gosto de manter o leque de possibilidades aberto mas posso afirmar com toda certeza que meu futuro é dentro da arte e de ações sociais dentro da minha comunidade e fora, estou planejando um projeto dentro de escolas para incentivar as crianças a se expressar através da poesia, além de conhecer mais a fundo e entender que a poesia não está apenas nos livros.   Quero manter esse e outros projetos sociais e culturais e dedico minha vida nisso com  máximo respeito.</t>
  </si>
  <si>
    <t>534.780.988-40</t>
  </si>
  <si>
    <t>Os candidatos pintados em azul devem ter 20 pontos retirados, pois pontuaram no CadÚnico de forma indevida, a saber: KAIQUE APARECIDO ABRAHÃO AMBRUSTER preencheu "não possuo cadastro unico no momento"; THAIANY CAMPOS SOARES ROQUE preencheu "0"; JAMES BERNARDES DIAS preencheu "Não possuo ainda"; LÍVIA KAUANE SALES SILVA preencheu "Não sei qual é o número"; O candidato JAMES BERNARDES DIAS deve ter a pontuação de pessoa trans retirada.</t>
  </si>
  <si>
    <t>DAVI MARIANO DOS SANTOS</t>
  </si>
  <si>
    <t>Davi Mariano Dos Santos</t>
  </si>
  <si>
    <t>Dayla Mariano Dos Santos</t>
  </si>
  <si>
    <t>daylamarian987@gmail.com</t>
  </si>
  <si>
    <t>https://yz2spukd8h-jbrk7pf7uvw.s3.amazonaws.com/2024/05/wnfjLUrsngpS6Hq1FWAvgCnqH8d26%2BVoswr91XnDfm4%3D.jpeg</t>
  </si>
  <si>
    <t>19 anos, 3 meses, 13 dias</t>
  </si>
  <si>
    <t>Lauzane</t>
  </si>
  <si>
    <t>02443-040</t>
  </si>
  <si>
    <t>Av. Lauzane Paulista</t>
  </si>
  <si>
    <t>398817716</t>
  </si>
  <si>
    <t>(11) 95376-9607</t>
  </si>
  <si>
    <t>https://www.instagram.com/daylamiese?igsh=dzUwemYwNjI0bzZ5</t>
  </si>
  <si>
    <t xml:space="preserve">dança </t>
  </si>
  <si>
    <t>https://youtu.be/5XeR3WOJnoo?feature=shared</t>
  </si>
  <si>
    <t>553.080.998-71</t>
  </si>
  <si>
    <t>Julia Da Silva Biaggioli</t>
  </si>
  <si>
    <t>JULIA BIAGGIOLI</t>
  </si>
  <si>
    <t>Julia Biaggioli</t>
  </si>
  <si>
    <t>biaggiolij@gmail.com</t>
  </si>
  <si>
    <t>https://yz2spukd8h-jbrk7pf7uvw.s3.amazonaws.com/2024/06/UhmD6EsI8v896Wzlo/A1x5uPOtX9Z8DlLXprq8Mq/vE%3D.JPG</t>
  </si>
  <si>
    <t>25 anos, 6 meses, 0 dias</t>
  </si>
  <si>
    <t>Jardim Novo Parelheiros</t>
  </si>
  <si>
    <t>04890-110</t>
  </si>
  <si>
    <t>Rua Amâncio Roschel Rasquinho</t>
  </si>
  <si>
    <t>564</t>
  </si>
  <si>
    <t>531423578</t>
  </si>
  <si>
    <t>(11) 97521-9603</t>
  </si>
  <si>
    <t>https://www.instagram.com/jucantadeira?igsh=N2lkcTV5MDhwZTc2</t>
  </si>
  <si>
    <t>TÉCNICO EM ORIENTAÇÃO COMUNITÁRIA</t>
  </si>
  <si>
    <t>Venho de uma família de palhaços, uma trupe de saltimbancos urbanos que se estabeleceu na região de Parelheiros há 12 anos. Iniciei minha trajetória na produção cultural ainda muito jovem, aprendendo no ambiente familiar as dinâmicas necessárias para realizar desde um espetáculo até grandes eventos. Com o tempo, percebi que tinha habilidade para esse trabalho e me aprofundei na área. Participei de núcleos de formação na Escola Livre de Teatro e, em seguida, me formei em atuação na SP Escola de Teatro. Durante esse período, sempre estive envolvida em grupos de teatro, produzindo eventos a partir de coletivos de mobilização social e do audiovisual na região.</t>
  </si>
  <si>
    <t>Hoje, atuo no campo da produção cultural, trabalhando em espetáculos, na mobilização da Mostra de Teatro e Artes de Rua de Parelheiros, e em projetos audiovisuais que desenvolvi tanto na região quanto fora dela. Atualmente, faço parte da Família Rocokoz como produtora e artista, da Ecoar como produtora audiovisual e diretora, e integro o coletivo Arque Perifa. Além disso, participo de diversos projetos independentes e sou membro do Fórum de Cultura de Parelheiros.</t>
  </si>
  <si>
    <t>Como profissional, pretendo me aprofundar na área de produção, especializando-me principalmente na produção executiva de projetos artísticos,  audiovisuais e eventos. Desejo avançar em minhas relações e no entendimento do mercado, para ir além do conhecimento adquirido nos últimos anos. Quero aprender mais sobre leis de incentivo, captação de recursos, elaboração de projetos para editais maiores e prestações de contas. Embora multifacetada enquanto artista, almejo desenvolver uma visão mais apurada do mercado, tanto em São Paulo quanto fora da cidade.</t>
  </si>
  <si>
    <t>484.128.798-13</t>
  </si>
  <si>
    <t>NYCKOLAS HEITOR SANTANA PACHECO</t>
  </si>
  <si>
    <t>Nyckolas Heitor Santana Pacheco</t>
  </si>
  <si>
    <t>KAI RAYÓFÁIJI</t>
  </si>
  <si>
    <t>Kai Rayófáiji</t>
  </si>
  <si>
    <t>tramposdokai@gmail.com</t>
  </si>
  <si>
    <t>https://yz2spukd8h-jbrk7pf7uvw.s3.amazonaws.com/2024/06/LnECZsIPIoEAIlqj3bfQhNpMkpRQK%2B31WC8rSdmspTo%3D.jpg</t>
  </si>
  <si>
    <t>19 anos, 10 meses, 27 dias</t>
  </si>
  <si>
    <t>homem cis (corrigir)</t>
  </si>
  <si>
    <t>Jardim Esmeralda</t>
  </si>
  <si>
    <t>05564-100</t>
  </si>
  <si>
    <t>Apto 31</t>
  </si>
  <si>
    <t>Avenida Engenheiro Heitor Antônio Eiras Garcia</t>
  </si>
  <si>
    <t>3564</t>
  </si>
  <si>
    <t>57.589.340-0</t>
  </si>
  <si>
    <t>(11) 98733-2045</t>
  </si>
  <si>
    <t>https://www.instagram.com/known.khaos?igsh=MWI4eGxsdjhoNTNiYw==</t>
  </si>
  <si>
    <t>AUDIOVISUAL E TECNOLOGIA</t>
  </si>
  <si>
    <t>Prazer sou o Kai,   Venho do jardim esmeralda mais precisamente Vila Borges e região, sou um jovem negro, bissexual, multi-artista, candomblecista periférico que desde muito jovem entregou sua alma para a arte e desde então não vive sem se expressar de forma artistica.mesmo com uma realidade humilde  que não abre espaço pra essa vocação então desde meu nascimento venho resistindo contra diversos estigmas da sociedade.</t>
  </si>
  <si>
    <t>Hoje em dia me encontro rescem formado  no Instituto Criar de tv, cinema e novas mídias, atrás de vagas que contemplem minhas proficiências atuais no ramo Audiovisual e artistico de forma geral, para que possa prover uma melhor qualidade de vida para mim e para meu núcleo familiar como um todo sem calar o chamado que tenho para a arte e a vontade de inspirar outros como eu que vieram de onde eu vim com realidades análogas as minha.</t>
  </si>
  <si>
    <t>Até onde o futuro me pertence, pretendo passar no processo seletivo do jovem munitor cultural da cidade de São Paulo, me tornar omo orisá (iniciado de orixá), cuidar da minha família e do meu eu artistico pra que possa viver os dias de uma forma mais tranquila e feliz, consiga dar andamento na minha graduação dentro da area de fotografia Audiovisual e meus projetos artisticos tanto escritos quanto visuais a medida que  o tempo permitr, sendo referência e lutando para que os próximos  que vierem sejam tão satisfeitos com suas vidas, objetivos e projetos quanto eu busco ser hoje ao escrever está carta.</t>
  </si>
  <si>
    <t>508.643.818-75</t>
  </si>
  <si>
    <t>HEMILY VITORIA DE SOUZA MOTA</t>
  </si>
  <si>
    <t>Hemily Vitoria De Souza Mota</t>
  </si>
  <si>
    <t>HEMILY</t>
  </si>
  <si>
    <t>Hemily</t>
  </si>
  <si>
    <t>vitoria100h@gmail.com</t>
  </si>
  <si>
    <t>https://yz2spukd8h-jbrk7pf7uvw.s3.amazonaws.com/2024/04/IJn10IZtYs4g/loULKc2YWj2h0Np664MDr5vaYWjmK4%3D.jpeg</t>
  </si>
  <si>
    <t>19 anos, 11 meses, 4 dias</t>
  </si>
  <si>
    <t>Vila Romano</t>
  </si>
  <si>
    <t>04679-345</t>
  </si>
  <si>
    <t>CAMPO GRANDE</t>
  </si>
  <si>
    <t>Rua Monlevade</t>
  </si>
  <si>
    <t>184</t>
  </si>
  <si>
    <t>563104910</t>
  </si>
  <si>
    <t>(11) 94926-2343</t>
  </si>
  <si>
    <t>https://www.instagram.com/opa_hemily/</t>
  </si>
  <si>
    <t>TÉNICO EM MARKETING E INFORMÁTICA</t>
  </si>
  <si>
    <t>Me chamo Hemily, venho de Paulínia interior de SP. Com meus 4 anos chego em Santo Amaro ZS onde cresci e fui criada. De pequena sempre fui "acostumada" com as dificuldade de ser uma mulher preta e periférica, aos 11 anos eu comecei a trabalhar como manicure, aos 13 anos comecei a frequentar casas de cultura, onde conheci a magia da arte como o HIP HOP, as Batalhas de rima e como aquilo era um protesto artístico. No mundo da arte pude explorar e separar as coisas que eu gostava e as que não eram para mim. Com pouco tempo  fazia parte da arte assim como ela faz parte de quem eu sou hoje.</t>
  </si>
  <si>
    <t>Com 19 anos de idade, mantenho viva minha paixão pela arte e suas diversas formas de expressão. Mesmo ciente dos desafios enfrentados pelo mundo artístico nos dias atuais, continuo a enxergar o mundo com olhos amorosos. Recentemente, concluí meu curso no Instituto Criar de TV, Cinema e Novas Mídias, especializando-me em Produção Audiovisual. Estou à procura de oportunidades que me permitam ingressar no mercado de trabalho e aplicar meu conhecimento e habilidades.</t>
  </si>
  <si>
    <t>Quando fecho os olhos e me questiono "para onde vou?", visualizo-me ajudando pessoas a crescer e aprender, assim como fui auxiliado por outras no meu próprio crescimento e aprendizado. Comprometo-me a fazer diferente, com responsabilidade, levando conhecimento e arte aonde quer que eu possa alcançar. Busco constantemente aprender e melhorar a cada dia, além de realizar meus desejos pessoais, como alcançar estabilidade financeira, aprender novos idiomas e desenvolver outras habilidades. Estou em constante busca pelo aprimoramento da comunicação e pelo avanço profissional.</t>
  </si>
  <si>
    <t>473.190.968-62</t>
  </si>
  <si>
    <t>LAIS DA SILVA SANTANA SILVA</t>
  </si>
  <si>
    <t>Laís Da Silva Santana Silva</t>
  </si>
  <si>
    <t>silva.lai@hotmail.com</t>
  </si>
  <si>
    <t>https://yz2spukd8h-jbrk7pf7uvw.s3.amazonaws.com/2024/04/bj6LFr0tHt08YBTTPU3KPiw2Zc5c2AvF1MtoohcOi4k%3D.pdf</t>
  </si>
  <si>
    <t>CURSO TRANCADO, PORÉM PRETENDE RETORNAR</t>
  </si>
  <si>
    <t>Jardim Miriam</t>
  </si>
  <si>
    <t>04417-240</t>
  </si>
  <si>
    <t>Rua Delfim Guedes</t>
  </si>
  <si>
    <t>90</t>
  </si>
  <si>
    <t>648800891</t>
  </si>
  <si>
    <t>(11) 96825-9146</t>
  </si>
  <si>
    <t>SUPERIOR PUBLICIDADE E PROPAGANDA</t>
  </si>
  <si>
    <t>20777119034</t>
  </si>
  <si>
    <t>Estudei em escola pública e desde o ensino médio participo de realizações de eventos acadêmicos, como apresentações musicais e literaturas. Após concluir o ensino médio continuei participando de realizações de eventos de entretenimento com apresentações culturais e esportivos. Participei de feiras e venho estudando sobre conteúdos de produção de eventos.</t>
  </si>
  <si>
    <t>Morei em Aracaju e mudei para São Paulo há 6 anos, aqui pude iniciar os estudos em publicidade e propaganda pelo fies. Estava trabalhando para poder concluir os estudos, atualmente não trabalho com eventos mas na área do marketing e como freelancer de design, continuo estudando sobre eventos culturais para concluir minha graduação nessa especialidade.</t>
  </si>
  <si>
    <t>Pretendo me formar e produzir eventos culturais com apresentações musicais e exposições artísticas, continuar aprendendo sobre gestão cultural para desempenhar eventos acessíveis e inclusivos com acessibilidade. Me especializar com uma pós e colocar em prática meus estudos contribuindo socialmente com a comunidade. Com o objetivo de acrescentar a sociedade.</t>
  </si>
  <si>
    <t>050.996.995-02</t>
  </si>
  <si>
    <t>Raquel Stela Mota</t>
  </si>
  <si>
    <t>raquelstelam@gmail.com</t>
  </si>
  <si>
    <t>https://yz2spukd8h-jbrk7pf7uvw.s3.amazonaws.com/2024/06/KnGKqjZfq7a1A0gYuFMW/MrBUDJIHg7NMPb3RP1Vlg0%3D.jpg</t>
  </si>
  <si>
    <t>22 anos, 3 meses, 21 dias</t>
  </si>
  <si>
    <t>Jardim Novo Horizonte</t>
  </si>
  <si>
    <t>04856-510</t>
  </si>
  <si>
    <t>Rua Agenor Klaussner</t>
  </si>
  <si>
    <t>319</t>
  </si>
  <si>
    <t>55.921.405-4</t>
  </si>
  <si>
    <t>(11) 95589-2002</t>
  </si>
  <si>
    <t>https://www.instagram.com/rakelstela?igsh=MXRkaDI1cnQ5ZzVuZQ==</t>
  </si>
  <si>
    <t>TÉCNICO EM PROCESSOS FOTOGRÁFICOS</t>
  </si>
  <si>
    <t>Crescida no Grajaú, distrito periférico do extremo sul da capital de São Paulo, iniciei minha jornada no universo artístico aos 14 anos, onde estudo desde estão diversos nichos da arte em instituições públicas, ongs e coletivos que me proporcionaram estudar de forma gratuita e acessível, como música pelo Guri Santa Marelina, artes visuais pelo Cursinho ADH Niggaz, onde tive oportunidade de estudar  sobre história de arte na minha própria quebrada, entre várias outras ongs que me ensinaram  muito.</t>
  </si>
  <si>
    <t>Com essas minhas experiências,  pude entrar aos poucos no mercado audio visual como assistente de produção de set, o que me despertou mais curiosidade ainda por esse universo, onde comecei a ir atrás de formas de iniciar uma graduação audio visual de forma acessível, mas infelizmente cursos como esses são extremamente inacessíveis. Hoje com vinte e dois anos, iniciei o Técnico em Processos Fotográficos pelo Senac como bolsista integral, onde administro minha vida de estudante e autônoma, não só na produção audio visual, mas também em outras áreas como free-lancer,  no intuito de complementar renda.</t>
  </si>
  <si>
    <t>Quando uma amiga artista, que ja foi jovem monitora, me apresentou o PJMC, fiquei extremamente animada com a ideia de estudar mais sobre arte e produção cultural de forma gratuita e com uma bolsa auxílio, sabendo  o quão dificil é pra nós artistas periféricos termos uma renda a partir da arte. Por isso, seria um privilégio poder estudar e me inserir cada vez mais na produção cultural com a ajuda  do Programa Jovem Monitor. Sem sombra de dúvidas, uma grande chance de  poder investir em mais conhecimento artístico e cultural de base sólida. Desde já, agradeço a todos os responsáveis pelo grande projeto, e espero ter a alegria de ter essa troca com vocês, mas que principalmente, vocês possam me</t>
  </si>
  <si>
    <t>512.763.318-35</t>
  </si>
  <si>
    <t>Daniel Santos Mendonça</t>
  </si>
  <si>
    <t>daniel0santos2001@gmail.com</t>
  </si>
  <si>
    <t>https://yz2spukd8h-jbrk7pf7uvw.s3.amazonaws.com/2024/06/lroylQTDnzQMNa9nT8Yx4hT59SUhR4hggqY9gQS5AaU%3D.jpg</t>
  </si>
  <si>
    <t>23 anos, 1 meses, 20 dias</t>
  </si>
  <si>
    <t>Sítio do Piqueri</t>
  </si>
  <si>
    <t>02318-020</t>
  </si>
  <si>
    <t>Rua Manuel Vieira da Luz</t>
  </si>
  <si>
    <t>526</t>
  </si>
  <si>
    <t>56.337.665-X</t>
  </si>
  <si>
    <t>(11) 97789-8256</t>
  </si>
  <si>
    <t>https://www.instagram.com/deboas_dann?igsh=MWJtMG5hYzhxNHA1</t>
  </si>
  <si>
    <t>https://youtu.be/ZeY3Yv3eRH4?si=F0qSbNtytg8ZST9u</t>
  </si>
  <si>
    <t>499.923.428-97</t>
  </si>
  <si>
    <t>Clayton Matheus Santos</t>
  </si>
  <si>
    <t>AV ZAKI NARCHI</t>
  </si>
  <si>
    <t>Av Zaki Narchi</t>
  </si>
  <si>
    <t>claytonmatheus40@gmail.com</t>
  </si>
  <si>
    <t>https://yz2spukd8h-jbrk7pf7uvw.s3.amazonaws.com/2024/06/XkHJhb6RovZrI9u6UI8WCnJKQQ1blOJNwz3nwlQYbMM%3D.jpg</t>
  </si>
  <si>
    <t>26 anos, 4 meses, 8 dias</t>
  </si>
  <si>
    <t>Parque Itaberaba</t>
  </si>
  <si>
    <t>02764-040</t>
  </si>
  <si>
    <t>Rua Janiópolis</t>
  </si>
  <si>
    <t>147</t>
  </si>
  <si>
    <t>393401054</t>
  </si>
  <si>
    <t>(11) 97840-4497</t>
  </si>
  <si>
    <t>sim/incompleto</t>
  </si>
  <si>
    <t>https://www.instagram.com/malo_keko/</t>
  </si>
  <si>
    <t>https://drive.google.com/file/d/1ztD0J4_jAlIlcn5anig-Qm56lHMenSle/view?usp=drive_link</t>
  </si>
  <si>
    <t>459.937.948-44</t>
  </si>
  <si>
    <t>Yasmim Miranda Cunha</t>
  </si>
  <si>
    <t>YASMIM MIRANDA</t>
  </si>
  <si>
    <t>Yasmim Miranda</t>
  </si>
  <si>
    <t>yasmimmirandajob872@gmail.com</t>
  </si>
  <si>
    <t>https://yz2spukd8h-jbrk7pf7uvw.s3.amazonaws.com/2024/04/X4BI70Ix9kKNnVDYvU%2Bbiy3WKzm/eRa1QW0n5KkZ9As%3D.jpg</t>
  </si>
  <si>
    <t>18 anos, 3 meses, 9 dias</t>
  </si>
  <si>
    <t>08473-170</t>
  </si>
  <si>
    <t>Rua Cachoeira São Domingos</t>
  </si>
  <si>
    <t>64204997x</t>
  </si>
  <si>
    <t>(11) 99869-5418</t>
  </si>
  <si>
    <t>YASMIMMIRANDAJOB872@GMAIL.COM</t>
  </si>
  <si>
    <t>https://www.instagram.com/yasxy06?igsh=OTJ1anR0eDExb2gx</t>
  </si>
  <si>
    <t>Eu nasci e sempre morei em São Paulo, especificamente na cidade Tiradentes. Conheço esse lugar como a palma da minha mão, já participei de muitos eventos promovidos pelo CFCCT, é de se admirar as oportunidades que esse espaço oferece para nós moradores e para pessoas de fora. Tenho muito orgulho de dizer que nasci e moro na cidade Tiradentes e gostaria muito de realizar projetos de cultura por aqui.</t>
  </si>
  <si>
    <t>Estou em busca do meu primeiro emprego em uma área que eu tenho afinidade e me identifico, que é com a área de cultura, atendimento ao público. Já trabalhei com essas áreas pois sou dançarina, já tenho uma certa familiaridade com a área de cultura, mas todos esses trabalhos foram informais, me deram  muita base mas agora quero outras oportunidades de conhecimento mútuo, onde eu e a empresa trabalhamos juntos.</t>
  </si>
  <si>
    <t>Vou atrás de um ambiente de trabalho seguro, respeitoso, onde posso dar ideias, opiniões, e em conjunto com os outros membros da empresa chegar em um consenso sobre um assunto X. Acredito que o melhor jeito de se levar um emprego é fazendo com amor, algo que a gente goste de verdade, como no meu caso eu gosto muito de arte de cultura e estou procurando algo nesse caminho, que me inspire a levantar da cama todos os dias.</t>
  </si>
  <si>
    <t>240.450.888-14</t>
  </si>
  <si>
    <t>THAINA FRANKLIM DE MORAES</t>
  </si>
  <si>
    <t>Thainá Franklim De Moraes</t>
  </si>
  <si>
    <t>THAINÁ</t>
  </si>
  <si>
    <t>Thainá</t>
  </si>
  <si>
    <t>franklimthaina@gmail.com</t>
  </si>
  <si>
    <t>https://yz2spukd8h-jbrk7pf7uvw.s3.amazonaws.com/2024/04/5jYs6RgdmfVRDAIAc%2BqXQD%2BkyIXe%2BOCCgi45mYPQjE4%3D.jpeg</t>
  </si>
  <si>
    <t>19 anos, 5 meses, 13 dias</t>
  </si>
  <si>
    <t>Bela vista</t>
  </si>
  <si>
    <t>01316-030</t>
  </si>
  <si>
    <t>Apto 107</t>
  </si>
  <si>
    <t>BELA VISTA</t>
  </si>
  <si>
    <t>Rua Asdrúbal do Nascimento</t>
  </si>
  <si>
    <t>174</t>
  </si>
  <si>
    <t>54963946-9</t>
  </si>
  <si>
    <t>(11) 98416-1545</t>
  </si>
  <si>
    <t>franklimthainapro@gmail.com</t>
  </si>
  <si>
    <t>Produção Cinematográfica</t>
  </si>
  <si>
    <t>Natan/Cristine/Vanessa/Lívia/Mirna</t>
  </si>
  <si>
    <t>Olá, me chamo Thainá Franklim. Tenho 19 anos.  Sou preta, baixa renda, compositora, poetiza, produtora local no curso é nois na fita.     Venho da Bela vista, região central de São Paulo, onde resido desde o meu nascimento. Desde criança, meus pais me incentivaram à ouvir música popular brasileira, filmes brasileiros, esportes, a cultura num todo. Fiz aula de ballet clássico, capoeira, natação, e já na adolecênia, iniciei no curso de teatro.</t>
  </si>
  <si>
    <t>Atualmente moro om a minha mãe e minha namorada, sou contratada pela loja Calvin Klein como jovem aprendiz, sou produtora de audiovisual local temporária no curso É Nóis na Fita, onde fiz curso por três meses nessa mesma instituição no ano de 2023, e tenho muito orgulho de onde estou nesse exato momento, claro que não está sendo facil trabalhar em dois empregos, mas muitos jovens na idade que estou, não conseguiram trabalhar na área desejada, no meu caso o audiovisual.</t>
  </si>
  <si>
    <t>Meu sonho é poder continur trabalhando e vivendo do audiovisual, gravar um disco de Rap, publicar um livro de poemas de minha autoria, ser reconhecida pelo meu talento, ver mulheres como eu, pretas como eu, conquistarem tudo que querem, sendo valorizadas e bem remuneradas pelo seus trabalhos. podendo assim, proporcionar uma vida melhor para as pessoas amadas, assim como eu planejo!</t>
  </si>
  <si>
    <t>520.847.398-45</t>
  </si>
  <si>
    <t>LEONARDO BRAYAN PEREIRA DA SILVA</t>
  </si>
  <si>
    <t>Leonardo Brayan Pereira Da Silva</t>
  </si>
  <si>
    <t>leonardodranoel13@gmail.com</t>
  </si>
  <si>
    <t>https://yz2spukd8h-jbrk7pf7uvw.s3.amazonaws.com/2024/05/8%2BPD4B0M1VtO10GBPQS/DHm5GF1PoMIox1MFFfzu0h4%3D.jpg</t>
  </si>
  <si>
    <t>20 anos, 9 meses, 13 dias</t>
  </si>
  <si>
    <t>ESTA EM GRADUJAÇÃO EM LETRAS,TECNICO DE MODELAGEM DE  VESTUÁRIO NÃO  CONCLUIDO</t>
  </si>
  <si>
    <t>Conjunto Habitacional Teotonio Vilela</t>
  </si>
  <si>
    <t>03928-240</t>
  </si>
  <si>
    <t>N01</t>
  </si>
  <si>
    <t>Avenida Arquiteto Vilanova Artigas</t>
  </si>
  <si>
    <t>1396</t>
  </si>
  <si>
    <t>5612812333</t>
  </si>
  <si>
    <t>(11) 99171-4415</t>
  </si>
  <si>
    <t>LEONARDODRANOEL13@GMAIL.COM</t>
  </si>
  <si>
    <t>Me chamo Leonardo, tenho 20, nasci em São Bernardo Do Campo e fui criado na cidade São Paulo na região de Sapopemba. Sou poeta, ator e pesquisador de novos estilos musicais e culturais nas horas vagas. Desde que me conheço por gente estou inserido no meio artístico de alguma forma, seja apenas colecionando objetos ou seja fazendo pesquisas caseiras sobre algum artista ou gênero musical.</t>
  </si>
  <si>
    <t>Atualmente estou desempregado em busca de novas oportunidades de emprego e sobrevivência, mas estou estudando Modelagem Do vestuário na Etec Carlos De Campos no Brás, que por sinal, é um curso que estou muito empolgado e estou amando todas as coisas que estou aprendendo e desenvolvendo a cada dia, principalmente nas aulas de corte e costura com a professora Girlene.    Conclui o Ensino Médio em escola pública, meus conhecimentos em pacote office são intermediários, assim como meu inglês e tenho um breve conhecimento em francês (sei embromar bem, mas não entendo muito). Durante a pandemia fiz alguns cursos de conhecimentos transversais pelo SENAI de forma totalmente online e gratuita,.</t>
  </si>
  <si>
    <t>Após me formar em Modelagem Do Vestuário e me estabilizar financeiramente, pretendo prestar o ENEM para adentrar em uma universidade pública ou tentar uma bolsa de estudos pelo PROUNI ou em último caso o Fies, mas só em ultimo caso mesmo. Possuo várias de interesse como: História - Licenciatura, Letras e Psicologia. E espero que até conseguir todas essas coisas, consiga cuidar de minha saúde física e menta que é o mais importante antes de tudo.</t>
  </si>
  <si>
    <t>450.702.268-19</t>
  </si>
  <si>
    <t>Bruna Pesqueira Gomes</t>
  </si>
  <si>
    <t>brunapesqueira@gmail.com</t>
  </si>
  <si>
    <t>https://yz2spukd8h-jbrk7pf7uvw.s3.amazonaws.com/2024/05/ATqYUugWgdVAlPlv7o22BX1LTz7gl0yFmaFvEQMBQSc%3D.jpeg</t>
  </si>
  <si>
    <t>21 anos, 10 meses, 6 dias</t>
  </si>
  <si>
    <t>finalizou o curso em 2021</t>
  </si>
  <si>
    <t>08111-150</t>
  </si>
  <si>
    <t>Lagoa das Capivaras</t>
  </si>
  <si>
    <t>544225673</t>
  </si>
  <si>
    <t>(11) 98631-7589</t>
  </si>
  <si>
    <t>brunpesqueira@gmail.com</t>
  </si>
  <si>
    <t>secretariado</t>
  </si>
  <si>
    <t>Meu nome é Bruna Pesqueira, eu tenho 21 anos, nascida em São Paulo, zona leste – Itaim Paulista,  venho de uma família desestruturada financeiramente e em termos sociais, também. Filha de mãe solo, tenho três irmãos mais velhos. Estudante da rede publica a vida inteira, completei o Ensino Médio na Escola Estadual João Prado Margarido. Realizei um curso de Secretariado na ETEC – Aprigio Gonzaga.</t>
  </si>
  <si>
    <t>Atualmente, procuro um emprego, para que eu possa realizar os planos que me permiti ter. Sou uma jovem que busca por conhecimento e  experiências que possam elevar meu nível profissional, abranger meus horizontes e me ensinar sobre o mundo no qual vivo e iluminar o mundo que quero viver. Desejo poder me ater a uma experiência profissional mais concreta e segura, além dos free-lancers os quais conto hoje em dia.</t>
  </si>
  <si>
    <t>Sobretudo, pretendo me graduar na universidade. Sou uma estudante solo, para o ENEM. Um dos meus maiores interesses é a geopolítica, e o mundo das relações internacionais. Ademais, a arte, e é por essa razão, qual me inscrevo nesse programa, pretendo me encontrar na arte brasileira e me conhecer um pouco mais com a ajuda desse programa, assim como definir definitivamente para onde vou.</t>
  </si>
  <si>
    <t>516.441.868-10</t>
  </si>
  <si>
    <t>Byanka Martins Dos Santos</t>
  </si>
  <si>
    <t>byankamarsan@gmail.com</t>
  </si>
  <si>
    <t>https://yz2spukd8h-jbrk7pf7uvw.s3.amazonaws.com/2024/05/U%2Ben1yTsPd%2BaQyCObG8FdW0PggoFWJIpmcM0bHkfO1k%3D.jpg</t>
  </si>
  <si>
    <t>19 anos, 7 meses, 9 dias</t>
  </si>
  <si>
    <t>Jardim Santo Alberto</t>
  </si>
  <si>
    <t>02358-000</t>
  </si>
  <si>
    <t>Rua Bernardo Fonseca Lobo</t>
  </si>
  <si>
    <t>600</t>
  </si>
  <si>
    <t>548682380</t>
  </si>
  <si>
    <t>(11) 94777-9933</t>
  </si>
  <si>
    <t>https://www.instagram.com/bybymarsan/</t>
  </si>
  <si>
    <t xml:space="preserve">artes cênicas </t>
  </si>
  <si>
    <t>Me chamo chamo Byanka Martins dos Santos, tenho dezenove anos, sou uma mulher preta e bissexual, sendo residente da periferia nortista de São Paulo.    Filha de Giselly e Allan, os quais me tiveram durante o periodo da adolescência, fê-se, como  reflexo, que a minha educação fosse guiada de forma independente.     Ademais, dessa mesma forma, venho das artes. Início no coral da igreja do bairro e posteriormente me formo como atriz pela ETEC de Artes. Assim, a partir desse ponto, passo a me envolver nos processos artísticos teatrais.</t>
  </si>
  <si>
    <t>Atualmente, me encontro na parte técnica da arte e cultura. Sou figurinista, a partir da SP Escola de Teatro, e estudante de moda através da ETEC Carlos de Campos. Além disso, desenvolvo o trabalho de bolsista no Theatro Municipal, na área de produção de figurino, fazendo assim com que eu me aproxime do teatro através da indumentária.     Estou no meu processo de formação, buscando me consolidar no ramo cultural através de fomentos e oportunidades.</t>
  </si>
  <si>
    <t>Busco alcançar minha independência financeira, viver confortavelmente e me aproximar cada vez mais da arte e daquilo que gosto de trabalhar.     No futuro, eu me consagro como a ótima profissional que estou estudando pra ser, desenvolvo os trabalhos e projetos que me realizem enquanto artista e ajudo os meus, devolvendo todo o cuidado que tiveram comigo até aqui.</t>
  </si>
  <si>
    <t>541.060.408-32</t>
  </si>
  <si>
    <t>Humberto ALves Cleto Vicente</t>
  </si>
  <si>
    <t>humberto.vicente32@gmail.com</t>
  </si>
  <si>
    <t>https://yz2spukd8h-jbrk7pf7uvw.s3.amazonaws.com/2024/06/VaK9SbLtk3u4UfGLxRvCckupzI8El7lkE/aRJbhm7wc%3D.jpeg</t>
  </si>
  <si>
    <t>28 anos, 1 meses, 5 dias</t>
  </si>
  <si>
    <t>04849-160</t>
  </si>
  <si>
    <t>Rua Manuel Plá</t>
  </si>
  <si>
    <t>77</t>
  </si>
  <si>
    <t>39325110X</t>
  </si>
  <si>
    <t>(11) 98673-1002</t>
  </si>
  <si>
    <t>https://www.instagram.com/0_macabro/</t>
  </si>
  <si>
    <t>TÉCNICO EM COMUNICAÇÃO AUDIOVISUAL, TÉNICO EM SONOPLASTIA</t>
  </si>
  <si>
    <t>Nasci, fui criado e ainda vivo no Parque Residencial Cocaia. Venho de uma casa que me estimulou muito com música, o que fez com que eu fosse me aproximando de arte e cultura de um modo geral. Ao mesmo tempo, venho de um lugar sem muita perspectiva, e de certa forma com poucas opções de caminhos a se seguir, mas eu nunca me esqueci de que cultura é um caminho possível. Difícil, mas sempre possível.</t>
  </si>
  <si>
    <t>Estou me reconectando tanto com a arte e cultura como com a minha "área". Meu bairro e as regiões em volta. Passei um período de muitos questionamentos como "essa coisa de arte e cultura pode mesmo virar alguma coisa?" e até mesmo "o que eu estou fazendo aqui?" e nisso tentei seguir outros caminhos como trabalhar no setor administrativo, mas a desconexão e a sensação de inadequação eram muito muito grandes. Durante esse período comecei a reparar no meu bairro e em como eu sou parte dele e de certa forma me senti responsável. Quero fazer algo para agitar minha região, trazer entusiasmo, novas perspectivas e ajudar a abrir caminhos.</t>
  </si>
  <si>
    <t>Pretendo ir para longe e alto. Quero poder espalhar e fomentar coisas em raios de distancia cada vez maior para deixar o mundo da forma que eu enxergo ele. Seja organizando os eventos mais distintos, fazendo conexões entre pessoas igualmente distintas para disso sair algo que converse com ambas; seja organizando oficinas que talvez toque apenas uma pessoa, mas se esse toque for profundo e real, já vai ter valido a pena e é isso que eu espero.</t>
  </si>
  <si>
    <t>468.002.908-07</t>
  </si>
  <si>
    <t>Raquel De Oliveira Zangirolani</t>
  </si>
  <si>
    <t>raquel.deoliveira323@gmail.com</t>
  </si>
  <si>
    <t>https://yz2spukd8h-jbrk7pf7uvw.s3.amazonaws.com/2024/05/3OltG7oOZX3wfsydgAs6X/7afMNq90WxNbPQgEAsJLc%3D.jpeg</t>
  </si>
  <si>
    <t>20 anos, 11 meses, 26 dias</t>
  </si>
  <si>
    <t>Itaquera - Vila Taquari</t>
  </si>
  <si>
    <t>08230-020</t>
  </si>
  <si>
    <t>Casa 37</t>
  </si>
  <si>
    <t>Rua Francisco Rodrigues Seckler</t>
  </si>
  <si>
    <t>1180</t>
  </si>
  <si>
    <t>582177698</t>
  </si>
  <si>
    <t>(11) 91099-6363</t>
  </si>
  <si>
    <t>RAQUEL.DEOLIVEIRA323@GMAIL.COM</t>
  </si>
  <si>
    <t>AUTOMAÇÃO INDÚSTRIAL</t>
  </si>
  <si>
    <t>Oi! Me chamo Raquel, tenho 20 anos e moro em Itaquera, Zona Leste de São Paulo.     Atualmente sou Jovem Aprendiz no Núcleo Luz - uma oficina cultural de formação em dança pelas Fábricas de Cultura e gerida pela Poiesis. Lá, auxilio em demandas administrativas, pedagógicas e de articulação.     Meus interesses no campo artístico-cultural envolvem as práticas circences, artes visuais de desenho, graffiti, colagens, artesanatos, quadrinhos, fotografia, debates sobre filmes e livros diversos, idiomas (estudo espanhol), e esportes *principalmente radicais (ando de patins). Não tenho vivências, mas me atrai curiosidade conhecimentos musicais, de produção audiovisual e de eventos, e danças.</t>
  </si>
  <si>
    <t>Gosto muito de morar em Itaquera e acho que nessa região existem muitos espaços de lazer e acessibilidade a outras áreas. No entanto, sempre foi um incômodo para mim ter que me deslocar para o centro da cidade para ter melhores oportunidades de ensino e emprego.     Acredito que se as escolas fossem melhores, se existisse mais 1 hospital ou as ubs funcionassem 24h, se as áreas de mata, rios, ruas, construções fossem melhores investidas e preservadas, se as pessoas em condições de vícios e situação de rua no metrô fossem ajudadas, e se aumentassem a frota de transporte público nos horários de pico, dentre outras questões…Esse seria um bairro melhor em qualidade de vida.</t>
  </si>
  <si>
    <t>Conheci o programa perguntando para funcionários de uma biblioteca perto de casa como poderia trabalhar como eles, então acho que o ambiente e as motivações do trabalho são o que mais me agradam.     Apesar de ser vestibulanda para Engenharia Ambiental, estou gostando muito de estar me envolvendo ativamente com outra causa tão importante que é a Cultura, e tenho vontade de ser Jovem Monitora para poder continuar contribuindo por esses espaços públicos que ensinam, trans(formam), acolhem e divertem todas as pessoas. Então é uma ótima oportunidade, pois caso eu não passe na faculdade e nem seja efetivada no meu emprego atual, pelo menos estarei fazendo algo que eu acredito e podendo me manter.  .</t>
  </si>
  <si>
    <t>506.442.508-28</t>
  </si>
  <si>
    <t>Luana Cristina Alves Lima Do Nascimento</t>
  </si>
  <si>
    <t>luanaalveslimadonascimento@gmail.com</t>
  </si>
  <si>
    <t>https://yz2spukd8h-jbrk7pf7uvw.s3.amazonaws.com/2024/05/i4aI%2BKgq393ZD%2Bn8uuJowRQBK2ShnjZLU60P8i2vpLA%3D.jpg</t>
  </si>
  <si>
    <t>19 anos, 8 meses, 4 dias</t>
  </si>
  <si>
    <t>Parque Maria Helena</t>
  </si>
  <si>
    <t>05854-060</t>
  </si>
  <si>
    <t>Rua Cabo Estácio da Conceição</t>
  </si>
  <si>
    <t>590</t>
  </si>
  <si>
    <t>624256303</t>
  </si>
  <si>
    <t>(11) 96741-8236</t>
  </si>
  <si>
    <t>TECNICO EM CONTABILIDADE</t>
  </si>
  <si>
    <t>https://youtu.be/tYnb4AQvAnE?feature=shared</t>
  </si>
  <si>
    <t>581.913.458-38</t>
  </si>
  <si>
    <t>Ana Luiza Barbosa De Moura Antonio</t>
  </si>
  <si>
    <t>analuizab306@outlook.com</t>
  </si>
  <si>
    <t>https://yz2spukd8h-jbrk7pf7uvw.s3.amazonaws.com/2024/06/l9vSm6Fwqf5Ze6LCeixJKdkvfneA7QDNRmeER5nquMY%3D.jpeg</t>
  </si>
  <si>
    <t>19 anos, 5 meses, 14 dias</t>
  </si>
  <si>
    <t>Jardim São Martinho</t>
  </si>
  <si>
    <t>08180-080</t>
  </si>
  <si>
    <t>JARDIM HELENA</t>
  </si>
  <si>
    <t>Rua Dom Miguel de Bulhões</t>
  </si>
  <si>
    <t>859</t>
  </si>
  <si>
    <t>53091251X</t>
  </si>
  <si>
    <t>(11) 93000-2117</t>
  </si>
  <si>
    <t>Tecnico</t>
  </si>
  <si>
    <t>engenharia de manutencao eletro eletronica</t>
  </si>
  <si>
    <t>Meu nome é Ana Luiza, tenho 19 anos, nasci e cresci na zona leste de São Paulo. Sempre fui apaixonada por música, muito por influência dos meus pais e dos meus irmãos, mas meu primeiro contato real com a arte no geral foi quando estudei no CESA, uma escola que, além do ensino básico, também oferece outras atividades como esportes, teatro, dança etc. Anos depois de fazer teatro nessa escola, comecei a dançar e também a desenvolver interesse pela fotografia e entender em que caminho gostaria de seguir.</t>
  </si>
  <si>
    <t>Atualmente estou cursando “Eletricista de Manutenção” no SENAI depois de receber a oportunidade logo após terminar o ensino médio. Apesar do curso, sei que não pretendo trabalhar com nada relacionado, por isso, sempre que posso, busco ganhar mais experiência na área de audiovisual (que é onde quero seguir) fotografando ou auxiliando em gravações de videoclipe.</t>
  </si>
  <si>
    <t>Como eu disse, o caminho que eu quero seguir desde muito nova é o audiovisual, então no futuro eu me vejo na faculdade e trabalhando na área. Embora existam diversas possibilidades de trabalho com essa formação, o meu foco e maior desejo é trabalhar com produções de videoclipes pois seria uma forma de juntar minhas duas paixões que são a música e a fotografia.</t>
  </si>
  <si>
    <t>547.920.178-66</t>
  </si>
  <si>
    <t>Lucas De Souza Leandro</t>
  </si>
  <si>
    <t>lucasdesouzaleandro13@gmail.com</t>
  </si>
  <si>
    <t>https://yz2spukd8h-jbrk7pf7uvw.s3.amazonaws.com/2024/06/WqFuXG5URDLIg1uAzMPvcZVPDowGMDYjkQkP3x6w3BQ%3D.jpg</t>
  </si>
  <si>
    <t>20 anos, 9 meses, 18 dias</t>
  </si>
  <si>
    <t>Conjunto Habitacional Santa Etelvina II</t>
  </si>
  <si>
    <t>08485-020</t>
  </si>
  <si>
    <t>22b</t>
  </si>
  <si>
    <t>Rua Nascer do Sol</t>
  </si>
  <si>
    <t>393</t>
  </si>
  <si>
    <t>396537029</t>
  </si>
  <si>
    <t>(11) 99386-3952</t>
  </si>
  <si>
    <t>LUCASDESOUZALEANDRO13@GMAIL.COM</t>
  </si>
  <si>
    <t>https://www.instagram.com/lucasdesouzaleandro?igsh=Mm4zbHVubGF5dXVr</t>
  </si>
  <si>
    <t>https://drive.google.com/file/d/1wSJuXmEHz2E-PWLMZuRrNDa36b0MR8LF/view?usp=drivesdk</t>
  </si>
  <si>
    <t>439.762.698-75</t>
  </si>
  <si>
    <t>gabriel.facs@hotmail.com</t>
  </si>
  <si>
    <t>https://yz2spukd8h-jbrk7pf7uvw.s3.amazonaws.com/2024/06/FnQ3skHQkzvn1hkGb5NK7vQyf2i5CoSQW2HzCb8LZS4%3D.jpg</t>
  </si>
  <si>
    <t>24 anos, 6 meses, 29 dias</t>
  </si>
  <si>
    <t>Candidato gostaria de verificar a possibilidade de atuar na Galeria Olido</t>
  </si>
  <si>
    <t>Brás</t>
  </si>
  <si>
    <t>03043-020</t>
  </si>
  <si>
    <t>Bloco B, apto 72</t>
  </si>
  <si>
    <t>BRÁS</t>
  </si>
  <si>
    <t>Rua Martim Burchard</t>
  </si>
  <si>
    <t>284</t>
  </si>
  <si>
    <t>528819239</t>
  </si>
  <si>
    <t>(11) 94190-8327</t>
  </si>
  <si>
    <t>Orientador Socioeducativo</t>
  </si>
  <si>
    <t>https://drive.google.com/file/d/1SCTwXcJplTBOkDsuBd0fmTEMrggg9rZv/view?usp=drivesdk</t>
  </si>
  <si>
    <t>487.485.178-95</t>
  </si>
  <si>
    <t>Nero Santos Ribeiro</t>
  </si>
  <si>
    <t>santosnero00@gmail.com</t>
  </si>
  <si>
    <t>https://yz2spukd8h-jbrk7pf7uvw.s3.amazonaws.com/2024/06/zw1UpxxFdGxWG/4gs9AGHHhw4jNZXBiiYew4NcpGPIk%3D.jpg</t>
  </si>
  <si>
    <t>23 anos, 8 meses, 24 dias</t>
  </si>
  <si>
    <t>05773-020</t>
  </si>
  <si>
    <t>Rua Bernardo Correia Leitão</t>
  </si>
  <si>
    <t>302</t>
  </si>
  <si>
    <t>398069086</t>
  </si>
  <si>
    <t>(11) 99343-5627</t>
  </si>
  <si>
    <t>https://drive.google.com/file/d/1-2yuA5o1lqQL8Ht3oAVelEQtVSqFWqTX/view?usp=drivesdk</t>
  </si>
  <si>
    <t>377.974.548-84</t>
  </si>
  <si>
    <t>Milena Lopes Rosa</t>
  </si>
  <si>
    <t>milenalopesrosa@hotmail.com</t>
  </si>
  <si>
    <t>https://yz2spukd8h-jbrk7pf7uvw.s3.amazonaws.com/2024/06/nm1fPdhio3mVppNYFXhAyl3iqLMPHaZpxGjvuQSlvnw%3D.jpeg</t>
  </si>
  <si>
    <t>27 anos, 2 meses, 24 dias</t>
  </si>
  <si>
    <t>Jardim São José (Zona Norte)</t>
  </si>
  <si>
    <t>02969-000</t>
  </si>
  <si>
    <t>Rua Doutor João Toniolo</t>
  </si>
  <si>
    <t>729</t>
  </si>
  <si>
    <t>38758142-x</t>
  </si>
  <si>
    <t>(84) 98102-6113</t>
  </si>
  <si>
    <t>MILENALOPESROSA@HOTMAIL.COM</t>
  </si>
  <si>
    <t>Me chamo Milena, tenho 27 anos, nascida e criada em Pirituba, zona noroeste de São Paulo. Venho de uma família que me proporcionou o acesso ao estudo, desde pequena sigo na direção do encontro com o que faz sentido aqui dentro, como ter a experiência de estudar Geografia à Sonoplastia, caminhada essas de descobertas e aprendizados, que me fizeram evoluir como um todo. Considero que pela minha trajetória pude e estou desenvolvendo melhor minha comunicação e abrangendo minha percepção de mundo.</t>
  </si>
  <si>
    <t>Continuo firmando minhas raízes em Pirituba, lugar onde nasci e me criei, território esse que aprendo e me inspiro, e é nele que me sinto pertencente, através de espaços culturais como a Quilombaque, o Sarau da Brasa, o Samba do Congo, o Festival Jaraguá é Guarani e entre outros. Minha relação com o território também se potencializa através da bicicleta, que me permite ter uma outra relação com a cidade, com as pessoas e com o meu corpo. Por entre esses movimentos,  me aproximei as técnicas de som, que me levou a aprimorar e atualmente  estudar Sonoplastia na SP Escola de Teatro.</t>
  </si>
  <si>
    <t>Pretendo me formar em Sonoplastia e colocar em prática meus conhecimentos, como operar a técnica de apresentações artísticas, produção musical, montagem de palco, roadie, etc. Mas para além desse objetivo tenho como pretensão entender como funcionam as questões burocráticas que os equipamentos culturais necessitam para que uma programação aconteça. Para assim pensar futuramente em projetos coletivos e editais que contemplam principalmente ações em territórios periféricos.</t>
  </si>
  <si>
    <t>469.455.538-33</t>
  </si>
  <si>
    <t>BRITINEY RUTH AGUERO SAMUEL</t>
  </si>
  <si>
    <t>Britiney Ruth Aguero Samuel</t>
  </si>
  <si>
    <t>britineyruth@gmail.com</t>
  </si>
  <si>
    <t>https://yz2spukd8h-jbrk7pf7uvw.s3.amazonaws.com/2024/06//p5ctG1c8w8Xj5gPMK8WRaJSeNzRqidISS3JuSNj6Uo%3D.jpeg</t>
  </si>
  <si>
    <t>24 anos, 4 meses, 26 dias</t>
  </si>
  <si>
    <t>02942-000</t>
  </si>
  <si>
    <t>Avenida Comendador Feiz Zarzur</t>
  </si>
  <si>
    <t>1340</t>
  </si>
  <si>
    <t>388194467</t>
  </si>
  <si>
    <t>(11) 98745-1292</t>
  </si>
  <si>
    <t>https://www.instagram.com/xbritiney_aguero/</t>
  </si>
  <si>
    <t>Sou Britiney Ruth, tenho 24 anos, sou de São Paulo, Pirituba. Desde a minha infância e ao longo da minha adolescência chegando na fase adulta, meus interesses foram pela dança, desenho, pintura e música.  Sempre estive no meio artístico, participando de oficinas de dança, que é meu interesse principal, além das oficinas passei a aprender por vontade própria as técnicas de dança a partir de videoaula no YouTube, assim fui aperfeiçoando minha dança e descobrindo   diferentes vertentes das Danças Urbanas. Participei de Sarau, Apresentações com o coletivo Mocucrew e em ambientes de saúde (UBS e CAPS), ministrei workshop no Instituto Federal em Pirituba e na Biblioteca Brito Broca. Além da dança.</t>
  </si>
  <si>
    <t>Atualmente, estou finalizando o curso de técnico em Dança Na Etec de Artes. Por meio do curso, obtive um grande leque de  linguagens de dança, como  ballet, dança contemporânea, dança popular brasileira até minha vertente (Popping, danças urbanas). Continuo como membro do coletivo Mocucrew e, estamos em atividade desde 2017 com apresentações na região de Pirituba , em São Paulo, Capital.</t>
  </si>
  <si>
    <t>Meu projeto de carreira profissional é continuar aprimorando várias vertentes de expressões artísticas na dança, empreender e escrever projetos, participar de editais e criar um coletivo. Seguir nesta profissão inspira a levar ao próximo o que a arte me trouxe enquanto , formação de identidade, cidadania e sensibilidade as múltiplas formas de conexão com o mundo. Academicamente, pretendo concluir o curso de psicologia, que parei no 4° semestre por questões financeiras, a partir disso irei mesclar a dança com a psicologia, levando a arte para lugares de saúde que necessitam de profissionais capacitados para exercer tal profissão.</t>
  </si>
  <si>
    <t>494.873.428-42</t>
  </si>
  <si>
    <t>TATIANE FURLANETO MAGALHAES</t>
  </si>
  <si>
    <t>Tatiane Furlaneto Magalhães</t>
  </si>
  <si>
    <t>tati.furlaneto05@gmail.com</t>
  </si>
  <si>
    <t>https://yz2spukd8h-jbrk7pf7uvw.s3.amazonaws.com/2024/06/hteeyDmkAPi7Fmn7g8l6m/75DMbm5lXDXEcm82JgyEU%3D.jpg</t>
  </si>
  <si>
    <t>22 anos, 0 meses, 13 dias</t>
  </si>
  <si>
    <t>EM   FORMAÇÃO TECNICO PALCO</t>
  </si>
  <si>
    <t>Vila Nova Teresa</t>
  </si>
  <si>
    <t>03823-020</t>
  </si>
  <si>
    <t>Rua Cisper</t>
  </si>
  <si>
    <t>352</t>
  </si>
  <si>
    <t>38.610.342-2</t>
  </si>
  <si>
    <t>(11) 97746-0144</t>
  </si>
  <si>
    <t>TATI.FURLANETO05@GMAIL.COM</t>
  </si>
  <si>
    <t>https://www.instagram.com/tati.maga.lhaes/</t>
  </si>
  <si>
    <t>PALCO</t>
  </si>
  <si>
    <t>Com naturalidade na cidade de São Paulo, desde de nova me identifico com a arte e cultura, pertenço a uma família pequena e de origem simples. Minha mãe, professora, sempre me apoiou fornecendo a medida do possível os recursos necessários para um desenvolvimento cultural, estimulando que frequentássemos museus e teatro, daí meu interesse, fui uma criança criativa e entusiasmada, apesar das dificuldades sociais, buscando meu crescimento cursei técnico em Comunicação Visual pela Escola Técnica Estadual (ETEC) - José Rocha Mendes, pós formação, segui o caminho do teatro, e comecei mais uma formação, em Técnica de palco, na São Paulo Escola de Teatro (SPET).</t>
  </si>
  <si>
    <t>Atualmente estou no último semestre do curso de Técnicas de Palco e atuando na área como freelance, tendo já trabalhado com ateliês de grande porte de São Paulo em construção de cenário para musicais, recentemente me formei em um programa formador de jovens do Theatro Municipal (TMSP), participando de diversas atividades culturais contando com oficinas e visitas aos espaços do theatro. Me encontro em um momento da minha vida profissional de busca por novos caminhos e experiências.</t>
  </si>
  <si>
    <t>Acredito muito no meu futuro profissional atuando sempre no meio artístico e cultural, com objetivos de produzir e participar de grandes projetos que envolvam teatro, cinema e artes plásticas. Tenho vontade de fundar um grande ateliê com foco em mulheres neurodivergentes, que possa criar um ambiente confortável de trabalho e produção de arte manual, oferecendo espaço para aprendizagem, pretendo focar nesse projeto me aperfeiçoando nas diversas exigências que ele possui.</t>
  </si>
  <si>
    <t>F840</t>
  </si>
  <si>
    <t>479.966.638-07</t>
  </si>
  <si>
    <t>Fernando Rodrigues Felix</t>
  </si>
  <si>
    <t>fernandorodrigues917@yahoo.com</t>
  </si>
  <si>
    <t>https://yz2spukd8h-jbrk7pf7uvw.s3.amazonaws.com/2024/04/2otuvKefF2ApcrQqTuSVUHZRB8OaNzliBkGjAsiYZ/8%3D.jpeg</t>
  </si>
  <si>
    <t>20 anos, 5 meses, 16 dias</t>
  </si>
  <si>
    <t>parque das flores</t>
  </si>
  <si>
    <t>08391-586</t>
  </si>
  <si>
    <t>SÃO RAFAEL</t>
  </si>
  <si>
    <t>Rua Egito</t>
  </si>
  <si>
    <t>575790805</t>
  </si>
  <si>
    <t>(11) 99837-9506</t>
  </si>
  <si>
    <t>Cursando</t>
  </si>
  <si>
    <t>https://www.instagram.com/frfelixx/?hl=pt-br</t>
  </si>
  <si>
    <t>Técnico em Canto</t>
  </si>
  <si>
    <t>Meu nome é Fernando, nasci no dia 02 de janeiro de 2004, moro no bairro Parque das Flores, zona leste de São Paulo. Sou formado em Técnico em Teatro pela ETEC de Artes e minha trajetória foi marcada pela falta de acessos à cultura, passando a frequentar os equipamentos culturais de São Paulo através das Visitas Técnicas da ETEC. Foi assim que conheci a Fábrica de Cultura de Sapopemba em 2023, participando do Projeto Espetáculo, dando origem a "Entre Nós", peça que aborda a influência dos povos indígenas nas lutas ambientais. Passar pela fábrica foi importante pra aprender a trabalhar em grupo, já que abrangia de 30 a 40 jovens, além dos estudos aprofundados nos originários do Brasil.</t>
  </si>
  <si>
    <t>Atualmente sou membro de 3 coletivos teatrais: Pélagos Coletivo e Trupy Teatral, os quais desenvolvemos peças como "O Labirinto" e "Feche os Olhos", além de oficinas teatrais voltadas para alunos de escolas da periferia  e Diversapó que está prestes a rodar o espetáculo de Commedia Dell'arte "A Pílula do Amor" pela zona leste de São Paulo, contemplado pela edição 2023 do edital VAI. Ao mesmo tempo estou cursando Técnico em Canto na ETEC de Artes e participo do Juventudes SESC Avenida Paulista, que é um programa voltado para jovens de 13 a 21 anos, com o intuito de ampliar o senso critico e formas de expressão através da consciência da importância de lutas sociais que nos cercam.</t>
  </si>
  <si>
    <t>Durante a minha caminhada percebi o quão importante é o acesso à cultura pras pessoas e quão impactados somos por ela. Portanto, sigo estudando para o vestibular, pois pretendo ingressar no curso superior de Produção Cultural pela Fatec de São Paulo. Como Produtor Cultural, quero fazer da arte cada vez mais acessível,  principalmente o teatro, pois sei o seu poder de transformar. Vejo o Programa Jovem Monitor Cultural como uma porta de entrada para o mercado cultural da cidade, e por se tratar de uma política pública, é muito importante sua existência. Minha paixão pela arte me motiva a buscar contribuir para um mundo mais justo e consciente, e é pelo PJMC que iniciarei esta jornada.</t>
  </si>
  <si>
    <t>557.119.508-86</t>
  </si>
  <si>
    <t>Isabela Luiza Eugenio</t>
  </si>
  <si>
    <t>isaegn@gmail.com</t>
  </si>
  <si>
    <t>https://yz2spukd8h-jbrk7pf7uvw.s3.amazonaws.com/2024/05/4kJCyZuBYA8t3mGRxpqqc17vcen9I3jwL%2BBKv1PSCEM%3D.jpeg</t>
  </si>
  <si>
    <t>19 anos, 0 meses, 22 dias</t>
  </si>
  <si>
    <t>Vila Carbone</t>
  </si>
  <si>
    <t>02750-020</t>
  </si>
  <si>
    <t>Rua Itaú</t>
  </si>
  <si>
    <t>569152276</t>
  </si>
  <si>
    <t>(11) 98268-2253</t>
  </si>
  <si>
    <t>11-982682253</t>
  </si>
  <si>
    <t>tec - biblioteconomia</t>
  </si>
  <si>
    <t>Eu sou Isabela Luiza, e tenho dezoito anos mas neste ano de 2024 estarei completando 19, terminei o ensino médio em 2023. Nasci em Osasco mas moro em São Paulo durante minha vida toda, gosto de assistir filme, séries, animes e desenhos. E as vezes leio livros. antes tocava violoncelo e se há alguma oportunidade tocarei novamente.  As vezes eu desenho mas não são muitos é como uma distração.</t>
  </si>
  <si>
    <t>No momento trabalho como operadora de caixa, mas quero achar algo melhor para mim e oportunidades de aprender mais em outras áreas, porém sei que devo me esforçar mais para conseguir, tenho aprender mais sobre a cultura do país e pôde ajudar os outros que pensa que não tem oportunidade.   E assim quero participar desse projeto, e atribuir com seus feitos.</t>
  </si>
  <si>
    <t>Quero poder em ter mais experiência, assim poderei escolher o caminho certo de minha vida e fazer aquilo que mais gosto, e agradecerei a todos.  Seguirei em frente perante o desafio que tiver, mesmo que não tenha força e assim conquistar meu objetivo, aproveitar o tempo que tenho para crescer e me comprometer.  Diante de tudo, essa é minha carta de apresentação, muito obrigado.</t>
  </si>
  <si>
    <t>461.641.588-93</t>
  </si>
  <si>
    <t>KAUANNY NICOLY NASCIMENTO DOS SANTOS</t>
  </si>
  <si>
    <t>Kauanny Nicoly Nascimento Dos Santos</t>
  </si>
  <si>
    <t>KAUANNY SANTOS</t>
  </si>
  <si>
    <t>Kauanny Santos</t>
  </si>
  <si>
    <t>kauanny1823nicolly@gmail.com</t>
  </si>
  <si>
    <t>https://yz2spukd8h-jbrk7pf7uvw.s3.amazonaws.com/2024/06/A%2BmKeiqEvE/c9PYDI7c0Ic%2B3s4MO2F3MkbTiUTZTT9A%3D.png</t>
  </si>
  <si>
    <t>19 anos, 11 meses, 26 dias</t>
  </si>
  <si>
    <t>Conjunto Promorar Rio Claro</t>
  </si>
  <si>
    <t>08395-290</t>
  </si>
  <si>
    <t>Travessa Fortunato Magi</t>
  </si>
  <si>
    <t>501335225</t>
  </si>
  <si>
    <t>(11) 97083-7262</t>
  </si>
  <si>
    <t>KAUANNY1823NICOLLY@GMAIL.COM</t>
  </si>
  <si>
    <t>https://youtu.be/ybdKHLaWAjM?feature=shared</t>
  </si>
  <si>
    <t>509.423.788-81</t>
  </si>
  <si>
    <t>Nathaly Braga De Bulhões</t>
  </si>
  <si>
    <t>braganathaly262@gmail.com</t>
  </si>
  <si>
    <t>https://yz2spukd8h-jbrk7pf7uvw.s3.amazonaws.com/2024/04/MEIsIoGUw1wV2qEXPUbl6jsUIUHOB3wKDDn5G1W4PTk%3D.jpg</t>
  </si>
  <si>
    <t>18 anos, 10 meses, 10 dias</t>
  </si>
  <si>
    <t>Jardim das Rosas (Zona Sul)</t>
  </si>
  <si>
    <t>05892-335</t>
  </si>
  <si>
    <t>Travessa Maria Isabel Novais Braga</t>
  </si>
  <si>
    <t>315</t>
  </si>
  <si>
    <t>397950263</t>
  </si>
  <si>
    <t>(11) 96436-2473</t>
  </si>
  <si>
    <t>https://www.instagram.com/nathalybragab?igsh=MTNrZ3Z2bXUwYmY1bA%3D%3D&amp;utm_source=qr</t>
  </si>
  <si>
    <t>https://drive.google.com/drive/folders/1TPLHRHBZkVM3csgVj9VQtU2ZUDs72UH_</t>
  </si>
  <si>
    <t>545.967.358-59</t>
  </si>
  <si>
    <t>Brenda Maria Da Costa Correa</t>
  </si>
  <si>
    <t>maria.brenda345@hotmail.com</t>
  </si>
  <si>
    <t>https://yz2spukd8h-jbrk7pf7uvw.s3.amazonaws.com/2024/04/rUeeRJT%2B/Eu6qRL0aQniiNgllIJgsngsrasi9h2vc/0%3D.png</t>
  </si>
  <si>
    <t>23 anos, 5 meses, 15 dias</t>
  </si>
  <si>
    <t>Jardim Almeida</t>
  </si>
  <si>
    <t>04866-165</t>
  </si>
  <si>
    <t>Rua Terezinha Joana</t>
  </si>
  <si>
    <t>57.427.269-0</t>
  </si>
  <si>
    <t>(11) 94117-1215</t>
  </si>
  <si>
    <t>Natural de Rio Grande da Serra, Grande ABC Paulista, vim de uma família preta, pobre e artística. Sou uma mulher preta, lésbica e produtora cultural, desde cedo me interessei por projetos culturais e desde a escola organizava os eventos que movimentavam a comunidade, sou decidida naquilo que faço e considero a cultura o grande motor da sociedade. Por isso, sempre me preocupei com a carência cultural da cidade de onde vim, a falta de espaços para que a população possa adquirir vivências é algo que me move em meus objetivos.</t>
  </si>
  <si>
    <t>Atualmente moro em Parelheiros, extremo sul da capital paulista. E é atravessando a cidade para trabalhar que presencio as inúmeras formas culturais e artísticas da cidade, São Paulo é uma cidade com grande potencial e me vejo participando desses movimentos intensos, porém com a rotina de trabalho não me dedico o bastante em minhas ideias, tenho em mente que é preciso tempo para me desenvolver profissionalmente. Realizo cursos voltado para a área cultural e coloco meus conhecimentos em prática em organizações de pequenos eventos para a comunidade.</t>
  </si>
  <si>
    <t>Vou buscar me profissionalizar academicamente, usufruir o máximo possível do programa e das oportunidades que ele me proporcionar. Começo a construir hoje o futuro que quero para mim amanhã e sei que minhas vivências até o momento irão me direcionar para o cumprimento dos meus objetivos, inspirar minha comunidade e desenvolver projetos que façam a diferença na vida das pessoa. Produzir cultura é algo que mudou minha vida e tenho consciência de que é com a cultura que a vida das pessoas da minha comunidade irá mudar.</t>
  </si>
  <si>
    <t>466.751.428-01</t>
  </si>
  <si>
    <t>Gabriel De Souza Prado</t>
  </si>
  <si>
    <t>gabrielsouzaprado@gmail.com</t>
  </si>
  <si>
    <t>https://yz2spukd8h-jbrk7pf7uvw.s3.amazonaws.com/2024/06/39cc8EmTUPq222sPIzS7JTu2PgBOtTgAHQZOICNXJa4%3D.jpeg</t>
  </si>
  <si>
    <t>27 anos, 6 meses, 0 dias</t>
  </si>
  <si>
    <t>Vila São Geraldo</t>
  </si>
  <si>
    <t>03607-000</t>
  </si>
  <si>
    <t>apartamento 5</t>
  </si>
  <si>
    <t>Rua Caquito</t>
  </si>
  <si>
    <t>353</t>
  </si>
  <si>
    <t>56.310.926-9</t>
  </si>
  <si>
    <t>(11) 95235-3155</t>
  </si>
  <si>
    <t>https://www.instagram.com/gabrielolaranja9/</t>
  </si>
  <si>
    <t>De origem humilde, nascido e crescido nos arredores do pico do Jaraguá - zona oeste. sempre estudei em escolas públicas, com diversas ambições que foram se modificando durante as fases de crescimento mas sempre ligado a arte. na infância eu coloquei na cabeça que eu queria fazer jogos de tabuleiro, já na pré adolescência design gráfico, na adolescência quis fazer produção musical, agora adulto carrego um pouco disso tudo. nunca fui muito popular mas sempre tive aquele grupinho de cinco amigos inseparáveis e sempre fui fiel a eles. na escola nunca fui do fundão nem lá da frente. sempre fazendo o necessário pra passar de ano.</t>
  </si>
  <si>
    <t>Moro de aluguel desde sempre e sempre que ele aumenta tenho que me mudar, brinco que tinha uma rotina meio cigana pois as mudanças já foram constantes mas desejo estabilidade por isso faz um tempo que não saio da penha e da zona leste em geral. trabalho a 6 anos como atendente em um cinema e lá aprendi a atender todo tipo de cliente, da criança mais mimada ao senhor com maior dificuldade de expressão. sou acostumado a grandes movimentos, pressão e por trabalhar com alimentos fazer tudo com agilidade e também higiene e organização. é saber lidar com a pessoa que você está atendendo e também com o produto que você está entregando.</t>
  </si>
  <si>
    <t>A arte vai estar sempre intrínseca a minha jornada e pretendo usar as diversas formas dela pra ajudar a inspirar as pessoas de qualquer maneira que eu puder, seja da mais modesta a mais rebuscada. Apesar de no momento trabalhar em uma empresa toque-de-caixa que precisa de lucro, metas e o dinheiro estar sempre envolvido eu escolhi ficar tanto tempo nesse lugar pq querendo não é um cinema e eu consigo estar em contato de alguma forma com arte. mesmo que em um shopping.   Porém trabalhar de dom. a dom. mais de dez horas por dia em um lugar assim impede que eu evolua em outras áreas, faça cursos ou até me aprimore de forma auto-didática. então pretendo buscar um trampo com mais tempo.</t>
  </si>
  <si>
    <t>454.659.138-19</t>
  </si>
  <si>
    <t>Larissa Silva Martins</t>
  </si>
  <si>
    <t>larissasilvamartins91@gmail.com</t>
  </si>
  <si>
    <t>https://yz2spukd8h-jbrk7pf7uvw.s3.amazonaws.com/2024/04/tbh%2Bg6ImP%2BoDvhtDW02hkzj3JYOBodaWDDhSqjw1/wA%3D.jpg</t>
  </si>
  <si>
    <t>23 anos, 1 meses, 11 dias</t>
  </si>
  <si>
    <t>Vila Itaberaba</t>
  </si>
  <si>
    <t>02846-090</t>
  </si>
  <si>
    <t>Rua Alfredo Ruiz</t>
  </si>
  <si>
    <t>391516711</t>
  </si>
  <si>
    <t>(11) 93148-1962</t>
  </si>
  <si>
    <t>https://www.instagram.com/larissa_silvamartins/</t>
  </si>
  <si>
    <t>tec - nutriçao</t>
  </si>
  <si>
    <t>https://photos.app.goo.gl/csydsyStVQeJ5Pba6</t>
  </si>
  <si>
    <t>497.430.888-22</t>
  </si>
  <si>
    <t>Beatriz Da Silva Vieira</t>
  </si>
  <si>
    <t>vieirabeatriz065@gmail.com</t>
  </si>
  <si>
    <t>https://yz2spukd8h-jbrk7pf7uvw.s3.amazonaws.com/2024/05/KacNjd05eIdR6VrZfWgXI7burtfevMaPaPepNhYHpb4%3D.jpg</t>
  </si>
  <si>
    <t>23 anos, 3 meses, 9 dias</t>
  </si>
  <si>
    <t>Vila Paulo Silas</t>
  </si>
  <si>
    <t>03264-050</t>
  </si>
  <si>
    <t>Rua Antônio Fontoura Xavier</t>
  </si>
  <si>
    <t>521081828</t>
  </si>
  <si>
    <t>(11) 98214-9717</t>
  </si>
  <si>
    <t>https://www.instagram.com/trizz.vieira/</t>
  </si>
  <si>
    <t>Processos fotograficos</t>
  </si>
  <si>
    <t>Oi, meu nome é Beatriz, tenho 23 anos e moro na zona leste desde que nasci. Minha família e eu já residimos na Vila Diva, Teotônio Vilela, Vila Ema, e por fim, já faz alguns anos que estou no Parque São Lucas.  Sempre tive uma paixão pela arte e cultura. Aos 18 anos, organizei um sarau com amigos em um bar local para movimentar meu bairro e expressar nossa criatividade.  Graças a instituições e projetos culturais da prefeitura, tive a oportunidade de aprender mais sobre arte. Fiz aulas de violão na Fábrica da Cultura de Sapopemba e de percussão e canto no Instituto FUNSAI, no Ipiranga. Essas experiências foram fundamentais para quem sou hoje.</t>
  </si>
  <si>
    <t>Atualmente estou no último semestre do curso técnico de processos fotográficos, na ETEC de Artes, curso o qual gosto bastante e me descobri muito. Ocasionalmente, como freelancer, faço alguns trabalhos fotográficos e produções de conteúdo de redes socias para uma produtora cultural, o que me inspirou e motivou a querer participar do PJMC e me envolver mais na área.</t>
  </si>
  <si>
    <t>Não sei certo meu destino específico, mas sei que estou determinada a seguir carreira na área de arte e cultura. Quero aprender mais a fundo sobre processos artísticos. Pretendo entender como funciona o mercado profissional de arte e cultura em São Paulo e quais são e como funcionam as oportunidades e possibilidades, pois sei muito pouco sobre isso.  Saber como posso me inserir nesse cenário e descobrir os caminhos possíveis para seguir adiante na minha carreira. Fazendo o que eu gosto de maneira que eu possa contribuir de forma positiva para a sociedade e a cidade. Isso, para mim, mesmo não sendo uma resposta tão exata, é um senso de direção e propósito.</t>
  </si>
  <si>
    <t>400.242.328-07</t>
  </si>
  <si>
    <t>Milena Silva</t>
  </si>
  <si>
    <t>milenasilva.milenasi@gmail.com</t>
  </si>
  <si>
    <t>https://yz2spukd8h-jbrk7pf7uvw.s3.amazonaws.com/2024/05/1zv5uYq/p2gCiOLMnUaBZxS6GxTZJtHC/7QgOWHiFB8%3D.jpg</t>
  </si>
  <si>
    <t>08290-410</t>
  </si>
  <si>
    <t>Apartamento 32 torre 2</t>
  </si>
  <si>
    <t>PARQUE DO CARMO</t>
  </si>
  <si>
    <t>Rua da Lagoa Feia</t>
  </si>
  <si>
    <t>199</t>
  </si>
  <si>
    <t>57.218.498-0</t>
  </si>
  <si>
    <t>(11) 95371-7070</t>
  </si>
  <si>
    <t>MILENASILVA.MILENASIGMAIL.COM</t>
  </si>
  <si>
    <t>https://www.instagram.com/milen4m_/?igsh=bmgxYzI1aWInYzVi</t>
  </si>
  <si>
    <t>Sou Milena Silva, tenho 18 anos, nasci em São Mateus e hoje resido em Itaquera. Sempre gostei muito de arte no geral, apesar da falta de recursos e acesso, a arte e a cultura sempre esteve presente na minha vida principalmente pelo funk. A forma que eu tinha para me expressar era escrevendo letras de funk consciente, que também era um desabafo sobre minha vida e meu cotidiano pelas ruas de São Mateus. Nunca tive oportunidade de mostrar o que eu fazia e isso me desmotivou a continuar com a música, até que encontrei a fotografia e o audiovisual na minha vida.</t>
  </si>
  <si>
    <t>Estou no terceiro ano do ensino médio, sou fotógrafa, me formei no técnico de fotografia pelo Senac Tatuapé e sou autônoma na área, consegui poucos trabalhos trabalhos desde que me formei por falta de equipamentos mas amo o que eu faço. Me encontrei na fotografia por influência do funk também e por sempre consumir fotos dos trabalhos de artistas que eu gosto. A fotografia pra mim é criar, expressar, é registrar momentos e sentimentos que não voltam mais, toda essa sensação que a fotografia me traz é inexplicável e as vezes até me emociona pois sinto que posso ser reconhecida artisticamente pelo o que eu faço.</t>
  </si>
  <si>
    <t>Quero muito ter a oportunidade de ter o meu primeiro emprego fixo para conseguir investir nos meus equipamentos na fotografia/audiovisual e para conseguir ajudar nas despesas dentro de casa também. Pretendo continuar tirando fotos e pretendo começar uma faculdade de audiovisual/cinema para me especializar em algo que eu gosto e ter mais oportunidades futuras na área.</t>
  </si>
  <si>
    <t>559.247.988-36</t>
  </si>
  <si>
    <t>Lucas Penteado De Matos</t>
  </si>
  <si>
    <t>frennekin@gmail.com</t>
  </si>
  <si>
    <t>https://yz2spukd8h-jbrk7pf7uvw.s3.amazonaws.com/2024/05/anUd7D5muuVmj/OSGq8PDnQ/72fHGpXnJn/wnXVuGtg%3D.png</t>
  </si>
  <si>
    <t>18 anos, 7 meses, 7 dias</t>
  </si>
  <si>
    <t>CURSANDO TÉCNICO EM TEATRO</t>
  </si>
  <si>
    <t>Ipiranga</t>
  </si>
  <si>
    <t>04211-040</t>
  </si>
  <si>
    <t>Vila, Casa 5</t>
  </si>
  <si>
    <t>Rua Cisplatina</t>
  </si>
  <si>
    <t>786</t>
  </si>
  <si>
    <t>568370417</t>
  </si>
  <si>
    <t>(11) 95077-7885</t>
  </si>
  <si>
    <t>https://www.instagram.com/_lucasryu_/</t>
  </si>
  <si>
    <t>TÉCNICO EM MECATRÔNICA, TÉCNICO EM TEATRO</t>
  </si>
  <si>
    <t>Eu Lucas Penteado de Matos, vim da arte. Nasci e cresci minha vida inteira em São Paulo capital, em uma família muito presente em espetáculos e apresentações de grande maioria teatral. Por meio de uma oportunidade ao realizar uma oficina no Sesc Ipiranga realizei um curso de desenho na escola Quanta em 2016, porém acabei me afastando tanto de idas ao teatro quanto a arte em seu grande geral e procurando outras vivências após me formar no fundamental. Tomei a decisão de realizar o ensino médio juntamente como o curso de mecatrônica na ETEC Getúlio Vargas, porém após sua conclusão no ano passado percebi que o lugar de onde eu vim realmente é da arte, em específico a atuação teatral.</t>
  </si>
  <si>
    <t>Estou estudando teatro. Em paralelo ao meu ensino médio realizei oficinas voltadas para áreas artísticas sendo no caso teatro, cinema documentário e percussão e percebi que realmente encontrei meu lugar, comecei então procurar onde poderia estar estudando de forma mais profissional e dedicada a arte da atuação. Ao realizar o vestibular estou atualmente realizando o técnico em teatro da ETEC De Artes, juntamente com a realização de algumas oficinas e cursos nas unidades da instituição Funsai, sendo eles canto, violão e percussão. Procuro realizar um foco em outras áreas de meu interesse como por exemplo: dublagem, fotografias e cosplay (ou no caso, se fantasiar de personagens).</t>
  </si>
  <si>
    <t>Eu vou para as artes cênicas, os palcos e as telas. Já achei meu propósito e objetivo, embora esteja cursando teatro justamente para buscar isso procuro realizar também uma faculdade de artes cênicas, cursos, oficinas diversas (como por exemplo sapateado, dança e música por possuir um interesse) e oportunidades para aprimorar minhas habilidades e acima de tudo conhecimentos sejam nas áreas de meu interesse ou como pessoa. Meu sonho e objetivo é por meio da arte mudar ao menos um pouco a vida das pessoas, que seja por meio das minha ações que aquele momento ruim que esta ou esteve passando seja esquecido ao menos por um momento.</t>
  </si>
  <si>
    <t>540.014.708-96</t>
  </si>
  <si>
    <t>Antônio Elton Pereira Borges</t>
  </si>
  <si>
    <t>contatonyelton@gmail.com</t>
  </si>
  <si>
    <t>https://yz2spukd8h-jbrk7pf7uvw.s3.amazonaws.com/2024/06/9eEChl/GmkCJoymq92eNyyqGd9I1Uxxpng26PauVxF8%3D.jpg</t>
  </si>
  <si>
    <t>24 anos, 2 meses, 27 dias</t>
  </si>
  <si>
    <t>Vila Amália (Zona Norte)</t>
  </si>
  <si>
    <t>02618-000</t>
  </si>
  <si>
    <t>Apartamento 74 ipê</t>
  </si>
  <si>
    <t>Rua Domingos José Sapienza</t>
  </si>
  <si>
    <t>231</t>
  </si>
  <si>
    <t>3415989</t>
  </si>
  <si>
    <t>(61) 99687-0459</t>
  </si>
  <si>
    <t>https://www.instagram.com/otonyelton?utm_source=ig_web_button_share_sheet&amp;igsh=ZDNlZDc0MzIxNw==</t>
  </si>
  <si>
    <t>teatro/canto</t>
  </si>
  <si>
    <t>Meu nome é Antônio Elton, sou um homem gay, preto, ator, performer e promotor de eventos, nascido e criado em Taguatinga, periferia de Brasília. Desde 2018 meu objetivo é estudar e trabalhar na área artística. De lá até aqui venho buscando oportunidades que me proporcionem conhecimento, estrutura e estabilidade para alcançar minhas metas e aperfeiçoar meu ofício. Essa vontade me levou a mudar de Brasília para São Paulo, em busca de trabalhos, aulas e cursos, para assim criar uma base em um dos estados que é referência no mercado cultural brasileiro.</t>
  </si>
  <si>
    <t>Em minha trajetória em eventos culturais tenho atuado em diferentes funções. Na equipe de acesso aos eventos, bilheteria, validação de ingressos, venda de produtos oficiais e promotoria em shows, teatros e cinemas.   Após 6 anos de carreira como ator de teatro e no ramo da cultura, vejo que minhas ambições e objetivos começam a tomar um novo rumo, o de querer que o meu trabalho seja mais profundo e abranja novas áreas de atuação. Para que isso seja possível, é necessário mais conhecimento e vivência na área cultural em lugares  que tragam uma nova perspectiva sobre o processo técnico, administrativo e de criação que envolvem a gestão cultural.</t>
  </si>
  <si>
    <t>Pra mim faz sentido estar em lugares que me tragam evolução pessoal e profissional, onde eu desenvolva novos conhecimentos e habilidades. Desta maneira, poderei criar novos projetos pessoais e desenvolvê-los com o aprendizado que venho acumulando em minha bagagem ao longo dessas experiências. O meu intuito é o de encontrar maneiras de me manter ativo no mercado de trabalho nos meios artísticos, culturais e educacionais.</t>
  </si>
  <si>
    <t>059.962.231-80</t>
  </si>
  <si>
    <t>LIVIA KAUANE SALES SILVA</t>
  </si>
  <si>
    <t>Lívia Kauane Sales Silva</t>
  </si>
  <si>
    <t>saless.liviak@gmail.com</t>
  </si>
  <si>
    <t>https://yz2spukd8h-jbrk7pf7uvw.s3.amazonaws.com/2024/05/SMh/jOgk16szXVxyV2GAWoLmDmyoDkcJiutuCiSVTWA%3D.jpg</t>
  </si>
  <si>
    <t>21 anos, 4 meses, 9 dias</t>
  </si>
  <si>
    <t>Jardim Itacolomi</t>
  </si>
  <si>
    <t>04386-030</t>
  </si>
  <si>
    <t>Avenida Durval Pinto Ferreira</t>
  </si>
  <si>
    <t>578117435</t>
  </si>
  <si>
    <t>(11) 94862-4978</t>
  </si>
  <si>
    <t>https://www.instagram.com/likauane?igsh=MWdjOWVtZ3NtenYzaA==</t>
  </si>
  <si>
    <t>Não sei qual é o número</t>
  </si>
  <si>
    <t>Me chamo Lívia e tenho 21 anos. Nasci e cresci na periferia junto com meus irmãos e gostaria de mostrar para eles que existem oportunidades muito grandes e que, mesmo não tendo a melhor condição, todos nós podemos ter grandes experiências de trabalho, especialmente em espaços onde promovem a cultura para outros jovens que normalmente não teriam fácil acesso.</t>
  </si>
  <si>
    <t>Atualmente, faço parte do projeto público Rede Daora, onde estudo Design de Figurino e Fotografia. Abracei essa oportunidade e vi como o incentivo ao estudo para jovens de baixa renda pode fazer grande diferença, pois posso dizer que ter aprendido o que aprendi nesses meses de curso mudou completamente a minha vida e minha forma de ver o mundo. Os professores são altamente qualificados e nos instruem, não só o conteúdo prévio, como também como funciona o mercado da área de atuação estudada.</t>
  </si>
  <si>
    <t>Meu sonho é ser cineasta e produzir grandes filmes para a indústria cinematográfica brasileira, mostrando ao mundo todo como o Brasil é capaz de formar grandes talentos e produzir obras aclamadas mundialmente. Pretendo estudar Produção Audiovisual para concretizar meus planos e aprender muito mais sobre a teoria do cinema. Gosto muito de artes no geral, como dança, teatro, música e pintura e acredito que a arte pode transformar vidas e fazer do mundo um lugar mais feliz.</t>
  </si>
  <si>
    <t>489.739.548-81</t>
  </si>
  <si>
    <t>LAUANY ROSA DE SOUZA MOREIRA</t>
  </si>
  <si>
    <t>Lauany Rosa De Souza Moreira</t>
  </si>
  <si>
    <t>LAUANY</t>
  </si>
  <si>
    <t>Lauany</t>
  </si>
  <si>
    <t>lauanyrsm@outlook.com</t>
  </si>
  <si>
    <t>https://yz2spukd8h-jbrk7pf7uvw.s3.amazonaws.com/2024/05/hGWcyOE3dyjr2f2r7UvSMH9ns2KuVDNQS0i4aN%2BGxrg%3D.jpg</t>
  </si>
  <si>
    <t>18 anos, 11 meses, 29 dias</t>
  </si>
  <si>
    <t>EM FORMAÇÃO MARKETING</t>
  </si>
  <si>
    <t>03946-100</t>
  </si>
  <si>
    <t>Rua Professor Salvador Ferrara</t>
  </si>
  <si>
    <t>60293252x</t>
  </si>
  <si>
    <t>(11) 96982-9903</t>
  </si>
  <si>
    <t>LAUANYRSM@OUTLOOK.COM</t>
  </si>
  <si>
    <t>https://www.linkedin.com/in/lauany-s-291756248?utm_source=share&amp;utm_campaign=share_via&amp;utm_content=profile&amp;utm_medium=android_app</t>
  </si>
  <si>
    <t>BIBLIOTECA AFFONSO TAUNAY</t>
  </si>
  <si>
    <t>Eu vim de uma família simples, que preza por humildade e respeito ao próximo, que sempre busca ir além e enfrentar os desafios propostos pela sociedade. Desde pequena aprendi  a buscar meus objetivos e sempre dar o meu melhor independente do que eu esteja fazendo. Me inspiro muito na minha mãe, que é uma mulher batalhadora e muito esforçada, que sempre vai atrás dos seus sonhos .</t>
  </si>
  <si>
    <t>Me encontro em um momento de descobertas aonde encerrei minhas atividades no ensino médio em 2023 e pretendo seguir na área de marketing ou publicidade e propaganda. Através de um empreendimento para fazer uma renda extra descobri que gosto muito de trabalhar com criatividade e sempre estar atualizando minhas ideias, para assim andar junto com o mercado de trabalho.</t>
  </si>
  <si>
    <t>Eu desejo conquistar mais experiência no mercado de trabalho e usar essas habilidades para o meu desenvolvimento pessoal e profissional e assim conseguir alcançar os meus sonhos, tornando assim meus sonhos em realidade e chegar a lugares incríveis para poder honrar minha família e ajudar projetos como ongs, Cedesp, que uma vez me ajudou a evoluir e vencer muitos medos.</t>
  </si>
  <si>
    <t>501.361.508-96</t>
  </si>
  <si>
    <t>JOICINEIDE SOARES MACHADO</t>
  </si>
  <si>
    <t>Joicineide Soares Machado</t>
  </si>
  <si>
    <t>JOY SOARES</t>
  </si>
  <si>
    <t>Joy Soares</t>
  </si>
  <si>
    <t>joy.agendaproducao@gmail.com</t>
  </si>
  <si>
    <t>https://yz2spukd8h-jbrk7pf7uvw.s3.amazonaws.com/2024/05/PcrL/6zsWWxmVc8Vyomu00lP%2BVOnA06ZU3EUaRhsiT0%3D.jpg</t>
  </si>
  <si>
    <t>28 anos, 8 meses, 24 dias</t>
  </si>
  <si>
    <t>08142-377</t>
  </si>
  <si>
    <t>Rua Candido Pereira de Castro</t>
  </si>
  <si>
    <t>333</t>
  </si>
  <si>
    <t>487810491</t>
  </si>
  <si>
    <t>(11) 97036-8393</t>
  </si>
  <si>
    <t>JOY.AGENDAPRODUCAO@GMAIL.COM</t>
  </si>
  <si>
    <t>https://www.instagram.com/joysoares.sp</t>
  </si>
  <si>
    <t>PRODUÇÃO  AUDIO V ISUAL</t>
  </si>
  <si>
    <t>https://youtu.be/0mRYQodPUQ4?si=G27gj4LE7HZOmvkG</t>
  </si>
  <si>
    <t>452.167.838-65</t>
  </si>
  <si>
    <t>Stella Cristina Ismael De Souza</t>
  </si>
  <si>
    <t>stxvi2001@gmail.com</t>
  </si>
  <si>
    <t>https://yz2spukd8h-jbrk7pf7uvw.s3.amazonaws.com/2024/06/hf/fgBBwJ1k02pZcp0gTUMX4rS57%2BC4jPB8Mw1Ru59Q%3D.jpg</t>
  </si>
  <si>
    <t>23 anos, 2 meses, 15 dias</t>
  </si>
  <si>
    <t>Jardim Primavera (Zona Norte)</t>
  </si>
  <si>
    <t>02755-070</t>
  </si>
  <si>
    <t>Rua Adão Ribeiro</t>
  </si>
  <si>
    <t>55.862.779-1</t>
  </si>
  <si>
    <t>(11) 97710-9878</t>
  </si>
  <si>
    <t>STXVI2001@GMAIL.COM</t>
  </si>
  <si>
    <t>https://www.canva.com/design/DAGGwpWrhRU/nvNBhuuMhWlR5S860UBn3Q/watch?utm_content=DAGGwpWrhRU&amp;utm_campaign=designshare&amp;utm_medium=link&amp;utm_source=editor</t>
  </si>
  <si>
    <t>496.232.668-63</t>
  </si>
  <si>
    <t>Thais Dias Gomes Vitoria</t>
  </si>
  <si>
    <t>diasthais443@gmail.com</t>
  </si>
  <si>
    <t>https://yz2spukd8h-jbrk7pf7uvw.s3.amazonaws.com/2024/04/kZq5wrC0rAApPKeN4qubfYvp0tnOKmbD8y7PrUkl5qI%3D.jpeg</t>
  </si>
  <si>
    <t>20 anos, 6 meses, 25 dias</t>
  </si>
  <si>
    <t>Vila Bancária Munhoz</t>
  </si>
  <si>
    <t>02759-050</t>
  </si>
  <si>
    <t>Rua Delfim Moreira</t>
  </si>
  <si>
    <t>60334558-X</t>
  </si>
  <si>
    <t>(11) 99319-3850</t>
  </si>
  <si>
    <t>DIASTHAIS443@GMAIL.COM</t>
  </si>
  <si>
    <t>Meu nome é Thais, tenho 20 anos e nasci em são paulo, no hospital Maternidade Vila Nova cachoerinha, sou artista independente e moro com a minha mãe atualmente. A arte sempre esteve presente na minha vida de forma significativa, desde pequena costumava me apresentar em shows de talento nas escolas em que frequentei. Quando cheguei na pré-adolescencia comecei a  fazer capoeira e então tive acesso á outras manifestações  afro-brasileiras, o que ampliou meu gosto pela cultura  e outros movimentos artisticos. Ainda na capoeira tive a oportunidade de criar e apresentar uma peça teatro junto com o grupo de capoeira abolição, foi então que descobri meu gosto pela atuação e hoje estudo teatro.</t>
  </si>
  <si>
    <t>No território onde moro tenho um amplo acesso á cultura e outros movimentos artisticos, além dos que já estou inserida como a capoeira e o teatro. Essas movimentações aumentam meu repertório enquanto artista, muitas oficinas oferecidas por centros culturais, como o CCJ Ruth Cardoso contribui com o meu desenvolvimento nas áreas em que escolhi, por abordar pautas sociais, abrir debates e incluir também aulas práticas abrangendo meu conhecimento.</t>
  </si>
  <si>
    <t>Quero participar do Programa Jovem Monitor Cultural pois vejo nesse edital uma grande oportunidade de me desenvolver profissionalmente na área artistica e produção de eventos culturais. Além de capoerista e atriz em formação, tenho formação técnica em eventos, porém com a grade curricular do curso só tive uma unica matéria que trazia conteúdos á respeito da área que eu sempre tive certa afeição, comparado ás outras materias. Além de colocar em prática o que foi aprendido em sala de aula, vou obter mais conhecimento em produção de eventos e trabalhar com que eu sempre quis.</t>
  </si>
  <si>
    <t>543.418.018-64</t>
  </si>
  <si>
    <t>Isabela Maria Dias Morelli</t>
  </si>
  <si>
    <t>bela.morelli10@gmail.com</t>
  </si>
  <si>
    <t>https://yz2spukd8h-jbrk7pf7uvw.s3.amazonaws.com/2024/06/tPuRKXbHdw2HoOL3Bn%2B1NmBSF7ZKWTwWyFiFaPGyX5A%3D.jpg</t>
  </si>
  <si>
    <t>22 anos, 3 meses, 26 dias</t>
  </si>
  <si>
    <t>Casa Verde Alta</t>
  </si>
  <si>
    <t>02555-120</t>
  </si>
  <si>
    <t>Rua Dulcelina</t>
  </si>
  <si>
    <t>534457897</t>
  </si>
  <si>
    <t>(11) 91310-0000</t>
  </si>
  <si>
    <t>11-940604040 - 11-913100000</t>
  </si>
  <si>
    <t>grad - historia</t>
  </si>
  <si>
    <t>Nasci e fui criada em SP, pela minha avó. Ela pertencia a uma tribo indígena no ES e trabalhou como mucama durante toda sua infância e adolescência, até fugir e construir uma família na capital de São Paulo. Pude herdar uma influência indígena muito forte. Minha família sempre incentivou qualquer experimentação minha no meio artístico. Tive minha primeira aula de pintura em tela na Biblioteca Menotti del Picchia aos 6 anos de idade. Vim de uma intensa produção de quadros, esculturas e desenhos feitos com materiais que estavam ao meu alcance! Além da busca e curiosidade nos estudos de história desde sempre, sobretudo sobre a formação do nosso país e das desigualdades enraizadas até hoje.</t>
  </si>
  <si>
    <t>Hoje tenho 22 anos, trabalho de forma autônoma como tatuadora, professora de desenho, retratista de realismo e retornei à biblioteca Menotti del Picchia como oficineira voluntária lecionando desenho artístico para crianças, há 2 anos. Adoro o contato com as crianças neste espaço e o ato de ensinar é extremamente gratificante para mim. Também por esse motivo, iniciei faculdade de licenciatura em história com bolsa de 70% de desconto, mas por questões financeiras, tranquei a faculdade no 5° semestre, no começo deste ano.  Atualmente moro com 6 pessoas, estou conciliando atendimentos de tattoo com as aulas de artes e necessito de um meio que me possibilite viver de arte com tranquilidade.</t>
  </si>
  <si>
    <t>Quero continuar minha trajetória no meio artístico e educativo, aprofundando minhas habilidades e compartilhando meu conhecimento. Desejo retomar e concluir minha graduação em história, combinando essa formação com minhas práticas artísticas para desenvolver projetos que integrem arte e educação. Meu objetivo é criar um espaço onde a arte seja acessível e transformadora, especialmente para jovens e crianças. Continuar trabalhando em bibliotecas e espaços comunitários, como a Menotti del Picchia, é parte do meu plano, pois acredito no poder educativo e social desses ambientes.Almejo uma carreira que combine minhas paixões pela história, arte e educação, sempre buscando o crescimento!</t>
  </si>
  <si>
    <t>436.005.298-70</t>
  </si>
  <si>
    <t>camilaapbiage@gmail.com</t>
  </si>
  <si>
    <t>https://yz2spukd8h-jbrk7pf7uvw.s3.amazonaws.com/2024/06/gboI126KKokgTulqE/4PEk2DIMRencJdvhPFizx4UCg%3D.jpeg</t>
  </si>
  <si>
    <t>29 anos, 8 meses, 30 dias</t>
  </si>
  <si>
    <t>Parque América</t>
  </si>
  <si>
    <t>04822-070</t>
  </si>
  <si>
    <t>Rua Cecília Melo Vasconcelos</t>
  </si>
  <si>
    <t>166</t>
  </si>
  <si>
    <t>49177882-x</t>
  </si>
  <si>
    <t>(11) 95917-8137</t>
  </si>
  <si>
    <t>https://www.instagram.com/ar.oeira/</t>
  </si>
  <si>
    <t>https://drive.google.com/file/d/1tsEQLE0-2a3rd8RIasgpAAoobhgEf6wW/view?usp=sharing</t>
  </si>
  <si>
    <t>343.660.378-31</t>
  </si>
  <si>
    <t>Carina Neres Farias</t>
  </si>
  <si>
    <t>carinanf40hotmail@gmail.com</t>
  </si>
  <si>
    <t>https://yz2spukd8h-jbrk7pf7uvw.s3.amazonaws.com/2024/06/rOU/6Ze6KRQSIM5XRCONAFUdkg7c0W/dSYPMxhXkaWA%3D.pdf</t>
  </si>
  <si>
    <t>21 anos, 3 meses, 22 dias</t>
  </si>
  <si>
    <t>tecnica  em nutricao</t>
  </si>
  <si>
    <t>03937-090</t>
  </si>
  <si>
    <t>viela 1, número 8</t>
  </si>
  <si>
    <t>Avenida Ouro Verde de Minas</t>
  </si>
  <si>
    <t>38609584x</t>
  </si>
  <si>
    <t>(11) 95699-7063</t>
  </si>
  <si>
    <t>carinanf40hotmail@gmai.com</t>
  </si>
  <si>
    <t>nutricao</t>
  </si>
  <si>
    <t>Meu nome é Carina Neres, nasci em Itaquera, minha mãe veio da Bahia adolescente e desde então trabalha como empregada doméstica e meu pai é paulista e trabalha como carteiro. Sempre morei em São Mateus, precisamente no bairro Jardim Imperador, por morar aqui desde que nasci sempre tive uma relação de afetividade com este lugar, frequentei a igreja com a minha mãe por muitos anos e durante este período sinto que não pude ser quem eu sou, a arte  nunca foi estimulada pela família, algo que tinha curiosidade mas acabava sendo reprimida, nunca fui muito de frequentar espaços culturais quando era criança, mas conforme fui crescendo passou a surgir um grande interesse de frequenta-los.</t>
  </si>
  <si>
    <t>Atualmente sou estudante de Licenciatura em Ciência Humanas na UFABC, um curso que gosto bastante mas que me da muitas incertezas sobre seguir na área ou não, principalmente se relacionando a trabalhar em sala de aula,  então confesso que estou um pouco perdida, com receio, procurando uma atividade que faça sentido para mim, dessa forma, tenho pensado em trabalhar em outros espaços, como os locais não formais de educação, museus, bibliotecas, enfim, gostaria de ter uma experiência para além da sala de aula, para entender um pouco mais sobre o que quero seguir.</t>
  </si>
  <si>
    <t>Para onde vou ainda não sei, mas tenho algumas vontades, no momento estou escrevendo um projeto de iniciação científica sobre educação decolonial que é um tema do qual me interesso muito, tenho vontade de seguir na área da pesquisa, mas de também poder trabalhar em escolas, assim como em cursinhos populatres, gostaria muito de ter experiências nos espaços culturais, onde sinto que a minha criatividade possa florescer, já que me sinto muitas vezes receosa em relação a ela, acredito que preciso trabalhar com algo que desafie a minha zona de conforto e sinto que este programa será muito bom para mim neste sentido, ficaria muito feliz em poder participar.</t>
  </si>
  <si>
    <t>526.350.618-07</t>
  </si>
  <si>
    <t>EVANDRO CESAR CARVALHO DE OLIVEIRA</t>
  </si>
  <si>
    <t>Evandro Cesar Carvalho De Oliveira</t>
  </si>
  <si>
    <t>carvalhoevandro30@gmail.com</t>
  </si>
  <si>
    <t>https://yz2spukd8h-jbrk7pf7uvw.s3.amazonaws.com/2024/04/XpPnp0e%2BijHlImJ423vJaZYGLrGuo4BKB%2B45Zn2e2eA%3D.jpeg</t>
  </si>
  <si>
    <t>23 anos, 8 meses, 21 dias</t>
  </si>
  <si>
    <t>Vila Nilo</t>
  </si>
  <si>
    <t>02278-030</t>
  </si>
  <si>
    <t>Rua Romão Freire</t>
  </si>
  <si>
    <t>95</t>
  </si>
  <si>
    <t>505907215</t>
  </si>
  <si>
    <t>(11) 98384-4069</t>
  </si>
  <si>
    <t>11-983844069</t>
  </si>
  <si>
    <t>Meu nome é Evandro Cesar, sou de São Paulo, moro no Jaçanã Z/N  Sou brasileiro, tenho 23 anos  Ensino médio completo  Cursos complementares:   *Informática (Eurodata)  *Web-design (Eurodata)  Já trabalhei como:   *entregador (Comercial de zíperes e armarinhos 25   *operador de loja (Comercial esperança)  *garçom (Buffet Agrabah)  *auxiliar administrativo (CEDESP São Benedito) trabalho voluntario:</t>
  </si>
  <si>
    <t>Estou atualmente desempregado, trabalhando a parte, já fiz aulas na Fábrica de Cultura do Jaçanã como Dj e quando soube do processo seletivo fiquei bastante animado, sempre quis trabalhar nessa área. minha experiência na Fábrica foi ótima e os funcionários de lá são pessoas maravilhosas e inspiradoras.   Sempre trabalhar com arte, mas estou passando um momento difícil e é dai que surgem as oportunidades</t>
  </si>
  <si>
    <t>Meu maior sonho é ser Dj/Produtor, mas é uma carreira difícil e antes disso tenho muitas responsabilidades, mas sigo tentando, estudando e preciso pagar meu curso de produção musical. Além disso que um trabalho na área cultural irá me ajudar e alavancar, pois terei maior noção e dimensão do ambiente. E espero inspirar novas pessoas como aconteceu comigo na Fábrica de Cultura.</t>
  </si>
  <si>
    <t>507.241.628-36</t>
  </si>
  <si>
    <t>Mila Rizzuto De Oliveira</t>
  </si>
  <si>
    <t>milarizzuto7@gmail.com</t>
  </si>
  <si>
    <t>https://yz2spukd8h-jbrk7pf7uvw.s3.amazonaws.com/2024/06/aAIWAjRPiScST7gd6NUhPLnldZWVanIbi4BUjzMiVlA%3D.jpg</t>
  </si>
  <si>
    <t>29 anos, 0 meses, 11 dias</t>
  </si>
  <si>
    <t>04102-001</t>
  </si>
  <si>
    <t>ap 78</t>
  </si>
  <si>
    <t>Rua Vergueiro</t>
  </si>
  <si>
    <t>819</t>
  </si>
  <si>
    <t>8118520</t>
  </si>
  <si>
    <t>(11) 98799-9978</t>
  </si>
  <si>
    <t>https://www.instagram.com/milaxxtarot/</t>
  </si>
  <si>
    <t>jornalismo</t>
  </si>
  <si>
    <t>Olá, me chamo Mila Rizzuto, tenho 28 anos, sou natural de Recife, Pernambuco. Vim para São Paulo com 19 anos, com a  cara e a coragem, atrás do sonho de ser artista. Sempre sonhei em morar nessa cidade, pois onde nasci sofri muito preconceito pela minha sexualidade sáfica e pelo fato de ser uma pessoa neurodivergente, tenho o diagnóstico atual de TDAH.    Vim para São Paulo querendo ser artista, mas descobri que sou bem melhor como comunicadora. Entrei na faculdade de jornalismo, faculdade essa bem difícil para mim,  porque quem diria que anos de violência sofrida na infância e adolescência e de transtornos mentais não tratados, iriam me impossibilitar de conseguir concluir minha gradução.</t>
  </si>
  <si>
    <t>Estou parada desde a pandemia. Trabalho com tarot e astrologia para conseguir me sustentar.      Vergonha, frustração e tristeza me paralisaram por tempo demais. "Olha a hora, Mila, quase 30 e não faz nada na vida" ou "Acho melhor você desistir mesmo, na sua idade não dá pra conseguir mais nada", mas agora desejo mais do que nunca ingressar no projeto jovem montor, porque sei que esse curso vai abrir portas para mim que achei que se fecharam por definitivo em 2020, quando tive que abandonar minha faculdade de jornalismo, por motivos de saúde e condições financeiras.     Atualmente estou correndo atrás de um possível diagnóstico de TEA e trabalhando como freelancer.</t>
  </si>
  <si>
    <t>Quando eu vi o edital de Jovem Monitor, foi como se uma luz no fim do túnel se abrisse para mim. Primeiro porque eu vim para esta cidade há 9 anos para estudar artes, segundo porque este é o último ano que posso tentar participar do processo seletivo por conta da minha idade.    Eu realmente sinto que o projeto Jovem Monitor pode ser a minha última saída para alcançar uma vida de autônomia, com muita autenticidade e amor, pois a cultura é o que nos move. Proteger e divulgar a cultura é o único caminho para uma sociedade melhor e igualitária.    Seria meu maior sonho trabalhar com artes e comunicação no futuro, e melhor ainda se esse futuro começar em 2025.</t>
  </si>
  <si>
    <t>083.535.244-73</t>
  </si>
  <si>
    <t>mayara.freiredossantos345@gmail.com</t>
  </si>
  <si>
    <t>https://yz2spukd8h-jbrk7pf7uvw.s3.amazonaws.com/2024/06/Xyxq7Eb%2BfpsF%2BwhRCk7ufmynCqNvGRtFvyYpncC%2BI14%3D.jpg</t>
  </si>
  <si>
    <t>21 anos, 3 meses, 13 dias</t>
  </si>
  <si>
    <t>08343-430</t>
  </si>
  <si>
    <t>Travessa São Tantas Coisas</t>
  </si>
  <si>
    <t>391235825</t>
  </si>
  <si>
    <t>(11) 99142-3115</t>
  </si>
  <si>
    <t>GESTAO RH</t>
  </si>
  <si>
    <t>2526456347</t>
  </si>
  <si>
    <t>Mayara freire dos santos   Travessa são tantas coisas  11991423115  Mayara freire dos santos  17/06/2024    Prezado(a) recrutador(a),    Meu nome é Mayara e estou escrevendo para me candidatar à vaga de monitor aprendiz. Gostaria de apresentar minha trajetória profissional, destacando de onde vim, onde estou e para onde pretendo ir.    Iniciei minha carreira na área de telemarketing após me formar em técnico em marketing pela etec Sapopemba. Desde então, trabalhei em fast food, burguer king como treinadora, onde adquiri uma sólida experiência em trabalhar com público, tomar decisões rápidas, desenvolver habilidades socioemocionais . Durante meu tempo lá, tive a oportunidade de desenvolver pessoas</t>
  </si>
  <si>
    <t>Onde eu estou   Atualmente, estou estudando para entrar na faculdade de intuição pública fatec ipiranga, onde pretendo em formar em gestão de recursos humanos até o ano de 2027. Neste momento estou desempregada bsscando uma oportunidade e pretendo está trabalhando como monitor aprendiz no próximo ano para me permitir crescer profissionalmente e contribuir</t>
  </si>
  <si>
    <t>Meu objetivo é continuar evoluindo na área social e acredito que trabalhar como jovem monitor oferece o ambiente ideal para isso. Estou particularmente interessado em contribuir com a comunidade e estou entusiasmado com a perspectiva de contribuir. Minha ambição é me formar e construir uma carreira e estou confiante de que a oportunidade de trabalhar me permitirá alcançar esse objetivo, ao mesmo tempo em que trago resultados positivos.</t>
  </si>
  <si>
    <t>523.699.308-37</t>
  </si>
  <si>
    <t>b.carolvasconceloss@gmail.com</t>
  </si>
  <si>
    <t>https://yz2spukd8h-jbrk7pf7uvw.s3.amazonaws.com/2024/05/IygDHwtnf4NtLvwKsJX1IzNMIgZJEqCLk5q9Ty%2Bioyg%3D.jpg</t>
  </si>
  <si>
    <t>25 anos, 10 meses, 22 dias</t>
  </si>
  <si>
    <t>Vila Chabilândia</t>
  </si>
  <si>
    <t>08440-470</t>
  </si>
  <si>
    <t>CASA2</t>
  </si>
  <si>
    <t>Rua Cruz do Espírito Santo</t>
  </si>
  <si>
    <t>(11) 97897-8845</t>
  </si>
  <si>
    <t>https://linktr.ee/carolinabvasc?utm_source=linktree_admin_share</t>
  </si>
  <si>
    <t>BIBLIOTECA JAMIL ALMANSUR HADDAD</t>
  </si>
  <si>
    <t>Nasci e cresci em Guaianases, zona leste de São Paulo. Aos 17 anos concluir o ensino médio na escola Eliza Rachel Macedo de Sousa. Logo em seguida comecei a frenquentar a Fábrica de Cultura da Vila Curuçá e lá fiz várias oficinas, como: teatro, artes plásitcas, bordados e adereços, foto e video, circo e violão. Tive a oportunidade de fazer projeto espetaculo quando estava com 18 anos e, depois disso, pude trabalhar lá como Jovem Aprediz na epoca da pandemia. Tendo amado a experiencia de atuar, fui pra Etec de Artes fazer curso técnico em teatro</t>
  </si>
  <si>
    <t>Após terminar o curso técnico de teatro na Etec de Artes, fui fazer curso de multimidias para dança pela São Paulo Escola de Dança em 2022, ocorre pela manhã e tem duração de 2 anos, estou no último módulo, em agosto estarei formada. No ano de 2023, no meio do semestre voltei para a Etec de Artes, ingressando no curso técnico de processos fotográficos que ocorre no periodo da tarde, tenho previsão de termino para este ano, em dezembro de 2024. Por conta dos cursos serem no horario integral não estou trabalhandom, mas estou sempre a procura comom agora.</t>
  </si>
  <si>
    <t>Bom, gostaria muito de passar nesse programa de jovem monitor cultural por ter algumas experiências na arte e acredito que ter uma renda fixa iria ajudar a consquitar meu sonhos. Pretendo arrumar um emprego fixo ou fazer edições de fotos no modo freelancer, devo estudar um pouco mais para aprimorar meus conhecimentos em fotografiae em outros assuntos, como teatro. Quero comprar uma câmera pra entregar no mercado de trabalho fazendo fotografia de eventos e mais pra frente ter uma formação em artes cênicas em alguma faculdade pública. Tenho a pretensão também de entrar para o serviço público em alguma área ligada a arte por ser algo que respiro e gostaria de me especializa em biblioteconomia.</t>
  </si>
  <si>
    <t>32711879</t>
  </si>
  <si>
    <t>460.200.818-69</t>
  </si>
  <si>
    <t>Tiago Sousa</t>
  </si>
  <si>
    <t>Tiago Banhos De Sousa</t>
  </si>
  <si>
    <t>TIAGO SOUSA</t>
  </si>
  <si>
    <t>onomade42@outlook.com</t>
  </si>
  <si>
    <t>https://yz2spukd8h-jbrk7pf7uvw.s3.amazonaws.com/2024/05/8bKQo94uPfoN6s/r818oxmYKFnGsAaml6AlpDu%2B7mrk%3D.jpg</t>
  </si>
  <si>
    <t>27 anos, 4 meses, 11 dias</t>
  </si>
  <si>
    <t>CONCLUIU O TÉCNICO</t>
  </si>
  <si>
    <t>Jardim de Lorenzo</t>
  </si>
  <si>
    <t>03715-110</t>
  </si>
  <si>
    <t>Rua Marieta Xavier</t>
  </si>
  <si>
    <t>359865897</t>
  </si>
  <si>
    <t>(11) 93230-7730</t>
  </si>
  <si>
    <t>ONOMADE42@OUTLOOK.COM</t>
  </si>
  <si>
    <t>https://www.instagram.com/nomade.violero/</t>
  </si>
  <si>
    <t>PROGRAMA  DE  JOVENS PALHAÇOS  DOUTORES DA  ALEGRIA</t>
  </si>
  <si>
    <t>Sendo o único artista na minha familia, comecei a aprender mágica e malabarismo com amigos, me levando até o Circo da Praça Silvio Romero em meados de 2015.  Participei da oficina de clown no Centro Cultural da Juventude, nessa epoca já fazendo apresentações cirsences nas ruas pra tirar um trocado. Participei do vocacional do CEU Quintas do Sol,  além de oficinas de desenho e poesia no Centro Cultural Alfredo Volpi, já procurando algo mais proximo de onde moro.  E, em 2018, iniciava a minha formação no Programa de Formação de Palhaço para Jovens dos Doutores da Alegria.  Em 2019 tive meu primeiro projeto aprovado pelo VAI 1.  700 caracteres é pouco pra mim, resumindo: Eu venho da arte de rua!</t>
  </si>
  <si>
    <t>A pandemia quebrou não só as minhas pernas mas a de todos os artistas de rua.  Comecei a trabalhar com adestramento de cães e, honestamente, comecei a voltar pra arte só agora.  Comecei voltando através da musica, mas no momento não só estou no projeto Circo Livre da Raul do VAI 2 como arte educador circense lá na Casa de Cultura Raul Seixas, como também estou co-dirigindo uma peça e sendo arte educador teatral no coletivo Se Fosse, O Que Seria?   No caso, essa ultima atividade citada ocorre na Fabrica de Cultura Cidade Tiradentes.  Então apesar de morar no Cangaíba, ultimamente venho articulado bastante com o pessoal de Itaquera, o que tem sido muito gratificante pra mim como artista.</t>
  </si>
  <si>
    <t>Por conta do programa VAI (tanto o 1 quanto o 2) me surgiu o interesse de entender mais sobre politicas públicas, até pra poder atuar melhor como artista no meu território.  Através do VAI venho entendido o quanto isso é importante, mas ainda sinto que tenho poucas ferramentas pra atingir meus objetivos.   É aí que entra o Programa Jovem Monitor.  Sinto que como artista, tenho muito potencial e venho explorado e descoberto bastante coisa. Existe um universo de experiencias, trabalhos e afins que acabei deixando de fora dessa carta porque não cabe e quero fazer ainda mais! Sempre tem mais coisa pra aprender.  Pra onde vou? Pro Programa Jovem Monitor.  O negocio é ao infinito e além...</t>
  </si>
  <si>
    <t>365.796.478-92</t>
  </si>
  <si>
    <t>Rodrigo Ferreira Souto</t>
  </si>
  <si>
    <t>rodrigo.ferreira.souto@hotmail.com</t>
  </si>
  <si>
    <t>https://yz2spukd8h-jbrk7pf7uvw.s3.amazonaws.com/2024/04/Sqj%2Br95eCUxoYrm3ZpX8P8/F5qoX8n4s7oeRtU9NY60%3D.jpg</t>
  </si>
  <si>
    <t>24 anos, 1 meses, 30 dias</t>
  </si>
  <si>
    <t>03646-000</t>
  </si>
  <si>
    <t>Apto 36</t>
  </si>
  <si>
    <t>Rua Atuaí</t>
  </si>
  <si>
    <t>261</t>
  </si>
  <si>
    <t>567877346</t>
  </si>
  <si>
    <t>(11) 98130-3578</t>
  </si>
  <si>
    <t>RODRIGO.FERREIRA.SOUTO@GMAIL.COM</t>
  </si>
  <si>
    <t>https://www.instagram.com/r.odrigo_f_s?igsh=MXE2c29qaXRnZjJ5cQ==</t>
  </si>
  <si>
    <t>Enquanto me formava no ensino médio, em 2017, participei do Programa Vocacional e descobri meu amor pela cultura e pelo teatro. Interagi com alguns grupos da zona leste, onde adquiri minhas primeiras experiências e perspectivas profissionais e decidi que trabalharia com arte e cultura. Do ano de 2018 até 2020 não pude me dedicar muito a área por motivos familiares, mas queria assim que possível voltar aos estudos dentro da área.</t>
  </si>
  <si>
    <t>No ano de 2023 conclui trabalhos e formações, artísticas e técnicas, na área do teatro. Técnico em Teatro pela Etec de Artes, Técnicas de Palco pelo Instituto do Teatro Brasileiro. Essas formações me desafiaram na partes práticas e técnicas da área. Nesse mesmo período tive oportunidades de trabalhar em eventos culturais, como o The Town, CCXP, Mostra de Teatro de São Miguel, entre outros. Hoje entendo um pouco melhor o que é necessário e o que preciso aprender para crescer como profissional.</t>
  </si>
  <si>
    <t>Quero conhecer, praticar e aprender mais, como artista e profissional da cultura, me aprofundando nas áreas que me interesso e adquirindo conhecimentos novos. Quero continuar aprendendo e crescendo cada vez mais. Existem conhecimentos nas áreas da cultura que acabam se tornando "invisíveis", quero aprender para que eles perdurem e não desapareçam.</t>
  </si>
  <si>
    <t>489.763.578-09</t>
  </si>
  <si>
    <t>Karolinie Mikaelly Barbosa Da Silva</t>
  </si>
  <si>
    <t>karoliniemikaelly@gmail.com</t>
  </si>
  <si>
    <t>https://yz2spukd8h-jbrk7pf7uvw.s3.amazonaws.com/2024/04///O8lP1WiQSl1r8Zg/ufVUEvKM7Dhms0UkbbxJikx48%3D.jpg</t>
  </si>
  <si>
    <t>19 anos, 0 meses, 24 dias</t>
  </si>
  <si>
    <t>08470-790</t>
  </si>
  <si>
    <t>Apt 44A</t>
  </si>
  <si>
    <t>Rua José Francisco Brandão</t>
  </si>
  <si>
    <t>559948967</t>
  </si>
  <si>
    <t>(11) 97324-1253</t>
  </si>
  <si>
    <t>KAROLINIEMIKAELLY@GMAIL.COM</t>
  </si>
  <si>
    <t>https://www.instagram.com/karoll_mikaelly?igsh=MWprZnJ3c281d2VuaA==</t>
  </si>
  <si>
    <t>https://drive.google.com/file/d/1eXMfzniJYQRRaIeNqWb4cdoV2ZopHl9D/view?usp=drivesdk</t>
  </si>
  <si>
    <t>239.474.828-17</t>
  </si>
  <si>
    <t>Adriana Dominguez Mejia</t>
  </si>
  <si>
    <t>nitamejia202@gmail.com</t>
  </si>
  <si>
    <t>https://yz2spukd8h-jbrk7pf7uvw.s3.amazonaws.com/2024/04/E6Rz0gP2xi/jVChwz26S7yVDAQwEM%2BrZPdQYtMrPaMA%3D.jpg</t>
  </si>
  <si>
    <t>19 anos, 3 meses, 6 dias</t>
  </si>
  <si>
    <t>01328-000</t>
  </si>
  <si>
    <t>Apartamento 21</t>
  </si>
  <si>
    <t>Rua Conselheiro Carrão</t>
  </si>
  <si>
    <t>G073741-W</t>
  </si>
  <si>
    <t>(11) 96013-3873</t>
  </si>
  <si>
    <t>https://www.instagram.com/admejiaa?igsh=anF3bjdsODc5ZnU1</t>
  </si>
  <si>
    <t>TEC GUIA DE TURISMO</t>
  </si>
  <si>
    <t>Meu nome é Adriana, tenho 19 anos e descreverei dois lugares de onde vim. O primeiro, sou imigrante, nasci em Beni, um estado da Bolívia e, cresci em São Paulo, Brasil. Estudante de escola pública, vim de uma rede de ensino onde para querer aprender sobre o futuro e desejar ter um futuro,  é ir atrás! Procurar aqueles que te escutam, te inspiram e te guiam aonde ir e aonde ficar, então, segui para a leitura. Vim de uma biblioteca com ar-condicionado  de uma instituição religiosa que me ensinou muito, de uma bibliotecária que soube guiar minhas leituras, vim de um espaço onde minha mente trabalhou a curiosidade, a arte, a cultura e a leitura, um lugar conforto!</t>
  </si>
  <si>
    <t>Atualmente estou no aprendizado, em diversas bibliotecas, daquelas com quatro paredes até daquelas ao ar livre, na profissão de estudante, sou a curiosa, ao ponto de querer espalhar os meus interesses, que, recentemente me formei em guia de turismo. Ainda como estudante, estou estudando eventos, ao lado do turismo, pretendo seguir expandindo meus conhecimentos. Estou ampliando meus conhecimentos, idiomas, começando com inglês. Atualmente me encontro buscando em aprender mais e mais.</t>
  </si>
  <si>
    <t>Pretendo seguir na área do turismo, me qualificar como guía de turismo e me especializar no segmento da arte e cultura da cidade de São Paulo. Como o turismo está ligado muito a eventos, segui também para estudar sobre a área de eventos, onde pretendo promover SP e conhecer mais sobre o ramo. Vou para onde até minha curiosidade me levar, se tiver algum assunto e eu tiver oportunidade de participar, eu vou. Ir atrás de oportunidades e de conhecimentos.</t>
  </si>
  <si>
    <t>237.578.548-70</t>
  </si>
  <si>
    <t>MARIA FERNANDA NUNES FERREIRA</t>
  </si>
  <si>
    <t>Maria Fernanda Nunes Ferreira</t>
  </si>
  <si>
    <t>Sol Nunes Ferreira</t>
  </si>
  <si>
    <t>maria_fernandad@live.com</t>
  </si>
  <si>
    <t>https://yz2spukd8h-jbrk7pf7uvw.s3.amazonaws.com/2024/06/S6Urc3PbP/DThW4778tsdRwtgNGIAq4uZDPcKjckXsA%3D.jpeg</t>
  </si>
  <si>
    <t>23 anos, 9 meses, 3 dias</t>
  </si>
  <si>
    <t>Vila Medeiros</t>
  </si>
  <si>
    <t>02218-190</t>
  </si>
  <si>
    <t>Rua Professor Galdino Moreira</t>
  </si>
  <si>
    <t>551148913</t>
  </si>
  <si>
    <t>(11) 96368-1933</t>
  </si>
  <si>
    <t>MARIA_FERNANDAD@LIVE.COM</t>
  </si>
  <si>
    <t>https://www.instagram.com/sollsolsolle/</t>
  </si>
  <si>
    <t>CURSANDO - TEATRO</t>
  </si>
  <si>
    <t>https://youtu.be/B2zROmkb9LI</t>
  </si>
  <si>
    <t>361.010.028-10</t>
  </si>
  <si>
    <t>Syslane Marques De Souza Sales</t>
  </si>
  <si>
    <t>syslane.souza@gmail.com</t>
  </si>
  <si>
    <t>https://yz2spukd8h-jbrk7pf7uvw.s3.amazonaws.com/2024/05/ejn7GwDE0l%2BpM0mD7zgn526QBTEEUfhOjfV%2BI94thIw%3D.jpg</t>
  </si>
  <si>
    <t>Jardim da Conquista (Zona Oeste)</t>
  </si>
  <si>
    <t>05212-080</t>
  </si>
  <si>
    <t>Rua São Mateus</t>
  </si>
  <si>
    <t>569080125</t>
  </si>
  <si>
    <t>(11) 95423-1318</t>
  </si>
  <si>
    <t>SYSLANE.SOUZA@GMAIL.COM</t>
  </si>
  <si>
    <t>Meu nome é Syslane, também conhecida como Sys! Sou uma baiana de 19 anos que mora em São Paulo desde os 5 anos de idade. Vivo em Perus desde que me conheço por gente,  e cresci nessa comunidade frequentando as escolas públicas da redondeza: Florestan Fernandes, Ceu Perus e por fim a Etec Gildo Marçal Bezerra Brandão, onde concluí o ensino médio juntamente com o técnico em administração em 2019.  Aproximadamente 1 ano após concluir o ensino médio, tive a oportunidade de trabalhar como jovem aprendiz na Unilever, onde realizava algumas atividades administrativas, como acompanhamento de planilhas e pedidos de compra.</t>
  </si>
  <si>
    <t>Durante minha jornada como jovem aprendiz administrativo, percebi que não me sentia conectada com meu trabalho, havia uma certa monotonia no trabalho administrativo empresarial que sinceramente não me agradava, então decidir seguir um rumo completamente diferente porém familiar: a arte.  Desde a infância sempre gostei de desenhar, tenho lembranças de passar a tardes desenhando com minha avó. Essa paixão me acompanhou durante toda minha vida, e por que não tentar trabalhar com isso? Foi exatamente esse caminho que decidi seguir aos 19 anos! Guardei dinheiro até que pudesse investir em um curso de tatuadora e nos materiais para tatuagem, e desde então trabalho eternizando arte em pele!</t>
  </si>
  <si>
    <t>Atualmente trabalho autonomamente, como tatuadora e ilustradora autodidata, tudo que aprendi sobre arte foi por conta própria, através de conteúdos gratuitos disponíveis na internet e livros. Ainda há muito para aprender e descobrir, sinto que nunca vou cansar de produzir arte, de dar luz as ideias e traze-las ao mundo real, de uma forma que só eu consigo, através das minhas experiências como indivíduo e minha visão de mundo.  Portanto, esse é meu propósito: criar e inspirar, quero continuar produzindo arte e principalmente inspirar outras pessoas que assim como eu, encontram conforto e prazer na criação. Espero um dia impactar o mundo com minha arte, e iluminar a jornada de outros artistas</t>
  </si>
  <si>
    <t>457.297.448-97</t>
  </si>
  <si>
    <t>FILIPE FERNANDES ABREU</t>
  </si>
  <si>
    <t>ffilipe648@gmail.com</t>
  </si>
  <si>
    <t>https://yz2spukd8h-jbrk7pf7uvw.s3.amazonaws.com/2024/04/5Q0d4EMlBWvRKKMHKnfvBxJwG6KorJB2PseH7UHZiv8%3D.jpg</t>
  </si>
  <si>
    <t>26 anos, 3 meses, 13 dias</t>
  </si>
  <si>
    <t>Parque Mandaqui</t>
  </si>
  <si>
    <t>02420-050</t>
  </si>
  <si>
    <t>Rua João Cassimiro Magalhães Glória</t>
  </si>
  <si>
    <t>56023496x</t>
  </si>
  <si>
    <t>(11) 94852-2828</t>
  </si>
  <si>
    <t>11-948522828</t>
  </si>
  <si>
    <t>Meu nome e Filipe Fernandes , sou baiano de Vitoria da Conquista , cidade onde fui criado ate os 11 anos .  Cresci em um bairro periferico cujo o nome e Nova Cidade , onde apredi como chegar e sair respeitando a todos e todes . Estudante de escola publica sempre tive muito apreço pela arte , ainda mais depois que descobri que sou da mesma terra que o cinesta Glaber Rocha.</t>
  </si>
  <si>
    <t>Hoje em dia me encontro na Zona norte de São Paulo , onde desde os meus 12 anos vivo .Passei minha adolececia e o começo de minha fase adulta em SP , terra onde me acolheu e me ensinou muita coisa , cria da norte posso dizer que em São Paulo vivi de tudo , xenofoiba , conehcimento , alegria , triztezas e felicidade .  Vivo hoje no bairro do Lauzane Paulista , porém fui criado no meu quericidissimo Vila Aurora , onde tive contato com a Arte e artistas nos quais me inspiro</t>
  </si>
  <si>
    <t>Vou em busca da felcidade ( cliche essa frase , mas e real ) , ja trabalhei de garçom, barman , marcineiro , recepicionista , hoje procuro um trabalho que agregue a o  meu querer ( ser porfessor de artes ) , obiviamente todos os demais agregou , porem procuto trablahar e ser feliz , não so trabalhar e pagar contas .  Buscando a evolução c, atrasves de indicação chego aqui no jovem munitor , um luagr que sei que vai agregar muito ao meu ser , ficaria estupidamente feliz com esse trabalho onde posso conchecer novas pessoas , culturas e filosofias de vida .</t>
  </si>
  <si>
    <t>480.811.148-90</t>
  </si>
  <si>
    <t xml:space="preserve">SIM </t>
  </si>
  <si>
    <t>KAMILAH ROSARIO SANTOS</t>
  </si>
  <si>
    <t>Kamilah Rosario Santos</t>
  </si>
  <si>
    <t>KAMILAH ROSARIO</t>
  </si>
  <si>
    <t>Kamilah Rosario</t>
  </si>
  <si>
    <t>kamila42012@hotmail.com</t>
  </si>
  <si>
    <t>https://yz2spukd8h-jbrk7pf7uvw.s3.amazonaws.com/2024/06/D7k/A9mC/gmyFJhPWwxAVitJh8Lz3541q6lioZTLh3o%3D.jpg</t>
  </si>
  <si>
    <t>Parque Paulistano</t>
  </si>
  <si>
    <t>08080-330</t>
  </si>
  <si>
    <t>Rua Monsenhor Lourenço Giordano</t>
  </si>
  <si>
    <t>1226</t>
  </si>
  <si>
    <t>384929990</t>
  </si>
  <si>
    <t>(11) 96099-8662</t>
  </si>
  <si>
    <t>KAMILA42012@HOTMAIL.COM</t>
  </si>
  <si>
    <t>Crescida e criada na zona leste, tenho 23 anos, terminei o ensino médio, morei com os meus pais até os 21 anos, e durante esse tempo fiz alguns trabalhos voluntários para ong distribuindo alimentos para as pessoas carente em situações de rua, organizei festivais de esporte, pois na época jogava bola, tudo isso acontecia no parque do Jardim Helena com ajuda dos coordenadores do parque, participei de palestras também, depois disso tive que começar a trabalhar para me sustentar e como na época morava com a minha mãe precisava ajuda-la, trabalhei de telemarketing, na época fiz curso de comissaria e esta bem perdida pois era nova e me cobrava bastante e não sabia o que queria</t>
  </si>
  <si>
    <t>Atualmente moro sozinha,  abrir um brecho independente aonde eu me achei, quero seguir a carreira de designer de moda/styling, consegui uma bolsa no Senac de produção de moda e uma No rede daora de fotografia, por conta de varias vivencias de organização de projetos eu quero também seguir algo relacionado a isso, atualmente estou procurando em emprego aonde posso me sentir segura e que consiga compartilhar minhas ideias</t>
  </si>
  <si>
    <t>quero adquirir bastante experiencias e vivencias com tudo isso que eu estou e quero viver, quero me formar nos meus cursos e fazer ainda muito mais, quero participar de projetos, quero que eu brecho cresça bastante, no momento não sei para onde eu vou mas sei do que eu quero realizar e se eu puder juntas tudo isso pra fazer algo grande seria uma realização.</t>
  </si>
  <si>
    <t>481.708.208-98</t>
  </si>
  <si>
    <t>Giulia Pavani Dos Santos</t>
  </si>
  <si>
    <t>acascaproducoes@gmail.com</t>
  </si>
  <si>
    <t>https://yz2spukd8h-jbrk7pf7uvw.s3.amazonaws.com/2024/06/0s666ZOdXFGAFr5jeCP/OCYkaXXokN%2BJv5dqiLpmw8c%3D.jpeg</t>
  </si>
  <si>
    <t>23 anos, 11 meses, 13 dias</t>
  </si>
  <si>
    <t>ptucação cultural no Senac</t>
  </si>
  <si>
    <t>Vila Santa Teresa (Zona Leste)</t>
  </si>
  <si>
    <t>03565-030</t>
  </si>
  <si>
    <t>Rua Doutor Pedro Mendes</t>
  </si>
  <si>
    <t>532658590</t>
  </si>
  <si>
    <t>(11) 95237-7960</t>
  </si>
  <si>
    <t>https://www.instagram.com/giudinorah/ https://www.instagram.com/agiuquefez/  https://www.instagram.com/casatranquilaycalma/</t>
  </si>
  <si>
    <t>Tecnico em Eventos</t>
  </si>
  <si>
    <t>https://youtu.be/8z0Ki-JR0UI</t>
  </si>
  <si>
    <t>450.851.748-01</t>
  </si>
  <si>
    <t>Nathan Da Costa Pedro</t>
  </si>
  <si>
    <t>nathan.costa404@gmail.com</t>
  </si>
  <si>
    <t>https://yz2spukd8h-jbrk7pf7uvw.s3.amazonaws.com/2024/06/c/S8PO9XR/r8QhaOdZHloVONYJQOdduBh8JvvH2m0Vk%3D.jpg</t>
  </si>
  <si>
    <t>21 anos, 7 meses, 18 dias</t>
  </si>
  <si>
    <t>Jardim São Savério</t>
  </si>
  <si>
    <t>04194-260</t>
  </si>
  <si>
    <t>Avenida dos Ourives</t>
  </si>
  <si>
    <t>1801</t>
  </si>
  <si>
    <t>,539474125</t>
  </si>
  <si>
    <t>(11) 97074-4241</t>
  </si>
  <si>
    <t>https://drive.google.com/file/d/1rErMkNclb61kiVE2Pg2ia976zKV9WDh7/view?usp=drivesdk</t>
  </si>
  <si>
    <t>536.004.768-23</t>
  </si>
  <si>
    <t>Camila Martins Diniz De Souza</t>
  </si>
  <si>
    <t>cammartinns@gmail.com</t>
  </si>
  <si>
    <t>https://yz2spukd8h-jbrk7pf7uvw.s3.amazonaws.com/2024/05/Jusgo4WV/T67qnXKzaIAV4MrPGnfTPgsFMj3/tPJRDw%3D.jpg</t>
  </si>
  <si>
    <t>26 anos, 0 meses, 26 dias</t>
  </si>
  <si>
    <t>Apto 112 Bloco 4</t>
  </si>
  <si>
    <t>236683983</t>
  </si>
  <si>
    <t>(24) 99825-6055</t>
  </si>
  <si>
    <t>TECNICO EM PRODUCAO AUDIOVISUAL</t>
  </si>
  <si>
    <t>https://drive.google.com/file/d/1VKCdnQra3BdndTmBXuenSOr9-m9xZJDE/view?usp=sharing</t>
  </si>
  <si>
    <t>163.935.377-10</t>
  </si>
  <si>
    <t>SIMJ</t>
  </si>
  <si>
    <t>Maysa Sales Do Nascmento</t>
  </si>
  <si>
    <t>maysasn2@gmail.com</t>
  </si>
  <si>
    <t>https://yz2spukd8h-jbrk7pf7uvw.s3.amazonaws.com/2024/06/AYJXCTIKxSgE/qRB43JA6LGuSatodUD4HX66BQjpnS4%3D.jpeg</t>
  </si>
  <si>
    <t>18 anos, 11 meses, 20 dias</t>
  </si>
  <si>
    <t>08030-690</t>
  </si>
  <si>
    <t>Rua Noz Moscada</t>
  </si>
  <si>
    <t>82</t>
  </si>
  <si>
    <t>530617754</t>
  </si>
  <si>
    <t>(11) 94942-6404</t>
  </si>
  <si>
    <t>MAYSASN2@GMAIL.COM</t>
  </si>
  <si>
    <t>https://www.instagram.com/maysasales__?igsh=MTVkZWtqdjNmM3FnNA==</t>
  </si>
  <si>
    <t>Eu me chamo Maysa Sales Do nascimento tenho 18 anos, nasci e cresci na Zona Leste de São Paulo, sou filha única e desde de criança me interesso por moda e teatro, tentava fazer uns looks para as minhas bonecas e as vezes desenhava mas depois de um tempo parei, o primeiro contato que eu tive com o teatro foi na escola, durante o sétimo ano ate o nono. Eu não cogitava em estudar teatro depois disso, nem moda, acho que  por não tedo nenhum incentivo quando tocava no assunto então acabei deixando isso para lá .</t>
  </si>
  <si>
    <t>Atualmente eu sou bolsista no Senac São Miguel Paulista, sou aluna no técnico em teatro na parte da tarde e técnico em modelagem do vestuário na parte da manhã. Depois de me formar na escola em 2022, eu fiquei em duvida sobre qual área seguir e quis da uma chance de me permitir estudar sobre a moda e o teatro, mesmo não tendo todo o apoio para esses sonhos. E foi quando eu consegui a bolsa de estudos no Senac em fevereiro de 2023. Assim que comecei a estudar e me atualizar, eu procuro vários meios de consegui obter mais conhecimento e me permitir explorar a arte como um todo.</t>
  </si>
  <si>
    <t>E depois que tive a oportunidade de começar a estudar e entrar nesse mundo da arte eu me encontrei e a cada dia eu tenho mais vontade de me aprofundar, por isso que estou sempre a procura de novas experiências que fortaleçam esse conhecimento da arte, principalmente o teatro que me instiga, e que vou continuar buscando estudar sobre. Eu termino os meus estudos de teatro no Senac em agosto desse ano e  sei que quero trabalhar nessa área e então é muito  importante  ter o primeiro contato no ramo de trabalho.</t>
  </si>
  <si>
    <t>540.478.588-89</t>
  </si>
  <si>
    <t>Dandara Oliveira Pereira</t>
  </si>
  <si>
    <t>dandapreta16@gmail.com</t>
  </si>
  <si>
    <t>https://yz2spukd8h-jbrk7pf7uvw.s3.amazonaws.com/2024/04/5org0XIXENu0jSGdb9JdsaIJIFFIgY3JeodT4Ush1k0%3D.jpeg</t>
  </si>
  <si>
    <t>22 anos, 5 meses, 8 dias</t>
  </si>
  <si>
    <t>Jardim Raposo Tavares</t>
  </si>
  <si>
    <t>05563-000</t>
  </si>
  <si>
    <t>Travessa Túlio Quintiliano</t>
  </si>
  <si>
    <t>633342075</t>
  </si>
  <si>
    <t>(11) 99288-1343</t>
  </si>
  <si>
    <t>https://www.instagram.com/danda.preta/?hl=pt-br</t>
  </si>
  <si>
    <t>Diogo/Ellie/Natan/Gabriela/William</t>
  </si>
  <si>
    <t>Eu me chamo Dandara Oliveira, sou nascida no João XXIII mas cresci em Guarulhos, tenho vinte e dois anos de idade, e tenho contato com a Arte desde os meus doze anos de idade. Minha mãe e eu desenvolvemos o nosso próprio Sarau, o Portas Abertas, onde fazíamos os encontros em nossa casa. Já experimentei Ginástica Rítmica, sou Poetisa, me arrisco a Atriz e gosto de cantar. Com um sonho confinado em grades, eu e minha mãe dávamos as crianças o cachorro quente, o refrigerante e a leitura.</t>
  </si>
  <si>
    <t>Atualmente moro no João XXIII. Sou uma mina preta que mora na favela, e obviamente não é um sonho de mundo mas quero trazer arte pra aonde eu vivo e gosto da minha quebrada, das crianças que aqui moram. Consegui realizar junto de minha mãe o sonho de fazer o Sarau para onde moro pois aqui é muito difícil acontecer eventos culturais e quando acontece não é bem divulgado e as crianças precisam de arte para mudar as suas realidades, já que a criminalidade toma conta de tudo por aqui. Quero poder apresentar as crianças da favela os teatros, cinemas e museus, e mostrar a elas o que tem do outro lado do muro.</t>
  </si>
  <si>
    <t>Eu quero participar do programa porque eu sei que quando a arte nos encontra, ela nos salva. Meu alimento e caminho para a vida é estar conectada com meu lado artístico, quero poder desempenhar e lapidar as minhas habilidades, quero estar mais perto de me especializar na minha área, quero trazer todo o caminho que da a educação, e levar todo tipo de arte na favela aonde eu moro e acredito que o programa irá me ajudar nessa missão, me profissionalizando e me guiando pelos caminhos onde devo trilhar.</t>
  </si>
  <si>
    <t>578.835.418-89</t>
  </si>
  <si>
    <t>WERICK SILVA DOS SANTOS GOMES</t>
  </si>
  <si>
    <t>Werick Silva Dos Santos Gomes</t>
  </si>
  <si>
    <t>werick.silva26@hotmail.com</t>
  </si>
  <si>
    <t>https://yz2spukd8h-jbrk7pf7uvw.s3.amazonaws.com/2024/06/0fAUawV/0HNhYj7NTCj/Eerc/i7W8dg6iBZSoo3biAY%3D.jpg</t>
  </si>
  <si>
    <t>23 anos, 10 meses, 23 dias</t>
  </si>
  <si>
    <t>SE  AUTODECLARA  PRETO</t>
  </si>
  <si>
    <t>08140-550</t>
  </si>
  <si>
    <t>Rua Cornélio de Arzao</t>
  </si>
  <si>
    <t>1777</t>
  </si>
  <si>
    <t>52546377X</t>
  </si>
  <si>
    <t>(11) 94581-3713</t>
  </si>
  <si>
    <t>WERICK.SILVA26@HOTMAIL.COM</t>
  </si>
  <si>
    <t>ARTES  VISUAIS</t>
  </si>
  <si>
    <t>https://drive.google.com/file/d/1ZcEBoiG15tV8p4JT-6-l7tA3P2Xmssur/view?usp=drive_link</t>
  </si>
  <si>
    <t>525.559.648-51</t>
  </si>
  <si>
    <t>FERNANDA GONCALVES DE MELLO</t>
  </si>
  <si>
    <t>FE</t>
  </si>
  <si>
    <t>Fe</t>
  </si>
  <si>
    <t>goncalvesfernanda016@gmail.com</t>
  </si>
  <si>
    <t>https://yz2spukd8h-jbrk7pf7uvw.s3.amazonaws.com/2024/04/VNls%2BZ48tJSl/neC00xWTi0G3I50287cheT73w4hht8%3D.jpg</t>
  </si>
  <si>
    <t>25 anos, 6 meses, 16 dias</t>
  </si>
  <si>
    <t>Jardim Vitória</t>
  </si>
  <si>
    <t>08473-785</t>
  </si>
  <si>
    <t>Rua Belo Horizonte</t>
  </si>
  <si>
    <t>509991269</t>
  </si>
  <si>
    <t>(11) 98133-1297</t>
  </si>
  <si>
    <t>Nasci em Santo André, utinga, filha do Fernando Barbosa de Mello e Elizangela Aparecida, dia 2 de Dezembro de 1998.   Morei com os mesmo até os 16 anos, após isso, me mantive independente até os dias de hoje.  Desde os meus 6 anos de idade, me identifiquei e pratiquei várias atividades artísticas, sendo elas, Dança, Teatro, Percussão, Circo e Formação humana.  Sempre morei em comunidade, e o que salvou os meus dias, foram os projetos culturais que focava nas crianças e adolescentes, formando artistas e profissionais excelentes.</t>
  </si>
  <si>
    <t>Atualmente, possuo 25 anos, moro na Cidade Tiradentes, trabalhando como Conferente de Inventários.  Com o foco no trabalho, nas contas e obrigações, acabei me afastando das atividades artísticas, porém com a evolução significativa na vida pessoal.  Eu fui uma das sementes que esses projetos plantaram. Uma mulher que cresceu respirando arte, em busca de um futuro melhor. Se não fosse isso, nem sei se estaria aqui, graças a essas atividades que salvam nossos jovens a cada dia.</t>
  </si>
  <si>
    <t>Meu intuito é ingressar no jovem monitor, assim constituir todo o conhecimento que tiverem a me oferecer, e assim somar com todas as atividades que me apresentarem.  O maior desejo é poder ter contato com essas oficinas de novo, poder trabalhar para que essas atividades continuem vivas,  Sou uma adulta que já frequentou muito esses espaços quando criança, então sei na pele que a arte salva vidas, assim como salvou a minha, me tirando de um futuro incerto.   Espero poder contribuir com esse projeto, que é o Jovem Monitor, e assim crescer ainda mais como pessoa, e adquirir mais conhecimento para melhoria da minha comunidade e manter essa jornada viva.</t>
  </si>
  <si>
    <t>482.757.708-07</t>
  </si>
  <si>
    <t>Nycholas Alves De Lima</t>
  </si>
  <si>
    <t>nycholas70@gmail.com</t>
  </si>
  <si>
    <t>https://yz2spukd8h-jbrk7pf7uvw.s3.amazonaws.com/2024/04/87BYuVgYCFOJCcYWVKnYDCy3yIn6OvKSB%2BwzQYRQJ7c%3D.jpeg</t>
  </si>
  <si>
    <t>24 anos, 1 meses, 14 dias</t>
  </si>
  <si>
    <t>NÃO BINARIE</t>
  </si>
  <si>
    <t>Vila Paulistania</t>
  </si>
  <si>
    <t>03720-050</t>
  </si>
  <si>
    <t>Rua João Agostinho</t>
  </si>
  <si>
    <t>73</t>
  </si>
  <si>
    <t>386027894</t>
  </si>
  <si>
    <t>(13) 99800-8065</t>
  </si>
  <si>
    <t>NYCHOLAS70@GMAIL.COM</t>
  </si>
  <si>
    <t>https://www.instagram.com/nycholaskt</t>
  </si>
  <si>
    <t>Meu primeiro contato com audiovisual foi com 12 anos fazendo curso de rádio, TV e jornal no Projeto ComCom, lá desenvolvi matérias de jornal, desde a redação a repórter mirim e locutor da rádio do projeto.   Lá permaneci até os 17 anos me envolvendo cada vez mais no meio audiovisual, fiz cursos de fotografia básica, fotografia profissional, audiovisual, desenvolvi o Gotinha, mascote da coluna ambiental do jornal, produções de curtas e direção de imagem. Finalizei minha trajetória no Projeto ComCom com duas exposições de fotos, no SESC de Santos (junto ao Sebastião Salgado) e na Cota 200.</t>
  </si>
  <si>
    <t>Já mais velho, com 21 anos comecei a trabalhar com produções de teatro na USP Butantã, junto ao diretor José Fernando Peixoto de Azevedo com a peça “Não fosse isso e era menos, não fosse tanto e era quase”, como operador de câmera e OBS (programa de projeção de imagens). Atualmente trabalho na peça “Dois perdidos numa noite suja - Delivery” (adaptação de Plínio Marcos), ainda com José Fernando Peixoto de Azevedo, como operador de câmera e direção de arte e fotografia, fizemos a 1° temporada de 20 apresentações no Teatro Aliança Francesa, e a 2° com 3 apresentações no SESC Ribeirão Preto.</t>
  </si>
  <si>
    <t>Pretendo continuar em atividade com a peça “Dois perdidos numa noite suja - Delivery” já que temos apresentações no SESC Paulista, e estamos tentando uma oportunidade de continuar as apresentações por todo o Brasil.   Após o fim da peça, gostaria de fazer faculdade de Cinema na USP - Butantã, pois já sou familiarizado com o meio artístico, teatral e cinematográfico.</t>
  </si>
  <si>
    <t>501.145.918-73</t>
  </si>
  <si>
    <t>Olivia</t>
  </si>
  <si>
    <t>oliviartol@gmail.com</t>
  </si>
  <si>
    <t>https://yz2spukd8h-jbrk7pf7uvw.s3.amazonaws.com/2024/06/sYGQqhb8WcXFOXr3ecpp33%2BdbbIITwGZyWOwvtnqABM%3D.jpeg</t>
  </si>
  <si>
    <t>28 anos, 6 meses, 3 dias</t>
  </si>
  <si>
    <t>OLIVIA</t>
  </si>
  <si>
    <t>Cambuci</t>
  </si>
  <si>
    <t>01527-060</t>
  </si>
  <si>
    <t>APTO 34</t>
  </si>
  <si>
    <t>CAMBUCI</t>
  </si>
  <si>
    <t>Largo do Redentor</t>
  </si>
  <si>
    <t>3128719</t>
  </si>
  <si>
    <t>(61) 98110-5627</t>
  </si>
  <si>
    <t>https://www.instagram.com/oliviarua/</t>
  </si>
  <si>
    <t>FILOSOFIA</t>
  </si>
  <si>
    <t>Me chamo Amanda, tenho 28 anos, nascida na região administrativa de Taguatinga, no Distrito Federal, crescida na cidade de Formosa, Goiás, a 80 quilômetros de Brasília. Aos 9 anos eu e minha família retornamos ao DF com a promessa de uma vida e educação melhores. Passei o fim da infância e inicio da adolescência na periferia do DF, mais precisamente no Recanto das Emas. minha mãe trabalhava em um laboratório como secretária e eu estudava perto de casa e ficava sozinha até ela voltar, brincando e tendo como tarefa a organizaçao da casa.</t>
  </si>
  <si>
    <t>Cresci sob influencia do hip-hop, me tornei grafiteira, batizada como Olivia, e artista independente. Buscando mais uma vez a melhoria me mudei para São Paulo em janeiro desse ano e estou em busca do meu espaço dentro da cena cultural da cidade. Antes de me mudar já havia participado de eventos como sarais, batalhas de poesia e eventos de graffiti, conhecendo vários artistas que sempre foram minhas referencias e aprendendo e dialogando com técnicas, espaços e paredes na periferia e centro de São Paulo.    Hoje estou em busca de crescimento profissional e artístico, que me traga mais conhecimento e inspiração, produtividade e conexões.</t>
  </si>
  <si>
    <t>Atuando e resistindo como artista independente há mais de 10 anos, me vejo ainda buscando autonomia financeira e conforto básico em relação processo de produção, então pra onde eu quero ir? Desejo crescimento profissional, tempo de qualidade, incluindo lazer, cultura e educação, desejo investir na minha formação artística e alcançar espaços que ainda não pude chegar, quero viver do meu trabalho de forma digna e confortável, expor meu trabalho em lugares que o valorizem, quero conhecer todos os artistas que me inspiraram a chegar ate aqui e contribuir para a formação de outros artistas que assim como eu não tiveram todo o incentivo necessário.</t>
  </si>
  <si>
    <t>048.342.181-20</t>
  </si>
  <si>
    <t>Glenda Hanna Dos Santos Paiva Nunes</t>
  </si>
  <si>
    <t>GLENDA HANNA</t>
  </si>
  <si>
    <t>Glenda Hanna</t>
  </si>
  <si>
    <t>glendahannaa03@gmail.com</t>
  </si>
  <si>
    <t>https://yz2spukd8h-jbrk7pf7uvw.s3.amazonaws.com/2024/05/ar/%2BlI/18hK3V2q0HXTFWWKboCtCo4nBSi3uRH5W7ZA%3D.jpg</t>
  </si>
  <si>
    <t>18 anos, 1 meses, 15 dias</t>
  </si>
  <si>
    <t>04864-010</t>
  </si>
  <si>
    <t>Rua Duarte Antônio Mourão</t>
  </si>
  <si>
    <t>524347281</t>
  </si>
  <si>
    <t>(11) 96847-9390</t>
  </si>
  <si>
    <t>glendahanna05@gmail.com</t>
  </si>
  <si>
    <t>https://www.instagram.com/glenda_hannaa?igsh=MThuZHJnNzB2cDhrdw==</t>
  </si>
  <si>
    <t>MAQUIAGEM</t>
  </si>
  <si>
    <t>16327874208</t>
  </si>
  <si>
    <t>BIBLIOTECA MALBA TAHAN</t>
  </si>
  <si>
    <t>https://photos.app.goo.gl/hZsPYsmPP27Kukw86</t>
  </si>
  <si>
    <t>402.231.158-43</t>
  </si>
  <si>
    <t>Thaina Fernanda Gomes Da Silva</t>
  </si>
  <si>
    <t>THAINA FERNANDA</t>
  </si>
  <si>
    <t>Thaina Fernanda</t>
  </si>
  <si>
    <t>fernandathaina73@gmail.com</t>
  </si>
  <si>
    <t>https://yz2spukd8h-jbrk7pf7uvw.s3.amazonaws.com/2024/06/KE221%2Bom%2B598UYYi2z3asHeptkg08eRlELigW4MFExk%3D.jpg</t>
  </si>
  <si>
    <t>02362-125</t>
  </si>
  <si>
    <t>Rua São Cirilo de Jerusalém</t>
  </si>
  <si>
    <t>67</t>
  </si>
  <si>
    <t>58.937.432-1</t>
  </si>
  <si>
    <t>(11) 93407-3289</t>
  </si>
  <si>
    <t>FERNANDATHAINA73@GMAIL.COM</t>
  </si>
  <si>
    <t>Me chamo Thainá tenho 22 anos e moro atualmente na Jd. Fontalis ZN de SP ,nasci e cresci na Brasilândia e morei lá até meus 14 anos , terminei meus estudos aqui no fontalis , tive minha primeira  oportunidade de trabalho em um mercado onde trabalhava de caixa , tive mais algumas experiência de trabalho onde aprendi bastante a lidar com o público e a trabalhar em equipe. Me adapto bem então gosto de aprender coisas novas</t>
  </si>
  <si>
    <t>Atualmente moro com a minha mãe e não estou trabalhando , faço alguns free-lancer  para conseguir me manter e ajudar minha mãe. Tenho muitos objetivos  em mente no qual pretendo alcançar ainda esse ano . Fiz alguns cursos mais não consegui finalizar por conta do trabalho quero  terminar meus cursos e investir no crocre comecei a  fazer e gostei bastante</t>
  </si>
  <si>
    <t>Quero ter a oportunidade  de entrar para o programa jovem monitor cultural, para adquirir novas experiências e crescer profissionalmente  uma oportunidade única onde sei que vai me ajudar   bastante  com minhas conquistas e aprendizados , a cultura urbana já é  algo que eu gosto e  tenho no meu dia a dia  onde frequento nos meus momentos de lazer e acho muito importante para comunidade.</t>
  </si>
  <si>
    <t>522.678.928-98</t>
  </si>
  <si>
    <t>Mayra Bessa Liger</t>
  </si>
  <si>
    <t>MAYRA LIGER</t>
  </si>
  <si>
    <t>Mayra Liger</t>
  </si>
  <si>
    <t>mayrabliger@gmail.com</t>
  </si>
  <si>
    <t>https://yz2spukd8h-jbrk7pf7uvw.s3.amazonaws.com/2024/06/AZZMKmehOChb3xroR5EO9mq%2BJ40l%2Bk3%2BG4CnZZeVVYc%3D.jpeg</t>
  </si>
  <si>
    <t>18 anos, 7 meses, 14 dias</t>
  </si>
  <si>
    <t>CUSO DE DJ</t>
  </si>
  <si>
    <t>Vila Santo Henrique</t>
  </si>
  <si>
    <t>03707-080</t>
  </si>
  <si>
    <t>Rua Ilha de Tupinambaranas</t>
  </si>
  <si>
    <t>24</t>
  </si>
  <si>
    <t>564716558</t>
  </si>
  <si>
    <t>(11) 95216-3707</t>
  </si>
  <si>
    <t>MAYRABLIGER@GMAIL.COM</t>
  </si>
  <si>
    <t>Venho de um bairro carente de quaisquer tipo de política pública ou estimulo de iniciativas culturais e artísticas. Gerada em uma família de raízes brasileiras e  nordestinas pude vivenciar afetivamente    artistas, espaços  e oportunidades que me apresentaram o mundo da arte. Com isso fui crescendo e percebendo o meu interesse de fazer parte, mudar e contar novas histórias. Acredito que a cultura e a arte tem o poder de transformar e incluir....</t>
  </si>
  <si>
    <t>Atualmente, busco programas, iniciativas e projetos que contemplem pessoas iguais a mim. Que tem o desejo e sonho de trabalhar e viver no meio cultural. Estimulando e fortalecendo as comunidades e moradores de todas as regiões para que possam minimamente ter espaços e programações de lazer com seus familiares e/ou solo. Priorizando o bem-estar coletivo, respeito, dignidade e representatividade.</t>
  </si>
  <si>
    <t>O céu é o limite e eu quero ir bem longe. Atravessando todas as barreiras que um dia disseram ser impossíveis. Nesse momento, estou estudando e criando possibilidades de trabalhar e alcançar novos voos com aquilo que já aprendi ate aqui. Levo comigo toda experiencia que com o passar dos últimos anos pude trocar em espaços comunitários, coletivos, eventos e oficinas. Tenho uma facilidade com comunicação, diversão/interação  e prometimento com aquilo que me proponho a realizar.</t>
  </si>
  <si>
    <t>434.945.168-47</t>
  </si>
  <si>
    <t>VITORIA PEREZ MARTINS DA SILVA</t>
  </si>
  <si>
    <t>Vitória Perez Martins Da Silva</t>
  </si>
  <si>
    <t>vitoriaperez2002@gmail.com</t>
  </si>
  <si>
    <t>https://yz2spukd8h-jbrk7pf7uvw.s3.amazonaws.com/2024/06/xgUDK24lCyagnP/PoUoPyOlLc5G87jf3Ebmdw9tTSOk%3D.jpeg</t>
  </si>
  <si>
    <t>22 anos, 0 meses, 5 dias</t>
  </si>
  <si>
    <t>04860-290</t>
  </si>
  <si>
    <t>Rua do Pífano</t>
  </si>
  <si>
    <t>392694517</t>
  </si>
  <si>
    <t>(11) 99674-5205</t>
  </si>
  <si>
    <t>Nasci no extremo da zona Sul, Grajaú. Fui criada por minha avó após o falecimento dos meus pais, com muito esforço e luta. Acredito ter vindo de toda essa fé, toda essa coragem pra enfrentar as adversidades do mundo. Estudei a vida inteira em escolas públicas, instituições governamentais e cursos gratuitos, onde me conheci o Teatro e finalmente encontrei motivos pra viver e ser feliz.</t>
  </si>
  <si>
    <t>Atualmente moro em um puxadinho na casa da minha avó junto com a minha gatinha Magali. É a casa que meus pais construíram pra nossa família, mas moro sozinha.   Durante a adolescência me apaixonei pelo Teatro e atualmente sou bolsista 100% na Faculdade Belas Artes, estou no 4 semestre de Artes Cênicas por honra e glória da Deusa.   O âmbito cultural sempre me brilhou os olhos, devolver ao povo aquilo que é do povo, a cultura. Fomentar leis de acesso à cultura e fazer parte ativamente  desse incentivo.</t>
  </si>
  <si>
    <t>Se Deus quiser, no futuro estarei em Teatros, tanto como atriz como professora. Vou lutar para que mais leis sejam aprovadas, para que o Teatro e as Artes levem ao povo respiro, vida! Esse é o meu sonho.   Pretendo me formar na faculdade e ir para Bahia fazer pós graduação na UFBA, depois retornar à São Paulo com cursos e oficinas de Teatro, Pintura  e Dança gratuitas para a população periférica de todas as idades.</t>
  </si>
  <si>
    <t>365.044.068-71</t>
  </si>
  <si>
    <t>Tomás Felix Da Silva</t>
  </si>
  <si>
    <t>tomas.sfelix@hotmail.com</t>
  </si>
  <si>
    <t>https://yz2spukd8h-jbrk7pf7uvw.s3.amazonaws.com/2024/06/FCF5Xxu2cnNUtkq%2BoAAN67OEx4DSTfgSj4di/Ob5p50%3D.jpg</t>
  </si>
  <si>
    <t>23 anos, 10 meses, 10 dias</t>
  </si>
  <si>
    <t>Vila Guilherme</t>
  </si>
  <si>
    <t>02056-070</t>
  </si>
  <si>
    <t>Rua São Quirino</t>
  </si>
  <si>
    <t>535554874</t>
  </si>
  <si>
    <t>(11) 99748-3857</t>
  </si>
  <si>
    <t>TOMAS.SFELIX@HOTMAIL.COM</t>
  </si>
  <si>
    <t>CURSANDO - ARQUIVOLOGIA</t>
  </si>
  <si>
    <t>Prazer, meu nome é Tomás Felix, tenho 23 anos e, sou nascido e criado na Zona Norte de São Paulo. Vim de origem negra e periférica, portanto, utilizando da palavra, vim aprender e representar esse meio cultural nacional e, de certa forma agregar esse núcleo diante nossa sociedade. Visto que todo ser apresenta uma peculiaridade, vim demonstrar a minha por essa base.</t>
  </si>
  <si>
    <t>Estou em busca de conhecimento e reconhecimento social, então, enxergo essa possibilidade como algo positivo perante a cultura social e interpessoal. Temos nossas raízes e, com isso, acredito que estamos elevando esse valor cultural de maneira conjunta. Estou disposto aos serviços apresentados e buscando cada vez mais engajamento para que seja visto de forma essencial e cordial.</t>
  </si>
  <si>
    <t>Eu vou em busca daquilo que remete ao valor e representatividade. Sejam ambos histórico ou não, apesar que o tempo e as ações vão responder essa questão. Contudo, vou caminhar para ser mais um representante dessa adaptação e seguimento cultural. Estou de acordo com essa programação, pois sou jovem, tenho apego cultural e acredito que posso monitorar essa demanda muito bem.</t>
  </si>
  <si>
    <t>491.120.568-71</t>
  </si>
  <si>
    <t>RUDA BEZERRA REIS CARDOSO DOS SANTOS</t>
  </si>
  <si>
    <t>Rudá Bezerra Reis Cardoso Dos Santos</t>
  </si>
  <si>
    <t>RUDÁ</t>
  </si>
  <si>
    <t>Rudá</t>
  </si>
  <si>
    <t>rudabezerrareis@gmail.com</t>
  </si>
  <si>
    <t>https://yz2spukd8h-jbrk7pf7uvw.s3.amazonaws.com/2024/06/WW2Zf6BxaIj10fH2drqkpGj%2BD1Lj4BvpXcpkd/BpF7c%3D.jpeg</t>
  </si>
  <si>
    <t>18 anos, 1 meses, 1 dias</t>
  </si>
  <si>
    <t>557278478</t>
  </si>
  <si>
    <t>(11) 99566-9671</t>
  </si>
  <si>
    <t>RUDABEZERRAREIS@GMAIL.COM</t>
  </si>
  <si>
    <t>Meu nome é Rudá, completei 18 anos mês passado. Nasci e cresci em São Paulo, ja morei em Taipas e agora no momento moro em Perus. Sempre gostei de desenho, musica e coisas criativas, isso moldou os conhecimentos que eu tenho hoje em dia. Comecei a trabalhar com 14 anos e deis dessa época venho trabalhando em empregos não formais, como barman, cozinheiro, ajudante geral, etc. Me proporcionando bastante experiência para o que for preciso.</t>
  </si>
  <si>
    <t>No momento me encontro trabalhando  e estudando para prestar o vestibular de produção multimídia, também faço alguns bicos como produtor musical e beatmaker quando sobra tempo. Tenho alguns anos de experiência em ilustração  e também design gráfico, no qual já fiz alguns trabalhos. A minha realização mais recente foi produzir, ilustrar e postar meu segundo projeto musical e distribuir em todas as plataformas digitais</t>
  </si>
  <si>
    <t>Proximo ano espero estar cursando produção multimídia e tendo um emprego estável na área da cultura, que me permita aprender e aumentar meus conhecimentos nesse ramo. Para o futuro planejo terminar meu curso e participar de projetos que envolvam todas as áreas de produção que eu sei, como desenho, design e produção musical. Deis de ja agradeço pela oportunidade e aguardo o resultado.</t>
  </si>
  <si>
    <t>503.134.048-79</t>
  </si>
  <si>
    <t>Pedro Henrique Moura Rodrigues</t>
  </si>
  <si>
    <t>pedrofeliphe314@gmail.com</t>
  </si>
  <si>
    <t>https://yz2spukd8h-jbrk7pf7uvw.s3.amazonaws.com/2024/04/657O5rXesaNorWsYfkfmb18md%2BfRpyRX9/6UvlAOw84%3D.jpg</t>
  </si>
  <si>
    <t>20 anos, 9 meses, 4 dias</t>
  </si>
  <si>
    <t>08344-460</t>
  </si>
  <si>
    <t>Travessa Favo de Mel</t>
  </si>
  <si>
    <t>50607223x</t>
  </si>
  <si>
    <t>(11) 94541-2800</t>
  </si>
  <si>
    <t>PEDROFELAIPHE8@GMAIL.COM</t>
  </si>
  <si>
    <t>Olá, me chamo Pedro Henrique, tenho 20 anos e sou apaixonado em conhecer novas culturas. Venho da zona leste, especificamente do Jardim da Conquista um bairro humilde e pequeno. Minha família consiste em minha mãe pernambucana e meu pai piauiense, ambos vieram cedo para São Paulo atras de oportunidades de vida e trabalho. Cresci vendo eles trabalharem duro para minha criação e de meu irmão mais velho, Feliphe. Para não ficar em casa sem ninguém pra cuidar de mim, meus pais me levavam para os CEUS e casas de culturas para que eu pudesse me desenvolver nunca parar de aprender, assim fiz o Projeto de Iniciação Artística em 2015 que me moldou muito.</t>
  </si>
  <si>
    <t>Hoje eu curso Produção Audiovisual na FAPCOM, com bolsa prouni de 100%, pois desde de pequeno tenho paixão por filmes e isso vem até hoje, os filmes sempre foram um acesso a cultura para mim assistia, desde de desenhos bíblicos a filmes de romance com a minha mãe. Tenho como hobbies, assistir filmes, ir ao cinema como também ir para museus e aprender receitas culinárias. Para conseguir fazer essas coisas é necessário saber ser organizado e criativo, meus amigos e familiares falam que eu consigo.</t>
  </si>
  <si>
    <t>Atualmente, me vejo trabalhando com cultura e projetos, seja para filmes independentes ou trabalhando com projetos culturais no meu bairro ou em lugares de pouco acesso cultural. Assim conhecendo pessoas, lugares e culturas por onde eu for, sendo aprendiz da vida e vivendo ela do melhor jeito possível. No final gostaria de fazer o que fizeram por mim.</t>
  </si>
  <si>
    <t>492.600.458-51</t>
  </si>
  <si>
    <t>Wellington Simões Bispo</t>
  </si>
  <si>
    <t>simoesbispowellington@gmail.com</t>
  </si>
  <si>
    <t>https://yz2spukd8h-jbrk7pf7uvw.s3.amazonaws.com/2024/06/kuUlCybanyJpH0/ok6ODePShdbE55MBUxRGIBXvNdsU%3D.jpg</t>
  </si>
  <si>
    <t>25 anos, 3 meses, 9 dias</t>
  </si>
  <si>
    <t>Vila Dionisia</t>
  </si>
  <si>
    <t>02671-000</t>
  </si>
  <si>
    <t>Rua Oliveira Martins</t>
  </si>
  <si>
    <t>115</t>
  </si>
  <si>
    <t>375994361</t>
  </si>
  <si>
    <t>(11) 94562-7297</t>
  </si>
  <si>
    <t>SIMOESBISPOWELLINGTON@GMAIL.COM</t>
  </si>
  <si>
    <t>Meu nome é Wellington Simões Bispo, tenho 25 anos de idade e moro na zona norte de São Paulo a mais de 25 anos. Sempre estive muito conectado com as artes, ações culturais dentro de casa porque minha família sempre incentivou as artes e a cultura por meio do carnaval da cidade de São Paulo. Atualmente estou desempregado e Sempre me interessei pelas área cultural e artística, acredito que em São Paulo tem muitas opções de afazeres culturais, sempre frequento qualquer show cultural que a gestão proporciona para a população paulistana, que necessita de eventos culturais para a cidade.</t>
  </si>
  <si>
    <t>Atualmente estou desempregado e batalhando diariamente para achar um emprego profissional para pagar minhas contas e dar um sustento para mim mesmo, além de me ajudar nos estudos. Estou buscando incentivo acadêmico também, procurando cursos pré-vestibular gratuitos para minha preparação no mundo acadêmico. Sou uma pessoa extremamente ágil e apto para qualquer área, já trabalhei como recepcionista do CRAS, repositor e operador de caixa em super mercados.</t>
  </si>
  <si>
    <t>Pretendo entrar no programa de Jovem Monitor Cultural para agregar meus saberes profissionais sobre produção cultural. Caso entre, pretendo entrar num curso que tenha o foco sobre produção/agência cultural para desenvolver minhas competências e habilidades nesse meio profissional. Estou muito feliz com a abertura dessa vaga, acredito que com minha habilidade de comunicação e agilidade, estarei apto e com maior prazer de ter essa vaga.</t>
  </si>
  <si>
    <t>228.656.068-48</t>
  </si>
  <si>
    <t>kaiky silva de farias</t>
  </si>
  <si>
    <t>kakafarias2.00@gmail.com</t>
  </si>
  <si>
    <t>https://yz2spukd8h-jbrk7pf7uvw.s3.amazonaws.com/2024/06/wWkJoPAPLd1zdbCUhid6l%2Bn8qYykxfIF%2BNzHVpg0ubA%3D.jpg</t>
  </si>
  <si>
    <t>21 anos, 1 meses, 20 dias</t>
  </si>
  <si>
    <t>Vila Ema</t>
  </si>
  <si>
    <t>03283-123</t>
  </si>
  <si>
    <t>Travessa João Batista Cortes</t>
  </si>
  <si>
    <t>589472860</t>
  </si>
  <si>
    <t>(11) 98044-3110</t>
  </si>
  <si>
    <t>https://www.instagram.com/nouddler/</t>
  </si>
  <si>
    <t>https://youtu.be/g8GdXeUB0-Q</t>
  </si>
  <si>
    <t>536.885.788-80</t>
  </si>
  <si>
    <t>Camila Suzane Oliveira De Souza</t>
  </si>
  <si>
    <t>cmlsuzane@gmail.com</t>
  </si>
  <si>
    <t>https://yz2spukd8h-jbrk7pf7uvw.s3.amazonaws.com/2024/06/vk/A8brvNqkv99I5uesgLKtTIDsVjBh3RxInlzRO3yo%3D.jpeg</t>
  </si>
  <si>
    <t>22 anos, 3 meses, 1 dias</t>
  </si>
  <si>
    <t>Verificar endereço, informou que mora em Taboão da Serra</t>
  </si>
  <si>
    <t>Jd Record, Taboão da Serra- SP</t>
  </si>
  <si>
    <t>04434-300</t>
  </si>
  <si>
    <t>C3</t>
  </si>
  <si>
    <t>Rua Andradina</t>
  </si>
  <si>
    <t>505</t>
  </si>
  <si>
    <t>540464466</t>
  </si>
  <si>
    <t>(11) 98427-1127</t>
  </si>
  <si>
    <t>https://www.instagram.com/camilasuzane__?igsh=aGE1cnBzZ2FucmRh&amp;utm_source=qr</t>
  </si>
  <si>
    <t>https://youtu.be/az60zUjZbhw</t>
  </si>
  <si>
    <t>518.359.898-37</t>
  </si>
  <si>
    <t>Moniqui Gomes Do Nascimento</t>
  </si>
  <si>
    <t>MONIQUI</t>
  </si>
  <si>
    <t>Moniqui</t>
  </si>
  <si>
    <t>moniquigomes55@gmail.com</t>
  </si>
  <si>
    <t>https://yz2spukd8h-jbrk7pf7uvw.s3.amazonaws.com/2024/05/swlh8DcOn%2B5KiIzzVS3DMDUxlGlST52u1WtMzKWLC%2BY%3D.jpeg</t>
  </si>
  <si>
    <t>22 anos, 3 meses, 23 dias</t>
  </si>
  <si>
    <t>Colonia</t>
  </si>
  <si>
    <t>08260-030</t>
  </si>
  <si>
    <t>Torre 10 Ap 2</t>
  </si>
  <si>
    <t>Condomínio</t>
  </si>
  <si>
    <t>1255</t>
  </si>
  <si>
    <t>(11) 99254-6350</t>
  </si>
  <si>
    <t>MONIQUIGOMES55@GMAIL.COM</t>
  </si>
  <si>
    <t>COMISSÁRIA DE BORDO</t>
  </si>
  <si>
    <t>Nasci em Itaquera e sempre morei aqui, minha infância foi na vila Brasil, perto da maioria dos meus parentes, foi uma infância muito divertida e completa. Sempre gostei de ler e dos entretenimentos da cidade de São Paulo, como o cinema, que atualmente trabalho como freelancer, pela remuneração, e por amar filmes e o clima que o cinema proporciona. Levo muito a sério em escolher trabalhos que me envolvam e que me proporcione aquilo que estou buscando.</t>
  </si>
  <si>
    <t>Estou numa fase da vida de autoconhecimento profissional e emocional, onde procuro aquilo que me motive e que me dê conhecimento para as as áreas do meu interesse no futuro. Como hotelaria e turismo, pretendo fazer algum curso ou faculdade sobre. Nos meus 22 anos estou conhecendo bastante lugares e cidades, pois eu adoro viajar, como o Rio de Janeiro, que não canso  nunca de conhecer cada pedaço de lá.</t>
  </si>
  <si>
    <t>Para o futuro eu pretendo estar atuando como comissária de bordo, eu já fiz o curso, tenho que apenas prestar a prova da Anac, e viver viajando como eu sonho. A meta é morar fora e trabalhar com que eu amo, e adquirindo conhecimento sobre a área de guia turística, pois é uma área que me atrai muito, e adoraria atuar como guia no ocidente, são metas altas, porém com dedicação e pequenos passos eu acredito que posso chegar lá.</t>
  </si>
  <si>
    <t>527.792.048-00</t>
  </si>
  <si>
    <t>Juliana Soares De Souza</t>
  </si>
  <si>
    <t>soaresjuliana420@gmail.com</t>
  </si>
  <si>
    <t>https://yz2spukd8h-jbrk7pf7uvw.s3.amazonaws.com/2024/05/sF2hWn8SY3DnA2jJsLe5AB7pHamQl%2BcMNBm4WsUYI/Y%3D.jpg</t>
  </si>
  <si>
    <t>20 anos, 0 meses, 13 dias</t>
  </si>
  <si>
    <t>08255-000</t>
  </si>
  <si>
    <t>Torre 3</t>
  </si>
  <si>
    <t>Avenida Nagib Farah Maluf</t>
  </si>
  <si>
    <t>1400</t>
  </si>
  <si>
    <t>391718605</t>
  </si>
  <si>
    <t>(11) 97684-4542</t>
  </si>
  <si>
    <t>SOARESJULIANA420@GMAIL.COM</t>
  </si>
  <si>
    <t>https://www.instagram.com/jusoaressx?igsh=b2FjNnozbHJreXR5</t>
  </si>
  <si>
    <t>ADMINISTRAÇÃO E DESING</t>
  </si>
  <si>
    <t>Ola, me chamo Juliana, tenho 19 anos, sou de guaianases, extremo leste. Sou uma jovem que gosta de estudar e tenho muita curiosidade para descobrir novos espaços. Em uma parte da minha vida pude ter acesso aos espaços culturais(uma parente que tinha mais condiçoes me levava), como teatro, shows, parques e isso foi muito importante para a construçao do meu entendimento como jovem periferica, onde eu percebi que existia mais do que eu imaginava de mundo e formas de se expressar.</t>
  </si>
  <si>
    <t>Hoje escolho o PJMC porque eu quero poder levar a mensagem e possibilitar ter mais pessoas como eu neste espaço. O lugar que eu moro tem muitas bibliotecas (que ate hoje eu uso),lá eu pude ter acesso a livros desde romance, e ate de estudos, e tambem tem um espaço muito bom para lazer, bem como as casas culturais. Mas assim como um dia eu não sabia da importancia desse espaço é esta mensagem que eu quero passar. Em 2023 fui aluna do Instituto Criar, lá eu vi como tudo que eu conhecia ainda era pouco, foi um lugar que me fez entender que podemos chegar muito longe.</t>
  </si>
  <si>
    <t>Quero incentivar mais as pessoas no sentido da cultura, do lazer, da arte e estar no PJMC me possibilita ter mais conhecimento e enriquecimento sobre a cultura principalmente a periférica, repertório e acesso as pessoas  que necessitam disto. Eu gosto de ensinar e passar informaçoes, é disso que os jovens precisam; aliados e ter acesso cada vez mais a estes espaços culturais, desde shows, museus, centros de cultura, e as bibliotecas. E também quero poder contribuir com esse projeto que tem muita importancia para a pepertuaçao da cultura na vida das pessoas.</t>
  </si>
  <si>
    <t>506.532.788-29</t>
  </si>
  <si>
    <t>Gabriela Ferraz Troque</t>
  </si>
  <si>
    <t>gabiftroque@hotmail.com</t>
  </si>
  <si>
    <t>https://yz2spukd8h-jbrk7pf7uvw.s3.amazonaws.com/2024/04/7tZgBMLPiWRZnI4E5YvEVTNuMD%2BipcLVKZiFVhE01Qo%3D.jpg</t>
  </si>
  <si>
    <t>25 anos, 3 meses, 15 dias</t>
  </si>
  <si>
    <t>Jardim Maria Nazaré</t>
  </si>
  <si>
    <t>02354-260</t>
  </si>
  <si>
    <t>Rua Francisco Guimarães Pereira Júnior</t>
  </si>
  <si>
    <t>61</t>
  </si>
  <si>
    <t>504485659</t>
  </si>
  <si>
    <t>(11) 98537-9896</t>
  </si>
  <si>
    <t xml:space="preserve">sim-grad incompleto </t>
  </si>
  <si>
    <t>Diretamente de Guarulhos, bairro do Cocaia, eu cresci como uma criança que não se encaixava na maior parte dos ambientes. Descobri o poder da arte cedo, principalmente na dança e consequentemente, na música. As exigências da vida tradicional me levaram a tentar caminhos fora da arte, nos quais eu não exercia liberdade artística ou até mesmo qualquer tipo de criação que saísse de um padrão, mas a paixão pelo movimento que a cultura traz nunca morreu.</t>
  </si>
  <si>
    <t>No momento, me vejo em uma transição onde ao ter experiência em áreas que nunca me contemplaram por inteira, volto a minha essência. Tenho tido muita satisfação em voltar a me reconhecer tanto na área cultural, e de ver que isso é possível e gera muitas possibilidades. Não como a artista central, mas como uma facilitadora da arte, eu me vejo. Criar acessos, conhecer pessoas e histórias, me aprofundar em diversas culturas, tudo isso me move.</t>
  </si>
  <si>
    <t>Vejo um futuro no qual posso juntar minhas paixões pela dança, pela estética, pelo relacionamento interpessoal, pela música, pela sociologia e pela antropologia. Tudo isso se interliga no funcionamento e manutenção da história de uma sociedade. Não só sobre produzir e encabeçar eventos, cursos e exposições, mas também gerar a movimentação e o incentivo de criação social.</t>
  </si>
  <si>
    <t>498.736.618-59</t>
  </si>
  <si>
    <t>Jhelssy Vanessa Beyuma Choque</t>
  </si>
  <si>
    <t>HUANA BEYUMA CHOQUE</t>
  </si>
  <si>
    <t>Huana Beyuma Choque</t>
  </si>
  <si>
    <t>beyuma.huana@gmail.com</t>
  </si>
  <si>
    <t>https://yz2spukd8h-jbrk7pf7uvw.s3.amazonaws.com/2024/06/LWCfzduuUihMH5uonAJavPsJkLs5JH/CGmfOUFnaUDQ%3D.jpg</t>
  </si>
  <si>
    <t>23 anos, 9 meses, 22 dias</t>
  </si>
  <si>
    <t xml:space="preserve">  GÊNERO A MESMA  DIZ  SER  DOS  ESPIRITOS</t>
  </si>
  <si>
    <t>08072-025</t>
  </si>
  <si>
    <t>Travessa Rio Quati</t>
  </si>
  <si>
    <t>V648171-Q</t>
  </si>
  <si>
    <t>(11) 94200-0181</t>
  </si>
  <si>
    <t>BEYUMA.HUANA@GMAIL.COM</t>
  </si>
  <si>
    <t>https://www.instagram.com/tyaxka?igsh=Y3N4bjExYjM3bDZw</t>
  </si>
  <si>
    <t>TI</t>
  </si>
  <si>
    <t>https://youtu.be/Qdnb8G3XDmY?si=0C2sflYrTp8bRiW-</t>
  </si>
  <si>
    <t>235.189.918-09</t>
  </si>
  <si>
    <t>CARLOS DANIEL ROMANO BARRETO</t>
  </si>
  <si>
    <t>Carlos Daniel Romano Barreto</t>
  </si>
  <si>
    <t>RATZ</t>
  </si>
  <si>
    <t>Ratz</t>
  </si>
  <si>
    <t>ratodistopic@gmail.com</t>
  </si>
  <si>
    <t>https://yz2spukd8h-jbrk7pf7uvw.s3.amazonaws.com/2024/05/SwLg09ZZ6Ry6TzeOVikd/diM6tE83ROvVlBD4lWx%2B9E%3D.jpg</t>
  </si>
  <si>
    <t>23 anos, 6 meses, 3 dias</t>
  </si>
  <si>
    <t>NÃO  CONCLUIU  O TÉCNICO</t>
  </si>
  <si>
    <t>Chácara Califórnia</t>
  </si>
  <si>
    <t>03404-060</t>
  </si>
  <si>
    <t>Rua Pinhalzinho</t>
  </si>
  <si>
    <t>185</t>
  </si>
  <si>
    <t>550035084</t>
  </si>
  <si>
    <t>(11) 93428-1706</t>
  </si>
  <si>
    <t>RATODESTOPIC@GMAIL..COM</t>
  </si>
  <si>
    <t>https://www.instagram.com/ratodistopico/</t>
  </si>
  <si>
    <t>https://drive.google.com/drive/folders/1DX4LT4v9hWdDrdAhtm8cv3lMQ7sfuT-_?usp=drive_link</t>
  </si>
  <si>
    <t>442.930.258-80</t>
  </si>
  <si>
    <t>Anne Caroline Paz Ferreira</t>
  </si>
  <si>
    <t>anne.paz.ferr@gmail.com</t>
  </si>
  <si>
    <t>https://yz2spukd8h-jbrk7pf7uvw.s3.amazonaws.com/2024/06/eHRfxmes3CyRtqmbBmZw1mqoACNuYVug2tUpQczhJSA%3D.jpg</t>
  </si>
  <si>
    <t>28 anos, 5 meses, 17 dias</t>
  </si>
  <si>
    <t>01211-100</t>
  </si>
  <si>
    <t>AP 23</t>
  </si>
  <si>
    <t>Avenida São João</t>
  </si>
  <si>
    <t>1523</t>
  </si>
  <si>
    <t>3104727882</t>
  </si>
  <si>
    <t>(11) 97660-1719</t>
  </si>
  <si>
    <t>sim (incompleto)</t>
  </si>
  <si>
    <t>https://www.instagram.com/femennei/</t>
  </si>
  <si>
    <t>Ingles</t>
  </si>
  <si>
    <t>Olá, me chamo Anne Ferreira, vim de Porto Alegre, Rio Grande do Sul para São Paulo há 1 ano e meio e desde então sigo tentando me estabelecer dignamente enquanto artista na cidade de São Paulo. Vim sem familia nem amigos, apenas com muita coragem e um sonho na mochila. Conclui o ensino médio há mais de 10 anos e dediquei minha vida a profissão de bailarina em Danças Urbanas: dançando e formando outras pessoas.</t>
  </si>
  <si>
    <t>Com o avançar do tempo e a mudança de cidade, vi a necessidade de expandir meu campo de habilidades. Muito me interessa seguir atuando no campo da cultura, seja produzindo, atendendo, mediando, administrando ou fornecendo suporte para que artistas possam dar luz a seus sonhos e projetos. Atualmente me vejo como uma pessoa com grande potencial e muitos saberes em diversos campos, principalmente na escrita, comunicação e gestão. Pois nessa década como artista, me auto produzi e com isso naveguei por diversas areas para além dos palcos e salas de aula.</t>
  </si>
  <si>
    <t>Gostaria de ter a oportunidade de participar do Programa Jovem Monitor para que possa ter a experiência de campo necessaria e a comprovação da mesma para me posicionar como uma artista, pesquisadora e produtora futuramente no mercado cultural, visto que muitas vezes, para uma jovem mestiça (parda), tudo o que falta é uma oportunidade. Atenciosamente, Anne Ferreira.</t>
  </si>
  <si>
    <t>038.467.960-93</t>
  </si>
  <si>
    <t>Ana Carolina Moreira De Araújo</t>
  </si>
  <si>
    <t>anacarol.moreira20@gmail.com</t>
  </si>
  <si>
    <t>https://yz2spukd8h-jbrk7pf7uvw.s3.amazonaws.com/2024/06/vBY5lnEoQ8lmdsAVFF6fjkRh6er1IJcRSP7sa2mAseY%3D.jpg</t>
  </si>
  <si>
    <t>18 anos, 2 meses, 6 dias</t>
  </si>
  <si>
    <t>Jardim Monte Alegre</t>
  </si>
  <si>
    <t>05165-120</t>
  </si>
  <si>
    <t>Rua Doutor Antônio Ruggiero Júnior</t>
  </si>
  <si>
    <t>233</t>
  </si>
  <si>
    <t>56494550x</t>
  </si>
  <si>
    <t>(11) 98097-7793</t>
  </si>
  <si>
    <t>eventos/museologia</t>
  </si>
  <si>
    <t>Nasci em 2006, em São Paulo, e sempre morei na mesma casa em Pirituba. Desde pequena, o mundo ao meu redor se revelava através dos traços que eu desenhava. Foi assim que encontrei na arte a minha paixão. À medida que crescia, meu interesse pelo estudo da arte só aumentava, levando-me a explorar diferentes técnicas e estilos. Fiz um curso de pintura que aprofundou minhas habilidades e meu amor por essa forma de expressão. Ao chegar ao nono ano do fundamental, precisei escolher um caminho para o ensino médio e técnico. Queria seguir a museologia, mas o curso só aceitava alunos a partir do segundo ano. Assim, optei pelo curso de eventos, onde aprendi sobre recreação e me tornei recreadora.</t>
  </si>
  <si>
    <t>Hoje, estou concluindo o ensino médio e, além de meus estudos, dedico-me à pintura, criando e vendendo meus quadros, compartilhando com o mundo a minha visão e sensibilidade artística. Trabalho como recreadora, aplicando o que aprendi no curso técnico em eventos. Recentemente, inscrevi-me no curso de museologia, aguardando com esperança e ansiedade o resultado dessa nova etapa que pode me aproximar ainda mais do meu sonho.</t>
  </si>
  <si>
    <t>Vejo meu futuro nos grandes museus, como o MASP ou a Pinacoteca, onde sonho trabalhar cercada por obras que contam histórias de tempos, pessoas e lugares diversos. Aspiro atuar como historiadora, curadora ou dentro de acervos, mergulhando cada vez mais fundo no universo artístico. Desejo também cursar artes visuais, história da arte ou museologia na faculdade. Nesse percurso, tenho certeza de que o Programa Jovem Monitor Cultural será um ótimo "abre-portas" para minha vida profissional, não só pelas oportunidades, mas também pela aprendizagem e pelas relações humanas que espero desenvolver. Meu caminho é uma busca incessante por conhecimento e uma vontade de deixar minha marca no mundo.</t>
  </si>
  <si>
    <t>520.855.658-83</t>
  </si>
  <si>
    <t>Andreza Silva De Andrade</t>
  </si>
  <si>
    <t>drezasilvaandrade@gmail.com</t>
  </si>
  <si>
    <t>https://yz2spukd8h-jbrk7pf7uvw.s3.amazonaws.com/2024/06/mUMJ7EawuIxdyjiAlGSconbFXbaoQT%2BnpnPHmFecc2E%3D.jpeg</t>
  </si>
  <si>
    <t>21 anos, 7 meses, 19 dias</t>
  </si>
  <si>
    <t>Jardim Lourdes</t>
  </si>
  <si>
    <t>08452-430</t>
  </si>
  <si>
    <t>Rua Francisco de Soutomaior</t>
  </si>
  <si>
    <t>(11) 95434-3893</t>
  </si>
  <si>
    <t>https://www.instagram.com/drzndrd/</t>
  </si>
  <si>
    <t>Etec Técnico de meio ambiente</t>
  </si>
  <si>
    <t>Me chamo Andreza, tenho 21 anos, todos eles vividos na zona leste de São Paulo.  Venho de um lugar onde os sonhos e objetivos são distantes, um lugar de luta que não é verbalizado, uma resistência que é tão natural porque não existe outra opção.  Minha família veio do nordeste, trabalhadores em busca de melhores oportunidades, em busca de outras opções de vida. De certa forma, ter vindo dessa família me incentivou e incentiva a buscar o além, ir atrás do que é negado para quem vem de onde venho.</t>
  </si>
  <si>
    <t>Após passar três anos em um trabalho em restaurante, trabalho esse que me causou um burnout por estresse e pressões muito grandes que aguentava por necessidade financeira, decidi, pelo bem da minha saúde mental e pelo meu futuro, sair da empresa. O tempo que passei trabalhando nesse lugar me deu experiência no mundo do trabalho e principalmente lidando com responsabilidades e com o público, mas também me privou de muitas coisas. Agora, tento me reencontrar e me reconectar com coisas que gostava, como frequentar espaços culturais, bibliotecas, estudar  etc.</t>
  </si>
  <si>
    <t>É difícil prever para onde vou, o que é possível, é saber para onde gostaria de ir. Acredito que a experiência como Jovem Monitora vai me levar a um lugar novo, de aprendizado, para entender melhor como funciona a área da cultura, e o quão diversa a mesma pode ser.  A área da cultura abrange muita coisa, principalmente, expressão, mas também diversidade de temas e linguagens artísticas, além de se tratar de um trabalho coletivo.   A cultura está em tudo, na forma como nos comunicamos e nos organizamos. Para onde vou é onde eu possa colaborar e aprender, assim como juntar meus interesses (cultura, meio ambiente, arte e periferia) para fazer algo  como participante ativa da cultura da cidade.</t>
  </si>
  <si>
    <t>32828115</t>
  </si>
  <si>
    <t>519.675.548-97</t>
  </si>
  <si>
    <t>Victória Miryá Rodrigues</t>
  </si>
  <si>
    <t>victoria_rodrigues20@hotmail.com</t>
  </si>
  <si>
    <t>https://yz2spukd8h-jbrk7pf7uvw.s3.amazonaws.com/2024/04/vijhFnHi%2Bd9hTF0bMOxXNcIwrEp1JdE5GAdQkHG0dbc%3D.jpeg</t>
  </si>
  <si>
    <t>21 anos, 3 meses, 29 dias</t>
  </si>
  <si>
    <t>Tucuruvi</t>
  </si>
  <si>
    <t>02340-002</t>
  </si>
  <si>
    <t>Avenida Nova Cantareira</t>
  </si>
  <si>
    <t>4354</t>
  </si>
  <si>
    <t>506858704</t>
  </si>
  <si>
    <t>(11) 97886-9509</t>
  </si>
  <si>
    <t>VMIRYARODRIGUES@OUTLOOK.COM.BR</t>
  </si>
  <si>
    <t>https://www.linkedin.com/in/vict%C3%B3ria-miry%C3%A1-rodrigues-a998241b7?utm_source=share&amp;utm_campaign=share_via&amp;utm_content=profile&amp;utm_medium=android_app</t>
  </si>
  <si>
    <t>TEC - CURSANDO - JORNALISMO</t>
  </si>
  <si>
    <t>Me chamo Victória Miryá Rodrigues e sempre fui residente da zona norte de São Paulo. Atualmente, vivo com minha mãe Wania e meu irmão Nycolas. Perdi meu pai, Moisés, quando eu tinha apenas 6 anos, e isso trouxe muitos desafios para nossa família, mas também nos fortaleceu. No começo, nem sempre dei valor à escola, contudo o conhecimento surgiu como uma âncora em meio às tempestades da vida, me dando razões para continuar, além de uma maneira para contribuir positivamente na sociedade. Durante o ensino médio, tive a oportunidade de conquistar uma bolsa integral no Colégio São Luís.. E isso me ensinou a valorizar o esforço e a determinação para atingir meus objetivos.</t>
  </si>
  <si>
    <t>Atualmente, estou no meu 3º ano consecutivo no mercado de trabalho onde atuo como estagiária na parte de Assessoria de Comunicação, onde comecei Jovem Aprendiz e atuei, também, na área de Arquivo de Fitas da emissora SBT. Nestas posições, desenvolvi habilidades práticas, aprendi a importância da organização e da comunicação eficaz e ganhei uma compreensão mais profunda do funcionamento da indústria de mídia no meio televisivo. Paralelamente ao meu crescimento profissional, conquistei um marco significativo ao ingressar na faculdade e obtive uma bolsa integral de 100% pelo PROUNI para cursar Jornalismo na UNIP, oportunidade que ampliou meus horizontes acadêmicos.</t>
  </si>
  <si>
    <t>Minhas aspirações futuras refletem, principalmente, na minha busca por um destino que não me realize pessoalmente, contudo que eu possa impactar positivamente o mundo ao meu redor. Nutro o desejo de me formar em jornalismo pois acredito que é de grande responsabilidade falar sobre a realidade no intuito de provocar mudanças ao redor do Brasil; também me vejo obtendo a minha MTB para ter caminhos abertos na arte da comunicação. E, assim como minha vida foi impactada pelo poder do conhecimento, quero atuar na área governamental e em ONGS, onde posso contribuir democraticamente para a inclusão social e a disseminação do saber, atingindo cada vez mais pessoas.</t>
  </si>
  <si>
    <t>543.390.718-03</t>
  </si>
  <si>
    <t>Sabina Santana Dos Santos</t>
  </si>
  <si>
    <t>sabrinasantana742@gmail.com</t>
  </si>
  <si>
    <t>https://yz2spukd8h-jbrk7pf7uvw.s3.amazonaws.com/2024/06/MAbDgh/B3s3bjQvrP0gIaPashtIL6vaz9bkz47iYn20%3D.jpg</t>
  </si>
  <si>
    <t>18 anos, 6 meses, 0 dias</t>
  </si>
  <si>
    <t>Observadora e assertiva, embora fale pouco e seja mais jovem.</t>
  </si>
  <si>
    <t>Jardim D'Abril</t>
  </si>
  <si>
    <t>05399-090</t>
  </si>
  <si>
    <t>Rua Doutor Resende Carvalho</t>
  </si>
  <si>
    <t>121</t>
  </si>
  <si>
    <t>554196360</t>
  </si>
  <si>
    <t>(11) 96743-6247</t>
  </si>
  <si>
    <t>Ténico</t>
  </si>
  <si>
    <t>https://www.instagram.com/sasa_s4ntos?utm_source=qr&amp;igsh=ZDFtZG1icGl2ZWcy</t>
  </si>
  <si>
    <t>Design</t>
  </si>
  <si>
    <t>BIBLIOTECA CAMILA CERQUEIRA CÉSAR</t>
  </si>
  <si>
    <t>Desde pequena eu sempre me encontrei nos desenhos animados, que me fez começar no munda da ilustração. A partir daqui eu fui conhecendo a pintura, o artesanato e a escrita, me encontrando cada vez mais nesse contexto artístico variado. Experimentando oficinas, saraus e agora o Design, com um apelo estético totalmente diferente de tudo que já experimentei</t>
  </si>
  <si>
    <t>Meu nome é Sabrina, tenho 18 anos, terminei recentemente o ensino médio e atualmente estou focada no meu técnico em Design Gráfico.  Sempre me senti estimulada pelas formas artísticas mais tradicionais de expressão, e agora me encontro fascinada por todo esse meio que o Design vem me mostrando. Com novas experimentações direcionadas ao mundo digital, me proporcionando também embarcar na reinvenção da ilustração, a partir desse pressuposto mais revitalizado que o ambiente digital imprime nas obras.</t>
  </si>
  <si>
    <t>Penso em seguir no caminho da licenciatura, porém quanto mais desbravo o meio artístico, mais coisas eu descubro e sinto que tenho que conhecer. Por isso que almejo tanto o contato com novas experiências culturais. E pretendo através dessa busca achar o meio em que eu pertenço, experimentando, por enquanto, o máximo de oportunidades até me descobrir.</t>
  </si>
  <si>
    <t>240.924.178-61</t>
  </si>
  <si>
    <t>Renata Oliveira Souza</t>
  </si>
  <si>
    <t>renaonzu@gmail.com</t>
  </si>
  <si>
    <t>https://yz2spukd8h-jbrk7pf7uvw.s3.amazonaws.com/2024/06/ubselmgSu9SfYc3b/cNwoYldeqZnFsyjFdev7SlOkiU%3D.jpeg</t>
  </si>
  <si>
    <t>20 anos, 9 meses, 7 dias</t>
  </si>
  <si>
    <t>Parque Santo Amaro</t>
  </si>
  <si>
    <t>05874-030</t>
  </si>
  <si>
    <t>591</t>
  </si>
  <si>
    <t>Rua Antônio de Melo Freitas</t>
  </si>
  <si>
    <t>398909714</t>
  </si>
  <si>
    <t>(11) 96156-0843</t>
  </si>
  <si>
    <t>https://www.instagram.com/onzu_/</t>
  </si>
  <si>
    <t>BACHARELADO EM JOGOS DIGITAIS</t>
  </si>
  <si>
    <t>https://drive.google.com/file/d/1F7ndcz_aD2g6x8wQY_D44WlnWgr9zRWH/view?usp=sharing</t>
  </si>
  <si>
    <t>480.342.278-89</t>
  </si>
  <si>
    <t>Joice Miranda Carvalho</t>
  </si>
  <si>
    <t>joi.mirandx@gmail.com</t>
  </si>
  <si>
    <t>https://yz2spukd8h-jbrk7pf7uvw.s3.amazonaws.com/2024/06/OUWBbXHvZAUXipTyjE7GyHEsYGBdjTrP%2B0Ki/gMJL7o%3D.jpg</t>
  </si>
  <si>
    <t>23 anos, 11 meses, 22 dias</t>
  </si>
  <si>
    <t>54.685.077-7</t>
  </si>
  <si>
    <t>(11) 94948-2628</t>
  </si>
  <si>
    <t>JOI.MIRANDX@GMAIL.COM</t>
  </si>
  <si>
    <t>https://www.instagram.com/jooi.miranda?igsh=MWhpcHI3aG1oNXR5Yw==</t>
  </si>
  <si>
    <t>PRODUÇÃO AUDIO VISUAL</t>
  </si>
  <si>
    <t>Me chamo Joice, tenho 24 anos, nascida e criada na grande cidade de São Paulo, desde muito nova tenho contato com música, arte e cultura, por meados de 2005 minha família começou a fazer festas em casa sempre regadas com muita música, bons amigos e crianças que também amavam toda aquela magia, assim como eu.   Meu pai possuía uma dupla musical, gravaram com muito custo e suor seu primeiro, e único cd... E foi ali, que ainda muito nova, eu soube que não seria fácil... Ser artista independente e depender de outras pessoas para dar certo é o terror de qualquer artista, mas é a única coisa que eu sei fazer: arte.</t>
  </si>
  <si>
    <t>Atualmente, devido influência familiar quando pequena, eu canto, componho e estou fazendo curso tecnólogo em produção audiovisual, por manter a maior parte do meu coração em artes visuais, e sonoridade.   Atualmente também sou roadie e social media de uma banda comporta por músicos e artistas independentes, a qual ajudo nas composições de música à organização de palco.</t>
  </si>
  <si>
    <t>Minha maior realização será poder viver da música, da arte, da cultura, poder montar um estúdio de gravação musical e vídeos, trabalhar com o que eu gosto, e conquistar tudo que almejo, quero que saibam quem eu sou, quero fazer história, mas, mais que isso, quero contar histórias de outras pessoas e dar voz a artistas independentes que assim como eu, sonham em viver sem se preocupar se amanhã terão os 4,40 que precisam para ir trabalhar.</t>
  </si>
  <si>
    <t>510.401.438-06</t>
  </si>
  <si>
    <t>Guilherme Silva De Oliveira</t>
  </si>
  <si>
    <t>guilhermes.o0412@gamil.com</t>
  </si>
  <si>
    <t>https://yz2spukd8h-jbrk7pf7uvw.s3.amazonaws.com/2024/06/lTerMIZX9PsiPv6arvTmqKFHA3iL%2B7xI3uygW8wNeZM%3D.pdf</t>
  </si>
  <si>
    <t>19 anos, 6 meses, 14 dias</t>
  </si>
  <si>
    <t>05203-340</t>
  </si>
  <si>
    <t>Rua Aristeu</t>
  </si>
  <si>
    <t>326</t>
  </si>
  <si>
    <t>50.058.172-1</t>
  </si>
  <si>
    <t>(11) 98634-0979</t>
  </si>
  <si>
    <t>guilhermes.o0412@gmail.com</t>
  </si>
  <si>
    <t>11-986340979</t>
  </si>
  <si>
    <t>https://www.instagram.com/guilsensei?igsh=MTlhOXltd2pkajVsbg==</t>
  </si>
  <si>
    <t>Meu primeiro contato com a cultura aconteceu há pouco mais de dois anos atrás, em 2022 com a oficina "Poéticas do absurdo da América latina" com o Grupo Pandora de Teatro, eu me apaixonei pelo universo do teatro e fui buscar uma formação profissional como ator no curso técnico da Etec de Artes, e acabei realizando um segundo curso live de teatro com o Grupo Pandora.</t>
  </si>
  <si>
    <t>Hoje eu estou trabalhando com a arte de maneira independente, desde de o final de 2022 eu faço trabalhos esporádicos no ramo de personagens vivos e eventos, mas atualmente meu ganha-pão está sendo o projeto "Minha quebrada prevenida" da ONG "Bem me quer", trabalhando como ator em curtas-metragens que visam conscientizar os jovens periféricos a se prevenirem de IST's, e operando a luz do espetáculo "COMUM" do Grupo Pandora. Por fim já fiz também o trabalho de produção na Ocupação Artística Canhoba.</t>
  </si>
  <si>
    <t>Pretendo viver da cultura e da arte pelo resto da minha vida, pois é o que eu amo fazer, me descobrindo em diversas áreas no ramo, meus próximos desafios serão em trabalhos como operador de som na síncope coletiva, contra-regragem em '"Remente gandhi", e um processo criativo com o Grupo Pandora. Em um futuro mais distante pretendo fazer faculdade de cinema, e atuar com meu próprio coletivo de teatro.</t>
  </si>
  <si>
    <t>474.557.868-75</t>
  </si>
  <si>
    <t>Douglas Aguirre Solares</t>
  </si>
  <si>
    <t>aguirre.douglas@outlook.com</t>
  </si>
  <si>
    <t>https://yz2spukd8h-jbrk7pf7uvw.s3.amazonaws.com/2024/04/PBKQgjW1XQcbMlZIS3N21Ir4lSkr38YW7HKUigqsaWU%3D.png</t>
  </si>
  <si>
    <t>26 anos, 7 meses, 3 dias</t>
  </si>
  <si>
    <t>Vila Pedra Branca</t>
  </si>
  <si>
    <t>02635-120</t>
  </si>
  <si>
    <t>MANDAQUI</t>
  </si>
  <si>
    <t>Rua Luís de Melo Maia</t>
  </si>
  <si>
    <t>534348397</t>
  </si>
  <si>
    <t>(11) 94902-8609</t>
  </si>
  <si>
    <t>aguirre.douglas@outoolk.com</t>
  </si>
  <si>
    <t>11-949028609</t>
  </si>
  <si>
    <t xml:space="preserve">cenografia e figurinos </t>
  </si>
  <si>
    <t>Sou Douglas Aguirre, tenho 25 anos, filho de imigrantes Bolivianos, sou indigena andino e brasileiro. Nasci no mandaqui e morei no Jardim Peri, venho de oriegens fortes e humilde, sempre soube que era diferente, não pelo meus traços indigenas, mas sim porque desde de sempre sonhava em trabalhar com arte cultura, mas não sabia como por esse motivo começei a busca meus sonhos.</t>
  </si>
  <si>
    <t>Atualmente estou estudando Cenografia e Figurino na SP Escola de Teatro, já que estou em busca de trabalhar com teatro, totalmente dedicado a aprimorar meus conhecimentos na area de cultura e no teatro, sabendo que não e fácil , mas que sei que irei conseguir seguir em frente sempre com o poder da cultura comigo. Por esse motivo procuro oportunidade de poder conciliar meus estudos com trabalho.</t>
  </si>
  <si>
    <t>Acredito que vou para inumeras oportunidade, mas com um foco nitido, a cultura e o teatro que me conecta comigo meus. Estou aprimorando meus conhecimentos para que consiga está e ocupar espaços que jamais poderei imaginar, sabendo que a cultura é todos, quero poder ajudar jovens como eu, aproximar as inumera oportunidade que esse jovem possa ter pricipalmente os que tem os mesmo objetivos ao meu.</t>
  </si>
  <si>
    <t>491.949.958-26</t>
  </si>
  <si>
    <t>Willy Arley Soares Caldas</t>
  </si>
  <si>
    <t>Willy Caldas</t>
  </si>
  <si>
    <t>was_caldas@hotmail.com</t>
  </si>
  <si>
    <t>https://yz2spukd8h-jbrk7pf7uvw.s3.amazonaws.com/2024/06/ueOhNDQJiSurYblFwM%2BxkNhA8uz2t1KrpR4NLNFAWQk%3D.jpg</t>
  </si>
  <si>
    <t>28 anos, 9 meses, 4 dias</t>
  </si>
  <si>
    <t>WILLY CALDAS</t>
  </si>
  <si>
    <t>apto 41</t>
  </si>
  <si>
    <t>531999026</t>
  </si>
  <si>
    <t>(11) 95972-3654</t>
  </si>
  <si>
    <t>https://www.instagram.com/soareswilly/</t>
  </si>
  <si>
    <t>danca - danca e performance</t>
  </si>
  <si>
    <t>Natan/Cristine/Júlio/Luciana/Márcia</t>
  </si>
  <si>
    <t>Venho de Eunápolis, uma cidade pequena ao sul da Bahia, venho de uma mente criativa e da necessidade de muitos malabarismos entre equilibrar as demandas artisticas e as financeiras. Venho de uma série de experiências e mais experiências que me possibilitaram entender que também é possível, apesar das dificuldades, vislumbrar um caminho profissional na área artística e cultural mesmo com meu recorte social.</t>
  </si>
  <si>
    <t>Atualmente moro em São Paulo, trabalho como Auxiliar de Leitura e Pesquisa na biblioteca de uma das unidades do projeto Fábricas de Cultura, onde tenho muitas possibilidades, como por exemplo uma programação mensal onde desenvolvo e aplico oficinas diversas, colocando em prática o meu desejo em atuar com arte educação. Paralelamente, desenvolvo trabalhos autonômos como ilustrador, artesão,  artista visual e criador e interpréte de dança. Estudo Dança e Performance na São Paulo Escola de Dança e procuro participar do Programa Jovem Monitor Cultural, também, pela experiência de conciliar uma jornada mais dinâmica de trabalho que possibilite conciliar os estudos de maneira mais confortável.</t>
  </si>
  <si>
    <t>Gostaria de ter a experiência direta de trabalhar com mais proximidade da área de produção de eventos culturais na cidade de São Paulo e poder produzir e difundir algum projeto dentro das linguagens que trabalho e me interessam. Além de, conhecer mais profundamente as dinâmicas das oficinas e formações culturais, que é para onde tenho encaminhado as minhas formações artisticas e gostaria de atuar futuramente.</t>
  </si>
  <si>
    <t>426.748.028-12</t>
  </si>
  <si>
    <t>Ana Beatriz Thomazino Ribeiro Da Silva</t>
  </si>
  <si>
    <t>thomazinoa@gmail.com</t>
  </si>
  <si>
    <t>https://yz2spukd8h-jbrk7pf7uvw.s3.amazonaws.com/2024/05/YJKjMyd8rBKIGKNBM6pS7Xp8FwvctgOKQ1iNdtVNBIY%3D.jpeg</t>
  </si>
  <si>
    <t>20 anos, 8 meses, 14 dias</t>
  </si>
  <si>
    <t>Veleiros</t>
  </si>
  <si>
    <t>04774-060</t>
  </si>
  <si>
    <t>Rua Savério Lauria</t>
  </si>
  <si>
    <t>55867270X</t>
  </si>
  <si>
    <t>(11) 96164-4105</t>
  </si>
  <si>
    <t>https://www.instagram.com/anabiathomazino?igsh=MTlpMzZrc2NyNnA5aA%3D%3D&amp;utm_source=qr</t>
  </si>
  <si>
    <t>Olá! Me chamo Ana Beatriz, tenho 20 anos e atualmente moro em Veleiros, Zona Sul de São Paulo. Sou podcaster e também já fui Jovem da Vivência Teatral da Cia Paideia onde iniciei em 2020 e meu último ano foi em 2022 pois tive que sair por questões de trabalho. Conheci o PJMC através de colegas de teatro  onde me indicaram o programa, já que admiro e me identifico bastante na área cultural.</t>
  </si>
  <si>
    <t>Atualmente estou centrada em voltar a fazer teatro, que sempre foi a minha paixão. Infelizmente tive que parar por questões do emprego, mas que estou focada para retornar. E vejo no PJMC como uma ótima oportunidade para crescer e evoluir como pessoa, como artista e como podcaster também e com certeza eu sairia da zona de conforto porque conheceria muitas coisas.</t>
  </si>
  <si>
    <t>Me vejo sendo reconhecida como artista e podcaster, com os meus trabalhos sendo bem-sucedidos. Vejo também com várias experiências culturais e bastante conhecimento sobre várias culturas (tanto nacionais, quanto internacionais). Vejo também retornando para os palcos do teatro, como eu disse: o teatro sempre foi e sempre será a minha paixão. E me tornando uma ótima atriz.</t>
  </si>
  <si>
    <t>447.858.048-07</t>
  </si>
  <si>
    <t>Yasmin Vale Santos</t>
  </si>
  <si>
    <t>vale.yasmin@outlook.com</t>
  </si>
  <si>
    <t>https://yz2spukd8h-jbrk7pf7uvw.s3.amazonaws.com/2024/05/C/JTKup6rTiX0tGn%2Bx/CTvPYvOQxAO/x03Iw3NRFh3Y%3D.jpg</t>
  </si>
  <si>
    <t>22 anos, 7 meses, 21 dias</t>
  </si>
  <si>
    <t>08475-180</t>
  </si>
  <si>
    <t>Apto 23 Bloco B</t>
  </si>
  <si>
    <t>Rua Eduardo Sanchez</t>
  </si>
  <si>
    <t>910</t>
  </si>
  <si>
    <t>377594052</t>
  </si>
  <si>
    <t>(11) 96548-2620</t>
  </si>
  <si>
    <t>VALE.YASMIN@OUTLOOK.COM</t>
  </si>
  <si>
    <t>https://www.facebook.com/yassminvale?mibextid=ZbWKwL</t>
  </si>
  <si>
    <t>GERÊNCIA EM SAÚDE</t>
  </si>
  <si>
    <t>Meu nome é Yasmin, sou da Cidade Tiradentes, tenho 22 anos, moro com a minha mãe. Meu hobbie é ler, comecei a ler ainda pequena com os gibis da Turma da Mônica e gosto muito de ouvir música. Já fiz curso no Pombas Urbanas de Teatro, o que me ajudou muito na minha vida pessoal e profissional, já fiz dois cursos no Senac de Introdução ao Office e Assistente de RH, sou formada como Técnica de Gerência em Saúde pela Escola Municipal de Educação Profissional e Saúde Pública Professor Makiguti.</t>
  </si>
  <si>
    <t>Atualmente trabalho como Jovem Aprendiz, faço curso no Senai de Assistente Administrativo, meu contrato acaba em Outubro deste ano (2024). Faço cursos por fora também, de informática como Word, Excel e Power Point, gosto muito de ler e aprender coisas novas, sou bem ligada às redes sociais e gosto de ficar por dentro de coisas da atualidade, gosto de sempre aprender sobre algum assunto.</t>
  </si>
  <si>
    <t>Quero começar a fazer curso pré vestibular, para prestar o Enem, conseguir uma bolsa 100% para estudar Psicologia, pois é meu sonho, quero fazer curso de Inglês também. Me vejo atuando na minha área e fazendo algumas pós graduações, pois ainda não sei a área exata a qual quero me especializar, mas Psicologia é uma área que me chama muito atenção e tenho muito interesse, o desenvolvimento humano me interessa muito, com isso irei conseguir trabalhar com o público também.</t>
  </si>
  <si>
    <t>LESTE - 18</t>
  </si>
  <si>
    <t>432.573.018-47</t>
  </si>
  <si>
    <t>Joyce Vicente De Souza</t>
  </si>
  <si>
    <t>joycevsouza04@gmail.com</t>
  </si>
  <si>
    <t>https://yz2spukd8h-jbrk7pf7uvw.s3.amazonaws.com/2024/06/5/dRBuR/w1wZh/DAfhyn/j/peazCa3quPLPKGVHh7Qs%3D.jpg</t>
  </si>
  <si>
    <t>24 anos, 11 meses, 13 dias</t>
  </si>
  <si>
    <t>04866-210</t>
  </si>
  <si>
    <t>Rua Elvis</t>
  </si>
  <si>
    <t>39232916</t>
  </si>
  <si>
    <t>(11) 99396-2391</t>
  </si>
  <si>
    <t>BACHARELADO EM PSICOLOGIA, TÉCNICO EM PRODUÇÃO AUDIOVISUAL</t>
  </si>
  <si>
    <t>Olá, meu nome é Joyce Vicente, tenho 24 anos. Sou da zona sul no distrito de parelheiros. No momento estudo psicologia, mas desde sempre, fui cativada pelo mundo do cultural e artístico, principalmente pela música, poesia e eventos culturais, busco formas de me envolver e conhecer mais. Isso me levou a explorar cursos voltados para produção audiovisual, multimídia e estética. Há um tempo tenho criado curiosidade e interesse conhecer o campo em produção cultural.</t>
  </si>
  <si>
    <t>Falo com orgulho que meu distrito é uma área de preservação ambiental e indígena. Desde a adolescência sou interessada em frequentar eventos e conhecer novos espaços culturais. Costumo organizar de encontrar com amigos em eventos oferecidos de forma acessível pela cidade. Geralmente frequentamos centros culturais, bibliotecas, teatros, casas de cultura, SESCs e projetos sociais.  Principalmente na zona sul, mas também em regiões centrais e em outros distritos que ofereçam atividades que muitas vezes não temos acesso em nosso território. Essa busca por novas experiências culturais tem sido uma fonte de enriquecimento pessoal e comunitário para mim e para aqueles ao meu redor.</t>
  </si>
  <si>
    <t>Vejo o programa como uma oportunidade de iniciar uma jornada de aprendizado e experimentação profissional dentro da área cultural, algo que até então não tive acesso. Acredito que essa imersão contribuirá significativamente para a ampliação do meu repertório cultural e para o desenvolvimento de uma visão mais abrangente e crítica sobre o mundo ao meu redor. Podendo explorar os bastidores e conhecer os recursos utilizados nesse universo, entendendo a história e as múltiplas linguagens de arte e saberes que a cidade pode oferecer. Não é apenas uma oportunidade de crescimento pessoal, mas também uma forma de contribuir ativamente para a promoção da cultura em nossa comunidade.</t>
  </si>
  <si>
    <t>500.747.118-65</t>
  </si>
  <si>
    <t>Gabriel Bispo Sena</t>
  </si>
  <si>
    <t xml:space="preserve">GABRIEL BISPO CENA </t>
  </si>
  <si>
    <t>Gabriel</t>
  </si>
  <si>
    <t>gabrielbisposena@hotmail.com</t>
  </si>
  <si>
    <t>https://yz2spukd8h-jbrk7pf7uvw.s3.amazonaws.com/2024/06/bdB8ua6Lm1ompWu1hG40yR/K3jPve0sjuI7FahmqCGc%3D.jpeg</t>
  </si>
  <si>
    <t>23 anos, 5 meses, 8 dias</t>
  </si>
  <si>
    <t>GABRIEL</t>
  </si>
  <si>
    <t>02986-080</t>
  </si>
  <si>
    <t>Rua Fragata da Constituição</t>
  </si>
  <si>
    <t>508464511</t>
  </si>
  <si>
    <t>(11) 96720-2620</t>
  </si>
  <si>
    <t>GABRIELBISPOSENA@GMAIL.COM</t>
  </si>
  <si>
    <t>TECNICO EM DESIGN GRAFICO</t>
  </si>
  <si>
    <t>Nasci e cresci em São Paulo, no bairro do Jardim Irene, localizado na Zona Sul. Vivi a maioria da minha vida por lá, no qual fui inserido numa dura realidade e também tive muito acesso à cultura. Muito graças a Fundação Cafu e a Fundação do bairro, graças a fundação tive acesso à futebol, judô, capoeira e projetos de artes, como grafiti, por exemplo. Apesar das dificuldades, sou muito grato por ter nascido no Extremo Sul de São Paulo, tive muito desenvolvimento cultural e acesso à educação de qualidade de forma pública, o que me fez ter muito apego com a cultura de forma geral.</t>
  </si>
  <si>
    <t>Atualmente estou na Zona Norte de São Paulo, moro com a minha mulher, filha e a tia da minha mulher. Estou trabalhando atualmente como consultor de negócios (Receptivo SAC) e cursando Design Gráfico, curso técnico no qual eu pago.   Me vejo longe dos meus objetivos como profissional e principalmente como artista, tenho diversos projetos anotados, porém sem suporte e tempo necessários para por em prática. Porém, no ano passado, consegui meu maior feito como artista de conseguir ter uma arte minha para um grupo de hip-hop (Triby Gang) postado nas plataformas de streamings e mídias sociais. Ainda espero conseguir mais feitos, mas atualmente não me vejo indo adiante.</t>
  </si>
  <si>
    <t>Bom, falando profissionalmente, pretendo concluir meu curso de Design Gráfico e após a conclusão, iniciar estudos para fazer um superior em Jornalismo ou Moda, ainda estou me decidindo. Atualmente estou me encaminhando para ser efetivado no meu atual emprego, já que sou Jovem Aprendiz, porém, não é o que eu almejo, portanto, sou grato pelo desenvolvimento e experiência que estou adquirindo. Como artista, é mais complexo falar diretamente como serei “catalogado”. acredito que é um julgamento para o público que vai me consumir, portanto, vou me posicionar como um ativista, para mim arte é política. Portanto, meu foco é na minha família, o que me faz focar mais profissionalmente.</t>
  </si>
  <si>
    <t>NORTE - 3</t>
  </si>
  <si>
    <t>502.627.828-04</t>
  </si>
  <si>
    <t>MATHEUS VINICIUS GOMES MENDONCA</t>
  </si>
  <si>
    <t>Matheus Vinicius Gomes Mendonca</t>
  </si>
  <si>
    <t>MATHEUS GOMES</t>
  </si>
  <si>
    <t>Matheus Gomes</t>
  </si>
  <si>
    <t>matheusplx@hotmail.com</t>
  </si>
  <si>
    <t>https://yz2spukd8h-jbrk7pf7uvw.s3.amazonaws.com/2024/05/S9iZtjgkLOQVpCXQmqeepkRl3or%2B2THzlzOyxi5QBCU%3D.jpg</t>
  </si>
  <si>
    <t>Conjunto Habitacional Inácio Monteiro</t>
  </si>
  <si>
    <t>08472-110</t>
  </si>
  <si>
    <t>Rua Arroio Santo Antônio</t>
  </si>
  <si>
    <t>119</t>
  </si>
  <si>
    <t>526418989</t>
  </si>
  <si>
    <t>(11) 96363-6548</t>
  </si>
  <si>
    <t>MATHEUSPLX@HOTMAIL.COM</t>
  </si>
  <si>
    <t>https://www.instagram.com/_filhodoinfinito?igsh=bzQ4c2xueHlheW9w</t>
  </si>
  <si>
    <t>olá, me chamo Matheus Gomes, tenho 25 anos, nascido em guarulhos, criado um tempo em pernambuco e cresci na zola leste de sao paulo, aos 14 anos de idade escrevi a minha primeira letra de RAP e no momento em que coloquei aquela letra em cima de um beat, foi ali que entendi que aquilo era oque eu deveria fazer, encontrei no RAP a fuga necessária para colocar pra fora tudo aquilo que nao conseguia expressar, desde entao nunca parei, sempre estive presente nos eventos culturais da cidade tiradentes, ja fui integrante de um grupo de rap, se nao fosse o HIP-HOP eu seria so mais um jovem de periferia que teria me entregado as drogas ou ao trafico por nao conseguir enxergar uma perspectiva de vida</t>
  </si>
  <si>
    <t>Atualmente resido na Cidade Tiradentes, moro com a minha mãe, trabalho na feira e também sou autono na área de marketing digital e designer gráfico, nunca fui do tipo de pessoa que se contenta com o mínimo estou sempre em busca do meu máximo e também de entregar o meu máximo em tudo que faço, sou skatista, praticante de karate, poeta, MC de batalha de rima e canto rap, atualmente sou integrante do coletivo / produtora chamado FREEVERSE que nasceu da vontade de amigos que são envolvidos com o HIP-HOP e com a cultura de alguma forma, também estou desenvolvendo de forma independente o meu primeiro álbum de rap composto por 13 musicas solo, em suma hoje estou aonde deveria estar.</t>
  </si>
  <si>
    <t>Eu vou em busca do progresso, individual, profissional, artístico, interpessoal, quero poder ir aonde a ajuda for necessaria, cresci em um distrito onde a cultura salva e ensina, vi pessoas responsáveis por núcleos culturais como o CENTRO DE FORMAÇÃO CULTURAL, A CASA DE CULTURA HIP-HOP LESTE, FABRICAS DE CULTURA, ENTRE OUTROS, se preocuparem em ouvir e dar voz aos jovens, adultos e crianças, da periferia, pessoas que me inspiram a ser alguem melhor pra minha quebrada, então quando me perguntam.  PARA ONDE VOCÊ ESTÀ INDO ?   simplesmente aponto para frente e digo.  - PARA FRENTE, FOCADO NO PROGRESSO SEM NADAR CONTRA A CORRENTE MAS SEM ME ESQUECER DO PASSADO E SIMPLESMENTE VIVENDO O AGORA.</t>
  </si>
  <si>
    <t>445.164.558-11</t>
  </si>
  <si>
    <t>Heloisa De Souza Da Silva</t>
  </si>
  <si>
    <t>heloisasouza754@gmail.com</t>
  </si>
  <si>
    <t>https://yz2spukd8h-jbrk7pf7uvw.s3.amazonaws.com/2024/04/YujJpxU3pK9mgSvHkCXmv948lYiWWGoejaj19aZG7pc%3D.jpeg</t>
  </si>
  <si>
    <t>22 anos, 3 meses, 16 dias</t>
  </si>
  <si>
    <t>SE AUTODECLARA PARDA</t>
  </si>
  <si>
    <t>08421-500</t>
  </si>
  <si>
    <t>blc 02 apto 23C</t>
  </si>
  <si>
    <t>Rua Taiguara Chalar da Silva</t>
  </si>
  <si>
    <t>529781232</t>
  </si>
  <si>
    <t>(11) 98986-1458</t>
  </si>
  <si>
    <t>HELOISASOUZA754@GMAIL.COM</t>
  </si>
  <si>
    <t>PRODUÇÃO AUDIO E  VISUAL</t>
  </si>
  <si>
    <t>Meu nome é Heloisa de Souza, tenho 22 anos. Sou de São Paulo Capital, moro na Cidade Tiradentes ZL. Tive a oportunidade de trabalhar como Jovem aprendiz na Fábrica de Cultura Parque Belém (2022-2023), onde adquiri conhecimento, aprendi a fazer trabalhos administrativos além de um bom atendimento ao público. Já trabalhei com alguns trabalhos voluntários como: Mega leitores, onde auxiliava crianças com dificuldade em leitura. Jardinagem na escola, onde plantávamos legumes e verduras para realização da merenda escolar. Alguns trabalhos com a igreja que fazia parte, íamos em comunidades para convidar os jovens.</t>
  </si>
  <si>
    <t>Atualmente eu estou em busca de um emprego para dar um conforto melhor para minha mãe e eu. Vou começar a fazer curso técnico de manutenção de computador, é uma área onde sempre tive muita curiosidade para aprender. Futuramente pretendo fazer uma faculdade na área de Produção Audiovisual, onde já fiz curso de Fotos e vídeos na Fábrica de Cultura Cidade Tiradentes, minha especialidade é edição de vídeo, para assim conseguir trabalhar na área.</t>
  </si>
  <si>
    <t>Para um futuro um pouco distante, pretendo comprar uma casa ou apartamento, espero que até lá esteja financeiramente estável. Quero também já ter feito a faculdade. Além de comprar um carro para mim, ter um carro sempre foi um sonho de criança, eu já consegui tirar minha habilitação, mas tenho vontade de ter um carro no meu nome. Essas são coisas que pretendo realizar antes dos 30 anos,  não sei se será possível, mas tentarei com muito esforço e determinação.</t>
  </si>
  <si>
    <t>518.533.008-29</t>
  </si>
  <si>
    <t>LARISSA VITORIA PEREIRA DE LIMA</t>
  </si>
  <si>
    <t>Larissa Vitória Pereira De Lima</t>
  </si>
  <si>
    <t>Lavi Azúlys Pereira De Lima</t>
  </si>
  <si>
    <t>laviazulys@gmail.com</t>
  </si>
  <si>
    <t>https://yz2spukd8h-jbrk7pf7uvw.s3.amazonaws.com/2024/05/Spw4QQLzZN8crTW0rMKxNZ6wZg8rbnsh86t5qs7dR0g%3D.jpg</t>
  </si>
  <si>
    <t>21 anos, 7 meses, 24 dias</t>
  </si>
  <si>
    <t>TODOS OS  TÉCNICOS CONCLUIDOS</t>
  </si>
  <si>
    <t>08220-010</t>
  </si>
  <si>
    <t>Apto 1</t>
  </si>
  <si>
    <t>Rua Patativa</t>
  </si>
  <si>
    <t>440</t>
  </si>
  <si>
    <t>534372776</t>
  </si>
  <si>
    <t>(11) 97746-2122</t>
  </si>
  <si>
    <t>LAVIAZULYS@GMAIL.COM</t>
  </si>
  <si>
    <t>https://www.instagram.com/laviarteiro/</t>
  </si>
  <si>
    <t>TEATRO E  EVENTOS</t>
  </si>
  <si>
    <t>https://youtu.be/wDhQiOlvxU4?si=ZLlFUtl1ECoNdcnW</t>
  </si>
  <si>
    <t>6a020</t>
  </si>
  <si>
    <t>511.100.998-19</t>
  </si>
  <si>
    <t>Isabelle Rodrigues De Moraes</t>
  </si>
  <si>
    <t>isabellerodrigues1304@gmail.com</t>
  </si>
  <si>
    <t>https://yz2spukd8h-jbrk7pf7uvw.s3.amazonaws.com/2024/06/d8qeR5bDAHAaf%2B40n5dmvhX/sBsgKzyswQPNiv3w5uE%3D.jpeg</t>
  </si>
  <si>
    <t>19 anos, 8 meses, 17 dias</t>
  </si>
  <si>
    <t>Vila Ede</t>
  </si>
  <si>
    <t>02202-020</t>
  </si>
  <si>
    <t>Rua Silva Guimarães</t>
  </si>
  <si>
    <t>132</t>
  </si>
  <si>
    <t>39695101-6</t>
  </si>
  <si>
    <t>(11) 99539-4250</t>
  </si>
  <si>
    <t>11-995394250</t>
  </si>
  <si>
    <t>Sou Isabelle, tenho 19 anos, sou não-binárie, nasci cresci e ainda vivo em São Paulo capital, vendia crochets para ajudar em casa, gosto muito de ler livros e desenhar, passei por muitos desafios mas estou tentando melhorar minha condição, estava estudando Biblioteconomia mas tive que desistir e trancar o curso por forças maiores e começar a ajudar em casa agora que terminei o ensino médio.</t>
  </si>
  <si>
    <t>Estou trabalhando numa loja de roupa em um shopping buscando um pouco de estabilidade e ajudar em casa, ganho muito pouco e tive que desistir do meu curso técnico pelo trabalho por conta da escala horrível do trabalho. O curso era biblioteconomia na ETEC Parque da Juventude e faltava apenas o último semestre mas não tive muita escolha da forma como as coisas andam.</t>
  </si>
  <si>
    <t>Meu maior objetivo é ajudar minha mãe em casa, atualmente o que ganho é menos do que um salário mínimo mas tenho fé que conseguirei em breve melhorar minha situação financeira. Quero muito concluir meu estudo no curso técnico. Quero melhorar minhas habilidades no crochet também porque mesmo pouco me ajuda muito a conseguir uma renda extra e no momento isso é essencial. Sonho em trabalhar em uma biblioteca.</t>
  </si>
  <si>
    <t>532.980.848-08</t>
  </si>
  <si>
    <t>KAUA ALVES TEOTONIO</t>
  </si>
  <si>
    <t>Kauã Alves Teotonio</t>
  </si>
  <si>
    <t>kaualvess58@gmail.com</t>
  </si>
  <si>
    <t>https://yz2spukd8h-jbrk7pf7uvw.s3.amazonaws.com/2024/06/iIxvAJKfcrl1rTqGZSL/qhFdnn6nHNE3nU8WocTfkRY%3D.jpeg</t>
  </si>
  <si>
    <t>25 anos, 2 meses, 14 dias</t>
  </si>
  <si>
    <t>Jardim Myrna</t>
  </si>
  <si>
    <t>04856-090</t>
  </si>
  <si>
    <t>Rua Almirante Antônio Carlos Raja Gabaglia</t>
  </si>
  <si>
    <t>551194844</t>
  </si>
  <si>
    <t>(11) 98619-1172</t>
  </si>
  <si>
    <t>https://www.facebook.com/Kaualvess58/</t>
  </si>
  <si>
    <t>https://drive.google.com/file/d/1Hqo3sMiO_Oei2KnAhfMgyXbV33n8AIfr/view?usp=drivesdk</t>
  </si>
  <si>
    <t>492.027.268-50</t>
  </si>
  <si>
    <t>Catharina Gabrielle Dos Santos</t>
  </si>
  <si>
    <t>catarina.gabrielle6@gmail.com</t>
  </si>
  <si>
    <t>https://yz2spukd8h-jbrk7pf7uvw.s3.amazonaws.com/2024/06/8FGyNNdfMtMBUmMtEbFfWrCxTMPFkXG7iPVnL4mYmiI%3D.jpeg</t>
  </si>
  <si>
    <t>24 anos, 1 meses, 9 dias</t>
  </si>
  <si>
    <t>Jardim Peri Novo</t>
  </si>
  <si>
    <t>02672-010</t>
  </si>
  <si>
    <t>Rua Luiz Macário de Castro</t>
  </si>
  <si>
    <t>283</t>
  </si>
  <si>
    <t>533815678</t>
  </si>
  <si>
    <t>(11) 94819-7172</t>
  </si>
  <si>
    <t>https://www.instagram.com/cathi.cruela?utm_source=ig_web_button_share_sheet&amp;igsh=ZDNlZDc0MzIxNw==</t>
  </si>
  <si>
    <t>Catharina Gabrielle dos Santos, uma jovem talentosa de 24 anos da zona norte de São Paulo, é modelo, DJ e artista independente desde 2017. Ela lidera o coletivo feminino Cruelas, promovendo a cultura jamaicana e reggae com mulheres fortes e empoderadas. Além disso, atua como DJ na Batalha do Escritório, utilizando música e rimas para difundir cultura e arte, criando espaços inclusivos e empolgantes para artistas e comunidades. Sua dedicação à expressão criativa e ao empoderamento através da música é inspiradora e impactante.</t>
  </si>
  <si>
    <t>como principal linha de frente do coletivo cruelas,  E DJ de uma batalha acredito que a cultura é a ferramenta principal para o desenvolvimento coletivo dentro das periferias.  Podemos mostrar para todos das nossas comunidades que é possível trazer cultura e bem-estar que vão além do que aqueles que estão de fora podem enxergar. Ajudando também muitos sonhos a serem realizados através da música, da arte e da livre expressão de ser quem somos.  Ao longo da minha trajetória acadêmica e pessoal, sempre busquei me envolver em atividades extracurriculares que me permitissem crescer como pessoa e profissional. Participei de eventos e atividades, como trabalhos voluntários, projetos escolares e casas</t>
  </si>
  <si>
    <t>Estou interessada em participar do programa Jovem Monitor, pois acredito que ele representa uma excelente oportunidade para desenvolver minhas habilidades, contribuir para a comunidade e ganhar mais experiência prática.  Estou especialmente motivada a participar do programa Jovem Monitor porque acredito que ele oferece um ambiente propício para aplicar e aprimorar minhas habilidades, além de me proporcionar uma experiência enriquecedora ao colaborar com outros jovens e mentores. Estou comprometida em aproveitar ao máximo essa oportunidade e contribuir ativamente para o sucesso do programa.</t>
  </si>
  <si>
    <t>479.220.728-21</t>
  </si>
  <si>
    <t>Graziela Dias Pereira</t>
  </si>
  <si>
    <t>grazieladias423@gmail.com</t>
  </si>
  <si>
    <t>https://yz2spukd8h-jbrk7pf7uvw.s3.amazonaws.com/2024/04/mmpnQ87pPIj17Yi6NvxT6QCdPqglQf891O6spMedZOI%3D.jpg</t>
  </si>
  <si>
    <t>20 anos, 2 meses, 19 dias</t>
  </si>
  <si>
    <t>formada em canto  na  etec</t>
  </si>
  <si>
    <t>Capão do Embira</t>
  </si>
  <si>
    <t>03386-120</t>
  </si>
  <si>
    <t>VILA FORMOSA</t>
  </si>
  <si>
    <t>Rua Hortêncio Tibúrcio da Silva</t>
  </si>
  <si>
    <t>558691729</t>
  </si>
  <si>
    <t>(11) 95249-9381</t>
  </si>
  <si>
    <t>Canto</t>
  </si>
  <si>
    <t>Sou uma jovem com atualmente 20 anos, que vem de uma família muito humilde, mas também muito batalhadora. Sempre tive um sonho: "quando eu crescer, só me vejo trabalhando com algo que eu goste, e bom, eu gosto de música". Na minha família não têm muitos músicos ou pessoas que trabalhem com cultura, mas isso é uma coisa que de fato sempre me interessou.</t>
  </si>
  <si>
    <t>Estou no último módulo do curso Técnico em Canto, da ETEC de Artes. Eu e minha turma estamos elaborando um TCC, que consta na apresentação de um espetáculo musical. Está sendo uma grande experiência e creio que esteja contribuindo de várias formas para o meu desenvolvimento profissional e pessoal.  Também estou trabalhando como Jovem Aprendiz de Arquivo em uma empresa de Gestão Cultural, mas meu contrato já está terminando.</t>
  </si>
  <si>
    <t>A minha meta é me envolver/consumir o máximo de cultura, de todos os tipos, e acredito que trabalhar como Jovem Monitora Cultural vai me proporcionar isso, e abrir portas, com certeza!  Pretendo cursar uma faculdade depois, que foque no Canto/Música, para sempre aprimorar meus estudos e poder seguir meu sonho de viver disso. Gosto de me empenhar em coisas que me façam ser criativa, e útil.</t>
  </si>
  <si>
    <t>085.851.465-67</t>
  </si>
  <si>
    <t>ALEXAINY MIRYAN FARIAS TORRES</t>
  </si>
  <si>
    <t>Alexainy Miryan Farias Torres</t>
  </si>
  <si>
    <t>073.***.***-10</t>
  </si>
  <si>
    <t>xainy.miryan@gmail.com</t>
  </si>
  <si>
    <t>https://yz2spukd8h-jbrk7pf7uvw.s3.amazonaws.com/2024/04/DBsOzdWeMzg/JX5h//v8SpRht6XHsDBGDMV2xUA9ir4%3D.jpeg</t>
  </si>
  <si>
    <t>32558979</t>
  </si>
  <si>
    <t>23 anos, 6 meses, 23 dias</t>
  </si>
  <si>
    <t>02203-030</t>
  </si>
  <si>
    <t>corredor ao lado do 173</t>
  </si>
  <si>
    <t>Rua Bentureli</t>
  </si>
  <si>
    <t>07350618310</t>
  </si>
  <si>
    <t>(11) 99286-8425</t>
  </si>
  <si>
    <t>XAINY.MIRYAN@GMAIL.COM</t>
  </si>
  <si>
    <t>https://www.instagram.com/kamalaomobirin?igsh=cDRxbXgxNGliZ3N4&amp;utm_source=qr</t>
  </si>
  <si>
    <t>AGROINDÚSTRIA</t>
  </si>
  <si>
    <t>00104576</t>
  </si>
  <si>
    <t>https://drive.google.com/drive/folders/1uFwCm3BVwb1f2BztuQvdtjSqDGM-Z7at</t>
  </si>
  <si>
    <t>CENTRO - 1</t>
  </si>
  <si>
    <t>CID 10 F64 CID11 HA60</t>
  </si>
  <si>
    <t>073.506.183-10</t>
  </si>
  <si>
    <t>Glória Maria Cardoso Da Silva</t>
  </si>
  <si>
    <t>gloriam_2014@hotmail.com</t>
  </si>
  <si>
    <t>https://yz2spukd8h-jbrk7pf7uvw.s3.amazonaws.com/2024/06/EhvTfrePsijbAaJfsJp/EsFLGzxQQY8qIUMS0op3G3M%3D.jpg</t>
  </si>
  <si>
    <t>26 anos, 10 meses, 19 dias</t>
  </si>
  <si>
    <t>producao cultural nao  finalizado,se auto declara negra</t>
  </si>
  <si>
    <t>08270-010</t>
  </si>
  <si>
    <t>Rua Harry Dannenberg</t>
  </si>
  <si>
    <t>396286422</t>
  </si>
  <si>
    <t>(11) 99001-0597</t>
  </si>
  <si>
    <t>gloriam_2014@hotmil.com</t>
  </si>
  <si>
    <t>https://www.instagram.com/cardoso.gm/</t>
  </si>
  <si>
    <t>producao audio visual</t>
  </si>
  <si>
    <t>Olá   Meu nome é Glória Maria, tenho 26 anos, sou paraense, mas vivi a maior parte da minha vida na Zona Leste de São Paulo (Itaquera). Cresci frequentando centros culturais. Quando eu tinha 6 anos de idade eu assisti a minha primeira peça de teatro no centro cultual de São Paulo. Eu não lembro exatamente qual era o enredo da peça, mas lembro das emoções que que senti naquele dia. Sai de lá em êxtase, completamente apaixonada, encantada e com a certeza que eu queria viver aquelas emoções mais vezes.</t>
  </si>
  <si>
    <t>Aos 8 anos de idade tive a oportunidade de participar de uma oficina de teatro na escola que eu estudava. Infelizmente minha família não condições financeiras de sustentar esse sonho e logo tive que desistir e cresci com esse sonho adormecido dentro de mim. Aos 24 anos de idade, através de alguns amigos, conheci a SP Escola de Teatro e o Senac onde fiz alguns cursos voltados para a Produção e Gestão Cultural. Que me levaram a ter algumas experiências como assistente de produção em feiras, exposições e peças de teatro. Estou em processo de aprendizagem e desenvolvimento.</t>
  </si>
  <si>
    <t>Olhando para o futuro, minha ambição é continuar expandindo meus horizontes na produção cultural, assumindo novos desafios e explorando oportunidades inovadoras. Quero fazer parte de uma organização que valorize a cultura e a arte. Meu objetivo é fazer parte de grandes produções, trabalhar com equipes diversificadas e talentosas e contribuir para projetos que promovam a inclusão, a diversidade e a acessibilidade na cultura</t>
  </si>
  <si>
    <t>448.005.588-67</t>
  </si>
  <si>
    <t>Camila Marques Souto</t>
  </si>
  <si>
    <t>camilamarquessouto@gmail.com</t>
  </si>
  <si>
    <t>https://yz2spukd8h-jbrk7pf7uvw.s3.amazonaws.com/2024/05/d0iQL1ZQesqEaXvOu1OTjnws8JKJHtDoLPfqf2%2B5J7M%3D.jpg</t>
  </si>
  <si>
    <t>Jardim Beatriz (Zona Leste)</t>
  </si>
  <si>
    <t>08245-380</t>
  </si>
  <si>
    <t>Rua Marmorata</t>
  </si>
  <si>
    <t>478262292</t>
  </si>
  <si>
    <t>(11) 98778-3455</t>
  </si>
  <si>
    <t>Letras e Licenciatura</t>
  </si>
  <si>
    <t>Olá!  Sou, Camila Marques Souto, tenho 28 anos, nascida e criada na zona leste de São Paulo- SP, moro com mais duas pessoas; minha mãe e irmã. Já trabalhei e fiz estágio mais na área de atendimento, fiz um técnico em gerência em Saúde, porém o que me encantou nesse percurso, foi quando quando faziamos visitas técnicas para acervos. museu, Fábrica de cultura. Teve uma matéria sobre estoque e fizemos uma vista para o arquivo público do estado de São Paulo.</t>
  </si>
  <si>
    <t>Tenho procurado também algo na área de administração pública e gestão cultural, assim foi que uma amiga me indicou esse programa Jovem monitor e fiquei bastante interessada e empolgada, pois estou a procura de oportunidades no mercado que possa elevar o meu conhecimento e me dar uma oportunidade de estar nesse ambiente, não só para visita e sim a trabalho. Atualmente, estou cursando letras licenciatura e também sou musicista.</t>
  </si>
  <si>
    <t>A oportunidade me agrada, e sei que vai me ajudar a criar novas conexões, experiência e abrir mais a minha mente para essas áreas, apesar de estar cursando letras icenciatura, durante esse curso vejo que não preciso me limitar a só dar aula, e que nesse ramo há tantas outras oportunidades que posso me especializar. Espero poder experimentar tudo que esse programa tem a oferecer.    Desde já agradeço por me receber!</t>
  </si>
  <si>
    <t>444.957.378-13</t>
  </si>
  <si>
    <t>Raquel Da Silva Fernandes</t>
  </si>
  <si>
    <t>raquelfernandes.06@hotmail.com</t>
  </si>
  <si>
    <t>https://yz2spukd8h-jbrk7pf7uvw.s3.amazonaws.com/2024/06/qJiMhyfAMvL%2B9pG0kHiLiPB9tQF1CmCV9gOeLt7yCXM%3D.pdf</t>
  </si>
  <si>
    <t>23 anos, 6 meses, 10 dias</t>
  </si>
  <si>
    <t>Jardim Iva</t>
  </si>
  <si>
    <t>03921-020</t>
  </si>
  <si>
    <t>Avenida Lauro Xerfan</t>
  </si>
  <si>
    <t>504</t>
  </si>
  <si>
    <t>550085956</t>
  </si>
  <si>
    <t>(11) 99301-6483</t>
  </si>
  <si>
    <t>RAQUELFERNANDES.06@HOTMAIL.COM</t>
  </si>
  <si>
    <t>Oi, eu sou Raquel Fernandes, tenho 23 anos, nasci e cresci na periferia da zona leste de São Paulo, e estou no corre da arte desde os 14 anos. As vezes brinco que me denomino filha de políticas publicas. Comecei fazer teatro aos 14 anos na  Fábrica de Cultura Sapopemba, Após 3 anos de cursos na Fábrica de Cultura, criei um grupo com outros ex-aprendizes. Sempre em espaços públicos e/ou com foco na formação de jovens da periferia, fiz produção cultural, residencia artistica e teatro. Gosto de falar que sou filha de politicas publicas, justamente por toda a minha construção de cidadã e artistica se deu por meio dessas diretrizes. Fabricas de Cultura; VAI; Prouni e agora o PJMC.</t>
  </si>
  <si>
    <t>Atualmente curso bacharelado e licenciatura pela Universidade Anhembi Morumbi, estou no 7° semestre de uma graduação de 8. Pretensão é que me forme em dezembro desse ano. Esse ano estive focada na area da arte-educação, e a educação inclusiva, estagiando em espaços de grande vulnerabilidade social, como CAA's e em em um instituto para pessoas com deficiência intelectual.  Além do processo de concluir meu curso, as vezes também me faço voluntaria em ministrar oficinas de teatro no Caps Infanto-Juvenil de São Mateus.</t>
  </si>
  <si>
    <t>Como cresci na formação em espaços públicos, pretendo voltar a Fabrica de Cultura e/ou outros espaços condizentes, agora como arte-educadora. Quero ser referencia para crianças e adolescentes, iguais aos educadores que tive no meu  processo. Linkar arte e educação é o que acredito na construção de uma sociedade mais justa, igualitária e amorosa. Tenho foco principalmente em atuar em espaços periféricos, e demonstrar a prova viva de que podemos ocupar todos os espaços que queremos sim. Terminar minha graduação, me especializar e monetizar meu trabalho e minha arte, além de ajudar efetivamente no cenário educacional, é onde pretendo estar nos proximos anos.</t>
  </si>
  <si>
    <t>480.661.458-02</t>
  </si>
  <si>
    <t>Claudia Gama Teles</t>
  </si>
  <si>
    <t>contatoclaudiateles@gmail.com</t>
  </si>
  <si>
    <t>https://yz2spukd8h-jbrk7pf7uvw.s3.amazonaws.com/2024/06/2RiIDN06TGxjIhPyjipIgu/xUqxNQDKRtY3u%2ByvVba4%3D.jpeg</t>
  </si>
  <si>
    <t>23 anos, 5 meses, 9 dias</t>
  </si>
  <si>
    <t>Jardim Ana Rosa</t>
  </si>
  <si>
    <t>03287-010</t>
  </si>
  <si>
    <t>Rua Heráclito Odilon</t>
  </si>
  <si>
    <t>251</t>
  </si>
  <si>
    <t>56.705.214-X</t>
  </si>
  <si>
    <t>(11) 98812-1162</t>
  </si>
  <si>
    <t>claudiagteles@hotmail.com</t>
  </si>
  <si>
    <t>https://www.instagram.com/witchbleed/</t>
  </si>
  <si>
    <t>TECNICO EM COMUNICAÇÃO VISUAL</t>
  </si>
  <si>
    <t>Comecei minha jornada profissional na pandemia fazendo o curso técnico de Comunicação Visual na ETEC José Rocha Mendes, de março de 2021 à julho 2022. Me inseri no mercado como Designer por um estágio na área, mas a minha verdadeira paixão foi sempre arte e cultura.     Desde de meados de 2018, ainda no ensino médio, eu organizava festas e eventos com amigos, fui me aprofundando como DJ apenas como hobbie, assim as oportunidades foram aparecendo pra me apresentar. Também participei da organização de um bloco de carnaval de rua aqui no meu bairro, antes da pandemia em fevereiro de 2020, foi a primeira vez que fiz algo sério para a comunidade tendo contato com a prefeitura e as burocracias.</t>
  </si>
  <si>
    <t>Atualmente trabalho informalmente como DJ e decidi que vou me aprofundar na área de produção cultural e eventos. Tive diversas experiências positivas, criei minha própria festa independente chamada Club Acid (@club.acido), que busca dar visibilidade para mulheres, pessoas trans e nb e pessoas negras no meio da música pop e eletrônica que é um meio muito dominado por homens brancos cisgênero. Tive oportunidades de atuar no meio artístico e encorajar outras pessoas. Também uso minha experiência com design e comunicação visual para agregar nos meus projetos artísticos.</t>
  </si>
  <si>
    <t>Em 2024 eu me inseri na casa de cultura Chico Science por meio do projeto Rede Daora, participando dos cursos: Profissão DJ e Criação Musical e também da oficina de Gestão de Projetos Culturais, sendo essa oficina o ponto de partida da minha vontade de estudar sobre o funcionamento dos editais e todos os processos que envolvem a difusão de cultura no nosso país. Gostaria de ingressar como Jovem Monitor Cultural em 2025 para seguir essa formação de forma consistente, participar da vivência cultural e proporcionar uma mínima estabilidade financeira para seguir meus sonhos de artista e produtora. Fui muito bem acolhida nos espaços da casa de cultura e contribuir lá seria um sonho pra mim.</t>
  </si>
  <si>
    <t>362.977.338-99</t>
  </si>
  <si>
    <t>MATHEUS ROBERTO MAGNO DOS SANTOS</t>
  </si>
  <si>
    <t>Matheus Roberto Magno Dos Santos</t>
  </si>
  <si>
    <t>Donatella Magno Dos Santos</t>
  </si>
  <si>
    <t>contatoxdona@gmail.com</t>
  </si>
  <si>
    <t>https://yz2spukd8h-jbrk7pf7uvw.s3.amazonaws.com/2024/04/U3tHUA2he4eqm8G5zBMy4sDX484nxqz4XciQc%2BrLPRE%3D.jpg</t>
  </si>
  <si>
    <t>27 anos, 1 meses, 27 dias</t>
  </si>
  <si>
    <t>Sumarezinho</t>
  </si>
  <si>
    <t>05437-002</t>
  </si>
  <si>
    <t>Rua Heitor Penteado</t>
  </si>
  <si>
    <t>1913</t>
  </si>
  <si>
    <t>7364414</t>
  </si>
  <si>
    <t>(11) 94817-2109</t>
  </si>
  <si>
    <t>PINHEIROS (ALTO DE PINHEIROS, ITAIM BIBI, JARDIM PAULISTA, PINHEIROS)</t>
  </si>
  <si>
    <t>Natan e Alessandra</t>
  </si>
  <si>
    <t>Sou Paraense, 27 anos, transgênere e não binárie, nascida e criada no bairro do Jurunas (Periferia da Zona Sul de Belém), filha de um pai preto ( Estivador- OGMO) e de uma mãe branca (dona de casa que não teve a oportunidade de terminar seu ensino médio). Sou multiartista (atuo, performo e modelo) formada pelo Técnico em Teatro da Escola de Teatro e Dança da Universidade Federal do Pará -    ETDUFPA/ DRT: 0000521/PA. Fui a primeira da minha família a ter acesso a uma Universidade Federal.</t>
  </si>
  <si>
    <t>Atualmente moro em São Paulo- Sumarezinho com uma amiga, vim recomeçar minha vida do zero nessa cidade depois de ter sofrido violência moral e psicológica (Homotransfobia) pela minha própria família e ter sido expulsa de casa. Quando cheguei em SP não conhecia ninguém e não tinha onde morar, fui moradora do Centro Cultural e de Acolhimento LGBTQIAPN+ Casa 1 durante quatro meses e através de lá, do plantão de empregabilidade eu consegui meu primeiro emprego em SP como Orientadora de Público da Exposição ‘’Constelação Celestina’’ do fotógrafo nascido na Zona Leste de SP Wagner Celestino que inaugurou junto com a unidade Sesc 14 BIS.</t>
  </si>
  <si>
    <t>Com essa experiência (como parte da equipe educativa da exposição) surgiu a vontade de trabalhar com produção, programação e/ou gestão cultural, mas não tenho experiência e não sei por onde começar, acho que o Projeto Jovem Monitor Cultural é uma ótima iniciativa pra eu adquirir experiências, conhecer outres artistes, além de enriquecer meu currículo artistíco.</t>
  </si>
  <si>
    <t>020.089.502-80</t>
  </si>
  <si>
    <t>Khauã Morais Reis</t>
  </si>
  <si>
    <t>khauamoraisreisfei@gmail.com</t>
  </si>
  <si>
    <t>https://yz2spukd8h-jbrk7pf7uvw.s3.amazonaws.com/2024/04/fBPmIVWpd1Fg8JrkhvqigJSR6Sj72qDVILam64arKMI%3D.jpeg</t>
  </si>
  <si>
    <t>18 anos, 11 meses, 9 dias</t>
  </si>
  <si>
    <t>04841-100</t>
  </si>
  <si>
    <t>Rua Ciro Salomão</t>
  </si>
  <si>
    <t>258</t>
  </si>
  <si>
    <t>528883227</t>
  </si>
  <si>
    <t>(11) 98117-1774</t>
  </si>
  <si>
    <t>https://www.instagram.com/afrokha_/?igsh=MXdvaWVvaW13bGI1dw%3D%3D&amp;utm_source=qr</t>
  </si>
  <si>
    <t>Sou Khauã Morais Reis, um jovem de 18 anos, nascido e criado no bairro do Grajaú, em São Paulo. Gostaria de compartilhar um pouco da minha jornada até aqui e dos meus planos para o futuro. Desde cedo, aprendi a valorizar a importância da produtividade e do comprometimento. Minha paixão pelo basquete não apenas me proporcionou momentos de diversão, mas também me ensinou valiosas lições sobre disciplina e foco. Esses valores moldaram minha abordagem em relação aos meus deveres, objetivos e metas.</t>
  </si>
  <si>
    <t>Atualmente, estou em busca de novas oportunidades para desenvolver meu potencial e alcançar meus sonhos. Tenho um forte desejo de crescer pessoal e profissionalmente, e estou determinado a fazer o que for necessário para alcançar o sucesso. Em 2023, tive a oportunidade de participar da produção do evento da Expo Internacional III, uma experiência enriquecedora onde pude mergulhar nos bastidores da produção, explorando diferentes linguagens artísticas como música, teatro e muito mais. Foi nesse contexto que descobri minha paixão pela produção.</t>
  </si>
  <si>
    <t>Além disso, tenho parentes envolvidos em grandes produções apenas intensificou meu interesse, proporcionando insights valiosos sobre os bastidores e alimentando ainda mais minha motivação para seguir nessa área. Sou um jovem negro que cresceu em uma comunidade. A oportunidade de estar em um equipamento público é verdadeiramente incrível para mim. Estou plenamente consciente do valor dessa oportunidade e estou determinado a agarrá-la com toda a minha energia e comprometimento. Estou pronto para demonstrar meu potencial e contribuir de forma significativa para programa.</t>
  </si>
  <si>
    <t>593.217.718-75</t>
  </si>
  <si>
    <t>Gabrielle Silva Santos</t>
  </si>
  <si>
    <t>santosgabrielle799@gmail.com</t>
  </si>
  <si>
    <t>https://yz2spukd8h-jbrk7pf7uvw.s3.amazonaws.com/2024/05/b13IzcthC0LckLNxJiEs8UILZ1HRlgDmf8UKpv9/0WI%3D.jpeg</t>
  </si>
  <si>
    <t>20 anos, 10 meses, 8 dias</t>
  </si>
  <si>
    <t>Cidade Nitro Operária</t>
  </si>
  <si>
    <t>08010-380</t>
  </si>
  <si>
    <t>Rua Cumaru</t>
  </si>
  <si>
    <t>381</t>
  </si>
  <si>
    <t>523934439</t>
  </si>
  <si>
    <t>(11) 97550-1679</t>
  </si>
  <si>
    <t>Vim de uma família bem humilde onde eu tive desde os meus 13 anos de idade trabalhar para ajudar na rende em casa , meus pais se separaram muito cedo , então tive que dar apoio para a minha mãe conseguir trabalhar e ajudar em casa e com minhas irmãs  , sempre estudei em escola publica , passei por algumas dificuldades na minha vida , mas nada que me deixasse desistir do meu grande sonho.</t>
  </si>
  <si>
    <t>Atualmente estou cursando licenciatura em pedagogia, sendo bolsista 100% DO PROUNI , fazendo estagio para ver em qual das áreas em pedagogia eu me identifico , meu estagio nos dias de hoje é no ensino fundamental , consegui me identificar bastante  , porém gostaria  de experimentar outras áreas como a cultura que é algo que eu já trabalhei antes e encheu meus olhos de esperanças. Por isso estou me candidatando para essa vaga.</t>
  </si>
  <si>
    <t>Futuramente estarei formada como pedagoga , estarei concursada como professora em sala de aula ou estarei sendo educadora em alguma casa de cultura , que também é algo que me chama bastante atenção. Mas, estarei dando uma condição financeira melhor para a minha família e estarei grata comigo mesmo por todas as dificuldades passadas durante toda graduação e estudo que eu tive.</t>
  </si>
  <si>
    <t>523.974.768-78</t>
  </si>
  <si>
    <t>JOAO VITOR SILVA LUNA</t>
  </si>
  <si>
    <t>João Vitor Silva Luna</t>
  </si>
  <si>
    <t>Luna Silva</t>
  </si>
  <si>
    <t>lulunasilva9@gmail.com</t>
  </si>
  <si>
    <t>https://yz2spukd8h-jbrk7pf7uvw.s3.amazonaws.com/2024/05/TA8TdQzJoIqU6AZjAAYW0FfPQJCWZilNPaG6zp0mXLM%3D.jpg</t>
  </si>
  <si>
    <t>19 anos, 9 meses, 29 dias</t>
  </si>
  <si>
    <t>01217-010</t>
  </si>
  <si>
    <t>apto 26</t>
  </si>
  <si>
    <t>Alameda Ribeiro da Silva</t>
  </si>
  <si>
    <t>466</t>
  </si>
  <si>
    <t>552542519</t>
  </si>
  <si>
    <t>(11) 94004-2079</t>
  </si>
  <si>
    <t>https://www.instagram.com/jaam_luna/</t>
  </si>
  <si>
    <t xml:space="preserve">Dança </t>
  </si>
  <si>
    <t>https://drive.google.com/file/d/11XE5w1Pbuj75WMSFSD7N_0orvi1PPbaj/view?usp=sharing</t>
  </si>
  <si>
    <t>445.224.348-71</t>
  </si>
  <si>
    <t>Amanda Sales Nascimento Luna</t>
  </si>
  <si>
    <t>amandasalesnascimentoluna@gmail.com</t>
  </si>
  <si>
    <t>https://yz2spukd8h-jbrk7pf7uvw.s3.amazonaws.com/2024/04/bOAJJlLyfPtduxiTFQj7fDxHES49iqJHKksfBeaOvGc%3D.jpg</t>
  </si>
  <si>
    <t>18 anos, 2 meses, 1 dias</t>
  </si>
  <si>
    <t>04884-170</t>
  </si>
  <si>
    <t>Travessa 3 número 16</t>
  </si>
  <si>
    <t>Rua Francisco Barbieri</t>
  </si>
  <si>
    <t>550</t>
  </si>
  <si>
    <t>523899440</t>
  </si>
  <si>
    <t>(11) 97328-2193</t>
  </si>
  <si>
    <t>Meu nome é Amanda Sales Nascimento Luna, nasci e cresci em São Paulo capital, ao longo dos anos desenvolvi uma paixão maravilhosa pela leitura e pelo conhecimento de novas culturas. Durante a infância, meus melhores amigos foram os livros, que fizeram papel mais do importante para decidir tudo que eu faria pelo resto da minha vida. Cresci ouvindo muita música estrangeira, vendo filmes e séries , não era de se admirar que com o tempo eu começaria a me apaixonar por novos idiomas. Por mais que não tenha fluência, é um caminho que pretendo chegar</t>
  </si>
  <si>
    <t>No momento estou no ensino médio, estudando bastante pra que um dia possa realizar meus sonhos. Não tenho emprego, nem fonte de renda própria, apenas    esperando uma oportunidade de mostrar minhas capacidades de comunicação e atendimento ao cliente. É muito difícil encontrar uma vaga de emprego, mas não vou desistir. Estou indo pra escola e estudando para o Enem em casa.</t>
  </si>
  <si>
    <t>Pretendo seguir a carreira de bibliotecária, fazer faculdade e conseguir um emprego. Viajar, conhecer o mundo e todas as culturas que ele pode me oferecer. Aprender muito mais dos idiomas que eu já sei e tentar arriscar viver em outro país, mesmo que a barreira da língua seja difícil, quando se tem conhecimento, tudo fica mais fácil. Por fim, gostaria de viver uma vida tranquila e sem  preocupações</t>
  </si>
  <si>
    <t>526.779.558-57</t>
  </si>
  <si>
    <t>Gabriela Marques Chavonga</t>
  </si>
  <si>
    <t>gabrielamarques243@gmail.com</t>
  </si>
  <si>
    <t>https://yz2spukd8h-jbrk7pf7uvw.s3.amazonaws.com/2024/05/cQ99jhjN5l9Q%2BVKfnucFzf09vBpa7YGM4iQwjmHdHdA%3D.jpeg</t>
  </si>
  <si>
    <t>28 anos, 2 meses, 0 dias</t>
  </si>
  <si>
    <t>Vila Regente Feijó</t>
  </si>
  <si>
    <t>03346-080</t>
  </si>
  <si>
    <t>ÁGUA RASA</t>
  </si>
  <si>
    <t>Rua Jabaeté</t>
  </si>
  <si>
    <t>88</t>
  </si>
  <si>
    <t>451145288</t>
  </si>
  <si>
    <t>(11) 96358-6813</t>
  </si>
  <si>
    <t>https://www.instagram.com/gabrielamarques.produtora/</t>
  </si>
  <si>
    <t>BIBLIOTECA PAULO SÉRGIO DUARTE MILLIET</t>
  </si>
  <si>
    <t>Nasci no município de Diadema, onde vivi até o início da vida adulta. Cursei todo meu ensino até o ensino médio em escolas públicas e trabalhei em hospitais e clinicas médicas como recepcionista. No ano de 2018 comecei a me dedicar ao artesanato e criei uma marca de acessórios feitos com tecidos africanos (Wondambi acessórios). No mesmo ano fiz meus primeiros trabalhos como fotógrafa e produtora cultural.</t>
  </si>
  <si>
    <t>Atualmente resido no Tatuapé na zona leste de São Paulo. Sou fundadora do coletivo Conexão Angola Brasil onde desenvolvi trabalhos de produção cultural em duas edições do programa Vai e diversos trabalhos como a exposição   "Onde o arco íris se esconde"  que aconteceu em 2023 no Museu da Imigração e produção criativa no filme " Sonhos Exilados"  Em 2023 fundei o coletivo de mulheres Trajetórias Negras, onde atuo como produtora cultural e proponente no programa Vai 1. Promovendo Saraus focados em enaltecer toda a pluralidade da cultura negra e impulsionando o talento e trabalho de artistas independentes.</t>
  </si>
  <si>
    <t>Meu objetivo é levar meus trabalho para mais espaços culturais. Venho desenvolvendo desde o início meu trabalho pautado na  acultura africana e afro-brasileira. Acredito que trabalhar em um equipamento público cultural enriquecerá muito minhas perspectivas e modo de executar minhas ideias. E acima de tudo gostaria de contribuir para os espaços trazendo projetos que deem  mais visibilidade a artistas e a cultura negra e africana.</t>
  </si>
  <si>
    <t>452.116.788-85</t>
  </si>
  <si>
    <t>Gabriela Domingues Da Silva</t>
  </si>
  <si>
    <t>GABRIELA DOMINGUES</t>
  </si>
  <si>
    <t>Gabriela Domingues</t>
  </si>
  <si>
    <t>gabrielalondri@gmail.com</t>
  </si>
  <si>
    <t>https://yz2spukd8h-jbrk7pf7uvw.s3.amazonaws.com/2024/06/jKHkYK2onbFnAIrqZyLRwUNk/4GysIgK/JpydE9QXw4%3D.jpeg</t>
  </si>
  <si>
    <t>Vila Bom Jardim</t>
  </si>
  <si>
    <t>04937-000</t>
  </si>
  <si>
    <t>Estrada Guavirituba</t>
  </si>
  <si>
    <t>1315</t>
  </si>
  <si>
    <t>392087649</t>
  </si>
  <si>
    <t>(11) 98581-1014</t>
  </si>
  <si>
    <t>Sou da periferia de São Paulo, e desde muito nova sempre estive inserida nesse mundo cultural, pois os meus pais sempre me levaram para exposição, museus, teatros, shows de graça e etc. Sempre gostei muito e sempre tive muito apresso pela área cultural.   Gosto dessa área graças ao apoio e participação dos meus pais que desde a minha infância me levaram para esses ambientes.</t>
  </si>
  <si>
    <t>Hoje, estou estudando licenciatura em artes visuais, e pretendo trabalhar na área cultural. Estou aberta e quero experimentar a diversos trabalhos na área, como educadora, na produção artística, na produção cultural e outras diversas formas de se trabalhar na cultura.   Atualmente, me encontro desempregada e em busca de imigrar de carreira, pois eu trabalhava na área de limpeza e não estava me identificando mais.</t>
  </si>
  <si>
    <t>Pretendo me especializar na área de museus, pois esse é o meu maior sonho. Depois dessa graduação, quero ingressar numa pós em museologia. Porém, pensando no agora, tenho um desejo muito grande em conhecer os diversos meios/ tipos de trabalho na cultura. Mas quero, para além de fazer produção, execução, direção e de qualquer coisa na área cultural, quero me sentir parte desse processo que desde de muito nova admirei.    Guardo um apresso muito grande para museologia, mas também gosto muito da ideia de ter várias experiências na área cultural.</t>
  </si>
  <si>
    <t>526.138.338-23</t>
  </si>
  <si>
    <t>Carlos Eduardo De Castro Guerra</t>
  </si>
  <si>
    <t>carlos.edudecastro25@gmail.com</t>
  </si>
  <si>
    <t>https://yz2spukd8h-jbrk7pf7uvw.s3.amazonaws.com/2024/05/KwLGPLQzcEDWbnZ56LS97FFNZ0mZ66Im%2B13yC8nkA40%3D.jpg</t>
  </si>
  <si>
    <t>02729-010</t>
  </si>
  <si>
    <t>Studio 2</t>
  </si>
  <si>
    <t>Rua Doutor Elviro Carrilho</t>
  </si>
  <si>
    <t>591380055</t>
  </si>
  <si>
    <t>(11) 96227-5385</t>
  </si>
  <si>
    <t xml:space="preserve">computação gráfica </t>
  </si>
  <si>
    <t>236.62061.72-0</t>
  </si>
  <si>
    <t>https://drive.google.com/drive/folders/1RjupSb1w69Zs7qkGrUZbB3zSApla6L2M</t>
  </si>
  <si>
    <t>555.619.728-80</t>
  </si>
  <si>
    <t>Castiel De Sousa Machado</t>
  </si>
  <si>
    <t>machado123isabella@gmail.com</t>
  </si>
  <si>
    <t>https://yz2spukd8h-jbrk7pf7uvw.s3.amazonaws.com/2024/04/Lyg6BQCQbDt7e72rbWSVKap1iLBRsVeh5pNgwSU%2Bgr0%3D.jpg</t>
  </si>
  <si>
    <t>19 anos, 4 meses, 8 dias</t>
  </si>
  <si>
    <t>Jardim São Jorge (Raposo Tavares)</t>
  </si>
  <si>
    <t>05568-010</t>
  </si>
  <si>
    <t>Rua Severiano Leite da Silva</t>
  </si>
  <si>
    <t>535768151</t>
  </si>
  <si>
    <t>(11) 98161-2658</t>
  </si>
  <si>
    <t>MACHADO123ISABELLA@GMAIL.COM</t>
  </si>
  <si>
    <t>ENSINO MEDIO</t>
  </si>
  <si>
    <t>https://www.instagram.com/eicastiel_?igsh=MWFycjByOXFydG9uOQ==</t>
  </si>
  <si>
    <t>CEU UIRAPURU</t>
  </si>
  <si>
    <t>Cresci em Porangatu, Goiás, com 5 irmãos, 4 homens e 1 mulher. Desde criança, me identificava mais com os costumes masculino. Mudei-me para São Paulo, enfrentei desafios de adaptação. Sofri bullying por um bom tempo por causa de minha magreza, mas me mantive paciente e proativo. A pandemia afetou o meu aprendizado no ensino médio, mas me ensinou a distinguir entre amigos e colegas.</t>
  </si>
  <si>
    <t>Atualmente, estou em um ambiente familiar acolhedor após me assumir, e estou no processo de retificação e obtenção de novos documentos. Nesse momento estou no programa jovem aprendiz, mas minha experiência no trabalho é mista devido a horários irregulares e falta de reconhecimento. Apesar de ser proativo, responsável e paciente, não me sinto valorizado. Estou ansioso por minha próxima oportunidade profissional e considero explorar a área de design gráfico. Enquanto isso, ocupo-me com hobbies como música, academia e arte para lidar com a ansiedade.</t>
  </si>
  <si>
    <t>Espero conquistar meu certificado em design gráfico e trabalhar nessa área com um horário fixo, sem preocupações com escalas rotativas. Desejo ser valorizado no trabalho e ter todos os documentos atualizados. Almejo ter minha própria casa, com privacidade, algo que nunca tive. E, acima de tudo, espero juntar dinheiro suficiente para realizar minha cirurgia de mastectomia.</t>
  </si>
  <si>
    <t>391.326.818-95</t>
  </si>
  <si>
    <t>Mateus Luiz Sampaio</t>
  </si>
  <si>
    <t>mateussampaio631@gmail.com</t>
  </si>
  <si>
    <t>https://yz2spukd8h-jbrk7pf7uvw.s3.amazonaws.com/2024/04/aUfi6kUnFLJ29H/V5dHm3Enh1ZLd0cO4fCATWvdBXrI%3D.jpeg</t>
  </si>
  <si>
    <t>18 anos, 10 meses, 6 dias</t>
  </si>
  <si>
    <t>Vila Santo Estéfano</t>
  </si>
  <si>
    <t>04154-030</t>
  </si>
  <si>
    <t>CURSINO</t>
  </si>
  <si>
    <t>Rua Kalil Nader Habr</t>
  </si>
  <si>
    <t>574</t>
  </si>
  <si>
    <t>565488004</t>
  </si>
  <si>
    <t>(11) 93933-3487</t>
  </si>
  <si>
    <t>https://www.instagram.com/mateusampaaio?igsh=ejg0ZGV3Y2ttOGU%3D&amp;utm_source=qr</t>
  </si>
  <si>
    <t>Me chamo Mateus, nasci e cresci na Vila santo Estefano, zona sul de São Paulo, na região do Ipiranga.  Filho de taxista e professora, desde cedo tive interesse nas artes, através dos meus pais.  Extrovertido, comunicativo e criativo tenho facilidade em lidar com diversos tipos de pessoas e situações.  Em 2022, ano em que me formei no ensino medio, passei a frequentar a casa de cultura Chico Science, tendo contato com diversas áreas da arte e comunicação através das oficinas e apresentações, conhecendo pessoas e aumentando meu interesse na área.  Em 2023, tive a oportunidade de participar de um curta metragem de pequeno porte como ator e produtor, através de um colega.</t>
  </si>
  <si>
    <t>Ainda dentro da casa de cultura Chico Science, conheci a rede daora e através da mesma faço parte de três cursos atualmente.  Cada vez mais, tenho a certeza de  estar no meio cultural, da arte e da comunicação.  Atualmente encontro dificuldade para financiar meus projetos artísticos e estudos, vejo no programa Jovem monitor cultural uma oportunidade de ingressar minha carreira na área cultural e principalmente aprender na prática.  Creio que minha criatividade e conhecimento sobre os interesses dos jovens pode gerar bons impactos, levando cada vez mais a juventude para os espaços culturais.</t>
  </si>
  <si>
    <t>No futuro, me vejo experimentando a arte em diversas formas, dando oportunidades para aqueles que menos tem, para aqueles que desejam agregar, consequentemente salvando vidas, realizando sonhos e não desperdiçando talentos. Tenho desejo de propagar a cultura dentro e fora do Brasil, nas zonas centrais e nas periferias, usando a pluralidade do país ao favor.</t>
  </si>
  <si>
    <t>456.923.218-31</t>
  </si>
  <si>
    <t>CAROLINE OLIVEIRA DE MORAIS</t>
  </si>
  <si>
    <t>Caroline Oliveira De Morais</t>
  </si>
  <si>
    <t>Ca Morais</t>
  </si>
  <si>
    <t>carolsinha.lorac@hotmail.com</t>
  </si>
  <si>
    <t>https://yz2spukd8h-jbrk7pf7uvw.s3.amazonaws.com/2024/05/1wAzkmXajkfYUYWf7iq5fnAc3ybKSeKqgOM1eqqqz54%3D.JPG</t>
  </si>
  <si>
    <t>29 anos, 5 meses, 22 dias</t>
  </si>
  <si>
    <t>Jardim Palmares (Zona Sul)</t>
  </si>
  <si>
    <t>04457-030</t>
  </si>
  <si>
    <t>Rua Hafiz</t>
  </si>
  <si>
    <t>43813307-9</t>
  </si>
  <si>
    <t>(11) 95048-7483</t>
  </si>
  <si>
    <t>Me chamo Caroline Oliveira de Morais, nascida e criada na Grande São Paulo, nasci no bairro paraíso e fui registrada no bairro liberdade, morei maior parte da minha infância no bairro Ipiranga, que tem o museu da independência e seu lindo jardim que foi meu lugar favorito para brincar e ali crescer e poder chamar de quintal, e ao lado o sesc que me ensinou muitas coisas.</t>
  </si>
  <si>
    <t>Atualmente moro no bairro de interlagos, um lugar que gosto muito e fácil de andar pela cidade, no momento estou fazendo técnico em processos fotográficos no Senac largo 13 e estou muito animada, eu amo fotografia e tudo que engloba esse universo, e essa arte, sou ativa e pedalo todo dia para ir até o curso ou outras atividades no meu dia a dia e agradeço por ter ciclovias perto de casa.</t>
  </si>
  <si>
    <t>Para onde vou? Eu já pensei sobre isso e tenho meus objetivos e metas para alcançar em São Paulo, mas futuramente tenho em mente de viajar pelo Brasil todo e pelo mundo, começando por estados do nordeste, gosto muito de trabalhar como fotógrafa e viajar trabalhando com isso é um dos meus sonhos, me vejo envolvida em causas culturais e para onde vou vai estar associada a arte a cultura e a fotografia.</t>
  </si>
  <si>
    <t>442.142.968-69</t>
  </si>
  <si>
    <t>Nelida Santos Silva</t>
  </si>
  <si>
    <t>Néli</t>
  </si>
  <si>
    <t>nelidasantos12345@gmail.com</t>
  </si>
  <si>
    <t>https://yz2spukd8h-jbrk7pf7uvw.s3.amazonaws.com/2024/04/LEvqMGZrH2u46fbNAKARXz4%2Biycfw4hu41EiaZgadJ0%3D.jpg</t>
  </si>
  <si>
    <t>NÉLI</t>
  </si>
  <si>
    <t>Raposo Tavares</t>
  </si>
  <si>
    <t>05563-120</t>
  </si>
  <si>
    <t>Rua Engenheiro Hugo Takahashi</t>
  </si>
  <si>
    <t>540693698</t>
  </si>
  <si>
    <t>(11) 95881-0124</t>
  </si>
  <si>
    <t>https://youtu.be/XjLXW66sH0Y?si=OBNxcVKkHEw-eP04</t>
  </si>
  <si>
    <t>487.445.368-60</t>
  </si>
  <si>
    <t>Daniel Regina De Alexandre Silva</t>
  </si>
  <si>
    <t>danielregina.alex@gmail.com</t>
  </si>
  <si>
    <t>https://yz2spukd8h-jbrk7pf7uvw.s3.amazonaws.com/2024/06/aRBhGfnmv3M6bpXssthxPk0fM9fPlvcMGJeSxKkyxZg%3D.jpg</t>
  </si>
  <si>
    <t>18 anos, 11 meses, 22 dias</t>
  </si>
  <si>
    <t>02083-030</t>
  </si>
  <si>
    <t>A - Casa 5</t>
  </si>
  <si>
    <t>Rua Lontra</t>
  </si>
  <si>
    <t>602663179</t>
  </si>
  <si>
    <t>(11) 91787-5163</t>
  </si>
  <si>
    <t xml:space="preserve">modelagem do vestuário </t>
  </si>
  <si>
    <t>Meu nome é Daniel Regina, tenho 18 anos. Venho de uma família de baixa renda, por isso, desde pequeno frequento espaços públicos que incentivam a cultura e arte, como bibliotecas e museus, por serem locais acessíveis dentro do meu contexto. Apesar das adversidades da minha infância meus pais sempre incentivaram a expressão cultural na minha vida.   Minha jornada escolar foi em maior parte em instituições públicas. Concluí o ensino médio em 2022. A escola onde estudei, já era adepta ao modelo do "novo ensino médio" e lá cursei os três anos de ensino com foco na área de linguagens, o que fez com que eu ampliasse o meu repertório literário, artístico e intelectual.</t>
  </si>
  <si>
    <t>Estou cursando modelagem do vestuário na Etec Carlos de Campos. O técnico tem me proporcionado uma perspectiva única sobre a junção de arte e moda, e principalmente o vínculo cultural que surge dessas relações.  Sou um artista visual e ilustrador autodidata e através das minhas ilustrações, busco transmitir temas que conversam com minhas referências culturais.  Minha experiência como representante de classe, tanto no ensino médio quanto no ensino técnico, moldou minha capacidade de me comunicar efetivamente e colaborar em equipe. Sou conhecido por ser atento aos detalhes, empático e por valorizar profundamente as necessidades dos outros, características que acredito fundamentais para a vaga.</t>
  </si>
  <si>
    <t>Estou em busca da minha primeira oportunidade profissional formal e essa vaga seria uma forma de criar uma conexão direta com a diversidade artística e cultural, inspirar outros e expandir meus horizontes profissionais. Seria uma demonstração pratica de como é trabalhar com a arte no dia a dia, uma ótima experiência para aumentar meu repertorio para quando for cursar um curso superior na área. Pretendo aprender e compartilhar, criando um alicerce sólido para minha carreira, onde cada interação é uma chance de crescer, inspirar pessoas e retribuir através desses espaços culturais toda a contribuição antes feita a mim.</t>
  </si>
  <si>
    <t>428.363.248-13</t>
  </si>
  <si>
    <t>Maria Clara Batista Dos Anjos Cangussu</t>
  </si>
  <si>
    <t>Maria Dos Anjos</t>
  </si>
  <si>
    <t>mabdosanjos@hotmail.com</t>
  </si>
  <si>
    <t>https://yz2spukd8h-jbrk7pf7uvw.s3.amazonaws.com/2024/06/zcAE8/cT9c8dqdzFMl7ifc4f/I3cRe1I86u1BzYS8b0%3D.jpg</t>
  </si>
  <si>
    <t>21 anos, 11 meses, 30 dias</t>
  </si>
  <si>
    <t>MARIA DOS ANJOS</t>
  </si>
  <si>
    <t>Bloco 2b apt 41b</t>
  </si>
  <si>
    <t>59.040.089-7</t>
  </si>
  <si>
    <t>(19) 98768-2086</t>
  </si>
  <si>
    <t>https://drive.google.com/drive/folders/1EUBoj93lYUCVkAoVQaelRdFMCMKfQJgC?usp=sharing</t>
  </si>
  <si>
    <t>519.056.058-97</t>
  </si>
  <si>
    <t>Marissa Sthefanie Da Silva Ramos</t>
  </si>
  <si>
    <t>maahsushiisushii@gmail.com</t>
  </si>
  <si>
    <t>https://yz2spukd8h-jbrk7pf7uvw.s3.amazonaws.com/2024/06/J5xSONYLhfahAG0wNNaJr8QAPmlBuB0kcwaXq9QgPKk%3D.jpg</t>
  </si>
  <si>
    <t>27 anos, 8 meses, 30 dias</t>
  </si>
  <si>
    <t>Vila Prudente</t>
  </si>
  <si>
    <t>03155-000</t>
  </si>
  <si>
    <t>Torre A apto 905</t>
  </si>
  <si>
    <t>Avenida Professor Luiz Ignácio Anhaia Mello</t>
  </si>
  <si>
    <t>3949</t>
  </si>
  <si>
    <t>389724026</t>
  </si>
  <si>
    <t>(11) 98233-7259</t>
  </si>
  <si>
    <t>https://www.instagram.com/sushii_dafofis/</t>
  </si>
  <si>
    <t>TEC DESIGN GRAFICO</t>
  </si>
  <si>
    <t>Eu sou Marissa Sthefanie da Silva Ramos, uma profissional nascida e criada em São Paulo. Com uma trajetória marcada por uma variedade de experiências em diferentes cidades e municípios como Itapecerica da Serra, Carapicuíba, Guarulhos, entre outros. Atualmente, resido na Vila Prudente, bairro que também foi minha casa desde os primeiros dias de vida.</t>
  </si>
  <si>
    <t>Com uma formação técnica em Design Gráfico pela Etec (Dra Maria Augusta Saraiva), adquiri habilidades sólidas e uma paixão contínua pela expressão visual e criativa. Minha jornada profissional tem sido motivada pela aspiração de me integrar cada vez mais ao universo das instituições culturais. Acredito profundamente no poder transformador da cultura e estou empenhada em agregar valor ao meu currículo através de projetos significativos.</t>
  </si>
  <si>
    <t>Um dos meus objetivos é contribuir para a educação cultural, especialmente ensinando e compartilhando meu conhecimento com jovens e aqueles que têm dificuldade em acessar experiências culturais. Este compromisso vem da minha experiência pessoal em explorar e apreciar diferentes formas de expressão cultural ao longo da vida.  Estou muito entusiasmada com a oportunidade de colaborar com como Jovem Monitora Cultural e acredito firmemente que minha paixão pela cultura e minha experiência em design gráfico e grafite podem contribuir significativamente para os objetivos da empresa. Agradeço desde já pela minha candidatura aguardo ansiosamente a possibilidade de contribuir para o crescimento de PJMC</t>
  </si>
  <si>
    <t>424.415.318-75</t>
  </si>
  <si>
    <t>Ruby Maximo Dos Santos Figueiredo</t>
  </si>
  <si>
    <t>rubymaximo80@gmail.com</t>
  </si>
  <si>
    <t>https://yz2spukd8h-jbrk7pf7uvw.s3.amazonaws.com/2024/04/jAvoctQ/Z%2Bg%2Bq3rbOiULeP%2BjscEXzexjoPaUgQ1RqEQ%3D.jpeg</t>
  </si>
  <si>
    <t>21 anos, 7 meses, 9 dias</t>
  </si>
  <si>
    <t>02281-145</t>
  </si>
  <si>
    <t>Rua Serra Formosa</t>
  </si>
  <si>
    <t>214</t>
  </si>
  <si>
    <t>531682110</t>
  </si>
  <si>
    <t>(11) 96089-6955</t>
  </si>
  <si>
    <t>RUBYMAXIMO80@GMAIL.COM</t>
  </si>
  <si>
    <t>CURSANDO - PSICOLOGIA</t>
  </si>
  <si>
    <t>Nasci e fui criada na periferia da zona norte de São Paulo, exatamente no Jova Rural, que antigamente era bem mais rural que hoje. Me chamo Ruby Máximo e tenho 21 anos, conheci por necessidade as artes cênicas e me apaixonei. Vim de um lugar onde exala arte e cultura que é a fábrica de cultura do meu distrito Jaçanã, participei de alguns cursos de formação como o projeto espectáculo e conheci pessoas que estavam no mesmo intuito que eu e então formamos juntos um coletivo independente de teatro chamado de Bando Jaçanã e sigo fomentando a arte pela comunidade desde então.</t>
  </si>
  <si>
    <t>Atualmente sou estudante do curso de psicologia, também sou produtora e a atriz do coletivo Bando Jaçanã e me arrisco em diversas coisas que aparecem para mim, na maioria das vezes não é por escolha mas sim por necessidade. E eu acredito muito que todas as coisas que faço agregam muito para meu crescimento e aperfeiçoamento, e tudo o que eu quero é isso, aprender, crescer mais e mais.</t>
  </si>
  <si>
    <t>Se tudo der certo vou participar do programa de Jovem monitor de 2025, e também se não der tudo bem! Não tenho muitos planos futurísticos, só quero fazer o que eu mais gosto que é estar perto da arte e cultura e fomentar ela cada vez mais. Tenho alguns sonhos e um deles é trabalha em algum equipamento da cultura, vejo o programa como uma forma disso.</t>
  </si>
  <si>
    <t>519.395.728-51</t>
  </si>
  <si>
    <t>Martin Carvalho</t>
  </si>
  <si>
    <t>martingen4@gmail.com</t>
  </si>
  <si>
    <t>https://yz2spukd8h-jbrk7pf7uvw.s3.amazonaws.com/2024/06/XJ6lglo3xLsfkRFK2A1wnSpBnJAKBnNbF8Y1TuL1QS4%3D.jpg</t>
  </si>
  <si>
    <t>05531-020</t>
  </si>
  <si>
    <t>Rua Major Almeida Queiroz</t>
  </si>
  <si>
    <t>575993960</t>
  </si>
  <si>
    <t>(15) 99680-8001</t>
  </si>
  <si>
    <t>TEC EM MECANICA INDUSTRIAL</t>
  </si>
  <si>
    <t>Nascido em Sorocaba filho de pais sitiantes trabalhava em chão de fábrica de industrias para ajudar em casa. Apesar da necessidade não me encaixava nessa história, sempre tive um apreço por arte, cultura e música. Nos horarios livres tentava aprender o que podia por conta própria, seja tocando instrumentos; estudando produção musical; desenvolvendo também a arte atraves de técnicas de ilustração em cursos do Sesc ou me envolvendo com produção de eventos independentes, como saraus e festas tipicas na comunidade. Mantendo assim a arte na minha vida.</t>
  </si>
  <si>
    <t>Assim que consegui a oportunidade de trabalho no teatro Sérgio Cardoso como assistente técnico de música por uma instituição de incentivo a cultura, dei um jeito de vir para São Paulo há não mais de um ano e continuo em busca de me desenvolver e conhecer pessoas na área cultural por essa cidade.   Além de continuar estudando e desenvolvendo meus projetos</t>
  </si>
  <si>
    <t>Com o fim da experiência no teatro Sérgio Cardoso, acredito que uma oportunidade de formação cultural como a PJMC pode impulsionar e muito o caminho que escolhi seguir.  Tendo a capacidade de trabalhar em eventos como produtor cultural ou em oficinas de formação cultural.  Desenvolver meus projetos culturais e poder ter contato com esse mundo que me deu a oportunidade de me encontrar e encontrar meios de levar aquilo que acredito ao mundo.</t>
  </si>
  <si>
    <t>470.730.618-71</t>
  </si>
  <si>
    <t>mariaeloisasales26@gmail.com</t>
  </si>
  <si>
    <t>https://yz2spukd8h-jbrk7pf7uvw.s3.amazonaws.com/2024/06/up5ZB3HeMcmR1rYrMwMGlElSqOq9tSOzoNzwMS0Fvl8%3D.jpg</t>
  </si>
  <si>
    <t>18 anos, 4 meses, 23 dias</t>
  </si>
  <si>
    <t>Vila Monte Alegre</t>
  </si>
  <si>
    <t>04305-050</t>
  </si>
  <si>
    <t>Rua Galeazzo Alessi</t>
  </si>
  <si>
    <t>52355025X</t>
  </si>
  <si>
    <t>(11) 97020-4180</t>
  </si>
  <si>
    <t>GRADUAÇÃO EM ADMINISTRAÇÃO</t>
  </si>
  <si>
    <t>Olá, meu nome é Maria Eloisa, sou uma jovem de 18 anos, sou nascida e crescida na cidade de São Paulo, mas mesmo nascida aqui não conhecia muito a minha cidade, cresci na região do Grajaú, o extremo sul de São Paulo, o acesso para a regiões centro é muito ruim para as pessoas que vem do Grajaú, por isso eu não tinha muito conhecimento a minha cidade. Com o tempo os meus pais decidiram fazer uma mudança, morar mais perto do trabalho deles, e foi uma mudança em tanto, minha vida deu uma de volta 360°, estava feliz com a mudança, era para um lugar melhor, com mais acesso, um bairro melhor, uma casa melhor, porem fiquei um pouco triste por ter que mudar de escola.</t>
  </si>
  <si>
    <t>Foi uma adaptação muito dificil, demorei para fazer amizades e me sentir confortável. Mas com o tempo me adaptei, conheci pessoas maravilhosas, que fazem parte da minha vida ate hoje. Continuo na mesma casa que os meus pais decidiram vim, tenho mais acesso para os lugares, moro mais perto das regiões centrais e tenho mais acesso a lugares culturais.</t>
  </si>
  <si>
    <t>Terminei o ensino médio, estou fazendo alguns cursos, quero fazer um curso superior e estou trabalhando com jovem aprendiz. Estou em busca de mais conhecimento, de mais oportunidades, quero crescer na vida, poder ajudar a minha familla, poder me ajudar, quero poder ocupar os espaços de lugares importantes, espaços que também são para mim e para  muitos jovens</t>
  </si>
  <si>
    <t>574.548.828-03</t>
  </si>
  <si>
    <t>Cibele Máximo Da Silva</t>
  </si>
  <si>
    <t>cibelemaximodasilva@gmail.com</t>
  </si>
  <si>
    <t>https://yz2spukd8h-jbrk7pf7uvw.s3.amazonaws.com/2024/06/3/jkwRcssnRJCvhHd%2BxcSh1HEANu4o1RpGIFE3jxH8E%3D.jpg</t>
  </si>
  <si>
    <t>26 anos, 6 meses, 13 dias</t>
  </si>
  <si>
    <t>Vila Mirante</t>
  </si>
  <si>
    <t>02957-120</t>
  </si>
  <si>
    <t>Rua Giácomo Crespi</t>
  </si>
  <si>
    <t>525507620</t>
  </si>
  <si>
    <t>(11) 98999-2119</t>
  </si>
  <si>
    <t>Direito</t>
  </si>
  <si>
    <t>Olá, sou a Cibele, da Vila Mirante no distrito de Pirituba. Cresci em escola pública e sempre gostei das matérias de humanas, sempre fui estudiosa e gosto bastante de curiosidades, artes e história. Já fiz teatro numa ONG do bairro chamada Mirante Cultural e gostei bastante de me envolver no projeto, por isso me interessei pelo programa. Acho que fazer parte, seria enriquecedor como cidadã paulistana.</t>
  </si>
  <si>
    <t>No momento sou bacharel em Direito, formada no ano passado (2023) com bolsa integral do ProUni pela UNIP. Mas ainda sim, não sei se pretendo atuar na área. Estou no momento desempregada e fazendo bicos. Estagiei no cartório eleitoral da Brasilândia e tive contato com público carente, desta forma, junto com a minha formação, acredito que possa agregar para trazer cultura em áreas periféricas como a minha, pois isso é um direito do cidadão e dever do Governo. Gostaria muito de poder me envolver  e contribuir para isso.</t>
  </si>
  <si>
    <t>Eu ainda estou me descobrindo e conhecendo as áreas em que quero atuar mas o Programa Jovem Monitor Cultural, é algo que eu tenho CERTEZA que me atrai muito, e quee faria feliz, pois gosto de cultura, frequento as peças gratuitas da FIESP, vou nos eventos gratuitos da como a Virada Cultural e quero ajudar meu distrito a ser um pólo de cultura, como as regiões centrais.</t>
  </si>
  <si>
    <t>469.209.568-70</t>
  </si>
  <si>
    <t>Heloisa De Jesus Ribeiro</t>
  </si>
  <si>
    <t>heloisajribeiro@gmail.com</t>
  </si>
  <si>
    <t>https://yz2spukd8h-jbrk7pf7uvw.s3.amazonaws.com/2024/06/kkxkslD3L78yDUGzQFmzWcyYRuS7pVx4oztFm%2BWW790%3D.jpg</t>
  </si>
  <si>
    <t>19 anos, 1 meses, 6 dias</t>
  </si>
  <si>
    <t>curso  em  formcao inlgles</t>
  </si>
  <si>
    <t>08255-010</t>
  </si>
  <si>
    <t>Apartamento 51-A</t>
  </si>
  <si>
    <t>Rua Jardim Tamoio</t>
  </si>
  <si>
    <t>602072827</t>
  </si>
  <si>
    <t>(11) 91254-3379</t>
  </si>
  <si>
    <t>https://l.messenger.com/l.php?u=https%3A%2F%2Fwww.instagram.com%2F_u%2Fbttttfly&amp;h=AT3MLIxieEEjs9NSw2nJhBdk5JCajjXRUNsbbEUXgE_cCt6q3Id7BfftazjsJohJpaeMfMhL1il07TBaY8XwQPBN1H6uEN5_xXx5RI_psZH8cC_ozfMv2e</t>
  </si>
  <si>
    <t>informatica e administracao</t>
  </si>
  <si>
    <t>https://drive.google.com/file/d/1-UfjLIkTYCeG9i8znxCwwcCyHAQnf7JT/view?usp=drive_link</t>
  </si>
  <si>
    <t>500.558.568-02</t>
  </si>
  <si>
    <t>Gabrielly Nunes De Freitas Farias</t>
  </si>
  <si>
    <t>gabriellynunesfarias3@gmail.com</t>
  </si>
  <si>
    <t>https://yz2spukd8h-jbrk7pf7uvw.s3.amazonaws.com/2024/06/y1Jnjz37BvLZLxJAOT0R8%2B0Zm7KvdUTYek53yZqgdWw%3D.jpg</t>
  </si>
  <si>
    <t>19 anos, 7 meses, 15 dias</t>
  </si>
  <si>
    <t>Cursando Artes Cênicas</t>
  </si>
  <si>
    <t>Jardim Pedro José Nunes</t>
  </si>
  <si>
    <t>08061-030</t>
  </si>
  <si>
    <t>521</t>
  </si>
  <si>
    <t>Rua Pau-D'Arco-Roxo</t>
  </si>
  <si>
    <t>554688700</t>
  </si>
  <si>
    <t>(11) 98151-6976</t>
  </si>
  <si>
    <t>Técnico em Audiovisual</t>
  </si>
  <si>
    <t>https://drive.google.com/file/d/1NszLMZ_8-qFt7Xk3lsAFhZpSZqhAeQUs/view?usp=drive_link</t>
  </si>
  <si>
    <t>493.886.408-88</t>
  </si>
  <si>
    <t>Marco Augusto De Sousa Silva</t>
  </si>
  <si>
    <t>augusto101marco@gmail.com</t>
  </si>
  <si>
    <t>https://yz2spukd8h-jbrk7pf7uvw.s3.amazonaws.com/2024/06/TmLLvwc%2B8M%2BhtXibXkfSe5mbbo65ZWNI2R8%2BMh8Ivqc%3D.jpeg</t>
  </si>
  <si>
    <t>21 anos, 11 meses, 16 dias</t>
  </si>
  <si>
    <t>Vila Malvina</t>
  </si>
  <si>
    <t>05223-200</t>
  </si>
  <si>
    <t>CDC Vila Malvina</t>
  </si>
  <si>
    <t>Avenida</t>
  </si>
  <si>
    <t>41</t>
  </si>
  <si>
    <t>593932171</t>
  </si>
  <si>
    <t>(11) 97688-5915</t>
  </si>
  <si>
    <t>AUGUSTO101MARCO@GMAIL.COM</t>
  </si>
  <si>
    <t>https://www.instagram.com/mano_grilinho?igsh=MTZham1hazEzdjN4bg%3D%3D&amp;utm_source=qr</t>
  </si>
  <si>
    <t xml:space="preserve">CURSANDO - BIBLIOTECONOMIA </t>
  </si>
  <si>
    <t>Desde que nasci moro em Perus e por muitos anos sempre me mudei de uma casa pra outra por decisão da minha mãe e meu antigo padrasto. Mas até os meus 6 anos de idade ficamos na casa que residimos atualmente, ela foi construída num terreno comprado pelo meu falecido pai e construída por ele e minha mãe muitos anos antes de eu ter nascido. O bairro que eu moro é a Vila Malvina e ele continua bem parecido com as fotos que eu vejo de antigamente: um ou dois bares e mercadinhos é uma padaria no final da minha rua que permanece até hoje.</t>
  </si>
  <si>
    <t>Atualmente continuo morando no mesmo endereço, a Avenida Domingos Antônio Di Sandro e no mesmo número, mas agora numa casa no quintal de trás. Mas também ocupo outros lugares: trabalho como jovem aprendiz numa empresa de estacionamentos (a Estapar), estudo biblioteconomia na Etec Parque da Juventude e gosto muito de frequentar cinemas (em redes privadas como a Cinemark ou em redes públicas como o Circuito Spcine no CÉU Perus). Por conta de tudo isso acaba sendo complicado ir pra mais lugares que antes eram minha segunda casa como a biblioteca Padre José de Anchieta e às vezes aos museus da cidade, mas faço um esforço pra nunca saírem da minha rotina.</t>
  </si>
  <si>
    <t>Desde que eu me entendo por gente minha família nunca teve uma boa condição financeira e boas oportunidades. Minha mãe teve que sair da casa dela com dois filhos pequenos e ir morar de aluguel porque meu pai era dependente químico e nos perseguia, quando ele morreu não conseguimos o direito a pensão e atualmente minha renda e a dela só nos permite sobreviver, por isso hoje eu tenho um foco muito grande em estar num bom ambiente de trabalho e poder me aprimorar academicamente, fazer faculdade e o que mais estiver pela frente, tudo isso sem perder as outras partes da minha vida: amigos, família, meu namorado, filmes, livros, minha arte e tudo mais.</t>
  </si>
  <si>
    <t>518.101.798-31</t>
  </si>
  <si>
    <t>JULIA DE OLIVEIRA SILVA</t>
  </si>
  <si>
    <t>Julia De Oliveira Silva Nasci</t>
  </si>
  <si>
    <t>juliadeoliv26@gmail.com</t>
  </si>
  <si>
    <t>https://yz2spukd8h-jbrk7pf7uvw.s3.amazonaws.com/2024/05/HBYzOk8ze/F9go5ZMlQzdj7z9a458x3SabDN6yg/Zlk%3D.jpg</t>
  </si>
  <si>
    <t>18 anos, 10 meses, 23 dias</t>
  </si>
  <si>
    <t>Jardim Nélia</t>
  </si>
  <si>
    <t>08142-000</t>
  </si>
  <si>
    <t>Rua Itajuibe</t>
  </si>
  <si>
    <t>1445</t>
  </si>
  <si>
    <t>504415013</t>
  </si>
  <si>
    <t>(11) 97642-3869</t>
  </si>
  <si>
    <t>JULIADEOLIVE26@GMAIL.COM</t>
  </si>
  <si>
    <t>Meu nome é Julia de Oliveira Silva nasci na Maternidade de São Miguel SP no ano de 2005, sou solteira e sem filhos, estudei o fundamental inteiro em uma escola pública E.M.E.F Professor Carlos Pasquale que é localizada no Itaim Paulista, e em 2023 concluí o ensino médio também em uma escola pública porém localizada no Tatuapé onde era bem mais longe da minha residência, também tenho alguns certificados de cursos online.</t>
  </si>
  <si>
    <t>Atualmente continuo morando na Zona Leste de São Paulo no itaim Paulista, estou com 18 anos e desempregada e em busca de um emprego para ser minha primeira experiência no mercado de trabalho, buscando aprendizados novos para incluir em meu currículo, sendo com pequenos cursos que ando realizando no momento, como também algum emprego ou até mesmo os dois ao mesmo tempo.</t>
  </si>
  <si>
    <t>Para onde eu vou? Não tenho como dizer isto com afirmações, mas sei que pretendo ir e conhecer novas coisas e pessoas,  tenho o interesse em estar no futuro aprendendo e sendo útil ajudando a repassar essas informações as pessoas interessadas na área, como também  tenho vontade de me encontrar em uma área em que adoro e também a possibilidade de descobrir novos gostos dentro do que estiver possível. Tenho certeza que se for aceita, vou para um lugar que possa ajudar as pessoas a estarem curiosas sobre as culturas.</t>
  </si>
  <si>
    <t>544.288.198-89</t>
  </si>
  <si>
    <t>Ketlen Lizandra Da Silva Souza</t>
  </si>
  <si>
    <t>ketlenlizandra22@gmail.com</t>
  </si>
  <si>
    <t>https://yz2spukd8h-jbrk7pf7uvw.s3.amazonaws.com/2024/05/TQ5sjG4lDMj4l1xKE9AveZTT5jtaQ4Ns5uphkyU7pIk%3D.jpg</t>
  </si>
  <si>
    <t>08471-070</t>
  </si>
  <si>
    <t>Rua Milton Vargas da Silva</t>
  </si>
  <si>
    <t>390374799</t>
  </si>
  <si>
    <t>(55) 11952-7028</t>
  </si>
  <si>
    <t>KETLENLIZANDRA22@GMAIL.COM</t>
  </si>
  <si>
    <t>https://www.instagram.com/ketlenlizandra?igsh=enR3b3E3ZjluY2Vl</t>
  </si>
  <si>
    <t>TECNICO EM EVENTO E EM MARKETING</t>
  </si>
  <si>
    <t>https://www.youtube.com/watch?v=qRXJ-Znt88Q</t>
  </si>
  <si>
    <t>432.889.008-58</t>
  </si>
  <si>
    <t>Ryan Silva Felix</t>
  </si>
  <si>
    <t>ryansfelix2005@gmail.com</t>
  </si>
  <si>
    <t>https://yz2spukd8h-jbrk7pf7uvw.s3.amazonaws.com/2024/04/QyAbUt9XA3y9w%2BEGcbMSlYWw9aiLcWTc/mrTe/ckKAw%3D.JPG</t>
  </si>
  <si>
    <t>CONCLUIU TECNICO  EM IN FORMATICA</t>
  </si>
  <si>
    <t>Conjunto Residencial Prestes Maia</t>
  </si>
  <si>
    <t>08490-001</t>
  </si>
  <si>
    <t>Rua Rio Araguari</t>
  </si>
  <si>
    <t>56.856.652-X</t>
  </si>
  <si>
    <t>(11) 95486-2505</t>
  </si>
  <si>
    <t>RYANSFELIX2005@GMAIL.COM</t>
  </si>
  <si>
    <t>INFORMATICA</t>
  </si>
  <si>
    <t>Bom dia!  Me chamo Ryan e tenho 18 anos, cresci em um lar onde aprendi a importância da responsabilidade e do esforço, ajudando minha mãe que trabalha como babá. Concluí o ensino médio em 2023, com um curso técnico em Informática para Internet na Etec de Cidade Tiradentes, uma experiência que ajudou fortalecer minha base em tecnologia e me mostrou o valor da dedicação e do aprendizado constante.</t>
  </si>
  <si>
    <t>Atualmente, estou à procura de minha primeira oportunidade profissional, buscando uma posição de monitor em centros culturais, escolas ou museus. Apesar de não ter experiência formal nesse campo específico, tenho grande vontade de aprender e habilidades para lidar com pessoas, algo que sempre pratiquei informalmente ao ajudar minha mãe em suas tarefas e, além disso, meu pai já trabalhou como vigilante.</t>
  </si>
  <si>
    <t>Após a formação concluída do curso de Informática para Internet, o meu próximo passo é frequentar a faculdade de Análise e Desenvolvimento de Sistemas. Este passo adiantado da educação não só aumentará, mas também fortalecerá as minhas competências em TI, de modo a ser mais eficaz e proficiente em abordar novas oportunidades e desafios no campo de TI.</t>
  </si>
  <si>
    <t>460.725.928-48</t>
  </si>
  <si>
    <t>Gabriel Natel Tavares</t>
  </si>
  <si>
    <t>gabrielnatelt@gmail.com</t>
  </si>
  <si>
    <t>https://yz2spukd8h-jbrk7pf7uvw.s3.amazonaws.com/2024/05/qKtB/0SDjiUuI3IvDg0NOsyMOUIO5sbjADZws7n/LYM%3D.jpg</t>
  </si>
  <si>
    <t>23 anos, 0 meses, 12 dias</t>
  </si>
  <si>
    <t>Jardim Monte Belo</t>
  </si>
  <si>
    <t>05272-005</t>
  </si>
  <si>
    <t>Rua Palmeirópolis</t>
  </si>
  <si>
    <t>163</t>
  </si>
  <si>
    <t>536114699</t>
  </si>
  <si>
    <t>(11) 96279-9182</t>
  </si>
  <si>
    <t>gabrielnatelde@gmail.com</t>
  </si>
  <si>
    <t>11-962799182</t>
  </si>
  <si>
    <t>https://www.instagram.com/gabinst4/</t>
  </si>
  <si>
    <t>fotografia - graduação</t>
  </si>
  <si>
    <t>CEU PARQUE ANHANGUERA</t>
  </si>
  <si>
    <t>Desde pequeno, sempre fui apaixonado pelo mundo artístico, me via sempre desenhando ou até mesmo tentando escrever um roteiro para um filme ou uma história em quadrinhos, por influência dos meus pais e dos meus professores, fui mais a fundo nos estudos e em 2019 terminei um curso técnico em Processos Fotográficos pelo Senac, algo que para mim, foi onde eu realmente descobri que queria trabalhar profissionalmente com arte.No ano de 2023 eu tive a minha primeira experiência profissional na área do audiovisual, trabalhando como assistente de estúdio em um produtora na Praça da Árvore, o que foi de grande aprendizado para mim e ainda busco aprender mais.</t>
  </si>
  <si>
    <t>Atualmente estou trabalhando como freelancer para uma empresa de audiovisual atuando na parte de transmissão ao vivo e também e também trabalho de forma informal com fotografia, muitas vezes fotografando artistas do meu bairro. recentemente terminei de gravar um curta metragem junto a um amigo aonde eu tratei da parte da direção fotográfica,   Também escrevi um livro infantil sobre Dandara, uma criança negra que está descobrindo o mundo ao seu redor. Recentemente, me juntei a moradores do meu bairro com a intenção de desenvolver um documentário para contar a história do lugar onde nós moramos e a sua relação com bailes funk, um lugar muito marginalizado e muitas vezes o único lugar aonde os j</t>
  </si>
  <si>
    <t>Tenho grandes planos para o futuro, pretendo continuar produzindo por conta própria e atuando ainda mais profundamente na área artística. Na faculdade, pretendo me formar em produção cultural e trabalhar com divulgação e produção de eventos, onde eu poderei me manter ainda mais perto de um ambiente que eu tanto amo, e eu acredito muito que o Programa Jovem Monitor Cultural pode ser uma grande experiência e uma ótima porta de entrada para mim realizar meus sonhos, acredito no que eu conquistei e acredito que posso conquistar ainda mais.</t>
  </si>
  <si>
    <t>426.740.808-41</t>
  </si>
  <si>
    <t>Rian Nogueira Félix</t>
  </si>
  <si>
    <t>riannofelix2020@gmail.com</t>
  </si>
  <si>
    <t>https://yz2spukd8h-jbrk7pf7uvw.s3.amazonaws.com/2024/06/YT%2BdcH/vku3mkisDUMcOpFJufpcnKcJZVYj/MFUqlW0%3D.jpg</t>
  </si>
  <si>
    <t>21 anos, 1 meses, 5 dias</t>
  </si>
  <si>
    <t>Jardim Bandeirante (São Rafael)</t>
  </si>
  <si>
    <t>08372-000</t>
  </si>
  <si>
    <t>Rua Alcides Perazolla</t>
  </si>
  <si>
    <t>500071032</t>
  </si>
  <si>
    <t>(11) 97623-1405</t>
  </si>
  <si>
    <t>RIANNOFELIX2020@GMAIL.COM</t>
  </si>
  <si>
    <t>ADMINISTRAÇÃO</t>
  </si>
  <si>
    <t>https://youtu.be/xpoaF2CJiEU?feature=shared</t>
  </si>
  <si>
    <t>537.665.338-27</t>
  </si>
  <si>
    <t>Jessica Andrade</t>
  </si>
  <si>
    <t>jessica.andrade5566@gmail.com</t>
  </si>
  <si>
    <t>https://yz2spukd8h-jbrk7pf7uvw.s3.amazonaws.com/2024/06/eFBT46MC%2BDmeOfm/X%2BZU4lnq9Zz3G4folqTZGslGQ90%3D.jpg</t>
  </si>
  <si>
    <t>387601752</t>
  </si>
  <si>
    <t>(11) 96806-6130</t>
  </si>
  <si>
    <t>jessica.andradde5566@gmail.com</t>
  </si>
  <si>
    <t>TECNICO EM NUTRICAO DIETETICA</t>
  </si>
  <si>
    <t>Meu nome é Jessica Andrade, moro em Parelheiros, periferia da zona sul de São Paulo e sempre me interessei por diversos âmbitos artísticos. Desde pequena escrevo poemas e atualmente estou aprendendo a tocar violão e fazendo aula de fitdance. Gosto muito de fotografia, música, cinema, museus, dança e até participava de competições de leitura na escola. Vejo na arte uma forma de me expressar, refletir e aprender mais sobre história, algo que sempre apreciei.</t>
  </si>
  <si>
    <t>Onde eu resido, a natureza é bastante preservada, frequento parques, praças, rodas de rima, festivais e shows organizados pela prefeitura. Fiz o ensino fundamental em uma escola perto da minha casa, onde tinha vários projetos, como xadrez, vôlei, basquete, entre outros. Eu participei do projeto de Preparação Para o Trabalho (PPT), onde fizemos várias ações, como mediação de leitura, arrecadamos alimentos e doamos cestas básicas, criamos brinquedos com garrafa PET para crianças e também fizemos uma parceria com o projeto de hip-hop, então apresentamos muitas danças na escola e chegamos a apresentar no CEU Parelheiros. Hoje, carrego todo o aprendizado que adquiri ao participar desse projeto.</t>
  </si>
  <si>
    <t>Gostaria de participar do Programa Jovem Monitor Cultural porque acredito que a cultura é um direito de todos e ficaria lisonjeada em integrar um programa que promove isso. Acompanho as redes sociais dos Centros Culturais e das Casas de Cultura próximos a minha casa e é importante que tenha atividades em que todos possam participar, pois se não fosse por esses espaços, muitas pessoas não teriam acesso. Além disso, busco me desenvolver profissionalmente e vejo o PJMC como uma ótima oportunidade.</t>
  </si>
  <si>
    <t>361.226.978-00</t>
  </si>
  <si>
    <t>THIAGO DE JESUS OLIVEIRA ROCHA</t>
  </si>
  <si>
    <t>Thiago De Jesus Oliveira Rocha</t>
  </si>
  <si>
    <t>ÁRYS</t>
  </si>
  <si>
    <t>arys230304@gmail.com</t>
  </si>
  <si>
    <t>https://yz2spukd8h-jbrk7pf7uvw.s3.amazonaws.com/2024/06/l/I%2Burfeqz8SlzKZcmBqZ1a%2B81iBQ1ggUT46phDid%2BA%3D.jpg</t>
  </si>
  <si>
    <t>20 anos, 2 meses, 26 dias</t>
  </si>
  <si>
    <t>08150-290</t>
  </si>
  <si>
    <t>Rua José Maria Alves de Deus</t>
  </si>
  <si>
    <t>39.457.199 - X</t>
  </si>
  <si>
    <t>(11) 95899-6446</t>
  </si>
  <si>
    <t>https://www.instagram.com/iam.arys?igsh=c3AxNms1NmsxcTBs</t>
  </si>
  <si>
    <t xml:space="preserve">Etec de artes dança </t>
  </si>
  <si>
    <t>Minha família é inteiramente baiana e vieram tentar a vida em São paulo em meados dos anos 90, onde eu nasci na capital de São Paulo e cresci e ainda resido em Guainases (jd:robru), estou na busca de adentrar o campo da área de trabalho em pró de dar um start na minha carreira profissional e meu crescimento na mesma e pessoal.  Oque minhas raizes(de onde eu vim) me ensinou é que temos que ser persistentes com nossos objetivos pois nenhum obstáculo é grande o suficiente quando se tem o anseio de crescer.</t>
  </si>
  <si>
    <t>Atualmente estou me formando como tecnica em dança pela ETEC de artes , e tenho algumas outras formações em artes como o "Teatro", e acredito que essa formação no curso técnico está sendo uma virada de chave muito importante para mim como uma pessoa trans não binária da periferia, o DRT que afirma minha capacidades de exercer minha formação vai ser essencial para que eu consiga mais oportunidades de trabalho como dançarina.</t>
  </si>
  <si>
    <t>Com esse programa jovem quero adentrar o mercado de trabalho e estar nesse projeto vai ser uma grande oportunidade de crescimento e um forte disparador para que eu possa também investir na minha arte, futuramente quero me consolidar como dançarina e pesquisadora em dança e como artista de múltiplas facetas que estudo e quero exercer num futuro próximo.</t>
  </si>
  <si>
    <t>32830736</t>
  </si>
  <si>
    <t>581.519.098-54</t>
  </si>
  <si>
    <t>Ana Beatriz Silva Correia</t>
  </si>
  <si>
    <t>anabeatriz7389@gmail.com</t>
  </si>
  <si>
    <t>https://yz2spukd8h-jbrk7pf7uvw.s3.amazonaws.com/2024/04/yGb9SZSBOw/0wkQLNzODgnWe1OXlgU/uGXZFmMsot3k%3D.jpeg</t>
  </si>
  <si>
    <t>22 anos, 4 meses, 24 dias</t>
  </si>
  <si>
    <t>02812-000</t>
  </si>
  <si>
    <t>Rua Padre Achilles Silvestre</t>
  </si>
  <si>
    <t>50768803x</t>
  </si>
  <si>
    <t>(11) 96585-6950</t>
  </si>
  <si>
    <t>fotografia</t>
  </si>
  <si>
    <t>Meu nome é Ana Beatriz, tenho 22 anos, cresci e fui criada na Brasilândia, Zona Norte de São Paulo.  Sou formada em graduação  tecnólogo de comunicação em Fotografia desde 2022, pela instituição UNIP, onde aprendi a manusear câmera, iluminação, programas de edição e mercado de trabalho. Trabalhei como Jovem Aprendiz no Theatro Municipal, onde obtive muito aprendizado e conhecimento. Fiquei ciente do programa por meio do Instagram e fiquei  muito empolgada e interessada.</t>
  </si>
  <si>
    <t>Tenho interesse pelo meio cultural e atualmente estou em busca de novas oportunidades de emprego e  para abranger  habilidades no mercado de trabalho.  Tive a oportunidade de trabalhar como Jovem Aprendiz  no setor educativo, como auxiliar de escritório geral, onde exercia funções administrativas e como orientadora de público onde auxiliava visitantes e educadores.  Estou comprometida em contribuir positivamente pleo projeto para alcançar novas oportunidades.</t>
  </si>
  <si>
    <t>Estou focada em continuar aprendendo e crescer no meio profissional em busca de expandir novas oportunidades para minha carreira.  Gosto de aprendizado, tenho ótimo relacionamento interpessoal, sou flexível e dinâmica. Estou aberta a novos desafios e enfrentar novas experiências que me permitam evoluir, tanto no meio cultural, quanto no meio profissional e pessoal.</t>
  </si>
  <si>
    <t>506.165.538-97</t>
  </si>
  <si>
    <t>Paulo Henrique Medeiros Machado</t>
  </si>
  <si>
    <t>paquedemachado_17@outlook.com</t>
  </si>
  <si>
    <t>https://yz2spukd8h-jbrk7pf7uvw.s3.amazonaws.com/2024/04/1L%2BMZtFQKHYnLBdMN1TcgIJjcv30bgUaUbGS0mz6QV8%3D.jpeg</t>
  </si>
  <si>
    <t>23 anos, 10 meses, 16 dias</t>
  </si>
  <si>
    <t>Jardim Guapira</t>
  </si>
  <si>
    <t>02276-100</t>
  </si>
  <si>
    <t>Apto 47</t>
  </si>
  <si>
    <t>Ângelo Aloísio</t>
  </si>
  <si>
    <t>50.879.473-0</t>
  </si>
  <si>
    <t>(11) 99384-5800</t>
  </si>
  <si>
    <t>PAQUEDEMACHADO_17@OUTLOOK.COM</t>
  </si>
  <si>
    <t>SIM - TEC CURSANDO</t>
  </si>
  <si>
    <t>PRODUCAO AUDIOVISUAL</t>
  </si>
  <si>
    <t>Eu cresci na Zona Norte de São Paulo, morando com meus pais e meu irmão, depois dos meus 10 anos se mudamos para o Jaçanã, onde cresci dos meus 11 até os meus 24 anos, estudei minha vida toda em escola pública, sempre vendo diversidades de histórias e aprendendo um pouco sobre quem estava do meu lado, contando um pouco sobre sua vida.   Hoje me encontro com 24 anos, e sempre aprendendo um pouco mais sobre diversidades culturais.</t>
  </si>
  <si>
    <t>Estou atualmente desempregada, trabalhei em Farmácia por quase  2 anos, e sentia que lá não vi era o lugar pra mim, sempre gostei de Arte, Música, Cultura.   Meu sonho é poder viver de Artes em geral, poder mostrar e levar de alguma forma para outras pessoas.   Saber que atualmente tenho a oportunidade de começar a entrar para essa vaga, me faz acreditar cada vez mais, que tudo é possível.</t>
  </si>
  <si>
    <t>Queria muito poder trabalhar com eventos Culturais, poder viajar o mundo mostrando a Arte.   Eu vejo que ela me inspira e me ajuda a entender um pouco mais sobre você poder se expressar de uma maneira que pode ajudar os outros, ao seu autoconhecimento e entendimento sobre a vida.   A Arte e a Cultura salvam e nos fazem bem, saber e entender isso, é o que importa.</t>
  </si>
  <si>
    <t>496.920.068-83</t>
  </si>
  <si>
    <t>Beatriz Martins Scarcelli</t>
  </si>
  <si>
    <t>BIA</t>
  </si>
  <si>
    <t>Bia</t>
  </si>
  <si>
    <t>beatriz_ms99@hotmail.com</t>
  </si>
  <si>
    <t>https://yz2spukd8h-jbrk7pf7uvw.s3.amazonaws.com/2024/06/7odrxHX7eist/H7OiSngreH/0hxlDeQ6wlQALrFao6Q%3D.jpg</t>
  </si>
  <si>
    <t>26 anos, 9 meses, 14 dias</t>
  </si>
  <si>
    <t>Juliana/Melina/Tatiana/Anderson</t>
  </si>
  <si>
    <t>02674-010</t>
  </si>
  <si>
    <t>Rua Roça Grande</t>
  </si>
  <si>
    <t>117</t>
  </si>
  <si>
    <t>396341378</t>
  </si>
  <si>
    <t>(11) 95287-8546</t>
  </si>
  <si>
    <t>https://1drv.ms/v/c/a2fe6807aeac57f0/EfcEHaMRFHhMnSNK4WFF83kBeZFTI4GOJP7gLCpyhgFKwg?e=X8caqh</t>
  </si>
  <si>
    <t>444.471.898-60</t>
  </si>
  <si>
    <t>Akin Candido De Lima</t>
  </si>
  <si>
    <t>akinlimag@gmail.com</t>
  </si>
  <si>
    <t>https://yz2spukd8h-jbrk7pf7uvw.s3.amazonaws.com/2024/05/5XV6t7nPxztvXNG9CPcrB8MsK/KJSBJZPOEbD12u7Zk%3D.jpg</t>
  </si>
  <si>
    <t>Vila Aurora</t>
  </si>
  <si>
    <t>05186-230</t>
  </si>
  <si>
    <t>Bloco 2 Apto 32A</t>
  </si>
  <si>
    <t>Rua César Augusto Costalonga Varejão</t>
  </si>
  <si>
    <t>110</t>
  </si>
  <si>
    <t>533702677</t>
  </si>
  <si>
    <t>(11) 98498-0182</t>
  </si>
  <si>
    <t>https://instagram.com/nativo011</t>
  </si>
  <si>
    <t>Sou um homem trans preto, nascido e criado na periferia de São Paulo. Sempre morei na zona noroeste, e estudei em escola pública. Quando criança participava de oficinas de artísticas (teatro, dança, circo, entre outros), que eram cursos dados na escola onde eu estudava (CÉU PÊRA MARMELO). No ensino fundamental precisei dar prioridade aos estudos e trabalho, e acabei me desvinculando dos  projetos que gostaria, mas por outro lado sempre estive presente em eventos e espaços culturais, nos meus momentos de lazer.</t>
  </si>
  <si>
    <t>Há alguns anos venho trabalhando com atendimento ao público, (lojas e call center), como forma de me manter financeiramente, mas com um grande desejo de mudar de área, e me encontrar em algo que realmente gosto. Atualmente não estou trabalhando formalmente, mas atuo como freelancer (bartender) em um espaço cultural no centro de São Paulo, que despertou muito mais meu interesse em novas possibilidades profissionais.</t>
  </si>
  <si>
    <t>Quero voltar a me dedicar aos estudos, e construir uma carreira digna. No momento estou me dedicando as oportunidades e possibilidades que tenho, como cursos gratuitos, e projetos de desenvolvimento pessoal. Pretendo aprimorar minhas habilidades pessoais, e enriquecer minha bagagem cultural e profissional. Me vejo dentro do Programa Jovem Monitor Cultural, compartilhando meus conhecimentos, e aprendendo coisas novas.</t>
  </si>
  <si>
    <t>400.791.378-14</t>
  </si>
  <si>
    <t>Jeniffer Gomes Lima</t>
  </si>
  <si>
    <t>jeniffer.lima.gl@gmail.com</t>
  </si>
  <si>
    <t>https://yz2spukd8h-jbrk7pf7uvw.s3.amazonaws.com/2024/06/cRkqNkM8R2B4PpdtfiqhlhuuEJsfU6tCx8ugxF6kP/0%3D.jpg</t>
  </si>
  <si>
    <t>19 anos, 5 meses, 0 dias</t>
  </si>
  <si>
    <t>CONCLUIU O TECNICO DE  SECRETARIADO</t>
  </si>
  <si>
    <t>08421-530</t>
  </si>
  <si>
    <t>Apartamento 321</t>
  </si>
  <si>
    <t>Avenida Henriqueta Noguez Brieba</t>
  </si>
  <si>
    <t>50519255-x</t>
  </si>
  <si>
    <t>(11) 96013-8550</t>
  </si>
  <si>
    <t>JENIFFER.LIMA.GL@GMAIL.COM</t>
  </si>
  <si>
    <t>SECRETARIADO</t>
  </si>
  <si>
    <t>Venho de São Miguel paulista, na Zona Leste de São Paulo, de pais humildes e trabalhadores que, desde sempre, batalharam muito para criar a mim e meus três irmãos.  Em São Miguel morávamos na casa de minha avó paterna e, após dois anos do meu nascimento, meus pais conseguiram um apartamento através do CDHU na Cidade Tiradentes, onde residimos até hoje. Um pouco mais de oito anos depois, minha mãe conseguiu se formar e hoje é professora em uma escola estadual. Meu pai nunca se formou e seguiu desempregado por muitos anos. Eles permanecem juntos até os dias de hoje.</t>
  </si>
  <si>
    <t>Atualmente permaneço vivendo com meus pais e dois dos meus irmãos no apartamento conquistado através do CDHU. Meu irmão mais velho saiu de casa e agora mora com a sua esposa num apartamento alugado no bairro José Bonifácio, perto de todos nós.  Já finalizei o ensino médio e atualmente não estou cursando nada, mas pretendo voltar a estudar, mesmo que por conta, até final do ano.  Estou trabalhando, num momento, como jovem aprendiz em um mercado no Parque Novo Mundo, entretanto quero seguir carreira em áreas do setor cultural desde que saí da escola, e vi nessas vagas uma oportunidade.</t>
  </si>
  <si>
    <t>Para o futuro, gostaria primeiramente de cursar uma faculdade de biblioteconomia, contudo tenho interesses também em pedagogia, filosofia, artes visuais, música, psicologia e guia e turismo.  Quero permanecer aqui na Cidade de São Paulo, onde toda a minha família mora, e uma oportunidade como essa me proporcionaria aprendizado e experiência no ramo cultural, auxiliando para o meu seguimento nessa área.  Espero encarecidamente conseguir uma oportunidade nessa vaga e agradeço desde já a atenção.    Ass:  Jeniffer Gomes Lima.</t>
  </si>
  <si>
    <t>444.409.348-03</t>
  </si>
  <si>
    <t>Kaique Da Silva Andrade Pereira</t>
  </si>
  <si>
    <t>pereira.andrade.ka@gmail.com</t>
  </si>
  <si>
    <t>https://yz2spukd8h-jbrk7pf7uvw.s3.amazonaws.com/2024/04/v3GtSmI5ZZ2DpuQpVQp/6LfrvVHC/p2kYzWllrWjwU4%3D.png</t>
  </si>
  <si>
    <t>24 anos, 4 meses, 19 dias</t>
  </si>
  <si>
    <t>Vila Penteado</t>
  </si>
  <si>
    <t>02866-080</t>
  </si>
  <si>
    <t>Rua Urupeva</t>
  </si>
  <si>
    <t>59</t>
  </si>
  <si>
    <t>38870732x</t>
  </si>
  <si>
    <t>(11) 99417-2759</t>
  </si>
  <si>
    <t>kaique.andrade@unifesp.br</t>
  </si>
  <si>
    <t>tec - comunicação visual \ grad - filosofia</t>
  </si>
  <si>
    <t>Sou aluno de filosofia pela Universidade Federal de São Paulo, sou preto, pobre e de periferia, o primeiro da família a ter acesso ao ensino superior. Estudei a minha vida toda em instituições públicas de ensino. Por diversas vezes me encontrei em dificuldades apenas por ser quem eu sou, morar onde moro e não ter o suficiente para ser bem visto em uma sociedade hostil e desigual para a população dita como minoria.</t>
  </si>
  <si>
    <t>Ao ter acesso a história de lutas dessas populações, comecei a me interessar mais sobre as dinâmicas sociais que nos acompanham, também passei a pesquisar e estudar pensadores que analisam a sociedade e a vida. Esses processos me levaram a entrar no núcleo LGBTQIAP+ da Escola de Filosofia, Letras e Ciências Humanas da UNIFESP, onde sou voluntário com muita dedicação e prazer, trabalhando como Líder de Comunicação. Também sou bolsista no Núcleo de Acessibilidade e Inclusão da Unifesp Guarulhos.</t>
  </si>
  <si>
    <t>Atualmente tenho projetos pessoais, como a escrita e ilustração de histórias em quadrinho. Além disso, tenho um projeto aprovado pela equipe A Banca, que trabalha com o empreendedorismo na periferia, onde eu busco auxiliar escritores pobres a produzirem de maneira profissional a identidade visual de suas obras.  Através desta carta apresento minha experiência e uma breve parte de minha história. Espero poder trabalhar em um projeto de total relevância para a  sociedade como um todo, como é o Programa Jovem Monitor Cultural. A luta para dar voz às populações historicamente e violentamente oprimidas é uma das minhas motivações de estudo e de vida.</t>
  </si>
  <si>
    <t>462.767.358-25</t>
  </si>
  <si>
    <t>SARAH DE CARVALHO E SILVA</t>
  </si>
  <si>
    <t>Sarah De Carvalho E Silva</t>
  </si>
  <si>
    <t>sarahdecarvalho2002@gmail.com</t>
  </si>
  <si>
    <t>https://yz2spukd8h-jbrk7pf7uvw.s3.amazonaws.com/2024/06/DPXV3nInwgVARA2NSXpzzYtOpXFA/xjWf4woQySJHDE%3D.jpg</t>
  </si>
  <si>
    <t>08331-060</t>
  </si>
  <si>
    <t>Rua Netuno</t>
  </si>
  <si>
    <t>139</t>
  </si>
  <si>
    <t>535728682</t>
  </si>
  <si>
    <t>(11) 97708-4994</t>
  </si>
  <si>
    <t>SARAHDECARVALHO2002@GMAIL.COM</t>
  </si>
  <si>
    <t>https://www.instagram.com/daya_saah?igsh=MWsxanJ2MnZkMm1yZw==</t>
  </si>
  <si>
    <t>DESIGNER  GRÁFICO</t>
  </si>
  <si>
    <t>É uma loucura pensar que nasci e cresci aqui em São Paulo, mas minha família veio de vários lugares como Piauí, Bahia, Campos de Jordão, Paraná e por aí vai.   O mais incrível disso é poder ver em mim, um pouquinho de cada lugar, de cada pessoa. Seus trejeitos, suas manias e seus desejos, porém o mais legal é conseguir ver que além de eu ter um pouco de cada lugar. ainda tenho muito espaço para os lugares que ainda nunca fui e sei que vou chegar.</t>
  </si>
  <si>
    <t>Hoje me encontro em um grande dilema, e para ser bem sincera esse programa pode me ajudar muito. Estou sempre entre a casa da minha mãe e do meu pai, terminando a minha faculdade de Design gráfico, mas o que eu menos esperava está era de volta para Arte, para aquela no qual eu tive que desistir quando menor. Voltar a fazer teatro foi a melhor coisa que me aconteceu e o melhor ainda, foi eu conseguir começar no canto, onde eu me encontro cada vez mais por lá e sei que dessa vez, eu tenho uma chance muito boa de continuar fazendo aquilo que realmente me faz bem e aquilo que eu realmente amo fazer, a arte.</t>
  </si>
  <si>
    <t>Eu sei que vou chegar lá, não sei como, não sei quando, mas sei que vou, porque dessa vez não vou desistir. A arte sempre me moveu e me move todos os dias, sempre fui a criança que fazia muito bagunça ou melhor, muito arteira e sei que com minha força de vontade de aprender cada vez mais, eu vou conseguir viver da arte, vou conseguir realizar meus sonhos e não só trazer arte para mim e também para todos que estão ao meu redor e mostrar que devemos lutar pelo o que amamos e lutar por nós mesmos também!</t>
  </si>
  <si>
    <t>451.558.208-98</t>
  </si>
  <si>
    <t>Giullia De Campos</t>
  </si>
  <si>
    <t>giulliaadecampos18@gmail.com</t>
  </si>
  <si>
    <t>https://yz2spukd8h-jbrk7pf7uvw.s3.amazonaws.com/2024/04/0qqj%2BuT/tWnd23HxC43dkVV4CqkMYTdC2c5w0J330o0%3D.jpg</t>
  </si>
  <si>
    <t>20 anos, 5 meses, 11 dias</t>
  </si>
  <si>
    <t>02757-070</t>
  </si>
  <si>
    <t>Rua Reverendo Erodice Pontes de Queiroz</t>
  </si>
  <si>
    <t>298</t>
  </si>
  <si>
    <t>39.634.645-5</t>
  </si>
  <si>
    <t>(11) 96108-9394</t>
  </si>
  <si>
    <t>11-961089394</t>
  </si>
  <si>
    <t>https://www.instagram.com/giullia_cmps?igsh=czF4d2lqZ3QyNjVo&amp;utm_source=qr</t>
  </si>
  <si>
    <t>Olá eu sou a Giullia,nasci em São Paulo capital no ano de 2004 ,nessa cidade aprendi a valorizar e conhecer ambientes e culturas diversas,como filha de uma mulher negra desde minha infância fui ensinada a buscar   oportunidades para me destacar ,durante meu ensino medio estudei na escola estadual Milton da Silva Rodrigues lá pude pertencer a uma comunidade estudantil e me reconhecer ,fiz parte do grêmio estudantil junto ao grupo organizamos eventos para a comunidade  também tive o prazer de fazer parte do corpo da fanfarra da escola onde desfilamos no sambódromo do Anhembi no 7 de setembro, sempre tendo minha família como base consegui realizar grandes feitos</t>
  </si>
  <si>
    <t>Atualmente tenho 20 anos , estou imersa em um ambiente de aprendizado e crescimento na área de pedagogia , buscando constantemente me superar e adquirir novas habilidades e expandir minha visão de mundo tendo como prioridade desenvolver constantemente comportamentos  que me façam elevar meu intelecto e meu profissionalismo garantindo que eu possa levar tudo oque absorvo para o longo de minha vida</t>
  </si>
  <si>
    <t>É com entusiasmo e determinação que compartilho meu caminho futuro. Em constante evolução na minha jornada profissional, almejo contribuir de forma significativa para o meu crescimento, aplicando meus conhecimentos, habilidades e paixão em prol de objetivos comuns. Busco não apenas alcançar metas, mas ultrapassá-las, inspirando outros e deixando um legado de excelência e comprometimento em tudo que faço. Estou ansiosa para os desafios que o futuro reserva e confiante de que meu empenho e dedicação abrirão portas para novas conquistas e oportunidades</t>
  </si>
  <si>
    <t>543.336.998-60</t>
  </si>
  <si>
    <t>Renato Pimenta Dos Santos</t>
  </si>
  <si>
    <t>pmenta.re@gmail.com</t>
  </si>
  <si>
    <t>https://yz2spukd8h-jbrk7pf7uvw.s3.amazonaws.com/2024/06/voVx91oeeM6nkOy6eCu5R1qjyXk8N8eC%2BikkbnE1xFM%3D.jpg</t>
  </si>
  <si>
    <t>20 anos, 3 meses, 13 dias</t>
  </si>
  <si>
    <t>08390-390</t>
  </si>
  <si>
    <t>Rua Conde de Ericeira</t>
  </si>
  <si>
    <t>585878374</t>
  </si>
  <si>
    <t>(11) 95894-7862</t>
  </si>
  <si>
    <t>BMENTA.RE@GMAIL.COM</t>
  </si>
  <si>
    <t>https://www.instagram.com/pmen74?igsh=amMzYXZ0aXYxY2w3</t>
  </si>
  <si>
    <t>GEOGRAFIA</t>
  </si>
  <si>
    <t>Olá, me chamo Renato Pimenta.  Possuo uma formação técnica em marketing pela Etec, experiência em atendimento ao cliente e vontade de aprender cada vez mais.   Sempre observei com bastante interesse os centros culturais de São Paulo apesar de te-los frequentado pouco e percebo uma função social importantíssima de promover acesso e democratização na relação entre a população e a cidade,  especialmente em uma cidade como São paulo que apresenta grande efervescencia cultural em diversas áreas e formas, eu diria que tenho visto PJMC com uma oportunidade de participação nesse processo já há algum tempo.</t>
  </si>
  <si>
    <t>Atualmente me encontro desempregado e cursando geografia pela USP (1° ano), busco um meio de trabalho que se concilie nas rotas de transporte entre a zona leste e a FFLCH (é de fato o meu maior obstáculo no momento)  Participo também de uma banda aonde toco contrabaixo apesar de estatmos inativos por falta de um baterista, é um projeto ainda em desenvolvimento, mas possibilitou algumas vivências interessantes.  Atualmente seria conveniente um trabalho que me permita exercitar conceitos absorvidos na faculdade relacionados á territorialidade, população e cultura de forma orgânica em meu dia dia  ou até me cercar por literatura e estar próximo á um ambiente amigável aos meus estudos.</t>
  </si>
  <si>
    <t>Acredito que minhas metas se moldam na relação dos meio que tenho de atuar e a necessidade de atuação que se apresenta, ao vivenciar o PJMC me parece possível encontrar essas lacunas aonde eu possa futuramente empregar os conhecimentos da graduação.  Bibliotecas, casas de cultura, CEUs... nestes se estabelecem relações entre população e território, são locais aonde a cidade é vivenciada de formas muito diferentes entre si, observar estas dinâmicas seria benéfico para atuações futuras.</t>
  </si>
  <si>
    <t>241.222.138-35</t>
  </si>
  <si>
    <t>Diego Giovannini Correa</t>
  </si>
  <si>
    <t>correagiovannini@gmail.com</t>
  </si>
  <si>
    <t>https://yz2spukd8h-jbrk7pf7uvw.s3.amazonaws.com/2024/06/AvbzVlVpz9GmfN%2BGCS%2BN/G9pJb7jhFsza%2B1xP1cK1I4%3D.jpg</t>
  </si>
  <si>
    <t>25 anos, 10 meses, 11 dias</t>
  </si>
  <si>
    <t>05379-020</t>
  </si>
  <si>
    <t>Travessa Sizenando Fortes</t>
  </si>
  <si>
    <t>521923694</t>
  </si>
  <si>
    <t>(11) 99299-7078</t>
  </si>
  <si>
    <t>https://www.instagram.com/insanoemeci/</t>
  </si>
  <si>
    <t>Nasci e cresci em sapopemba. Fui criado pelos meus queridos avós. Desde que me conheço por gente sempre me expressei criativamente. Primeiro, desenhando, segundo jogando futebol, e, por fim , compondo letras de música, em especial, RAP.  E, tendo sido tocado por essa incrível arte aos 13 anos, nunca mais parei. E de lá para cá assim tem sido . Hoje, com 25 anos de vida, estou em busca de realizar meu maior sonho: viver de rap.</t>
  </si>
  <si>
    <t>Atualmente resido em Rio pequeno. Saí da minha cidade Natal e vim para cá junto da   minha companheira tentar uma vida nova. Moro de aluguel e no momento me encontro desempregado. Tenho pesquisado bastante a respeito de vagas, porém, a esmagora maioria delas exigem ensino médio completo. Por isso,  decidi de uma vez por todas concluir o terceiro ano através da   prova do ENCCEJA, seja para terminá-lo, como conseguir um emprego melhor.</t>
  </si>
  <si>
    <t>Bom, essa é uma pergunta complexa. Mas, tentarei responder; sinceramente, não faço a mínima ideia para onde vou, no entanto, sei para onde quero ir e me tornar. Quero desenvolver projetos que envolvem criatividade, produção artística, sendo útil para as pessoas, um instrumento de mudança positiva na vida delas. Dar minha contribuição, tanto como pessoa, quanto artista. Sinto que estou neste planeta somente para isso. Só assim minha vida faz total sentido.</t>
  </si>
  <si>
    <t>496.137.348-64</t>
  </si>
  <si>
    <t>CHARLES CIRINO FERREIRA DIAS</t>
  </si>
  <si>
    <t>Charles Cirino Ferreira Dias</t>
  </si>
  <si>
    <t>Charlie Cirino Ferreira Dias</t>
  </si>
  <si>
    <t>charliecdias@gmail.com</t>
  </si>
  <si>
    <t>https://yz2spukd8h-jbrk7pf7uvw.s3.amazonaws.com/2024/04/BF5TOqqZ9J9tw7JsHCnYSZwEbqq1Wsj0TTxaun2TtT8%3D.jpg</t>
  </si>
  <si>
    <t>27 anos, 11 meses, 30 dias</t>
  </si>
  <si>
    <t>Alto da Riviera</t>
  </si>
  <si>
    <t>04929-250</t>
  </si>
  <si>
    <t>Rua Sílvia Stefani Legnaioli</t>
  </si>
  <si>
    <t>392</t>
  </si>
  <si>
    <t>361748334</t>
  </si>
  <si>
    <t>(11) 96239-1181</t>
  </si>
  <si>
    <t>https://www.instagram.com/charliecirinos/</t>
  </si>
  <si>
    <t>CIENCIAS CONTABEIS E TECNICO EM MODELAGEM</t>
  </si>
  <si>
    <t>Venho da periferia da zona sul de São Paulo, com grande apreço pelas artes afim de compartilhar elas , tendo desenvolvido e aprendido no período de vida trabalhista a lidar com público. A melhor forma de atender e resolver seus problemas, por exemplo trabalho nas lojas americanas tive diversas experiências com diferentes tipos de público e situações.</t>
  </si>
  <si>
    <t>Atualmente estudo moda na ETEC, estou a procura de direcionar minhas artes e criações para novas pessoas.  Acredito que a moda e as artes gráficas podem trazer as pessoas diversas formas de explorar.   Sou entusiasta de música também foco meus trabalhos nesta área principalmente relacionado ao funk e aos estilos marginalizados ou tomados por sistema e desvirtuado,</t>
  </si>
  <si>
    <t>Meu projeto como uma pessoa trans, é trazer um local de acolhimento e sem julgamentos, para pessoas queer se explorarem artisticamente. Acho que a moda no qual tenho experiência tem um importante foco nisso,  assim como artes gráficas.  E através do meu trabalhar trazer pessoas que possam conscientizar sobre questões queer's, já que nas periferias essas informações chegam com dificuldade ou distorcidas.</t>
  </si>
  <si>
    <t>361.505.998-09</t>
  </si>
  <si>
    <t>YASMIN DA SILVA FAZZIO</t>
  </si>
  <si>
    <t>Yasmin Da Silva Fazzio</t>
  </si>
  <si>
    <t>fazzioyazz@gmail.com</t>
  </si>
  <si>
    <t>https://yz2spukd8h-jbrk7pf7uvw.s3.amazonaws.com/2024/06/8CiDwi1T/q9%2BsVhSOZT3JrkOWDeWzgaBOuk0zkCxgwU%3D.jpeg</t>
  </si>
  <si>
    <t>27 anos, 6 meses, 17 dias</t>
  </si>
  <si>
    <t>04843-550</t>
  </si>
  <si>
    <t>Rua Irina Milchev Starbulov</t>
  </si>
  <si>
    <t>502</t>
  </si>
  <si>
    <t>672510972</t>
  </si>
  <si>
    <t>(19) 98602-1489</t>
  </si>
  <si>
    <t>Meu nome é Yazz sou cria do nordeste - nascido y crescido em Alagoas. Tenho 27 anos, transmestiço - indígena em transição y retomada. Ao terminar o ensino médio fiz minha 1ª migração para Santa Fe (AR). Uma vivência de 8 anos de experiências y estudos, entendendo que ambas contemplam um aprendizado de idioma y sociocultural mas também uma formação técnica em cinema e artes audiovisuais. Comunicador Audiovisual que trabalha com elementos visuais através de diferentes disciplinas da fotografia ao vídeo, na luz y nas edições.</t>
  </si>
  <si>
    <t>Multimídia artivista gerando produções de sensibilidades individuais y coletivas que se valem de técnicas mas deslocadas a partir da subjetividade das trocas de experiências vividas. Me encontro há 3 anos em São Paulo, transitando minha segunda migração. Atualmente habitando no Grajaú, bairro localizado na periferia do extremo sul de São Paulo. Envolvido em trabalhos que acontecem no território que habito, junto a espaços y coletividades periféricas, indígenas y/ou pessoas trans.</t>
  </si>
  <si>
    <t>Entendendo que a minha trajetória é de migração y, que a mesma permite continuar aprendendo de seus caminhos - existem muitos processos entre o viver e o fazer que me colocam hoje aqui. Em busca ampliar minha possibilidades técnicas y expressivas, trabalho y operando em espaços no territorio, através da cultura, arte y educação.</t>
  </si>
  <si>
    <t>103.220.574-18</t>
  </si>
  <si>
    <t>Ana Luiza Silva Arduino</t>
  </si>
  <si>
    <t>analuizasa2006@gmail.com</t>
  </si>
  <si>
    <t>https://yz2spukd8h-jbrk7pf7uvw.s3.amazonaws.com/2024/06/kLCv%2B5qIvT/5gTcZ4BbxHHj3DbdeV8fYANYPlS6CwLc%3D.jpg</t>
  </si>
  <si>
    <t>18 anos, 3 meses, 29 dias</t>
  </si>
  <si>
    <t>Alto de Pinheiros</t>
  </si>
  <si>
    <t>05468-140</t>
  </si>
  <si>
    <t>Apto 54B</t>
  </si>
  <si>
    <t>ALTO DE PINHEIROS</t>
  </si>
  <si>
    <t>Rua Pio XI</t>
  </si>
  <si>
    <t>2179</t>
  </si>
  <si>
    <t>572053836</t>
  </si>
  <si>
    <t>(11) 99213-6999</t>
  </si>
  <si>
    <t>https://www.instagram.com/a.ta.z.ana</t>
  </si>
  <si>
    <t>https://drive.google.com/file/d/1bFbKWypojgAhsaCPWHshuAenvn6jIAN5/view?usp=drive_link</t>
  </si>
  <si>
    <t>459.671.918-79</t>
  </si>
  <si>
    <t>Catharine Zenobi Romano</t>
  </si>
  <si>
    <t>catharinezenobi@gmail.com</t>
  </si>
  <si>
    <t>https://yz2spukd8h-jbrk7pf7uvw.s3.amazonaws.com/2024/04/G0kpB73LSDRHoz5uBtPITSi%2B03RItsXX5SOtI6iSrr4%3D.jpeg</t>
  </si>
  <si>
    <t>05567-070</t>
  </si>
  <si>
    <t>Casa Amarela do portão cinza ao lado do bar</t>
  </si>
  <si>
    <t>Rua Assumpta Conrado Rehder</t>
  </si>
  <si>
    <t>605670225</t>
  </si>
  <si>
    <t>(11) 91363-1386</t>
  </si>
  <si>
    <t>https://www.instagram.com/https.zenooba/</t>
  </si>
  <si>
    <t>Olá, tudo bem? Meu nome é Catharine, tenho 20 anos, e a pergunta da vez é: "De onde eu vim?" Eu nasci em São Paulo! Mas aos 3 anos de idade fui pra Cotia, cidade não muito longe, cresci ali até os meus 15/16 anos, aonde graças a Deus tive acesso a duas escolas muito boas que frequentei (E.M jardim panorama e E.E Kenkiti Simomoto) Desde pequena sempre me interessei na área de arte, sempre desenhando, sempre sempre pintando, pra mim, era o que eu mais amava nessa vida, assistir desenhos e dar vida aos meus! Eu nunca tive acesso a á algum curso de desenho, por que meus pais nunca tiveram uma fonte de renda boa, sempre me virei com a TV, e as vezes com o computador da minha vó quando íamos lá!</t>
  </si>
  <si>
    <t>Aos 15 anos (em 2019) minha mãe decidiu que iria sair de Cotia, por que o trabalho estava sendo muito longe (na época meus pais trabalhavam juntos, ela de diarista e meu pai de motorista) e foi aí que tudo mudou pra mim. Infelizmente acabei desenvolvendo depressão por ter sidotudo tão repentino, mas aos poucos eu fui percebendo que São Paulo iria me acolher. Em Cotia não tínhamos tanto acesso à espaços culturais, e de longe, foi a primeira coisa que me deu um baque, em São Paulo, todos os ramos de arte e cultura tem seu espaço, uma das coisas que me ajudou a sair desse limbo que me encontrava foi a arte, perto de casa tem um sebo, aonde foi essencial para retornar para a arte.</t>
  </si>
  <si>
    <t>Atualmente me encontro nesse estado novamente, não por São Paulo, mas por conta do mercado de trabalho, sempre quis trabalhar com arte, desde pequena, e ninguém tá preparado pro choque que é virar adulto e entrar no mundo corporativo aonde a grande maioria nos faz nos afastar da arte, aonde é um ambiente na sua maioria opressor e machista, mas uma esperança nasceu em mim, uma amiga me mandou esse processo seletivo, e finalmente eu sinto que posso me reconectar com a arte, estar perto do processo, me sentir acolhida e parte de algo, um primeiro passo para voltar a ser quem eu era, e viver disso. Eu amo a arte desde o começo, quando me desviei desse lado me senti perdida, agora esperançosa.</t>
  </si>
  <si>
    <t>504.262.508-93</t>
  </si>
  <si>
    <t>CAROLINE AGUIAR DA SILVA</t>
  </si>
  <si>
    <t>Kelvin Merakiih Aguiar Da Silva</t>
  </si>
  <si>
    <t>karolag.silva@gmail.com</t>
  </si>
  <si>
    <t>https://yz2spukd8h-jbrk7pf7uvw.s3.amazonaws.com/2024/04/%2BMYYQaeSJJ%2B88qRNWQWMfvIrdPPO8tZ50T4mKoSNfQ8%3D.jpg</t>
  </si>
  <si>
    <t>Vila Maria</t>
  </si>
  <si>
    <t>02125-001</t>
  </si>
  <si>
    <t>VILA MARIA</t>
  </si>
  <si>
    <t>Rua Mere Amedea</t>
  </si>
  <si>
    <t>665</t>
  </si>
  <si>
    <t>561111157</t>
  </si>
  <si>
    <t>(11) 97966-1710</t>
  </si>
  <si>
    <t>www.instagram.com/kelvin_merakiih_gamer</t>
  </si>
  <si>
    <t xml:space="preserve">tec - informatica, designer de games e digitação </t>
  </si>
  <si>
    <t>Eu nasci em sp mas eu já morei em alguns outros estados, mas voltei para sp por conta de amar a cultura e o patrimônio histórico que esse lugar imenso tem, eu frequento muitos lugares culturais de são Paulo e sempre tirei todas as dúvidas sobre muitos lugares históricos e antigos de sp, facilidade de acesso a informação sobre assuntos diversos e culturais.</t>
  </si>
  <si>
    <t>Atualmente voltei a morar em São Paulo, por conta de adorar frequentar os lugares culturais, e por ter facilidade de acesso, e trabalhar na biblioteca pode me ajudar a desenvolver a timidez, pois sou muito tímido e muitas vezes não consigo conversar com as pessoas mas eu quero mudar isso e acredito que trabalhando numa biblioteca vai me ajudar muito, principalmente por já conhecer as pessoas de lá.</t>
  </si>
  <si>
    <t>Eu quero ir para a biblioteca Álvarez de Azevedo por conta do fácil acesso que tenho para chegar lá, e por conta dos anos que já frequento o local, gosto muito de saber cómo funcionam os centros culturais de são Paulo, e quero conseguir diminuir a timidez, e por estar aonde eu conheço as pessoas que trabalham lá provavelmente eu consiga ser menos tímido.</t>
  </si>
  <si>
    <t>510.775.218-71</t>
  </si>
  <si>
    <t>Otávio Marques De Almeida Rodrigues</t>
  </si>
  <si>
    <t>8m.contato@gmail.com</t>
  </si>
  <si>
    <t>https://yz2spukd8h-jbrk7pf7uvw.s3.amazonaws.com/2024/06/Wb%2BaWUqJABXkopCUE53siEnV433b4Jqwb0ZZMVd9BFk%3D.jpg</t>
  </si>
  <si>
    <t>24 anos, 6 meses, 14 dias</t>
  </si>
  <si>
    <t>08215-000</t>
  </si>
  <si>
    <t>47b</t>
  </si>
  <si>
    <t>Rua Professor Brito Machado</t>
  </si>
  <si>
    <t>500</t>
  </si>
  <si>
    <t>393230363</t>
  </si>
  <si>
    <t>(11) 9923-1255</t>
  </si>
  <si>
    <t>8M.CONTATO@GMAIL.COM</t>
  </si>
  <si>
    <t>https://www.instagram.com/oitavo_lobo/</t>
  </si>
  <si>
    <t>CURSANDO GESTÃO POLÍTICAS PUBLICAS</t>
  </si>
  <si>
    <t>https://drive.google.com/file/d/1Z5HkJFqKGF4c9iT-kAE1wqaDKkRzsz2k/view?usp=sharing</t>
  </si>
  <si>
    <t>472.946.068-54</t>
  </si>
  <si>
    <t>Laura Coelho Do Vale</t>
  </si>
  <si>
    <t>laura-cvale@hotmail.com</t>
  </si>
  <si>
    <t>https://yz2spukd8h-jbrk7pf7uvw.s3.amazonaws.com/2024/06/tV%2BKieP5JGstfIi6y0aXQApgC69aJd5WdHKXrjXq0RE%3D.jpg</t>
  </si>
  <si>
    <t>20 anos, 3 meses, 7 dias</t>
  </si>
  <si>
    <t>Jardim São José (São Mateus)</t>
  </si>
  <si>
    <t>03931-000</t>
  </si>
  <si>
    <t>Rua Felisberto Augusto de Oliveira</t>
  </si>
  <si>
    <t>673794465</t>
  </si>
  <si>
    <t>(11) 94979-3788</t>
  </si>
  <si>
    <t>LAURA-CVALE@HOTMAIL.COM</t>
  </si>
  <si>
    <t>SUPERIOR DESING GRAFICO</t>
  </si>
  <si>
    <t>Meu nome é Laura, tenho 20 anos e sou artista. Atualmente estou no primeiro semestre do curso de Design Gráfico e diria que me encontrei. Desde criança meus maiores interesses sempre foram desenhar e ler. Ainda hoje continuo desenhando, tanto tradicionalmente quanto digitalmente, e passo a maior parte do meu tempo livre lendo. Sou fã de artes cênicas e costumava protagonizar as peças da escola na infância. O teatro é um dos lugares que eu mais gosto de estar, ficando atrás apenas das bibliotecas e livrarias, as quais visito com frequência. A leitura foi, inclusive, o que me fez aprender inglês sozinha aos 11 anos.</t>
  </si>
  <si>
    <t>Cresci no interior de Minas Gerais e me mudei para São Paulo em 2018, portanto ainda não me acostumei completamente ao tamanho da cidade e a distância entre os lugares. Moro em São Mateus e minha região, embora humilde, tem algumas iniciativas culturais, como o CEU Aricanduva que fica bem próximo à minha casa e me permite assistir ao teatro de forma acessível.</t>
  </si>
  <si>
    <t>O motivo que me levou a querer participar do PJMC foi a oportunidade de trabalhar em uma biblioteca, que seria algo extremamente gratificante para mim, porque as bibliotecas são essenciais para a democratização da cultura e eu gostaria de fazer parte disso e estimular as pessoas a lerem como a bibliotecária da minha escola fez comigo. Também seria uma grande ajuda financeira para mim e minha família.</t>
  </si>
  <si>
    <t>F845</t>
  </si>
  <si>
    <t>135.768.196-81</t>
  </si>
  <si>
    <t>GLEICE</t>
  </si>
  <si>
    <t>aparecidagleice226@gmail.com</t>
  </si>
  <si>
    <t>https://yz2spukd8h-jbrk7pf7uvw.s3.amazonaws.com/2024/06/CBY1tcyRGaV%2BnRAl41ebxYnZnIQZ2goyTi84i8zvA1s%3D.jpg</t>
  </si>
  <si>
    <t>19 anos, 8 meses, 7 dias</t>
  </si>
  <si>
    <t>04835-080</t>
  </si>
  <si>
    <t>Rua Rubens Souto de Araújo</t>
  </si>
  <si>
    <t>860</t>
  </si>
  <si>
    <t>636167057</t>
  </si>
  <si>
    <t>(11) 98321-9114</t>
  </si>
  <si>
    <t>https://www.instagram.com/_higley_/</t>
  </si>
  <si>
    <t>Me chamo Gleice, tenho 19 anos e muito interesse em conseguir essa vaga. Atualmente moro na região extremo sul de são Paulo no distrito Grajaú, curso o terceiro semestre em pedagogia na Estácio (modalidade EAD), e faço um estágio em uma escola municipal. Possuo um maior interesse no campo artístico, sempre me interessei bastante por essa área.   Sou uma pessoa calma, porém bastante confiante no que faço, não me considero uma pessoa muito extrovertida, mas procuro compensar isso com minhas outras características. Lido bem com pessoas, e atividades em trabalho em equipe, além de já ter outras experiencias previas com atendimento ao público que sempre me são bem úteis.</t>
  </si>
  <si>
    <t>Minha relação com o local onde moro se dá pela valorização dos aspectos culturais da minha região, ao frequentar lugares com valores sentimentais e históricos como por exemplo shows e eventos nos Centros Culturais do Grajau e de Parelheiros, eu apoio a cultura propagada por esses locais, também costumo frequentar teatros e cinemas como o Teatro Paulo Eiró ou o Circuito Spcine.  Muitas vezes a cultura regional acaba deixada de lado dando lugar a cultura homogenia, por isso acho importante aproveitar os nossos gostos e frequentar esses eventos para que a nossa história não desapareça em meio ao tempo, devemos reconhecer e apreciar o regionalismo e a identidade cultural do local onde moramos.</t>
  </si>
  <si>
    <t>Acredito ser uma pessoa apta para o papel a ser exercido pois sou apaixonada pelo que faço, desde sempre tive contato com a educação e as artes. Mesmo antes de escolher minha carreira, já trabalhei como jovem aprendiz em uma creche conveniada e impulsionei ainda mais meu interesse.   Depois disso comecei a cursar Pedagogia e então consegui o estágio, que,  juntamente com a formação aprimoraram minhas técnicas e meu convívio com os alunos me acostumando com a situação e percebendo que é exatamente isso o que eu quero fazer: lidar com a educação, com as artes e instruir da melhor forma aqueles que ainda podem fazer a diferença.</t>
  </si>
  <si>
    <t>532.194.368-03</t>
  </si>
  <si>
    <t>quentinhas.sol@gmail.com</t>
  </si>
  <si>
    <t>https://yz2spukd8h-jbrk7pf7uvw.s3.amazonaws.com/2024/05/n8yZRmDL/Vx4ArrhYRXYHjKGHpPA7kcs1zFi/YpMcD0%3D.pdf</t>
  </si>
  <si>
    <t>Parque São Rafael</t>
  </si>
  <si>
    <t>08310-480</t>
  </si>
  <si>
    <t>Avenida Salvador Jorge Velho</t>
  </si>
  <si>
    <t>237</t>
  </si>
  <si>
    <t>387038292</t>
  </si>
  <si>
    <t>(11) 95127-2924</t>
  </si>
  <si>
    <t>Intelectual</t>
  </si>
  <si>
    <t>CEU ROSA DA CHINA</t>
  </si>
  <si>
    <t>Nasci em São Paulo capital filha do coração do Martos meu pai e Solange Maria minha mãe, e esse ano, quero o nome deles na minha certidão, pois sou grata minha gratidão pelo que fizeram por mim. Tenho um irmão e uma irmã, que me deram 7 sobrinhos lindos pelos quais sou completamente apaixonada. Acompanho as atividades apresentadas nas casas de cultura, e acho o espaço muito importante, principalmente para o povo das comunidades periféricas, que na maior parte das vezes, não tem onde frequentar.</t>
  </si>
  <si>
    <t>Estou na zona leste de São Paulo, Parque São Rafael, lugar carente de diversão, porém nas casas de cultura tem várias atividades para diversas idades no bairro, fico atenta às aulas de yoga, ginástica, zumba, dança de salão, assim como teatro, instrumentos e balé para crianças. É um alento para investir na criatividade e formação artística das crianças, além de ser saudável pra todas as idades.</t>
  </si>
  <si>
    <t>Busco um lugar pra poder auxiliar meus pais, presentear meus sobrinhos e sobrinhas, poder ser independente e capaz de realizar meus sonhos. Ajudar no término da construção da casa dos meus pais, e decorar meu quarto com meus ganhos. Gosto muito de conversar com pessoas, cuidar e também sou muito paciente. Preciso apenas de uma oportunidade pra demonstrar como eu sou.</t>
  </si>
  <si>
    <t>F70 E F90</t>
  </si>
  <si>
    <t>468.008.138-42</t>
  </si>
  <si>
    <t>kaiquecaique6@gmail.com</t>
  </si>
  <si>
    <t>https://yz2spukd8h-jbrk7pf7uvw.s3.amazonaws.com/2024/06/WN9sDlCCvPTvH%2BLIZBnhHBYakQZ%2ByVFHgWCUHHkHT7A%3D.jpg</t>
  </si>
  <si>
    <t>29 anos, 5 meses, 12 dias</t>
  </si>
  <si>
    <t>Jardim Imbé</t>
  </si>
  <si>
    <t>05863-100</t>
  </si>
  <si>
    <t>Rua Francisco de Abreu</t>
  </si>
  <si>
    <t>47898463-7</t>
  </si>
  <si>
    <t>(11) 95217-6303</t>
  </si>
  <si>
    <t>https://web.facebook.com/kad.akatsuki/</t>
  </si>
  <si>
    <t>SOU DE SÃO PAULO, MOREI FORA DA CAPITAL QUANDO ERA PEQUENO, EM UMA CIDADE CHAMADA ARARAS, POIS LA FICAVA PROXIMO DE ONDE MEU PAI TRABALHAVA, DEPOIS DE UM TEMPO, MINHA MAE MUDOU SE PARA CAPITAL, POIS NAO TINHA COMO CONTINUAR PAGANDO O ALUGUEL POR LA, E TAMBEM PORQUE ERA MELHOR ESTAR POR PERTO DA MINHA VÓ NA ZONA SUL DE SÃO PAULO... VIVO AQUI ATE HOJE COM MINHA MÃE, MINHA IRMÃ  E MINHA SOBRINHA</t>
  </si>
  <si>
    <t>HOJE VIVO NA ZONA SUL DE SÃO PAULO, NO CAPAO REDONDO, SOBRE CONDIÇOES DIFICEIS DE COMPETIVIDADE NO MERCADO DE TRABALHO, MAIS PROCURO SEMPRE MOTIVAÇOES PARA CONSEGUIR LIDAR COM O ESTRESSE DO DIA A DIA, GOSTO MUITO DE SAIR PARA EVENTOS DE SHOWS DE BANDAS EM CENTRO CUTURAIS E OUTROS LOCAIS ONDE EU POSSA ME SOCIALIZAR E ME DESCONTRAIR, POR MIM GOSTORIA DE ESPANDIR ESSES ESPAÇOS CUTURAIS GRATUITOS PARA QUE ELES FUNCIONASSEM A NOITE TODOS OS FINS DE SEMANA, PRINCIPALMENTE AOS SABADOS</t>
  </si>
  <si>
    <t>TENHO VONTADE DE MORAR NO CENTRO DE SÃO PAULO, POIS SERIA FACILITADO ESTAR PERTO DE VARIOS PONTOS CUTURAIS IMPORTANTES PRA MIM,  FORA QUE MUITO DOS MEUS AMIGOS MORAM PROXIMO DESSA REGIAO, E HÁ VARIOS LUGARES QUE GOSTO DE FREQUENTAR POR LA, SENDO QUE POR ONDE MORO NAO HÁ MUITO DESSES ESPAÇOS, E LA NO CENTRO EU PERCEBO UMA VALORIZAÇAO HISTORICA, QUE ME FAZ ME SENTIR EM CASA</t>
  </si>
  <si>
    <t>400.613.608-05</t>
  </si>
  <si>
    <t>ANA BEATRIZ DE SOUZA SILVA</t>
  </si>
  <si>
    <t>Ana Beatriz De Souza Silva</t>
  </si>
  <si>
    <t>ANA BEATRIZ</t>
  </si>
  <si>
    <t>Ana Beatriz</t>
  </si>
  <si>
    <t>anabeatriz15souzasilva@gmail.com</t>
  </si>
  <si>
    <t>https://yz2spukd8h-jbrk7pf7uvw.s3.amazonaws.com/2024/05/QTEA5G7IWM4IkFep4ME%2BLCcCNwjqS612faaIR5eZfew%3D.jpg</t>
  </si>
  <si>
    <t>18 anos, 1 meses, 30 dias</t>
  </si>
  <si>
    <t>Vila Bancária</t>
  </si>
  <si>
    <t>03918-020</t>
  </si>
  <si>
    <t>Alameda dos Contadores</t>
  </si>
  <si>
    <t>320</t>
  </si>
  <si>
    <t>524046189</t>
  </si>
  <si>
    <t>(11) 94025-7916</t>
  </si>
  <si>
    <t>https://www.instagram.com/ana.beasouzaa?igsh=cmRkaDJ5bWFsZGJu</t>
  </si>
  <si>
    <t>Nasci e cresci em uma comunidade na zona leste de São Paulo, vim de uma família bem humilde. Minha mãe me teve  muito nova então ela começou a trabalhar cedo, eu passava a maior parte do tempo na escola ou com a minha vó.  Aos 10 anos me mudei para o bairro da Vila Formosa, o que foi maravilhoso pra mim já que comecei a conhecer e entender mais sobre educação, cultura, profissões, assim em diante fui em busca do que me trazia orgulho e paixão.</t>
  </si>
  <si>
    <t>Atualmente, estou no terceiro ano do ensino médio e estudo no período da noite. Encontro-me em uma fase de incerteza em relação ao meu futuro profissional, a escolha de uma carreira é uma decisão importante e, ao mesmo tempo, desafiadora. Enquanto penso nas opções de carreira, estou determinado a explorar diferentes opções de carreira o que é uma ótima maneira de descobrir o que realmente pode despertar minha paixão e motivação.</t>
  </si>
  <si>
    <t>Acredito que futuramente vou estar terminando minha faculdade, seja medicina, ou administração, ou gastronomia. Vou estar no meu apartamento, trabalhando com o que amo, provando vários pratos deliciosos, talvez escrevendo um livro, viajando, pintando quadros e incentivando pessoas a expressarem pra si mesmo a suas próprias habilidades. Não quero nenhum luxo, só quero uma vida confortável na qual eu possa expressar minha arte e conhecimento.</t>
  </si>
  <si>
    <t>405.365.128-09</t>
  </si>
  <si>
    <t>EVELYN PEREIRA BRITO DE GOIS</t>
  </si>
  <si>
    <t>Evelyn Pereira Brito De Góis</t>
  </si>
  <si>
    <t>EVELYN</t>
  </si>
  <si>
    <t>Evelyn</t>
  </si>
  <si>
    <t>evelynbrito45@gmail.com</t>
  </si>
  <si>
    <t>https://yz2spukd8h-jbrk7pf7uvw.s3.amazonaws.com/2024/04/l7FnMM0/MX6Xs2YdrUQKreTmc%2Beljv5QUwcQGr0eLEU%3D.jpeg</t>
  </si>
  <si>
    <t>25 anos, 2 meses, 27 dias</t>
  </si>
  <si>
    <t>Vila Teresinha</t>
  </si>
  <si>
    <t>02853-000</t>
  </si>
  <si>
    <t>Rua Alfredo Lúcio</t>
  </si>
  <si>
    <t>638</t>
  </si>
  <si>
    <t>506686590</t>
  </si>
  <si>
    <t>(11) 95950-2763</t>
  </si>
  <si>
    <t>11-9519763</t>
  </si>
  <si>
    <t>informatica - tecnico</t>
  </si>
  <si>
    <t>Me chamo Evelyn, nasci em São Paulo e já morei 3 anos no Nordeste. Quando voltei para São Paulo, comecei a fazer teatro na Fábrica de Cultura da Cachoeirinha, e foi sem dúvida uma das melhores experiências. Essa experiência aumentou ainda mais a minha paixão pela arte e pela atuação, e ainda me proporcionou uma amizade que dura até hoje. Depois que sai do ensino médio, trabalhei de forma autônoma com corretagem de imóveis, mas não me identifiquei, então decidi não continuar.</t>
  </si>
  <si>
    <t>Hoje em dia passo boa parte do meu tempo estudando. Gosto de estudar sobre autoconhecimento e idiomas. Amo ler, ver filmes, séries e consumir coisas que me agregam de alguma forma. Ultimamente eu tenho ficado mais em casa. Quando decido sair costuma ser para lugares mais tranquilos e culturais, como, por exemplo, parques, museus, cinema, bibliotecas, etc. Sou apaixonada por tudo que envolve arte, é como se fosse meu combustível.</t>
  </si>
  <si>
    <t>Depois de muito anos afastada do teatro, pretendo voltar a atuar. Tenho objetivo de ir estudar cinema no exterior. Por enquanto não tenho previsão para quando isso vai acontecer, mas é algo que prometi para mim mesma que irei fazer. Quero trabalhar com arte porque é o que faz sentido para mim e é a única coisa que me vejo fazendo futuramente. Durante essa jornada da vida quero continuar me aprofundando no autoconhecimento, quero conhecer pessoas novas, lugares novos e ter novas experiências que agreguem no meu crescimento.</t>
  </si>
  <si>
    <t>104.215.544-52</t>
  </si>
  <si>
    <t>RENAN GABRIEL ALMEIDA DA SILVA</t>
  </si>
  <si>
    <t>renangabriel0813@gmail.com</t>
  </si>
  <si>
    <t>https://yz2spukd8h-jbrk7pf7uvw.s3.amazonaws.com/2024/06/C0H%2BVkT01NRUOO50q1P5IVCo5Z3u6QrwrwiCNWV6N1M%3D.jpeg</t>
  </si>
  <si>
    <t>19 anos, 10 meses, 5 dias</t>
  </si>
  <si>
    <t>Jardim Fanganiello</t>
  </si>
  <si>
    <t>08450-430</t>
  </si>
  <si>
    <t>Rua Padre Dictino de La Parte Abia</t>
  </si>
  <si>
    <t>552010157</t>
  </si>
  <si>
    <t>(11) 97143-4488</t>
  </si>
  <si>
    <t>RENANGABRIEL0813@GMAIL.COM</t>
  </si>
  <si>
    <t>https://www.instagram.com/renangabrielnan?igsh=MWZyZzIwa2E1dXlkcw==</t>
  </si>
  <si>
    <t>Nasci e cresci em Guaianases, na periferia de São Paulo, e meu entendimento em relação as manifestações artísticas e culturais se deu por meio de uma busca ativa por conhecimento que me fez entender o contexto social e histórico que permeia a região em que vivo, que vai desde antigo território indígena até reflexo do êxodo rural da população nordestina em busca de uma vida "melhor". Dito isso, conforme o tempo foi passando eu fui me preocupando ainda mais pelas questões sociais abordadas na música, como Rap e Soul, e filmes que eu consumo e a partir disso eu fui interpretando a cultura como uma característica resiliente que luta contra a miséria e problemas de nossa sociedade.</t>
  </si>
  <si>
    <t>Atualmente, continuo residindo em Guaianases, no bairro do Lajeado, onde estou me preparando e estudando para ingressar no curso de ensino superior em Audiovisual. Nesse meio, vou procurar desenvolver projetos que contribuam para o desenvolvimento sustentável do nosso país através da cultura e arte.  A Produção Cultural corresponde a essa expectativa, não só por ser uma área em alta no mercado de trabalho, mas por oscilar entre o meio artístico e corporativo a fim de empreender em trabalhos de profissionais ou artistas que, muitas vezes, são vitimas da instabilidade financeira e profissional.</t>
  </si>
  <si>
    <t>O futuro é incerto, principalmente para mim que sempre fui adepto a filosofia de "Deixo a vida me levar". Contudo, isso não significa que eu não me preocupo com o meu futuro, por isso eu mantenho fixa a ideia de uma carreira no Audiovisual, seja por meio do ensino superior ou programas de capacitação profissional, como o PJMC.  A possibilidade de ser selecionado pelo PJMC, reflete uma oportunidade que eu tenho de desenvolver minhas habilidades e colocar meus conhecimentos em prática a favor do desenvolvimento da cultura no Brasil em prol de nossa sociedade e comunidades. Deixo já minhas considerações finais e aguardo com entusiasmo a resposta de vocês.</t>
  </si>
  <si>
    <t>506.239.288-84</t>
  </si>
  <si>
    <t>pedrocoelhoneto9610@gmail.com</t>
  </si>
  <si>
    <t>https://yz2spukd8h-jbrk7pf7uvw.s3.amazonaws.com/2024/04/3jb7mP5ZqROzDYzcNmeGRuIAziEPa2IXapLqN9aJZGQ%3D.pdf</t>
  </si>
  <si>
    <t>27 anos, 8 meses, 12 dias</t>
  </si>
  <si>
    <t>08255-140</t>
  </si>
  <si>
    <t>Apt 31C - INTERFONE 331</t>
  </si>
  <si>
    <t>Rua Frei Antônio Faggiano</t>
  </si>
  <si>
    <t>636</t>
  </si>
  <si>
    <t>53313344-0</t>
  </si>
  <si>
    <t>(11) 2524-0795</t>
  </si>
  <si>
    <t>PEDROCOELHONETO9610@GMAIL.COM</t>
  </si>
  <si>
    <t>https://www.linkedin.com/in/pedro-coelho-neto-21b308204/</t>
  </si>
  <si>
    <t>TEC ILUSTRAÇÃO E CURSA LICENCIATURA HISTÓRIA</t>
  </si>
  <si>
    <t>Ola! Eu sou o Pedro sou brasileiro, oriundo da cidade de São Paulo, do distriuto de Itaquera. Estudei em escolas públicas toda a minha vida, e possuo curso técnico em Administração pelo Centro Paula Souza. Atualmente fui aprovado em processo seletivo do ENEM/ProUNi e estudo em curso superior em instituição particular, tedo preferido o curso de historia do Grupo Cruzeiro do Sul/UNICID.</t>
  </si>
  <si>
    <t>Atualmente estou cursando o primeiro ano do curso de historia da UNICID como bolsista integral pelo Programa Universidade Para Todos, tendo conseguido minha bolsa pelo Exame Nacional do Ensino Médio, atualmente possuo apenas formação na educação basica e tecnica, e tenho uma breve experiencia profissional como atendente de público no Projeto Calçada Literaria atendendo público e distribuindo livros em 3 ocasiões com fomento da Prefeitura de São Paulo.</t>
  </si>
  <si>
    <t>Pretendo trabalhar futuramente como pesquisador e educador além de ingressar em outros cursos de formação superior, tendo optado pelos cursos de foromação em História, Geografia e Direito e possivelmente Matematica, tenho pretenção a cargo como funcionario público no setor de educação ou no Ministerio Público do Estado de São Paulo, o exercício da advocacia me é muito atraente.</t>
  </si>
  <si>
    <t>444.135.588-20</t>
  </si>
  <si>
    <t>Lucas Emanuel Dos Santos Alves</t>
  </si>
  <si>
    <t>contatolucas296@gmail.com</t>
  </si>
  <si>
    <t>https://yz2spukd8h-jbrk7pf7uvw.s3.amazonaws.com/2024/06/2HFeP2lDOAfBT2s2n8PJ3jYJCAAGttHCf68Y1/dVDZg%3D.jpeg</t>
  </si>
  <si>
    <t>20 anos, 7 meses, 1 dias</t>
  </si>
  <si>
    <t>Vila Maria Alta</t>
  </si>
  <si>
    <t>02130-020</t>
  </si>
  <si>
    <t>Rua Sobral Júnior</t>
  </si>
  <si>
    <t>475</t>
  </si>
  <si>
    <t>54.197.339-3</t>
  </si>
  <si>
    <t>(11) 96725-7406</t>
  </si>
  <si>
    <t>CONTATOLUCAS296@GMAIL.COM</t>
  </si>
  <si>
    <t>https://linktr.ee/lucasduff</t>
  </si>
  <si>
    <t>CURSANDO - HISTORIA</t>
  </si>
  <si>
    <t>https://youtu.be/jwtBBT1oQ8M</t>
  </si>
  <si>
    <t>533.528.858-26</t>
  </si>
  <si>
    <t>INAIE PEREIRA DOS SANTOS VIEIRA</t>
  </si>
  <si>
    <t>Inaiê Pereira Dos Santos Vieira</t>
  </si>
  <si>
    <t>inaiepereiraa@gmail.com</t>
  </si>
  <si>
    <t>https://yz2spukd8h-jbrk7pf7uvw.s3.amazonaws.com/2024/06/6J2rkXQQQ3Y7cf/GvvelvcRd7VPVDBGAgyzt1K3vicY%3D.jpg</t>
  </si>
  <si>
    <t>23 anos, 11 meses, 2 dias</t>
  </si>
  <si>
    <t>04470-194</t>
  </si>
  <si>
    <t>Rua Maria Aparecia de Jesus</t>
  </si>
  <si>
    <t>270</t>
  </si>
  <si>
    <t>648067397</t>
  </si>
  <si>
    <t>(11) 94465-7074</t>
  </si>
  <si>
    <t>https://www.instagram.com/inaiepereira/</t>
  </si>
  <si>
    <t>GRADUAÇÃO EM BIOLOGIA</t>
  </si>
  <si>
    <t>Me chamo Inaiê, tenho 23 anos, sou educadora, capoeirista, bgirl e  amante do movimento hip-hop. Sou filha de uma ex-atriz e um músico, ambos capoeiristas. Nasci e cresci no Grupo de Capoeira Raça, na cidade de Maceió, onde vivenciei grandes eventos e aprendi muito sobre nossa arte e cultura, tanto na parte dedicada ao corpo, quanto aquela dedicada à musicalidade. Quando me mudei para São Paulo, me envolvi na cultura hip-hop, comecei a frequentar batalhas de rima e Slam e a partir disso, conheci o elemento Breaking, o qual faço parte atualmente. Além disso, durante a graduação, fiz parte de um grupo de samba enredo, e me envolvi com diversos instrumentos de percussão.</t>
  </si>
  <si>
    <t>Atualmente, sou educadora popular de ciências biológicas, e educanda de breaking na Casa de Cultura Municipal Hip-Hop Sul, com o Bboy Lucky. Frequentemente, participo de oficinas e outros tipos de atividades em Casas de Cultura, CEUs e Centros Culturais da minha região,. Além disso, busco juntar vivências e aprendizados de outros lugares da cidade e levar para meu território, junto a coletivos comunitários.</t>
  </si>
  <si>
    <t>Tenho como objetivo meu desenvolvimento e aprendizado em diversas áreas culturais e artísticas para que possa construir, junto a comunidade, a educação através da arte/cultura, e vice-versa. Além de lutar para que cada vez mais pessoas tenham acesso à programas culturais e educacionais, pois acredito que assim como fui salva por esses meios, outros jovens também serão.</t>
  </si>
  <si>
    <t>129.339.564-11</t>
  </si>
  <si>
    <t>Maria Clara Puridade De Brito</t>
  </si>
  <si>
    <t>clarapuridade@gmail.com</t>
  </si>
  <si>
    <t>https://yz2spukd8h-jbrk7pf7uvw.s3.amazonaws.com/2024/06/kgr7l8qaMpOftN%2BCitmATXYgEPziJ%2BzRSStLkdHt6p4%3D.jpg</t>
  </si>
  <si>
    <t>18 anos, 3 meses, 4 dias</t>
  </si>
  <si>
    <t>Jardim Danfer</t>
  </si>
  <si>
    <t>03728-120</t>
  </si>
  <si>
    <t>Rua Eudélio Ramos</t>
  </si>
  <si>
    <t>509705376</t>
  </si>
  <si>
    <t>(11) 95943-6737</t>
  </si>
  <si>
    <t>https://www.instagram.com/clarapuridade/</t>
  </si>
  <si>
    <t>TECNOLOGIA EM LOGISTICA</t>
  </si>
  <si>
    <t>Filha de nordestinos, nasci e fui criada na zona leste de São Paulo, no bairro do Cangaíba, onde resido até hoje. Cresci vendo a luta dos meus pais para conseguirem uma boa qualidade de vida para mim, e ver esse esforço é o que me motivou e me motiva até hoje para correr atrás das coisas que eu quero conquistar. Nasci numa família humilde e amorosa que me ajuda e me apoia em todas as minhas decisões e que está sempre me encorajando e me mostrando que os meus sonhos não são impossíveis.</t>
  </si>
  <si>
    <t>Atualmente estou cursando logística na FATEC Zona Leste e sou estudante de fotografia na REDE DAORA. Estou em busca do meu primeiro emprego e me vejo cada dia mais interessada no eixo cultural. Tenho muita vontade de atuar nesse ramo pois sempre fui apresentada a esse meio desde pequena, indo junto com os meus pais em apresentações, shows, peças e eventos culturais. Estou me dedicando bastante e sempre estudando e aprendendo coisas novas.</t>
  </si>
  <si>
    <t>Me vejo no futuro trabalhando na área que gosto e sendo uma pessoa feliz e realizada. Tenho vontade e sei que serei capaz de retribuir e conseguir agradecer todo o esforço que os meus familiares fizeram por mim. Pretendo cursar moda e trabalhar no meio e trabalhar na área da cultura, trabalharei com o que eu sou apaixonada desde pequena.  Vou ser uma profissional excelente e uma pessoa feliz e realizada com as minhas escolhas. Sei que a minha dedicação e todos os meus esforços me levarão a lugares incríveis.</t>
  </si>
  <si>
    <t>576.613.868-79</t>
  </si>
  <si>
    <t>amandatdsilva@gmail.com</t>
  </si>
  <si>
    <t>https://yz2spukd8h-jbrk7pf7uvw.s3.amazonaws.com/2024/04/GIt%2Bc6a%2B/glSaSOkLuDfyf/SpSssGDvGNVMIdVLHrDI%3D.jpg</t>
  </si>
  <si>
    <t>26 anos, 7 meses, 22 dias</t>
  </si>
  <si>
    <t>Cantinho do Céu</t>
  </si>
  <si>
    <t>04849-539</t>
  </si>
  <si>
    <t>Rua da Paz</t>
  </si>
  <si>
    <t>393823350</t>
  </si>
  <si>
    <t>(11) 94480-4521</t>
  </si>
  <si>
    <t>BACHARELADO EM SERVICO SOCIAL</t>
  </si>
  <si>
    <t>21252521792</t>
  </si>
  <si>
    <t>Acho que vim de muitos lugares e de muitas pessoas, vim de pais nordestinos e que sofreram muito, vim de amigos que mais desejavam do que tinham e vim de uma infância com mais sacrifícios do que brincadeiras.   Vim de  situações que não eram as ideais, mas que podiam ser piores, também podiam ser melhores. De toda forma, tenho orgulho de onde vim, porque me fez ser quem sou, me fez mais forte e mais resiliente.</t>
  </si>
  <si>
    <t>Sinceramente, não sei onde estou. Só sei que estou tentando ir para algum lugar. Não estou em um lugar confortável, estou em um lugar de receios e ansiedades, de medo de não ter um futuro. Mas estou tentando de tudo para continuar me movimentando, para não ficar parada vendo o trem passar, pois quero ir para algum lugar, algum lugar bom e feliz.   Onde estou não é aonde eu esperava estar, mas gosto de pensar que é passageiro e que vou ter a oportunidade de ir para onde quero estar.</t>
  </si>
  <si>
    <t>Tenho esperança de que vou para onde meus sonhos estão, onde não preciso me preocupar com meu futuro ou com o futuro de quem amo, onde não há preocupações. Espero ir para onde posso trabalhar com o que gosto, não precisar me preocupar com dinheiro e ver os outros ao meu redor felizes também.   Eu não preciso de muito, meus sonhos são relativamente simplórios, só quero ir aonde seja feliz.</t>
  </si>
  <si>
    <t>471.126.528-71</t>
  </si>
  <si>
    <t>Rafhael Matos Leite</t>
  </si>
  <si>
    <t>rafhaelmatoss@gmail.com</t>
  </si>
  <si>
    <t>https://yz2spukd8h-jbrk7pf7uvw.s3.amazonaws.com/2024/05/Mgw41/gqPd1DwIW9p90cHwgno4KhEfvqOzEA2IJDtvs%3D.jpg</t>
  </si>
  <si>
    <t>21 anos, 8 meses, 29 dias</t>
  </si>
  <si>
    <t>Vila Paranaguá</t>
  </si>
  <si>
    <t>03808-170</t>
  </si>
  <si>
    <t>Rua Victória Simionato</t>
  </si>
  <si>
    <t>749</t>
  </si>
  <si>
    <t>505191234</t>
  </si>
  <si>
    <t>(11) 99021-6022</t>
  </si>
  <si>
    <t>RAFHAELMATOSS@GMAIL.COM</t>
  </si>
  <si>
    <t>SEGURANÇA DO TRABALHO</t>
  </si>
  <si>
    <t>Sou o Rafhael, sou de Ermelino Matarazzo, me formei no ensino médio em 2018, depois disso fiz 2 anos de cursinho e passei na faculdade. Gosto muito de ler, sou fotografo amador, sou dançarino, amo ir em museus e atrações culturais pela cidade de São Paulo. Sempre morei em ermelino e com o tempo fui me entendendo como uma pessoa preta e periferica, e sempre priorizei os estudos na minha vida.</t>
  </si>
  <si>
    <t>Estudei um ano na USP fazendo gestão ambiental, adorei a vivencia universitária e me apaixonei pela universidade publica, porém eu não gostava do meu curso, meu sonho sempre foi estudar comunicação e eu não tinha passado no vestibular, com isso decidi sair do curso no final de 2022 e passei na Unicamp para estudar midialogia, fiquei 2023 inteiro estudando em Campinas, porém eu também não estava feliz morando em Campinas, e meus pais não tiveram mais condições de me manter em Campinas, com isso decidi trancar o curso e fazer mais um ano de cursinho pré vestibular para realizar o meu sonho.</t>
  </si>
  <si>
    <t>Meu sonho e vocação sempre foi ser um comunuicador, sinto que nasci para isso, influenciar as pessoas e me comunicar com as massas, então pretendo cursar publicidade e propaganda na USP em 2025, e investir em criação de conteudo, pois ja tive experiencias com isso durante a graduação e me apaixonei por isso, também quero investir na minha carreira de fotografo, que é uma das minhas paixões.</t>
  </si>
  <si>
    <t>491.456.728-81</t>
  </si>
  <si>
    <t>Júlio Martins Santos De Jesus</t>
  </si>
  <si>
    <t>juliojesusbrow01@gmail.com</t>
  </si>
  <si>
    <t>https://yz2spukd8h-jbrk7pf7uvw.s3.amazonaws.com/2024/04/M3bUfc34XD6rriSAl35V71h7hsvbZWnGhs1oBfxpNG8%3D.jpg</t>
  </si>
  <si>
    <t>19 anos, 6 meses, 6 dias</t>
  </si>
  <si>
    <t>08473-790</t>
  </si>
  <si>
    <t>Rua Um Amazonas</t>
  </si>
  <si>
    <t>533244298</t>
  </si>
  <si>
    <t>(11) 95219-3084</t>
  </si>
  <si>
    <t>JULIOJESUSBROW02@GMAIL.COM</t>
  </si>
  <si>
    <t xml:space="preserve">SIM, TECNICO </t>
  </si>
  <si>
    <t>EM ORGANIZAÇÃO ESPORTIVA</t>
  </si>
  <si>
    <t>https://youtu.be/4REY8ffoOS4</t>
  </si>
  <si>
    <t>462.396.898-74</t>
  </si>
  <si>
    <t>Hilária da Luz Soares</t>
  </si>
  <si>
    <t>Hilária Da Luz Soares</t>
  </si>
  <si>
    <t>hilariasoars@hotmail.com</t>
  </si>
  <si>
    <t>https://yz2spukd8h-jbrk7pf7uvw.s3.amazonaws.com/2024/06/MMyViAhCiFJURqsR6in1kvVVVlER3RgeO9AVupuSZaE%3D.jpeg</t>
  </si>
  <si>
    <t>21 anos, 1 meses, 7 dias</t>
  </si>
  <si>
    <t>Vila Nina</t>
  </si>
  <si>
    <t>02834-020</t>
  </si>
  <si>
    <t>Casa 04</t>
  </si>
  <si>
    <t>Rua José de Campos Novais</t>
  </si>
  <si>
    <t>581293022</t>
  </si>
  <si>
    <t>(11) 98979-9639</t>
  </si>
  <si>
    <t>11-967164959</t>
  </si>
  <si>
    <t>grad - artes visuais</t>
  </si>
  <si>
    <t>Meu trajeto por um futuro começou com os quatros anos, quando minha família decidiu se mudar da Bahia para São Paulo - SP, atrás de uma vida melhor. Eu vim das escolas públicas de SP, onde desde cedo aprendi que estudar e correr atrás do nosso futuro é o que mais importa e dá sentido a nossa vida, o estudo e a dedicação são os meus aliados na luta constante da procura de uma vida melhor.</t>
  </si>
  <si>
    <t>Vivendo, aprendendo, conhecendo e procurando meu caminho , encontrando propósitos e objetivos  que me darão forças para continuar seguindo em frente de cabeça erguida, onde meu principal objetivo é estudar para ser uma excelente profissional renomada, pois dedicação é a minha força maior para conquistar meus objetivos. O caminho é difícil e turbulento, porém o resultado final é o que me motiva a continuar.</t>
  </si>
  <si>
    <t>Conquistar meu diploma, construir uma carreira sólida e completa no meio artístico, achar minha vocação e exercer com maestria junto aos aprendizados que terei adquirido ao longo do caminho. A meta é fazer a diferença, ajudar, auxiliar e facilitar o caminho daqueles que quiserem seguir o mesmo destino, correr atrás dos seus sonhos para ter uma vida que almeja desde criança.</t>
  </si>
  <si>
    <t>477.564.358-42</t>
  </si>
  <si>
    <t>Abraão Franco Vanique Da Rocha</t>
  </si>
  <si>
    <t>ABRAÃO  FRANCO</t>
  </si>
  <si>
    <t>Abraão  Franco</t>
  </si>
  <si>
    <t>abraaifranco@gmail.com</t>
  </si>
  <si>
    <t>https://yz2spukd8h-jbrk7pf7uvw.s3.amazonaws.com/2024/06/bdyFkxIBEZbj%2BLK8wu2i8%2BznbZ%2Bk471k5WlJGWCq/X0%3D.jpg</t>
  </si>
  <si>
    <t>20 anos, 4 meses, 7 dias</t>
  </si>
  <si>
    <t>03975-080</t>
  </si>
  <si>
    <t>Rua João Peres Calhamares</t>
  </si>
  <si>
    <t>585263267</t>
  </si>
  <si>
    <t>(11) 95121-5843</t>
  </si>
  <si>
    <t>Formado</t>
  </si>
  <si>
    <t>https://www.instagram.com/af.prophet/</t>
  </si>
  <si>
    <t>Marketing</t>
  </si>
  <si>
    <t>Sou nascido e criado na zona leste de São Paulo, mais especificamente entre os bairros Jardim Sapopemba e Jardim Elba, a maior parte da minha vida foi nesta região e me sinto extremamente ligado com o meu Bairro, na infância adorava empinar pipa e jogar bola, e principalmente ficar bisbilhotando meu pai, enquanto ele tocava violão, sempre tive uma paixão pela musica, embora não tenha desenvolvido aptidão para tocar instrumentos.  Assistindo minha mãe a trabalhar com costura, na infância desenvolvi um interesse por moda e como magicamente os tecidos se interligavam para fazer uma peça de roupa.</t>
  </si>
  <si>
    <t>Hoje sou um jovem artista apaixonado por instrumentais e roupas, paixão tão grande que comecei a criar os meus próprios instrumentais, e atualmente estou desenvolvendo minha própria marca com foco principal em roupas, com estampas e modelagem mais fora do comum trazendo uma visão minha do que eu acho que pode vir a se tornar uma nova tendencia no Futuro.</t>
  </si>
  <si>
    <t>Cada dia tenho desenvolvido novos sonhos e planos, mas meu atual foco, é realizar a consolidação de meus atuais projetos,  minha marca de roupas e me lançar musicalmente como autor de instrumentais, e com estes dois projetos pretendo lançar uma gravadora, aonde consiga dar suporte aos artistas do meu bairro, com produção lançamento de produtos, Merchs e produções artísticas.</t>
  </si>
  <si>
    <t>499.032.998-85</t>
  </si>
  <si>
    <t>Ana Paula Semiâo Souza</t>
  </si>
  <si>
    <t>ANA PAULA SEMIÂO SOUZA</t>
  </si>
  <si>
    <t>anapaulasemiao15@gmail.com</t>
  </si>
  <si>
    <t>https://yz2spukd8h-jbrk7pf7uvw.s3.amazonaws.com/2024/06/1DKQPTM2xszwPlaDHGbtglxTvvICztcm8/DqP2U8v%2BM%3D.jpg</t>
  </si>
  <si>
    <t>23 anos, 3 meses, 11 dias</t>
  </si>
  <si>
    <t>05791-110</t>
  </si>
  <si>
    <t>Rua Jorge Afonso</t>
  </si>
  <si>
    <t>20206739</t>
  </si>
  <si>
    <t>(31) 97155-1783</t>
  </si>
  <si>
    <t>https://www.instagram.com/anasemiao_?utm_source=qr&amp;igsh=Y3k5cnVqOWpnb2tn</t>
  </si>
  <si>
    <t>https://drive.google.com/file/d/1E0PQQlyVngCzX4vkUE19c0dX6sibojHe/view?usp=drive_link</t>
  </si>
  <si>
    <t>137.780.346-50</t>
  </si>
  <si>
    <t>JOAO VITOR SANTANA NUNES</t>
  </si>
  <si>
    <t>João Vitor Santana Nunes</t>
  </si>
  <si>
    <t>joaovitor150705@gmail.com</t>
  </si>
  <si>
    <t>https://yz2spukd8h-jbrk7pf7uvw.s3.amazonaws.com/2024/06/gCJPaRNcuTk/wy3hO9BV/DIMSFqV4fq/vCNnJJ5t9uk%3D.jpg</t>
  </si>
  <si>
    <t>18 anos, 11 meses, 3 dias</t>
  </si>
  <si>
    <t xml:space="preserve">Percebemos uma timidez maior, e era novo, com 19 anos. Levar isso em consideração pode ser relevante. </t>
  </si>
  <si>
    <t>Centro</t>
  </si>
  <si>
    <t>01050-070</t>
  </si>
  <si>
    <t>Apartamento 23</t>
  </si>
  <si>
    <t>Rua Álvaro de Carvalho</t>
  </si>
  <si>
    <t>521341838</t>
  </si>
  <si>
    <t>(11) 94440-3484</t>
  </si>
  <si>
    <t>JOAOVITOR150705@GMAIL.COM</t>
  </si>
  <si>
    <t>https://x.com/134jv  https://www.instagram.com/jonh.pt15/</t>
  </si>
  <si>
    <t>https://youtu.be/2RMl8ZHY6mE</t>
  </si>
  <si>
    <t>490.449.598-59</t>
  </si>
  <si>
    <t>PEDRO HENRIQUE SOARES DE FARIAS</t>
  </si>
  <si>
    <t>Pedro Henrique Soares De Farias</t>
  </si>
  <si>
    <t>pedrossgss82@gmail.com</t>
  </si>
  <si>
    <t>https://yz2spukd8h-jbrk7pf7uvw.s3.amazonaws.com/2024/05/n8HUk97RLm7gPoup/fUJlxwartmSDriFk7cu8sI7aRE%3D.jpeg</t>
  </si>
  <si>
    <t>18 anos, 3 meses, 26 dias</t>
  </si>
  <si>
    <t>Jardim Nakamura</t>
  </si>
  <si>
    <t>04942-140</t>
  </si>
  <si>
    <t>Rua Valentim Correia Pais</t>
  </si>
  <si>
    <t>437</t>
  </si>
  <si>
    <t>530091562</t>
  </si>
  <si>
    <t>(11) 97254-8637</t>
  </si>
  <si>
    <t>Nascido em família humilde e filho de mãe solteira,  fui criado em bairro periférico, aos 10 anos fui presenteado com meu  pai afetivo que veio para agregar e fortalecer nossa família, com ele tive meu primeiro contato com a arte. Busco sempre melhorar e aprender coisas novas parar conseguir me estabelecer no ramo de trabalho desde cedo. Minha família não teve oportunidade para aprender e se estabelecer na minha idade e é por isso que atualmente somos de baixa renda.</t>
  </si>
  <si>
    <t>Estou buscando oportunidade de crescimento cultural e profissional pois sempre foi uma área que eu gosto e me interesso profundamente , meu pai afetivo trabalha com areografia e desenho eu sempre admirei a arte, mas agora que fiz 18 anos , busco oportunidades de me aprimorar até porque eu não quero permanecer no estado de baixa renda para sempre, planejo poder ter uma renda confortável e ao mesmo tempo trabalhar com algo que identifico e onde poderei contribuir.</t>
  </si>
  <si>
    <t>Eu quero me estabelecer em um emprego  na área cultural ou de Ti uma outra área que me interesso profundamente sempre estou em busca de aprimoramento.  Como citado outras vezes por que o mundo não para, sempre esta em mudanças a I.A e a prova disso e eu quero sempre poder crescer nos ramos que eu gosto me identifico e acredito que sou capaz.   A oportunidade de me juntar ao projeto ira ajudar financeiramente  e abrira novos horizontes em minha vida. Não pretendo parar de aprender e cursar para me aprimorar cada dia mais. Sei que  minha vida esta começando agora e quero crescer o máximo que eu poder para ter um futuro cada vez melhor.</t>
  </si>
  <si>
    <t>540.510.728-00</t>
  </si>
  <si>
    <t>Giovana Santos Claro</t>
  </si>
  <si>
    <t>Giovana Claro</t>
  </si>
  <si>
    <t>bubarimclaro@gmail.com</t>
  </si>
  <si>
    <t>https://yz2spukd8h-jbrk7pf7uvw.s3.amazonaws.com/2024/06/aKY7gUokpNudkxJuaZFu0RXUYPoDhAvQtBqMgHLs7pQ%3D.jpg</t>
  </si>
  <si>
    <t>19 anos, 8 meses, 29 dias</t>
  </si>
  <si>
    <t>GIOVANA CLARO</t>
  </si>
  <si>
    <t>04962-165</t>
  </si>
  <si>
    <t>Rua do Coqueiro</t>
  </si>
  <si>
    <t>55.433.186-X</t>
  </si>
  <si>
    <t>(11) 96199-7662</t>
  </si>
  <si>
    <t>BUBARIMCLARO@GMAIL.COM</t>
  </si>
  <si>
    <t>https://www.instagram.com/bubarimclaro/</t>
  </si>
  <si>
    <t>CEU VILA DO SOL</t>
  </si>
  <si>
    <t>Olá, me chamo Giovana Santos Claro e sou da cidade de São Paulo. Tenho resídido no bairro Vila do Sol, Zona Sul, há 19 anos. Constumo frequentar a biblioteca local do CEU vila do sol semanalmente e transito pelos bairros        vizinhos como JD Ângela, Capão Redondo, Campo Limpo, etc.  Minha familia mora aqui há quase 40 anos, nasci e continuo morando e estudando  nessa região. No ano passado, por exemplo, fiz parte de um cursinho popular no JD Ângela, de nome Ubuntu, experência muito enriquecedora e de facil locomoção. A minha casa se localiza em específico na Rua do Coqueiro, número 39. Nela, moram eu, minha Avó Tereza e minha Mãe Daniela.  Este é o meu local de origem e permanência atual.</t>
  </si>
  <si>
    <t>Mentalmente eu estou vivendo uma fase de extrema curiosidade e ambição, fisicamente me encontro indo em busca de tais sonhos através do conhecimento fornecido por cursos, livros e aulas. Tenho vivido em diarios questionamentos e pesquisas sobre os assuntos que me apetecem e me enriquecem como pessoa e cidadã. Além disso, estou tentando descobrir e aperfeiçoar alguns pontos cruciais do meu eu.</t>
  </si>
  <si>
    <t>Em circunstâncias atuais, pretendo não divagar ao olhar para o horizonte, apenas busco oque melhor parece me fazer bem e que necessita ser feito. Pensando nisso, gostaria de ir de encontro com os meus objetivos , sendo   eles ingressar no meu curso desejado em uma faculdade pública, descobrir novas formas de contribuir para que o meu país e quem sabe, o mundo, seja menos desigual.</t>
  </si>
  <si>
    <t>239.581.008-80</t>
  </si>
  <si>
    <t>Laura Manoel Melo</t>
  </si>
  <si>
    <t>lauramnlmelo@gmail.com</t>
  </si>
  <si>
    <t>https://yz2spukd8h-jbrk7pf7uvw.s3.amazonaws.com/2024/06/cTLEJKphqxt8QmcaScFC18i2GRJONa2QMuh57v9krk4%3D.jpeg</t>
  </si>
  <si>
    <t>23 anos, 7 meses, 12 dias</t>
  </si>
  <si>
    <t>02726-140</t>
  </si>
  <si>
    <t>Rua João de Lemos</t>
  </si>
  <si>
    <t>505485606</t>
  </si>
  <si>
    <t>(11) 98682-6906</t>
  </si>
  <si>
    <t>https://www.instagram.com/laumanoel/</t>
  </si>
  <si>
    <t xml:space="preserve">tec- designer gráfico </t>
  </si>
  <si>
    <t>Salve, eu sou a Laura, mais conhecida como Pucca. Tenho 23 anos e sou nascida na Zona Norte de São Paulo. Sou tatuadora, arteira, produtora de stickers e grafiteira. Minha trajetória no cenário do HipHop começou em 2022, quando participei das oficinas de graffiti na Casa de Cultura HipHop Sul, ministradas pelo Thiago Noise. Foi ali que me encontrei, e o que começou de maneira despretensiosa se transformou em viagens contínuas todo domingo, de Norte a Sul, para participar das oficinas. Desde então, tenho mergulhado cada vez mais nesse movimento, participando do máximo de eventos possíveis em todas as regiões da cidade.</t>
  </si>
  <si>
    <t>Apesar de ter nascido na Zona Norte de São Paulo, grande parte da minha vida foi vivida em outras regiões. Passei boa parte da minha infância com meus avós na Barra Funda e também no Jaraguá com meu pai. Minha trajetória no graffiti começou na Zona Sul, em Interlagos. Contudo, comecei a participar de eventos como Grapixurras das Minas e Manas de Quebrada, que eram, em sua maioria, realizados na Zona Leste. Isso me gerou um incômodo, pois percebi que grande parte do meu trabalho com graffiti não pertencia à minha zona de fato. Decidi, então, frequentar mais a Zona Norte, pintar mais por aqui e conhecer melhor não só o movimento dessa região, mas também as pessoas.</t>
  </si>
  <si>
    <t>Quero me inserir mais no movimento, entender como as coisas funcionam, e auxiliar na produção e crescimento dos artistas. Grande parte dos meus amigos, assim como eu, também frequentam casas de cultura, participando de apresentações, oficinas, eventos e afins. Sei da importância e do impacto que o movimento cultural tem, bem como da importância do suporte e da estrutura para o desenvolvimento artístico. Além disso, gostaria de me conectar e somar com outros diversos artistas. Por isso, participar do Programa Jovem Monitor Cultural é uma oportunidade única para continuar crescendo, aprendendo e contribuindo com a minha comunidade artística.</t>
  </si>
  <si>
    <t>468.791.978-25</t>
  </si>
  <si>
    <t>Lincoln Thomas Rocha Ferreira</t>
  </si>
  <si>
    <t>lincolnthomasrocha@gmail.com</t>
  </si>
  <si>
    <t>https://yz2spukd8h-jbrk7pf7uvw.s3.amazonaws.com/2024/06/E2XSWVQNZkCACud/m1MWC06dTeThfeKh4sdZoCBuCuk%3D.jpeg</t>
  </si>
  <si>
    <t>23 anos, 8 meses, 27 dias</t>
  </si>
  <si>
    <t>Conjunto Habitacional Castro Alves</t>
  </si>
  <si>
    <t>08475-110</t>
  </si>
  <si>
    <t>Rua Cachoeira da Boa Esperança</t>
  </si>
  <si>
    <t>541500983</t>
  </si>
  <si>
    <t>(11) 95293-4362</t>
  </si>
  <si>
    <t>LINCOLNTHOMASROCHA@GMAIL.COM</t>
  </si>
  <si>
    <t>https://www.instagram.com/lincoroso.yt?igsh=MWZ6NWt2Nmg5b2sweA==</t>
  </si>
  <si>
    <t>DESIGN GRÁFICO</t>
  </si>
  <si>
    <t>Meu nome é Lincoln Thomas, vim da zona leste, onde sempre adquiri curiosidade pelas artes e pelo jeito que o mundo se conecta com elas. Mesmo sendo mais inclinado para processos lógicos e tecnologia, sempre busco novos aspectos de me expressar pelo que produzo, como também pela forma que interpreto a vivência daqueles ao meu redor, principalmente daqueles de raciocínios opostos aos meus.</t>
  </si>
  <si>
    <t>Atualmente faço design gráfico, toco violão, crio beats e faço tatuagens. Devido a diversas influências abstratas que tive ao longo da minha jornada, eu busco interpretar o mundo de uma maneira sem forma, visto que muitos têm dificuldades em se encontrar naquilo que criam. A arte, a cultura e o autoconhecimento tê muito a se desenvolver com esse raciocínio em mente.</t>
  </si>
  <si>
    <t>Atualmente estou em busca de novos desafios na vida. Esse trabalho me interessou nas vezes em que participei de atividades no centro cultural, e ainda tenho muito a aprender. Futuramente quero estar criando minha própria arte, que carece de referências no momento, mas a cada dia me traz mais vontade de desenvolver. Se eu puder evoluir com esse processo, estarei satisfeito.</t>
  </si>
  <si>
    <t>485.465.068-09</t>
  </si>
  <si>
    <t>Thalia Souza Carvalho</t>
  </si>
  <si>
    <t>thaliacarvalhx@gmail.com</t>
  </si>
  <si>
    <t>https://yz2spukd8h-jbrk7pf7uvw.s3.amazonaws.com/2024/06/WFRTlqzp6RTWfRfbhQF9QquYNGuJp1uax59nRWULvmY%3D.jpeg</t>
  </si>
  <si>
    <t>23 anos, 1 meses, 12 dias</t>
  </si>
  <si>
    <t>Jardim Vaz de Lima</t>
  </si>
  <si>
    <t>05833-050</t>
  </si>
  <si>
    <t>Rua Capricho Italiano</t>
  </si>
  <si>
    <t>155</t>
  </si>
  <si>
    <t>383067091</t>
  </si>
  <si>
    <t>(11) 91336-3391</t>
  </si>
  <si>
    <t>SUPERIOR EM GESTÃO EM RECURSOS HUMANOS</t>
  </si>
  <si>
    <t>Eu me chamo Thalia Souza Carvalho, tenho 23 anos, fui criada por mãe solo no bairro do Capão Redondo no extremo sul de São Paulo. Nasci em Curitiba - PR durante uma viagem de férias dos meus pais, voltamos para Guarulhos - SP quando eu tinha alguns meses, onde morei até os meus 3 anos de idade, após a separação dos meus pais fomos morar de favor em Jandira (zona oeste de São Paulo) e aos meus 7 anos viemos morar no Capão Redondo, onde minha mãe e eu estamos desde então.</t>
  </si>
  <si>
    <t>Morar no Capão Redondo é um grande desafio. Muitas portas se fecham quando se diz de ondei vem e pouco se espera de quem vem daqui. Quem mora em periferia cresce sem identidade para quem é fora e foi através desse sentimento que a fotografia e olhar social nasceram em mim.   Hoje faço parte do coletivo Periferia Oculta, que é composto por um grupo de jovens periféricos que assim como eu enxergaram a necessidade de lutar contra o nosso apagamento na sociedade.</t>
  </si>
  <si>
    <t>Estar dentro do coletivo e ouvir histórias parecidas com a minha e similares entre si me instigou a ir cada vez mais fundo nesse caminho. Tenho buscado participar mais ativamente dentro do meu território e ajudar com aquilo que sei e que posso.   Desejo conseguir uma bolsa de estudos pra cursar Ciências Sociais para ampliar meus conhecimentos e devolver para a minha comunidade da melhor forma possível. Busco participar de novos projetos e manter a fotografia como meio de comunicação entre o novo e o velho e de representar quem nós somos com respeito e honestidade.</t>
  </si>
  <si>
    <t>362.755.748-44</t>
  </si>
  <si>
    <t>Rebecca Maria Da Cruz Oliveira</t>
  </si>
  <si>
    <t>rebscoliveira@gmail.com</t>
  </si>
  <si>
    <t>https://yz2spukd8h-jbrk7pf7uvw.s3.amazonaws.com/2024/04/CHHeaVHWgsndn%2BhXMd6v33WXH42R3KDhOUy3c2kKqIg%3D.jpeg</t>
  </si>
  <si>
    <t>26 anos, 3 meses, 29 dias</t>
  </si>
  <si>
    <t>Jd Duprat</t>
  </si>
  <si>
    <t>05853-010</t>
  </si>
  <si>
    <t>Rua holda boto malanconi</t>
  </si>
  <si>
    <t>50122050-1</t>
  </si>
  <si>
    <t>(11) 95162-1152</t>
  </si>
  <si>
    <t>BACHARELADO EM COMUNICAÇÃO SOCIAL, RADIO TV E INTERNET</t>
  </si>
  <si>
    <t>Olá, me chamo Rebecca sou nascida e criada no parque Santo Antônio, tenho 26 anos.   Eu venho de uma família constituída por mulheres fortes e guerreiras, minha avó matriarca da família sempre fez de tudo para criar os cinco filhos em uma época onde mulher não podia trabalhar, pois ela enfrentou meu avô e foi assim mesmo. Hoje graças a esse movimento que minha avó fez lá trás nós temos um lar e o exemplo do que é ser guerreira, corajosa e brilhante. É dela que venho, aliás, não só dela venho da minha mãe e minhas tias também que assim como ela são fortes, brilhantes, trabalhadoras e corajosas. Graça a elas que eu sou o que eu sou!</t>
  </si>
  <si>
    <t>Atualmente eu estou me redescobrindo, depois de uma graduação em comunicação social e de trabalhado com projetos audiovisuais, me pego pensando se esse mesmo o caminho que quero seguir. No momento procuro fazer coisas que tenha ligação com a minha comunidade, pois estou mais imersa nela. Estou aqui e vejo diariamente os problemas, as situações e a carência.</t>
  </si>
  <si>
    <t>Eu quero ir pra este lugar de ajudar e de fazer mais para minha comunidade, através da educação e da cultura, que pra mim é o início de partida.   Fazer a diferença na vida de alguém e ver o resultado sendo multiplicado através de outras pessoas, através de outras ações sociais e culturais. Atualmente vejo essa carência, não só aqui ao meu redor, vejo que é além daqui.    E é para esse lugar que eu vou, levando educação e cultura comigo.</t>
  </si>
  <si>
    <t>403.754.658-20</t>
  </si>
  <si>
    <t>Ana Caroline Dias Araujo</t>
  </si>
  <si>
    <t>acaroline50@gmail.com</t>
  </si>
  <si>
    <t>https://yz2spukd8h-jbrk7pf7uvw.s3.amazonaws.com/2024/06/UwM6m7i51pJLdzM8B4KFjc1GrbP4wlSc0WQD8pBSssg%3D.jpg</t>
  </si>
  <si>
    <t>23 anos, 11 meses, 30 dias</t>
  </si>
  <si>
    <t>08120-300</t>
  </si>
  <si>
    <t>Rua Nogueira Viotti</t>
  </si>
  <si>
    <t>38200145X</t>
  </si>
  <si>
    <t>(11) 93961-2399</t>
  </si>
  <si>
    <t>atriz</t>
  </si>
  <si>
    <t>https://www.instagram.com/euanalin/</t>
  </si>
  <si>
    <t>artes cenicas</t>
  </si>
  <si>
    <t>https://youtu.be/dnZl6vCI_VI</t>
  </si>
  <si>
    <t>448.301.368-80</t>
  </si>
  <si>
    <t>Clara Maria Gomes Freire</t>
  </si>
  <si>
    <t>clara.gomes09@gmail.com</t>
  </si>
  <si>
    <t>https://yz2spukd8h-jbrk7pf7uvw.s3.amazonaws.com/2024/04/3Y%2BmTWrs4JEWo%2BFMyVhGLNg70uWWv/xGeXPDNcx8LvY%3D.jpg</t>
  </si>
  <si>
    <t>24 anos, 0 meses, 30 dias</t>
  </si>
  <si>
    <t>cursando cinema e audiovisual</t>
  </si>
  <si>
    <t>Já foi selecionada duas vezes e não entrou no programa devido aos estudos</t>
  </si>
  <si>
    <t>Cangaíba</t>
  </si>
  <si>
    <t>03717-210</t>
  </si>
  <si>
    <t>Favela do Piratininga</t>
  </si>
  <si>
    <t>Travessa Domingos Alves Bezerra</t>
  </si>
  <si>
    <t>57</t>
  </si>
  <si>
    <t>562970228</t>
  </si>
  <si>
    <t>(11) 94815-4536</t>
  </si>
  <si>
    <t>www.instagram.com/claragom3s</t>
  </si>
  <si>
    <t>Tecnica em Teatro</t>
  </si>
  <si>
    <t>https://drive.google.com/drive/folders/1bO_qSwdxj-KZH3DmP-OCiE0dwMR4HaSA</t>
  </si>
  <si>
    <t>487.069.278-31</t>
  </si>
  <si>
    <t>MARIA VITORIA DO NASCIMENTO</t>
  </si>
  <si>
    <t>Maria Vitória Do Nascimento</t>
  </si>
  <si>
    <t>m14vitorianasci@gmail.com</t>
  </si>
  <si>
    <t>https://yz2spukd8h-jbrk7pf7uvw.s3.amazonaws.com/2024/06/6l%2BrEle%2BffcXiTyvTP3UMCuS7bA2FW7zhxjZaRCvw7g%3D.jpg</t>
  </si>
  <si>
    <t>22 anos, 9 meses, 4 dias</t>
  </si>
  <si>
    <t>Jardim Duprat</t>
  </si>
  <si>
    <t>05853-290</t>
  </si>
  <si>
    <t>Rua Armando Duprat</t>
  </si>
  <si>
    <t>50300259-8</t>
  </si>
  <si>
    <t>(11) 93160-1409</t>
  </si>
  <si>
    <t>SUPERIOR EM LAZER E TURISMO</t>
  </si>
  <si>
    <t>LÍBERO - NÚCLEO DE ENGENHARIA E ARQUITETURA - NEA</t>
  </si>
  <si>
    <t>Sou moradora periférica e mulher preta, o que fez com que desde de muito cedo tomasse consciência enquanto corpo político e membro do todo em uma cidade como São Paulo. Ganhei proximidade com a cultura e a área de impacto social em geral, tendo constantemente o patrimônio cultural como norte, em pesquisa, oficinas e projetos. Fui participante do Programa Criatividades, no Museu da Cidade de São Paulo, além de participar da criação de acervos digitais, um Inventário Participativo sobre a regiao do Arouche, entre outras contribuições relativas a cidade.</t>
  </si>
  <si>
    <t>Sou estudante de Lazer e Turismo, pela Universidade de São Paulo e desenvolvo uma pesquisa própria (não remunerada) sobre periferia e narrativas urbanas na codade de São Paulo, me aproximando de temas como a arquitetura social, a memória, identidade e urbanismo. Acredito que, entre outras coisas, o programa será de grande contribuição. Embora tenha adquirido um conhecimento valioso e uma compreensão profunda sobre a importância da comunicação estratégica, percebi que meu verdadeiro interesse reside em uma atuação mais ativa e próxima do setor público. Acredito que meu perfil e meus conhecimentos podem contribuir significativamente para projetos que promovam o direito a cidade.</t>
  </si>
  <si>
    <t>Meu grande propósito é estar envolvida em projetos que contribuam para a manutenção e qualidade do que é comum, na cidade de São Paulo. Tenho interesse em complementar meus conhecimentos sobre patrimônio cultural com uma visão efetiva sobre a cidade e futuramente realizar um mestrado em construção de políticas públicas e urbanismo. Este programa me permitirá aproximar-me da possibilidade de compreender o pleno funcionamento de instituições culturais municipais e colaborar de forma mais eficaz na prática, enquanto jovem monitor e no futuro, enquanto possível liderança para o impacto no lazer e na cultura.</t>
  </si>
  <si>
    <t>471.224.438-09</t>
  </si>
  <si>
    <t>Jackelyne Cabral De Moura</t>
  </si>
  <si>
    <t>jackelyne3cabral3@gmail.com</t>
  </si>
  <si>
    <t>https://yz2spukd8h-jbrk7pf7uvw.s3.amazonaws.com/2024/04/Ue/mHDaJLoHxU1BgqDr7sK8//H1CxQ5zPnPWbuxC1Wk%3D.jpg</t>
  </si>
  <si>
    <t>22 anos, 1 meses, 7 dias</t>
  </si>
  <si>
    <t>03572-010</t>
  </si>
  <si>
    <t>Avenida Gualtar</t>
  </si>
  <si>
    <t>561</t>
  </si>
  <si>
    <t>535225441</t>
  </si>
  <si>
    <t>(11) 98813-0492</t>
  </si>
  <si>
    <t>JACKELYNECABRAL3@GMAIL.COM</t>
  </si>
  <si>
    <t>https://www.instagram.com/jackeeh_cabral?igsh=MXh6b2drcnVidXFjMQ==</t>
  </si>
  <si>
    <t>https://youtu.be/qYLQTP-e3r8?si=dfU4qFVZbc7oSWQt</t>
  </si>
  <si>
    <t>479.128.788-66</t>
  </si>
  <si>
    <t>Giovanna Da Silva Eugenio</t>
  </si>
  <si>
    <t>giovannasilvaeug@gmail.com</t>
  </si>
  <si>
    <t>https://yz2spukd8h-jbrk7pf7uvw.s3.amazonaws.com/2024/06/VOFvgczCnHMc8lqpYBWWaCBPo4KHGnwCb%2BXcTBAGbsY%3D.jpeg</t>
  </si>
  <si>
    <t>20 anos, 3 meses, 3 dias</t>
  </si>
  <si>
    <t>Jardim Paraguaçu</t>
  </si>
  <si>
    <t>03938-030</t>
  </si>
  <si>
    <t>Rua Matozinho</t>
  </si>
  <si>
    <t>103</t>
  </si>
  <si>
    <t>580475402</t>
  </si>
  <si>
    <t>(11) 94974-8863</t>
  </si>
  <si>
    <t>https://www.instagram.com/brechoselvagem_?igsh=bG94bjRxaXF6ZG05</t>
  </si>
  <si>
    <t>Olá, tudo bem? Eu me chamo Giovanna, tenho 20 anos, sou residente e moradora da zona leste de Sp. Já percorri muitas vielas e estradas, morando também em Carapicuíba, São Mateus, Sapopemba, Itaquera, Jardim Planalto e Jardim Iguatemi.   O meu primeiro serviço foi como catadora de reciclagem no bairro Jardim Planalto, a questão ambiental para mim sempre foi um ponto muito importante e foi essa opção que eu busquei para conseguir ter o meu próprio dinheiro e sair de casa.</t>
  </si>
  <si>
    <t>Atualmente tenho um brechó para ampliar as questão de sustentabilidade e renda mensal. Sai de casa com 15 anos, e desde criança participei de projetos escolares e pedagógicos do meu bairro, atualmente continuo dedicando o meu tempo as bibliotecas, buscando ser autodidata, sempre estou em casas de culturas e também em contato com a natureza, buscando formas de preservação coletiva e individual.</t>
  </si>
  <si>
    <t>Nos últimos anos tenho conhecido muitos jovens educadores sociais e monitores culturais, atores, pedagogos, estudantes que lutam em prol da educação e da expressão, costumo dizer que a arte e a cultura me salvaram e me inseriram novamente na sociedade. Hoje sou uma participante ativa dentro da minha comunidade, trago novos jovens para movimentos sociais políticos e que neles sempre trazemos a arte e a educação com o objetivo de criação prática para novas formas de viver e governar. Gostaria de potencializar as minhas habilidades técnicas e pessoais, em conjunto do Programa Jovem Monitor Cultural.</t>
  </si>
  <si>
    <t>239.692.978-00</t>
  </si>
  <si>
    <t>Caterine  Reis</t>
  </si>
  <si>
    <t>NENHUM</t>
  </si>
  <si>
    <t>Nenhum</t>
  </si>
  <si>
    <t>caterinereisdesouza@gmail.com</t>
  </si>
  <si>
    <t>https://yz2spukd8h-jbrk7pf7uvw.s3.amazonaws.com/2024/04/bfcpKYChtEETPzqABdziatYc/ByFaFAf1/Hlm27vgXw%3D.jpg</t>
  </si>
  <si>
    <t>21 anos, 8 meses, 3 dias</t>
  </si>
  <si>
    <t>CURSANDO TEATRO</t>
  </si>
  <si>
    <t>03583-060</t>
  </si>
  <si>
    <t>Rua Zélia Frias Street</t>
  </si>
  <si>
    <t>396804111</t>
  </si>
  <si>
    <t>(11) 97394-3588</t>
  </si>
  <si>
    <t>CATERINEREISDESOUZA@GMAIL.CPM</t>
  </si>
  <si>
    <t>https://www.instagram.com/coisasqueunaoseinomear?igsh=MTdqZmYyaTUzZm5qNg==</t>
  </si>
  <si>
    <t>TECNICO EM PROCESSOS FOTOGRAFICOS</t>
  </si>
  <si>
    <t>Prezado(a) recrutador(a),    Sou  artista, técnico  em Processos Fotográficos vindo da zona leste de São Paulo, mais especificamente do Jardim Brasília. Não tenho experiência na área e estou em busca de novas oportunidades para me desenvolver e contribuir de forma positiva. Estou pronto para encarar novos desafios e colaborar com o crescimento da equipe.    Atenciosamente,  [Caterine Reis ]</t>
  </si>
  <si>
    <t>.    Para onde vou? Eu vou em busca de novos desafios, aprendizados e experiências que possam me transformar e impactar positivamente o meu entorno. Tenho certeza que posso contribuir de maneira significativa para este projeto, trazendo minha criatividade, disposição e comprometimento para as atividades propostas.    Estou empolgada com a possibilidade de fazer parte dessa equipe e estou à disposição para colaborar da melhor forma possível.    Obrigada pela atenção e aguardo ansiosamente por uma oportunidade de mostrar todo o meu potencial.    Atenciosamente,  Caterine Reis</t>
  </si>
  <si>
    <t>450.475.308-17</t>
  </si>
  <si>
    <t>Raí Dias De Figueiredo</t>
  </si>
  <si>
    <t>raifigueiredodias@gmail.com</t>
  </si>
  <si>
    <t>https://yz2spukd8h-jbrk7pf7uvw.s3.amazonaws.com/2024/04/Rgp2xvOCtrYhzhg4n4w9suV5sWkrRlRUT1BazBus91c%3D.jpg</t>
  </si>
  <si>
    <t>19 anos, 8 meses, 30 dias</t>
  </si>
  <si>
    <t>Jardim Cruz do Corisco</t>
  </si>
  <si>
    <t>02366-295</t>
  </si>
  <si>
    <t>Rua Praia da Boa Viagem</t>
  </si>
  <si>
    <t>389010923</t>
  </si>
  <si>
    <t>(11) 94752-7938</t>
  </si>
  <si>
    <t>RAIDIASFIGUEIREDO@GMAIL.COM</t>
  </si>
  <si>
    <t>https://www.instagram.com/raiii_diasss/</t>
  </si>
  <si>
    <t>Meu nome é Raí, tenho 19 anos, sou residente de São Paulo a pelo menos 18 anos, estando na Fábrica de Cultura durante cerca de seis anos, chegando a fazer os cursos de multimeios, leitura e escrita, artes visuais e grafite, também fui atrás de cursar informática, TI (Hardware) e um curso de arte digital, design e games, e por fim concluí o ensino médio na ETEC Albert Einstein em 2022, fazendo parte de alguns projetos voltados a cultura, uma exposição, produção de um e-book de crônicas, produção de uma revista e a organização de dois saraus.  Atualmente meus interesses no campo cultural e artístico é na gestão, atendimento, planejamento e na utilização da arte para a arteterapia.</t>
  </si>
  <si>
    <t>Eu moro no extremo norte de São Paulo, então a minha relação com meu território acaba por ser distante para o tempo de viagem mas mesmo assim presente em seus diversos eventos, tanto para trabalhar e para fazer faculdade no bairro da Mooca, o que dá cerca de 2 horas da minha casa, tanto para questões culturais/artísticas, que também acabam me fazendo circular bastante pelo território da cidade para assistir filmes, ir a exposições, assistir peças, apresentações e shows, o que desde muito tempo se tornaram partes essenciais da minha vida e com tempos de viagens variáveis.</t>
  </si>
  <si>
    <t>Eu gostaria de participar do Jovem Monitor Cultural porquê acredito que seja o melhor caminho atualmente para ingressar no trabalho com arte e cultura, que desde sempre são meus interesses, para mais tarde mesclar com meus conhecimentos da faculdade de psicologia e exercer da melhor forma a junção destas áreas na sociedade e nos espaços de arte/cultura, entendendo os processos de gestão, administração e produção que são exercidos para que os espaços possam ser utilizados, valorizados e ocupados da melhor forma. Além de poder estudar sem preocupações, me beneficiando da carga horaria de 30 horas semanais, obtendo uma independência financeira e podendo ajudar minha família financeiramente.</t>
  </si>
  <si>
    <t>502.152.378-38</t>
  </si>
  <si>
    <t>Beatriz Aparecida Teixeira</t>
  </si>
  <si>
    <t>biaapst@gmail.com</t>
  </si>
  <si>
    <t>https://yz2spukd8h-jbrk7pf7uvw.s3.amazonaws.com/2024/06/RMhajk6%2Bt2ZMAvPkHCblNWQh%2BJXSnm%2BmSTd2Z%2Bx/3PU%3D.jpeg</t>
  </si>
  <si>
    <t>22 anos, 10 meses, 2 dias</t>
  </si>
  <si>
    <t>Parque Guarani</t>
  </si>
  <si>
    <t>08235-440</t>
  </si>
  <si>
    <t>Rua Catalpa</t>
  </si>
  <si>
    <t>(11) 99936-2590</t>
  </si>
  <si>
    <t xml:space="preserve">cursando </t>
  </si>
  <si>
    <t>Vim de uma família de comerciantes e verdureiros, ligados integralmente pelo trabalho. Fui criada pela minha avó e com ela aprendi sobre a boniteza dos atos mais simples de amor. Vivo no mesmo bairro desde que nasci e sou apegada com a região, principalmente porque toda minha família faz parte do convívio com a comunidade. Nada que faço diz respeito integralmente a mim, mas sim a todas as pessoas que vieram antes e por todas as pessoas virão depois.</t>
  </si>
  <si>
    <t>Permaneço no mesmo lugar em que nasci, e não pretendo sair de muito longe de Itaquera, porque gosto do senso de comunidade e as relações que desenvolvi. Atualmente, faço curso de Licenciatura em História na Universidade Federal de São Paulo, no campus Guarulhos, que é localizado no bairro do Pimentas. Faço este curso, principalmente, por conta do meu envolvimento com minha história pessoal e da minha família, mas também porque quero seguir na carreira cultural, de certa forma lidando com público e realizando oficinas de formação cultural. Sinto que nasci para poder ajudar os meus e quebrar o ciclo.</t>
  </si>
  <si>
    <t>Não sei exatamente para onde vou, porque ainda quero ter plena certeza de ONDE estou hoje. Mas quero, ao menos, conseguir ministrar aulas da matéria em que estudo, permanecer fazendo pesquisa na área, ensinando e educando crianças e jovens da minha região. A educação, segundo bell hooks, deve ser, antes de tudo, transgressora e libertadora e sigo com isso em mente. Principalmente, dar apoio para outras pessoas, que assim como eu, não enxergavam muita perspectiva, por conta do local em que vieram e também por suas escolhas de gênero e sexualidade. Nada neste mundo é feito sozinho.</t>
  </si>
  <si>
    <t>32835324</t>
  </si>
  <si>
    <t>502.491.878-92</t>
  </si>
  <si>
    <t>ISABELLA BIANCA RÊGO SILVA</t>
  </si>
  <si>
    <t>ibianca199@gmail.com</t>
  </si>
  <si>
    <t>https://yz2spukd8h-jbrk7pf7uvw.s3.amazonaws.com/2024/04/XKrgcBzyqXBGSOa%2BCJm8FxOwvX4sOI%2BYk4NUTIuC6SE%3D.jpg</t>
  </si>
  <si>
    <t>21 anos, 4 meses, 5 dias</t>
  </si>
  <si>
    <t>CURSANDO FILOSOFIA</t>
  </si>
  <si>
    <t>Jardim Rosina</t>
  </si>
  <si>
    <t>08151-170</t>
  </si>
  <si>
    <t>Rua Heráclito Sandano</t>
  </si>
  <si>
    <t>542930961</t>
  </si>
  <si>
    <t>(11) 96466-3024</t>
  </si>
  <si>
    <t>IBIANCA199@GMAIL.COM</t>
  </si>
  <si>
    <t>SIM TECNICO</t>
  </si>
  <si>
    <t>Meu nome é Isabella Bianca Rêgo Silva, tenho 21 anos, moro no Jardim Nazaré com os meus avós (bairro onde nasci e fui criada), e sou estudante de licenciatura de filosofia na UNIFESP.  Sempre fui apaixonada pela leitura e por cantar. Quando pequena, possuía minha pequena coleção de livros e frequentava bibliotecas; e quanto a música, eu frequentava a Fábrica de Cultura da Vila Curuçá, onde fiz cursos de violão e canto.  Meu ensino médio foi concluído na ETEC de Guaianazes, no curso de ETIM de Informática; e diferente do esperado, foi lá em que eu desenvolvi meu amor pela arte (quando produzi apresentações musicais e teatrais) e pela área de humanas ( a qual me dedico hoje).</t>
  </si>
  <si>
    <t>Como dito anteriormente, estou estudando para me tornar professora de filosofia - área em que eu me descobri cidadã, que amo e muito me dedico. Acredito que a maior contribuição cultural que desempenho na minha região é estagiar na escola que faz parte da minha formação social e cultural (que me circundou a vida toda, onde a maioria dos meu parentes estudaram e onde a minha mãe trabalha), em que desempenho minha participação como e indivíduo e formação como educadora e um ser social.</t>
  </si>
  <si>
    <t>Eu gostaria de participar do Programa Jovem Monitor Cultural para contribuir com as minhas capacidades técnicas e experiências (como indivíduo ativo culturalmente e futura educadora),  para poder dar início a minha vida profissional  em uma área em que eu acredito ter muito o que acrescentar e aprender mutuamente, e por fim colocar em prática meu protagonismo cultural e político.</t>
  </si>
  <si>
    <t>524.346.098-21</t>
  </si>
  <si>
    <t>Natalia Rodrigues Alves De Souza</t>
  </si>
  <si>
    <t>natyalvesdesouza2005@gmail.com</t>
  </si>
  <si>
    <t>https://yz2spukd8h-jbrk7pf7uvw.s3.amazonaws.com/2024/06/tD%2BZb2IUEoY5Bd1fy3MxYCHb9MDMTp8GSp3w18z%2BWQ4%3D.jpg</t>
  </si>
  <si>
    <t>18 anos, 11 meses, 14 dias</t>
  </si>
  <si>
    <t>NÃO QUIS AUTO DECLARAR A COR</t>
  </si>
  <si>
    <t>Parque Dom João Neri</t>
  </si>
  <si>
    <t>08151-073</t>
  </si>
  <si>
    <t>Apto 508</t>
  </si>
  <si>
    <t>Rua Aderval Alves Rodrigues</t>
  </si>
  <si>
    <t>509686849</t>
  </si>
  <si>
    <t>(11) 99500-1452</t>
  </si>
  <si>
    <t>NATYALVESDESOUZA2005@GMAIL.COM</t>
  </si>
  <si>
    <t>https://www.instagram.com/eu._.rodrigues</t>
  </si>
  <si>
    <t>PONTO DE LEITURA CHÁCARA DAS FLORES</t>
  </si>
  <si>
    <t>Venho da região do Itaim Paulista, onde sempre estive envolvida com a cultura. Sou dançarina na escola ASR e participei de diversas oficinas, como circo, violão, canto popular e criação de dramaturgia na Casa de Cultura do Itaim Paulista, estou sempre utilizando os diversos espaços culturais da minha região para projetos educacionais e apresentações de dança e teatro. No entanto, foi em um curso de teatro no Senac, no qual ingressei como bolsista, que reafirmei minha vontade de trabalhar com a cultura. No curso, encontrei amizades que aceitaram a ideia de criar um coletivo de teatro e continuar nossas pesquisas iniciadas no curso sobre o corpo periférico e suas múltiplas formas de expressão.</t>
  </si>
  <si>
    <t>Atualmente, faço parte do Grupo Surto Coletivo de Teatro como atriz, dramaturga, produtora e responsável pelo marketing. Esse grupo atua principalmente em São Miguel Paulista, pesquisando a juventude do extremo leste de São Paulo. Junto ao coletivo, ministro oficinas de teatro para o público infantojuvenil de forma voluntária na Associação Transmutar Geração, localizada no Jd. Robru. Sou estudante de Educação Física na Universidade Cruzeiro do Sul de São Miguel, realizo aulas de dança na escola ASR e circo no CEU São Miguel. Meus estudos, tanto da graduação quanto da dança, agregam à pesquisa do corpo em meio às expressões individuais e coletivas, na arte e nas vivências gerais da periferia.</t>
  </si>
  <si>
    <t>Meu objetivo é expandir cada vez mais meus conhecimentos e experiências através de diversas vivências. Participando do programa Jovem Monitor Cultural, estarei diretamente ligada à cultura, vivenciando essa área e podendo contribuir com a comunidade com meus conhecimentos prévios. Além disso, vou aprender junto com a mesma a partir das novas experiências em oficinas, programações culturais e/ou comunicações. De forma orgânica, posso continuar a pesquisa que venho realizando junto com o grupo, compartilhando as experiências constituídas sobre o corpo periférico e todas as possibilidades de expressão desse corpo no cotidiano e na arte.</t>
  </si>
  <si>
    <t>428.569.978-80</t>
  </si>
  <si>
    <t>Rafaela Lopes Da Silva</t>
  </si>
  <si>
    <t>rafaelalopes050@gmail.com</t>
  </si>
  <si>
    <t>https://yz2spukd8h-jbrk7pf7uvw.s3.amazonaws.com/2024/05/fPZrpB%2BadFXAKQaoQHq%2BWJV9GT07rvj96N8jBahAazw%3D.jpg</t>
  </si>
  <si>
    <t>19 anos, 1 meses, 15 dias</t>
  </si>
  <si>
    <t>Parque Novo Mundo</t>
  </si>
  <si>
    <t>02179-050</t>
  </si>
  <si>
    <t>64A</t>
  </si>
  <si>
    <t>Rua Soldado Sebastião Garcia</t>
  </si>
  <si>
    <t>54.616.271-X</t>
  </si>
  <si>
    <t>(11) 99636-1629</t>
  </si>
  <si>
    <t>RAFAELALOPES050@GMAIL.COM</t>
  </si>
  <si>
    <t>A leitura foi parte importante na construção de quem sou, cresci com uma mãe apaixonada por literatura e graças a isso, tive a sorte de acessar a arte desde cedo. Frequentava bibliotecas circulantes e peças de teatro gratuitas, sempre muito deslumbrada e apaixonada pela perspectiva de acessar universos e mundos que normalmente eu não acessaria.  Estudei a vida toda em escolas públicas, sempre me envolvendo com o máximo de projetos possíveis e tudo isso, apenas me levou a área da educação, onde permaneço até hoje.</t>
  </si>
  <si>
    <t>Estou vivendo um momento de pré finalização de ciclos, em poucos meses alguns dos aspectos principais em minha rotina já não irão refletir sob mim.   Por enquanto, organizo meu tempo entre as obrigações do Magistério e as obrigações do meu estágio remunerado.   Durante a parte da manhã me dedico à estudar e participar da minha comunidade escolar, enquanto na parte da tarde assumo meu trabalho como auxiliar de classe na educação infantil.  Conciliar o meu curso, o trabalho, as horas de estágio obrigatório e minha vida pessoal é um tanto quanto complicado, porém muito gratificante.</t>
  </si>
  <si>
    <t>Falar sobre meu futuro sempre foi difícil, passei por algumas situações que minaram minha perspectiva de futuro.  Gostaria de ter uma grande meta, caminhando para uma ambição ainda maior, porém a realidade é que me vejo apenas caminhando para a consolidação de quem sou.  Busco entender quem sou, do que gosto e até do que fui constituída.   Me vejo retornando a fotografia, depois de tanto tempo afastada para focar na área da educação.   Pretendo continuar estudando e evoluindo até alcançar minha melhor versão, estável e feliz.</t>
  </si>
  <si>
    <t>527.052.468-60</t>
  </si>
  <si>
    <t>Lucas Da Cruz Ribeiro</t>
  </si>
  <si>
    <t>lucascruz2210@outlook.com</t>
  </si>
  <si>
    <t>https://yz2spukd8h-jbrk7pf7uvw.s3.amazonaws.com/2024/06/%2BoYsjLBWA7nLsyscnXMldZ%2B0nuYl0NWRWmjxRJs9944%3D.jpeg</t>
  </si>
  <si>
    <t>24 anos, 4 meses, 1 dias</t>
  </si>
  <si>
    <t>José Bonifácio</t>
  </si>
  <si>
    <t>08257-020</t>
  </si>
  <si>
    <t>Bloco B8 44</t>
  </si>
  <si>
    <t>Rua amor de índio</t>
  </si>
  <si>
    <t>72</t>
  </si>
  <si>
    <t>376389771</t>
  </si>
  <si>
    <t>(11) 94663-6798</t>
  </si>
  <si>
    <t>LUCASCRUZ2210@OUTLOOK.COM</t>
  </si>
  <si>
    <t>SERVIÇO SOCIAL</t>
  </si>
  <si>
    <t>Me chamo Lucas, sou um menino de 24 anos, gay periferico, cresci e residi com os patrões da minha mãe, na região do Brooklin zona sul desde os meus 5 anos até os 20 anos.   Cresci em uma bolha social, que não condizia com a minha verdadeira realidade, fui privilegiado pois desfrutei de uma realidade “burguesa” que poucos da minha família poderia vivenciar um dia.</t>
  </si>
  <si>
    <t>No momento atual eu resido na zona leste de São Paulo, onde me mudei no período da pandemia, tive um grande choque de realidade e me encantei pela diversidade cultural tão presente na periferia. A partir disso como forma de pertencimento passei a pesquisar e realizar atividades artísticas através da cultura do hip hop, onde me  envolvi muito com o graffit, pixo,stickers e colagens. Vendo a necessidade dos jovens e das comunidades perifericas me encontrei na assistência social, atualmente faço faculdade de serviço social.</t>
  </si>
  <si>
    <t>Quando terminar a faculdade de serviço social, vou ingressar na área cultural, buscando ao máximo promover e garantir o acesso a vasta cultura brasileira que possuímos, para população que esteja em situações de vulnerabilidades sociais,proporcionando um caminho alternativo sobre as adversidades enfrentadas por eles. Com a experiencia que vou adquirir sendo um jovem monitor cultural, o meu repertório cultural enriquecerá as minhas habilidades e conhecimentos artísticos.</t>
  </si>
  <si>
    <t>396.181.468-63</t>
  </si>
  <si>
    <t>Taisa Gabrielle Albuquerque Genda</t>
  </si>
  <si>
    <t>tga.genda@unifesp.br</t>
  </si>
  <si>
    <t>https://yz2spukd8h-jbrk7pf7uvw.s3.amazonaws.com/2024/06/wnj7VHFS7%2BMjUB17nICnm5yLJy1TwsIvFF9M3mn0kqs%3D.jpeg</t>
  </si>
  <si>
    <t>Vila Nivi</t>
  </si>
  <si>
    <t>02251-002</t>
  </si>
  <si>
    <t>Rua Tanque Velho</t>
  </si>
  <si>
    <t>2556</t>
  </si>
  <si>
    <t>50557642-9</t>
  </si>
  <si>
    <t>(11) 99223-0400</t>
  </si>
  <si>
    <t>TA.GENDA@UNIFESP.BR</t>
  </si>
  <si>
    <t xml:space="preserve">SIM - TEC + GRAD </t>
  </si>
  <si>
    <t>www.linkedin.com/in/taisa-albuquerque-genda-</t>
  </si>
  <si>
    <t>TEC - DESIGN DE INTERIORES + GRAD - CIENCIAS SOCIAIS</t>
  </si>
  <si>
    <t>Vim de escola pública, onde estudei a vida inteira. Atualmente, estudo na Universidade Federal de São Paulo - UNIFESP, cursando o 7° termo em Ciências Sociais, no campus Guarulhos.   Fui participante do PIBID - Programa Institucional de Bolsas de Iniciação à Docência, como estudante de licenciatura da UNIFESP.   Sou bolsista do Centro de Antropologia e Arqueologia Forense (CAAF) da UNIFESP e participo do projeto Reparações.   Curso Gestão Cultural: Cultura, Desenvolvimento e Território, um projeto do Edital PROAC N°43/2023 - Formação em Arte e Cultura: Realização de Cursos e Oficinas.  Em minha graduação, possuo Análise de Políticas Públicas e Educação Patrimonial e Patrimônio Imaterial.</t>
  </si>
  <si>
    <t>Frequento exposições e eventos artísticos nos centros culturais, casas de cultura, bibliotecas e museus do centro da cidade, como o Centro Cultural Olido, a Biblioteca Mário de Andrade e o Centro Cultural de São Paulo (CCSP), o Centro Cultural Municipal da Juventude Ruth Cardoso (CCJ)   Faço parte do Coletivo Cultural de Quebrada, onde debatemos questões específicas de territórios periféricos e sua relação com a cultura e produção cultural de regiões descentralizadas da metrópole.</t>
  </si>
  <si>
    <t>O PJMC representa para mim uma grande oportunidade de ingresso no setor cultural, como uma alavanca para a carreira profissional que tanto almejo em minha formação. Possuo interesse no setor cultural e nas áreas da educação e políticas públicas.   Desde a infância frequento centros culturais com minha mãe, formada em Artes e professora do fundamental I na rede pública de Guarulhos. Para além do individual, acredito que minha missão é contribuir para a democratização do acesso à cultura, sendo um instrumento de fomento à vida artística e criativa das diversas comunidades, subjetividades e culturas que possuímos em uma cidade tão miscigenada como São Paulo.</t>
  </si>
  <si>
    <t>507.717.408-32</t>
  </si>
  <si>
    <t>Dener De Jesus Alvares</t>
  </si>
  <si>
    <t>denerjalvares@gmail.com</t>
  </si>
  <si>
    <t>https://yz2spukd8h-jbrk7pf7uvw.s3.amazonaws.com/2024/06/e30Sa9WK9q98Xz3MWxs%2BMuYzWYWnQt9nMCy0gRZNjMw%3D.jpeg</t>
  </si>
  <si>
    <t>27 anos, 11 meses, 13 dias</t>
  </si>
  <si>
    <t>Flor da Cantareira</t>
  </si>
  <si>
    <t>02290-010</t>
  </si>
  <si>
    <t>Rua Cântarus</t>
  </si>
  <si>
    <t>5202305040</t>
  </si>
  <si>
    <t>(11) 94160-7230</t>
  </si>
  <si>
    <t>denerjalvares@gmai.com</t>
  </si>
  <si>
    <t>11-941607230</t>
  </si>
  <si>
    <t xml:space="preserve">eventos e marketing </t>
  </si>
  <si>
    <t>https://www.youtube.com/watch?v=vlIT1G30Btk</t>
  </si>
  <si>
    <t>468.687.738-54</t>
  </si>
  <si>
    <t>Jeniffer Maria Ramos</t>
  </si>
  <si>
    <t>JENIFFER</t>
  </si>
  <si>
    <t>Jeniffer</t>
  </si>
  <si>
    <t>jeniffermary2003@gmail.com</t>
  </si>
  <si>
    <t>https://yz2spukd8h-jbrk7pf7uvw.s3.amazonaws.com/2024/06/C76pD%2BMp5078pe6Tx33WWPrqtcLgcpvPn1gM2bNv6uc%3D.pdf</t>
  </si>
  <si>
    <t>21 anos, 3 meses, 24 dias</t>
  </si>
  <si>
    <t>CURSANDO LICENCIATURA</t>
  </si>
  <si>
    <t>Jardim Maria Rita</t>
  </si>
  <si>
    <t>04814-130</t>
  </si>
  <si>
    <t>Rua Edelvais</t>
  </si>
  <si>
    <t>582393255</t>
  </si>
  <si>
    <t>(11) 91349-8483</t>
  </si>
  <si>
    <t>https://www.instagram.com/jeniii.mary?igsh=MW5zM3NjaHBoMTA2eA==</t>
  </si>
  <si>
    <t>TECNICO EM ROBOTICA E LICENCIATURA EM TEATRO</t>
  </si>
  <si>
    <t>Eu nasci em um lugar muito carente de cultura, e ter acesso a isso sempre foi muito dificil principalmente porque sempre morei com os meus avós, que são idosos. O contato que eu tive com a cultura e com a arte na minha infância foi com a ajuda dos meus antigos professores. Eu sempre senti essa falta mas com o pouco contato que tive eu sabia que era algo que eu queria para a minha vida. Eu nunca tive quem me apoiasse e desde nova precisei viver uma vida dupla, me dedicando ao meu sonho mas ao mesmo tempo tentando atender a pressão da comunidade e da minha família  sobre o que é "vencer na vida".</t>
  </si>
  <si>
    <t>Atualmente estou me formando em Licenciatura em Teatro, foi devido a diversas vivências que tive na minha vida quando decidi que eu queria "quebrar as regras", terminando o ensaio médio eu corri atrás do teatro (onde estou até hoje),e anos depois tive a oportunidade de participar do Programa Criatividades (Jovem CRIA) da prefeitura, onde desenvolvi o meu próprio projeto de teatro fazendo parceria com escolas públicas, levei para outros jovens aquilo que eu não tive na minha época e isso me inspirou a estar presente nas salas de aulas e nos espaços culturais, para que haja sempre uma parceria  entre essas duas coisas</t>
  </si>
  <si>
    <t>Meu desejo é inspirar as novas gerações que estão por vir, lecionar nas escolas públicas, criar projetos e ter oficinas artísticas e mostrar o quão é possível trabalhar com cultura e arte independente de onde a pessoa veio ou como ela é fisicamente. Eu quero estar lutando para facilitar o acesso das futuras pessoas que irão tentar seguir um caminho diferente do que a sociedade espera. Quero ser uma professora e uma artista que estará ajudando pessoas como eu      .</t>
  </si>
  <si>
    <t>575.555.078-62</t>
  </si>
  <si>
    <t>Bruna Stephani Lessa das Virgens</t>
  </si>
  <si>
    <t>Bruna Stephani Lessa Das Virgens</t>
  </si>
  <si>
    <t>brunastephani8@gmail.com</t>
  </si>
  <si>
    <t>https://yz2spukd8h-jbrk7pf7uvw.s3.amazonaws.com/2024/05/OZkwknEwvreFhK1F8P9TaylBYCeWzMe/LmRls1/cuWI%3D.jpg</t>
  </si>
  <si>
    <t>23 anos, 6 meses, 28 dias</t>
  </si>
  <si>
    <t>02739-040</t>
  </si>
  <si>
    <t>Rua Capitão Antônio de Azevedo</t>
  </si>
  <si>
    <t>133</t>
  </si>
  <si>
    <t>520718756</t>
  </si>
  <si>
    <t>(11) 95199-6703</t>
  </si>
  <si>
    <t>https://bruna96lz.46graus.com/</t>
  </si>
  <si>
    <t>Natural de São Paulo, sou artista visual, pesquisadora, educadora e entusiasta na produção cultural. Bacharela em Artes Visuais e especialista em artes plásticas, busco aprofundar meus estudos e me inserir na área profissional de curadoria e produção cultural. Visito exposições em busca de referências, explorando possibilidades de criação. Há 4 anos trabalho em museus, no setor educativo, observando bastidores de exposições. Em 2022, fui assistente de produção na exposição de Eustáquio Neves, aprendendo a dinâmica e os desafios da produção. Atualmente, participo da coordenação de produção e escrita de projetos em dois coletivos.</t>
  </si>
  <si>
    <t>Moro no bairro Itaberaba, na zona norte de São Paulo, lugar que me proporcionou o primeiro contato com a cultura, através dos grafites pelas ruas, como os de Carlos Adão, Sapiens e CAIO, e dos espaços culturais, como Salvador Ligabue e o CCJ, além do patrimônio histórico, representado pela igreja e praça da matriz, tanto a nova quanto a velha. Também, me inspiro na produção cultural de eventos organizados por moradores locais, analisando as dinâmicas e em como os resultados refletem em benefícios sociais e econômicos para a própria comunidade, como as batalhas de rimas, feiras de exposições para artistas independentes, festas gratuitas e eventos gastronômicos.</t>
  </si>
  <si>
    <t>Ao conhecer o programa e ler o edital, percebi uma oportunidade única de ter experiências na área de produção cultural com ações práticas e teóricas no CPROG e PROMAC. Acredito que a teoria e a prática juntas se tornam algo poderoso. Pretendo fazer uma pós em curadoria e produção cultural para estudar e aprimorar meus conhecimentos em produção executiva e gestão cultural e, assim, organizar eventos culturais que visem o acesso à cultura para todos e a visibilidade de artistas independentes. Porém, não possuo as condições financeiras necessárias para isso. Acredito no potencial do programa e ficaria imensamente grata e entusiasmada em participar, contribuindo e aprendendo o máximo possível.</t>
  </si>
  <si>
    <t>488.644.788-09</t>
  </si>
  <si>
    <t>Marina Rodrigues Da Silva</t>
  </si>
  <si>
    <t>pimenta.ansiosa@gmail.com</t>
  </si>
  <si>
    <t>https://yz2spukd8h-jbrk7pf7uvw.s3.amazonaws.com/2024/06/Ey9Q0yjAVMmZ4M6%2BIzET/Gfc743h4XkReLb6VVj6WHg%3D.jpg</t>
  </si>
  <si>
    <t>24 anos, 4 meses, 7 dias</t>
  </si>
  <si>
    <t>03554-040</t>
  </si>
  <si>
    <t>Doutor Magalhães Da Silveira</t>
  </si>
  <si>
    <t>172</t>
  </si>
  <si>
    <t>56609675-4</t>
  </si>
  <si>
    <t>(16) 99215-5053</t>
  </si>
  <si>
    <t xml:space="preserve">ARTES CENICAS </t>
  </si>
  <si>
    <t>https://drive.google.com/file/d/1QSusIsHnEl5-QnODjYAwU3cbLSGquTkI/view?usp=drivesdk</t>
  </si>
  <si>
    <t>457.646.198-23</t>
  </si>
  <si>
    <t>Lenise Dos Santos Monteiro</t>
  </si>
  <si>
    <t>lenisem766@gmail.com</t>
  </si>
  <si>
    <t>https://yz2spukd8h-jbrk7pf7uvw.s3.amazonaws.com/2024/05/Raa9MK8zDe892DD%2BSiKGR3aDcEdW9uenHoao0F6Cqds%3D.jpg</t>
  </si>
  <si>
    <t>28 anos, 11 meses, 15 dias</t>
  </si>
  <si>
    <t>08151-115</t>
  </si>
  <si>
    <t>Rua Joaquim de Miranda</t>
  </si>
  <si>
    <t>43712397-2</t>
  </si>
  <si>
    <t>(11) 96247-9322</t>
  </si>
  <si>
    <t>LENISEM766@GMAIL.COM</t>
  </si>
  <si>
    <t>olá, eu sou a Lenise moradora do Itaim Paulista, tenho 29 anos, moro com meus pais, minha irmã e meu primo. sou formada no curso técnico em administração no senac de são miguel paulista, fiz uma oficina de teatro também em são miguel, acredito que  a oficina de teatro  possibilitou um novo olhar sobre o que é arte. meu interesse é poder estar envolvida no campo cultural podendo dar suporte e entendendo como funciona trabalhar nessa área.</t>
  </si>
  <si>
    <t>atualmente estou fazendo um curso livre de recepcionista, já trabalhei em lanchonete, cafeteria e operadora de caixa em supermercado, no momento estou desempregada mas sempre procurando estudar e me qualificar.  gosto de aprender, conhecer novas pessoas , novos lugares.  quero me desenvolver, criar novas habilidades, poder estar mais presente no que diz respeito a minha comunidade e poder fazer a diferença sendo um agente transformador onde resido.</t>
  </si>
  <si>
    <t>Me sinto feliz por estar participando do processo PJMC espero estar atuando como um jovem monitor, é uma oportunidade de aprendizado tanto pessoal quanto profissional que irá agregar valor para mim, conheci o PJMC através de uma professora que deu aula de oficina de teatro, despertando - me interesse pois esse programa traz luz pra nós jovens moradores de periferia que necessita de programas assim.  agradeço desde já essa oportunidade.</t>
  </si>
  <si>
    <t>370.172.398-22</t>
  </si>
  <si>
    <t>Maiara Nataly Da Silva Oliveira</t>
  </si>
  <si>
    <t>maiaranataly@gmail.com</t>
  </si>
  <si>
    <t>https://yz2spukd8h-jbrk7pf7uvw.s3.amazonaws.com/2024/05/n7zZHWn/%2BVXj69kHJRHJ2kjMO%2BObC9nJbylgiYOwI1Y%3D.jpg</t>
  </si>
  <si>
    <t>18 anos, 4 meses, 29 dias</t>
  </si>
  <si>
    <t>08473-172</t>
  </si>
  <si>
    <t>Rua Paraná</t>
  </si>
  <si>
    <t>521297977</t>
  </si>
  <si>
    <t>(11) 97852-7015</t>
  </si>
  <si>
    <t>MAIARANATALY2031@GMAIL.COM</t>
  </si>
  <si>
    <t>SUPERIOR INCOMPLETO</t>
  </si>
  <si>
    <t>Meu nome é Maiara Nataly, tenho 18 anos e terminei o ensino médio em 2023 e venho de uma cidade grande na zona leste, Cresci em um ambiente onde a inovação, responsabilidade e o desejo de aprender sempre foram incentivados e valorizados. E Desenvolvi uma paixão pela  área de tecnologia que me levou a buscar por oportunidades de aprendizado e crescimento continuo.</t>
  </si>
  <si>
    <t>Atualmente estou fazendo dois cursos: o Rotas e Travessias e o Bolsa Trabalho, além de ter feito cursos básicos de ti. Embora ainda não tenha experiência profissional, acredito que a combinação desses dois   cursos tem me proporcionando uma formação robusta e abrangente. A carga intensa de cursar dois   programas simultaneamente me ensinou a importância de gestão eficaz do tempo, organização e resiliência.</t>
  </si>
  <si>
    <t>Estou empenhada em desenvolver uma carreira na área de tecnologia e acredito que as oportunidades que tive ao longo de três cursos vão me ajudam muito nisso, e me permitira adquirir as habilidades praticas e o conhecimento necessário para crescer profissionalmente. Meu objetivo é, no futuro, assumir responsabilidades mais amplas e impactar positivamente a organização.</t>
  </si>
  <si>
    <t>540.358.708-03</t>
  </si>
  <si>
    <t>Moara Ibotira Munis Almeida</t>
  </si>
  <si>
    <t>moaramunis@gmail.com</t>
  </si>
  <si>
    <t>https://yz2spukd8h-jbrk7pf7uvw.s3.amazonaws.com/2024/06/KbG8wPZJWeg3lw0MgUUiu4Jb82jJFLEIBQf8FqfS/X8%3D.jpeg</t>
  </si>
  <si>
    <t>19 anos, 6 meses, 1 dias</t>
  </si>
  <si>
    <t>04018-050</t>
  </si>
  <si>
    <t>Rua Coronel Artur Godoi</t>
  </si>
  <si>
    <t>576505936</t>
  </si>
  <si>
    <t>(11) 95894-1857</t>
  </si>
  <si>
    <t>Jornalismo</t>
  </si>
  <si>
    <t>Oi! meu nome é Moara, tenho 19 anos e sempre morei em SP. Vivi grande parte da minha infância no centro, indo para diversos espaços culturais com os meus pais, e fazendo assim nascer uma grande paixão e interesse por esses lugares. Gosto muito de morar aqui, acredito que São Paulo tem várias possibilidades culturais que ainda não foram exploradas.</t>
  </si>
  <si>
    <t>Eu estou num momento de descoberta mesmo, do mundo profissional. Entendendo o que eu gosto, o que valorizo, e tentando juntar meus interesses com o trabalho. Agora estou trabalhando com marketing, eu gosto, mas não é algo que eu realmente me interesso e quero fazer por muito tempo. Também estou estudando pro vestibular, quero muito cursar jornalismo.</t>
  </si>
  <si>
    <t>Busco um lugar para aprender, conhecer uma diversidade maior de pessoas, culturas e trabalhar com o que sempre me interessei. Acredito que o Programa Jovem Monitor Cultural, pode trazer vários conhecimentos que eu ainda não tenho e   aprimorar os que já possuo. Tenho muita vontade que as pessoas que moram aqui, conheçam mais a cidade além do que é mostrado sempre.</t>
  </si>
  <si>
    <t>527.899.818-09</t>
  </si>
  <si>
    <t>Giovana De Souza Borges</t>
  </si>
  <si>
    <t>giovanadesouzaborges@gmail.com</t>
  </si>
  <si>
    <t>https://yz2spukd8h-jbrk7pf7uvw.s3.amazonaws.com/2024/06/DpQ0yLAB%2BCJUX56%2BFtBSw3qCsJLznuC24%2B5YcA4e%2BJc%3D.jpg</t>
  </si>
  <si>
    <t>22 anos, 6 meses, 10 dias</t>
  </si>
  <si>
    <t>Vila Pereira Cerca</t>
  </si>
  <si>
    <t>02932-000</t>
  </si>
  <si>
    <t>Rua Padre Mariano Ronchi</t>
  </si>
  <si>
    <t>1408</t>
  </si>
  <si>
    <t>532949286</t>
  </si>
  <si>
    <t>(11) 96994-7115</t>
  </si>
  <si>
    <t>GIOVANADESOUZABORGES@GMAIL.COM</t>
  </si>
  <si>
    <t>https://www.instagram.com/giovanaborgxs?igsh=MTdkYjN3ZzdyZTNmZA%3D%3D&amp;utm_source=qr</t>
  </si>
  <si>
    <t>TECNOLOGIA EM PRODUÇÃO ÁUDIO VISUAL</t>
  </si>
  <si>
    <t>https://drive.google.com/file/d/1Nrkw6qRFz3sOBX7E3m55HZYReD5jJHJk/view?usp=drive_link</t>
  </si>
  <si>
    <t>511.490.258-08</t>
  </si>
  <si>
    <t>AGATHA MUTINHO GONCALVES</t>
  </si>
  <si>
    <t>AGATHA MUTINHO GONÇALVES</t>
  </si>
  <si>
    <t>agathamg10@gmail.com</t>
  </si>
  <si>
    <t>https://yz2spukd8h-jbrk7pf7uvw.s3.amazonaws.com/2024/06/SUKrYrVRvwkBNHUghLP7Li0cCARNQjFXZGmM5xWPvZM%3D.jpg</t>
  </si>
  <si>
    <t>19 anos, 5 meses, 1 dias</t>
  </si>
  <si>
    <t>Freguesia do Ó</t>
  </si>
  <si>
    <t>02925-030</t>
  </si>
  <si>
    <t>Rua Coronel Tristão</t>
  </si>
  <si>
    <t>565505889</t>
  </si>
  <si>
    <t>(11) 97052-0691</t>
  </si>
  <si>
    <t>técnico animação</t>
  </si>
  <si>
    <t>https://drive.google.com/drive/folders/1t4WW1ox-SBYCKm3wq7eK8DRbI4mwNQmG?usp=drive_link</t>
  </si>
  <si>
    <t>524.571.818-95</t>
  </si>
  <si>
    <t>Thiago De Jesus Bastos</t>
  </si>
  <si>
    <t>thiagobastos22012002@gmail.com</t>
  </si>
  <si>
    <t>https://yz2spukd8h-jbrk7pf7uvw.s3.amazonaws.com/2024/06/6%2B3U%2BaM7nwnyKvi0Sf5/hrgAv8xDVJrlx50vfWFI4A0%3D.jpg</t>
  </si>
  <si>
    <t>22 anos, 4 meses, 27 dias</t>
  </si>
  <si>
    <t>05879-410</t>
  </si>
  <si>
    <t>Blz 6 Apt 3</t>
  </si>
  <si>
    <t>Rua Castellammare</t>
  </si>
  <si>
    <t>565770184</t>
  </si>
  <si>
    <t>(11) 97454-9908</t>
  </si>
  <si>
    <t>https://www.instagram.com/bast0s_thi?igsh=MTJ0dmt2cG4yM3JpOA==</t>
  </si>
  <si>
    <t>BACHARELADO EM CIÊNCIA DA COMPUTAÇÃO</t>
  </si>
  <si>
    <t>Minha "conexão" com a cultura vem desde cedo, quando em 2016 conheci a cultura hip-hop por meio da dança, na época comecei a participar de um grupo de dança da comunidade e fui apresentado a CEUs, conheci as fábricas de cultura do Jardim São Luis e Capão Redondo, conheci a casa de cultura do campo limpo e diversos outros espaços nos quais hábito e ocupo espaço até hoje.</t>
  </si>
  <si>
    <t>Hoje em dia estando dentro da cultura a 8 anos, me vejo na posição de eterno aluno, mas também como um professor, pois dou aula de Danças Urbanas no Centro Cultural Monte Azul de forma gratuita e aberta para as pessoas da comunidade, também tenho um projeto chamado Hip-HoPerifa (H2P) no qual é um evento aonde propõe trazer professores de dança renomados para a comunidade e que eles possam dar aula de forma gratuita para os alunos que não tem condições financeiras de ir em grandes estúdios. Junto a isso também abrimos oportunidade para professores que estão começando e precisam ter essa vivência para aprimorar seus métodos de ensino. Também promovemos batalhas de dança e apresentações.</t>
  </si>
  <si>
    <t>Para aonde vou é complicado de definir, mas sei que quero trabalhar com a cultura, seja dando aula de dança ou promovendo meu evento, quero poder trabalhar com a coisa que me ajudou num momento complicado e que me apaixonei em primeira vista, então independente de onde eu ir eu sei que quero estar envolvido com a cultura, para poder proporcionar aos outros o que me foi proporcionado.</t>
  </si>
  <si>
    <t>457.257.688-21</t>
  </si>
  <si>
    <t>Gabriel Pedro Faria</t>
  </si>
  <si>
    <t>gabrieltreak@gmail.com</t>
  </si>
  <si>
    <t>https://yz2spukd8h-jbrk7pf7uvw.s3.amazonaws.com/2024/06/c1kAUvR28c%2BwoF9l2T4g4mecRjzzyG0fXSNyLttkD48%3D.jpg</t>
  </si>
  <si>
    <t>05844-120</t>
  </si>
  <si>
    <t>Rua José Severo Pereira</t>
  </si>
  <si>
    <t>53.191.205-X</t>
  </si>
  <si>
    <t>(11) 94221-8641</t>
  </si>
  <si>
    <t>gabrieldreak@gmail.com</t>
  </si>
  <si>
    <t>https://youtu.be/2l6dcoNjTtc</t>
  </si>
  <si>
    <t>481.749.268-60</t>
  </si>
  <si>
    <t>Rogerio Mota Santos</t>
  </si>
  <si>
    <t>rogerio.mota746@gmail.com</t>
  </si>
  <si>
    <t>https://yz2spukd8h-jbrk7pf7uvw.s3.amazonaws.com/2024/05/IFfpO%2BNEG1YRxMUAhv2RhSvkGLmwsC6G/Fdi%2BtNSdf4%3D.jpeg</t>
  </si>
  <si>
    <t>24 anos, 4 meses, 29 dias</t>
  </si>
  <si>
    <t>04849-032</t>
  </si>
  <si>
    <t>Estrada Canal de Cocaia</t>
  </si>
  <si>
    <t>5952</t>
  </si>
  <si>
    <t>530112383</t>
  </si>
  <si>
    <t>(11) 91620-3731</t>
  </si>
  <si>
    <t>https://www.instagram.com/_rdejesus/</t>
  </si>
  <si>
    <t>https://youtu.be/g0iX-G9ETiM?si=jSxJz3P1pwc7V1pA</t>
  </si>
  <si>
    <t>399.213.548-92</t>
  </si>
  <si>
    <t>KARINA ERNESTINA DE SOUZA DE OLIVEIRA</t>
  </si>
  <si>
    <t>Karina Ernestina De Souza De Oliveira</t>
  </si>
  <si>
    <t>karinadesouza45@gmail.com</t>
  </si>
  <si>
    <t>https://yz2spukd8h-jbrk7pf7uvw.s3.amazonaws.com/2024/06/djmioLa8%2Bs2Ep5d5fZBUsYwAmR9zM4HIQ/NgPdWekzg%3D.jpeg</t>
  </si>
  <si>
    <t>23 anos, 0 meses, 27 dias</t>
  </si>
  <si>
    <t>EM  FORMAÇÃO  LICVENCIATURA  HISTÓRIA</t>
  </si>
  <si>
    <t>Jardim Liderança</t>
  </si>
  <si>
    <t>08240-060</t>
  </si>
  <si>
    <t>Rua Alzira Livramento Marzagão</t>
  </si>
  <si>
    <t>131</t>
  </si>
  <si>
    <t>536526540</t>
  </si>
  <si>
    <t>(11) 95929-0923</t>
  </si>
  <si>
    <t>KARINADESOUZA45@GMAIL.COM</t>
  </si>
  <si>
    <t>Me chamo Karina, tenho 23 anos e moro em Itaquera. Sou estudante de História, fui estagiária do setor educativo do Museu Catavento durante um ano. Em seguida, fiquei um ano como estagiária do Colégio La Salle. Atualmente trabalho no Centro de Memória da UNIFESP, o trabalho de higienizar, catalogar e fazer pesquisa científica é uma experiência proveitosa. No entanto, sinto muita vontade de voltar a ocupar espaços culturais. Minha experiência como estagiária em um museu foi a mais gratificante e onde houve maior encaixe entre as funções do cargo e o meu perfil, pois eu estava em contato direto com um trabalho que envolvia a comunicação com o público, ações educativas e a relação patrimonial.</t>
  </si>
  <si>
    <t>A fim de me relacionar com o território em que cresci, eu participo do Cursinho Popular Laudelina, localizado na Zona Leste, o cursinho auxilia alunos de baixa renda vindos de escola pública a entrar na universidade. É essencial para a formação dos alunos que eles se relacionem com a Zona Leste. Dessa forma, fazemos o “Estudo do meio”, atividade anual em que levamos os alunos para a Praça do Forró e para a Capela de São Miguel de Arcanjo, lá falamos muito da importância da migração nordestina para a formação do bairro, frisamos a Capela como patrimônio na Zona Leste, falamos sobre outros patrimônios da periferia. Atualmente, essa é a minha forma de atuação na Zona Leste.</t>
  </si>
  <si>
    <t>Gostaria de participar do PJMC porque dentre as áreas que transitei senti maior compatibilidade na área cultural, pois me permitia ter contato com o público e construir um diálogo com a comunidade sobre temas sociais e históricos que interessam a sociedade. A oportunidade de retornar para a área cultural me possibilitaria voltar a fazer um trabalho ligado à educação, além de proporcionar que eu aprendesse mais sobre outras áreas culturais que eu não conhecia enquanto estagiária do museu.  Por fim, a proposta de ter jovens nos equipamentos culturais da região em que moram será importante para mim, pois terei a oportunidade de participar do desenvolvimento cultural da Zona Leste.</t>
  </si>
  <si>
    <t>453.998.078-58</t>
  </si>
  <si>
    <t>Kaue Rodrigues Siqueira</t>
  </si>
  <si>
    <t>kauesiqueira4@gmail.com</t>
  </si>
  <si>
    <t>https://yz2spukd8h-jbrk7pf7uvw.s3.amazonaws.com/2024/05//thsPfg6tHsUpOfNIAFIwWkUs7IOQTNU5TKadMhJJf0%3D.JPG</t>
  </si>
  <si>
    <t>25 anos, 6 meses, 13 dias</t>
  </si>
  <si>
    <t>cursando produção cutural</t>
  </si>
  <si>
    <t>08431-410</t>
  </si>
  <si>
    <t>bloco 16 apt 31</t>
  </si>
  <si>
    <t>Avenida Nordestina</t>
  </si>
  <si>
    <t>5883</t>
  </si>
  <si>
    <t>504328232</t>
  </si>
  <si>
    <t>(11) 98765-0033</t>
  </si>
  <si>
    <t>Tecnico em audiovisual</t>
  </si>
  <si>
    <t>Prezados seletores, venho por meio desta carta descrever um pouco do local onde cresci. Vim ao mundo no final dos anos 90 no bairro de São Miguel Paulista, mas fui criado na divisa do bairro do Itaim com a cidade de Ferraz de Vasconcelos. Com isso, apesar de estar na cidade de São Paulo, sempre me conciderei um "garoto do interior", pois vivia no extremo da periferia paulistana, com um acesso limitado e  atrasado as facilidades tecnologicas e os polos culturais. Mas, apesar das limitações, descobri uma paixão por livros e pelas artes e ao ingressar no mercado de trabalho, ganhei experiência trabalhando em uma livraria e em uma loja de design.</t>
  </si>
  <si>
    <t>Hoje em dia, estudo produção cultural na faculdade, na região central da cidade, e saio por aí mapeando os locais da região, além de frequentar e participar de eventos comunitários pois acredito que é importante conhecer e reinvindicar nossos espaços. Além disso, tenho um apreço especial pelos eventos que envolvem a produção audiovisual e a preservação histórica.</t>
  </si>
  <si>
    <t>Com isso, projeto no meu futuro uma carreira ligada às artes. Primeiramente, ajudando a construir laços entre o centro e a periferia, sempre presando pela diversidade, vivência e individualidade de cada cidadão. Depois, esses laços seriam solidificados através de diversos campos artísticos, como: a literatura, cinema, teatro e música. Dessa forma, minha missão é auxiliar na construção de uma cidade mais plural e acessível.</t>
  </si>
  <si>
    <t>445.612.938-76</t>
  </si>
  <si>
    <t>ZILMARC GONCALVES PAULINO DE SOUSA FILHO</t>
  </si>
  <si>
    <t>Zilmarc Gonçalves Paulino De Sousa Filho</t>
  </si>
  <si>
    <t>ZILMARC PAULINO</t>
  </si>
  <si>
    <t>Zilmarc Paulino</t>
  </si>
  <si>
    <t>zilmarcpaulino@gmail.com</t>
  </si>
  <si>
    <t>https://yz2spukd8h-jbrk7pf7uvw.s3.amazonaws.com/2024/05/MSwOq5SL6Jm5oRsjeT6eoqnFvh3gouT%2Boz/a98VifAI%3D.JPG</t>
  </si>
  <si>
    <t>28 anos, 10 meses, 9 dias</t>
  </si>
  <si>
    <t>Jardim São Pedro</t>
  </si>
  <si>
    <t>08420-605</t>
  </si>
  <si>
    <t>Rua Lincoln Junqueira</t>
  </si>
  <si>
    <t>281</t>
  </si>
  <si>
    <t>693440405</t>
  </si>
  <si>
    <t>(11) 94882-6404</t>
  </si>
  <si>
    <t>ZILMARCPAULINO@GMAIL.COM</t>
  </si>
  <si>
    <t>https://www.instagram.com/zilmarcpaulino/</t>
  </si>
  <si>
    <t>SUPERIOR EM ARTE E MÍDIA</t>
  </si>
  <si>
    <t>BIBLIOTECA ADELPHA FIGUEIREDO</t>
  </si>
  <si>
    <t>Sou uma artista multidisciplinar, pessoas trans-não binária, migrante em de São Paulo desde 2018. Vim do interior do Cariri paraibano, da cidade de Sumé, logo após a conclusão do curso de Arte &amp; Mídia na Universidade Federal de Campina Grande (UFCG). Cresci entre os contextos urbano e rural, em famílias que se dividem entre trabalhadores do campo e prestadores de serviços públicos – desenvolvi apresso pela arte ainda na infância, sob influência da cultura local e da proximidade da minha família com a música e o artesanato. Migrei para o sudeste em busca de uma vivência menos afetada pela escassez, pela LGBTfobia, e com mais oportunidades de trabalho para minha área de atuação profissional.</t>
  </si>
  <si>
    <t>Sou estudante do curso Multimídias Para Dança da São Paulo Escola de Dança, onde dou seguimento a minha pesquisa multidisciplinar com foco no cruzamento entre a performance e as intermídias, recebo da escola uma bolsa, sendo esta minha única fonte de renda nos últimos semestres. Realizo trabalhos/bicos na área do audiovisual e fotografia para escolas de dança, residências artísticas e coletivos independentes de pesquisa em arte, enquanto isso sigo na busca por estabilidade financeira. Compartilho à distância a diretoria da Casa Da Baixa Costura (1ª casa da comunidade Ballroom paraibana) e mantenho projetos multidisciplinares em ponte entre São Paulo e a Paraíba com artistas de ambos estados</t>
  </si>
  <si>
    <t>Desejo dar continuidade a pesquisa que já realizo a cerca da vivência de artistas dissidentes migrantes no Sudeste, que será base para a escrita do meu projeto de mestrado. Quero desenvolver e articular com mais artistas na cidade e realizar enquanto artista e produtora cultural. Meu planejamento para os próximos anos inclui a realização de exposições, mostras e eventos para a comunidade LGBTQIAP+; participação ativa nas políticas públicas de desenvolvimento e expansão da cultura em São Paulo e na Paraíba; possibilitar que mais pessoas do interior do nordeste tenham acesso ao capital direcionado para a arte no Brasil, através de ações de ponte e capacitação para editais, convocatórias etc.</t>
  </si>
  <si>
    <t>106.389.184-13</t>
  </si>
  <si>
    <t>JOSIMARA SILVA DA COSTA</t>
  </si>
  <si>
    <t>069.***.***-56</t>
  </si>
  <si>
    <t>josicostacontato@gmail.com</t>
  </si>
  <si>
    <t>https://yz2spukd8h-jbrk7pf7uvw.s3.amazonaws.com/2024/06/wGpOk7T2JPvPM1%2BpUBDBfGJ9xmLUtGcquownJ4XqSGw%3D.jpg</t>
  </si>
  <si>
    <t>32908624</t>
  </si>
  <si>
    <t>28 anos, 7 meses, 1 dias</t>
  </si>
  <si>
    <t>3825497</t>
  </si>
  <si>
    <t>(11) 99790-6920</t>
  </si>
  <si>
    <t>https://www.instagram.com/josicostasss/</t>
  </si>
  <si>
    <t>TEC EM TEATRO</t>
  </si>
  <si>
    <t>16235118636</t>
  </si>
  <si>
    <t>https://youtu.be/q4o1VaObzro</t>
  </si>
  <si>
    <t>069.381.033-56</t>
  </si>
  <si>
    <t>"nota &lt; 30 na 2ª fase"</t>
  </si>
  <si>
    <t>Yasmin Aires Cavalcanti Moreira</t>
  </si>
  <si>
    <t>yismal.acm@gmail.com</t>
  </si>
  <si>
    <t>https://yz2spukd8h-jbrk7pf7uvw.s3.amazonaws.com/2024/05/4wWLQpTd1EKtINUA2LUWwfpNVq0/ar1TJ2Urh3DDaI0%3D.jpeg</t>
  </si>
  <si>
    <t>19 anos, 8 meses, 12 dias</t>
  </si>
  <si>
    <t>Vila Pedroso</t>
  </si>
  <si>
    <t>08011-240</t>
  </si>
  <si>
    <t>Rua Sílvio Cervellini</t>
  </si>
  <si>
    <t>500437671</t>
  </si>
  <si>
    <t>(11) 97616-1946</t>
  </si>
  <si>
    <t>YISMAL.ACM@GMAIL.COM</t>
  </si>
  <si>
    <t>Sou e sempre fui residente de São Miguel Paulista, e por anos vivi no bairro de União de Vila Nova, conhecido como um dos maiores bairros periféricos da cidade de São Paulo. Apesar das inúmeras precariedades socioespaciais, foi nesse bairro onde tive acesso à arte, à cultura e à educação, por meio, principalmente, dos coletivos sociais do bairro, que por meio desses três grandes eixos construíram a pessoa que sou hoje.</t>
  </si>
  <si>
    <t>Arte, cultura e educação, são hoje os três pilares que norteiam as minhas atuações. Atualmente, sou graduanda de licenciatura em Geografia, por compreender que a educação é a maior ferramenta de liberdade, e que a geografia desempenha um papel fundamental na formação de sujeitos críticos. Apoio o projeto "Diagnóstico da Diversidade da Cultura Hip-Hop Brasileira" como aluna de graduação, e por meio desse projeto reforço o meu compromisso em contribuir para a defesa e exaltação da cultura.E para finalizar, no fim do ano passado encerrei a minha passagem de dois anos pela Cia teatral Filosofia de Coxia, um grupo de teatro estudantil que se compromete com a educação por meio do teatro.</t>
  </si>
  <si>
    <t>As experiências que venho somando e que partem dos meus objetivos, me levam a imaginar um futuro onde eu possa desenvolver o ensino de uma geografia baseada na arte e na cultura, que utilize de seus princípios para realizar a formação de sujeitos críticos, e dar seguimento na educação libertadora que me foi ofertada no passado.  Ainda, pretendo continuar com as minhas ações no mundo da arte, mais especificamente no teatro, oferecendo aos jovens, especificamente jovens periféricos, caminhos que por muitas vezes lhes são encobertos e negados.</t>
  </si>
  <si>
    <t>427.620.208-67</t>
  </si>
  <si>
    <t>Maria Isabel Silva Dos Santos</t>
  </si>
  <si>
    <t>belita.miss@gmail.com</t>
  </si>
  <si>
    <t>https://yz2spukd8h-jbrk7pf7uvw.s3.amazonaws.com/2024/06/pDC9%2Ba1YzWmSiDHjHcfce63hFx7RzIi6YBDIsnksVA0%3D.jpeg</t>
  </si>
  <si>
    <t>24 anos, 2 meses, 11 dias</t>
  </si>
  <si>
    <t>Ap 44</t>
  </si>
  <si>
    <t>390249750</t>
  </si>
  <si>
    <t>(11) 94546-5431</t>
  </si>
  <si>
    <t>BELITA.MISS@GMAIL.COM</t>
  </si>
  <si>
    <t>BACHAREL E LICENCIATURA EM TEATRO</t>
  </si>
  <si>
    <t>Sou da zona leste de São Paulo, onde nasci, estudei e moro até hoje. Cresci em um ambiente onde a arte e a cultura sempre tiveram um papel fundamental. Quando penso em "de onde você vem?", dois aspectos moldaram minha trajetória.    O primeiro é a influência da minha mãe solo, que me levava a centros culturais da cidade. Participei de oficinas na Casa das Rosas, visitei o MASP, o Museu da Língua Portuguesa, e explorei lugares históricos como o Pátio do Colégio e o Theatro Municipal. Essas vivências despertaram minha paixão pelas artes.    O segundo aspecto é o trabalho voluntário. Durante a infância, em diversas internações, recebia visitas de voluntários que tornavam o ambiente mais esperançoso</t>
  </si>
  <si>
    <t>Hoje, me encontro em um lugar desafiador. Estou dando meus primeiros passos para trabalhar com arte e cultura, como sempre sonhei. Após vários anos atuando em segmentos exclusivamente administrativos, atualmente dou aulas de teatro e trabalho como assistente de produção em teatros da minha região.    Além disso, busco semanalmente palestras, cursos livres e técnicos em museus, centros culturais e espaços artísticos para manter vivo meu genuíno interesse pela arte e pelo que a viabiliza. No momento, estou também em treinamento orientado para voluntariado em hospitais, com contação de histórias e palhaçaria.</t>
  </si>
  <si>
    <t>Estarei em um lugar que gere mudanças positivas para a minha comunidade. Desejo trabalhar diariamente com a certeza de que minha contribuição, minha bagagem e meu verdadeiro interesse possam proporcionar alegria, questionamentos e aprimorar o conhecimento das pessoas que compartilham esta cidade comigo. Almejo que, futuramente, essas pessoas possam transmitir essa experiência a outras, criando um ciclo contínuo de impacto positivo.    Desejo que esse espaço me permita desenvolver e aplicar minhas habilidades, contribuindo para a formação de uma comunidade mais engajada e culturalmente enriquecida.</t>
  </si>
  <si>
    <t>418.629.778-95</t>
  </si>
  <si>
    <t>Jhenyce De Jesus Rocha Do Patrocínio</t>
  </si>
  <si>
    <t>jhenyverde123@gmail.com</t>
  </si>
  <si>
    <t>https://yz2spukd8h-jbrk7pf7uvw.s3.amazonaws.com/2024/06/1j0D0ZBwtkVcZc2sd4r47FS9vcHN2o8/Rk2h5rwLF%2BI%3D.jpg</t>
  </si>
  <si>
    <t>Jardim Marabá</t>
  </si>
  <si>
    <t>08270-430</t>
  </si>
  <si>
    <t>Rua Marieta Baldez</t>
  </si>
  <si>
    <t>539581950</t>
  </si>
  <si>
    <t>(11) 99617-2558</t>
  </si>
  <si>
    <t>JHENYVERDE123@GMAIL.COM</t>
  </si>
  <si>
    <t>https://www.instagram.com/jayxmad_dy/?utm_source=ig_web_button_share_sheet</t>
  </si>
  <si>
    <t>Eu venho de uma família simples, de 5 irmãos da Zona Leste de São Paulo, com princípios cristãos, minha família que sempre me apoia em tudo me apoiou também a me inscrever no programa. Para o meu crescimento e evolução pessoal tenho objetivos, sonhos e metas que não são só pra mim, quero crescer profissionalmente investindo em cursos para ajudar minha família e também conquistar meus sonhos pessoais e profissionais.</t>
  </si>
  <si>
    <t>Estou hoje, cursando o ensino médio, uma jovem cheia de sonhos e querendo prosperar na vida para ajudar a minha família. Busco oportunidades que me façam crescer e alcançar os meus objetivos. Estou em processo de amadurecimento saindo da adolescência para a vida adulta onde exige de mim   muita responsabilidade e disciplina, acredito muito que o programa irá agregar isso em minha vida.</t>
  </si>
  <si>
    <t>Após a formação no programa jovem monitor cultural, espero estar encaminhada no mercado de trabalho colocando em prática tudo o que eu aprendi durante os dois anos de formação, pretendo continuar seguindo o meio cultural já que é algo que fala muito comigo e que gosto bastante da linguagem, acredito que o programa jovem monitor cultural vai ser um divisor de aguas na minha vida.</t>
  </si>
  <si>
    <t>439.062.568-39</t>
  </si>
  <si>
    <t>Victoria Menezes Barreto</t>
  </si>
  <si>
    <t>VIC</t>
  </si>
  <si>
    <t>Vic</t>
  </si>
  <si>
    <t>victoriamenezesvis@gmail.com</t>
  </si>
  <si>
    <t>https://yz2spukd8h-jbrk7pf7uvw.s3.amazonaws.com/2024/06/jFGbsuNcCyi9W2AeRPYG8pY%2Bn%2Bk7FoRQZPYR/T0jhgk%3D.jpeg</t>
  </si>
  <si>
    <t>22 anos, 1 meses, 0 dias</t>
  </si>
  <si>
    <t>campo grande</t>
  </si>
  <si>
    <t>04455-060</t>
  </si>
  <si>
    <t>rua cenerino branco de araújo</t>
  </si>
  <si>
    <t>608642459</t>
  </si>
  <si>
    <t>(11) 95169-4371</t>
  </si>
  <si>
    <t>https://www.instagram.com/victoriamenezes.oficial?igsh=NG0xNDRmanJoeWM4&amp;utm_source=qr</t>
  </si>
  <si>
    <t>TÉCNICO EM PRODUÇÃO MUSICAL</t>
  </si>
  <si>
    <t>Olá, me chamo Victoria, mas conhecida como vic, tenho 22 anos, nascida em Salvador Bahia mas criada em São Paulo a quase 20 anos. Passei uma boa parte da minha infância em   Embu das artes um lugar lindo e cheio do que o nome já diz, arte!! minha mãe trabalhou muito para sustentar eu e mais dois irmãos e com muita força e união saímos de uma situação de fome para um lugar um pouco melhor.</t>
  </si>
  <si>
    <t>Completei meus 22 anos a quase um mês atrás, atualmente eu deixei meu emprego de CLT para correr atrás do meu sonho que era viver da arte e da cultura. Moro com a minha família e ajudo no trabalho da minha mãe que é vender algumas marmitas para arcar com as contas, enquanto a maior parte do tempo eu estudo sobre a música e a arte e procuro meios de me reinventar sendo uma artista independente no Brasil!</t>
  </si>
  <si>
    <t>Eu acredito que nada nessa vida acontece por um acaso, hoje eu planto muitas coisas para colher no futuro sei que pra tudo a um processo e um tempo, mas o meu destino certamente é ser uma pessoa feliz e realizada, uma cantora, poeta e compositora, que de muito orgulho pra minha família e possa mostrar que a arte e a cultura salvam vidas, e deixa cravado no coração das pessoas o quanto o Brasil é um lugar incrível e com muita arte para todos! Plantando a cada dia o meu maior sonho de impactar essa geração com a maior riqueza que temos no mundo, a arte!</t>
  </si>
  <si>
    <t>508.412.908-06</t>
  </si>
  <si>
    <t>Danilo Silva Dos Anjos</t>
  </si>
  <si>
    <t>DANILO Silva dos Anjos</t>
  </si>
  <si>
    <t>Danilo</t>
  </si>
  <si>
    <t>danilo.silva.anjos@gmail.com</t>
  </si>
  <si>
    <t>https://yz2spukd8h-jbrk7pf7uvw.s3.amazonaws.com/2024/06/a7jCrxQM8Z6qvZFfamS1BUFTny1ncJUYPIsj2vH59RQ%3D.jpg</t>
  </si>
  <si>
    <t>26 anos, 8 meses, 16 dias</t>
  </si>
  <si>
    <t>DANILO</t>
  </si>
  <si>
    <t>08121-130</t>
  </si>
  <si>
    <t>Rua Manuel Pedro Louzano</t>
  </si>
  <si>
    <t>371528951</t>
  </si>
  <si>
    <t>(11) 99017-4418</t>
  </si>
  <si>
    <t>https://www.instagram.com/soueudanilo_/</t>
  </si>
  <si>
    <t>superio em design e marketing</t>
  </si>
  <si>
    <t>Olá, meu nome é Danilo, mas pode me chamar de Dan, tenho 26 anos, filho único de mãe solo, diretamente do extremo Leste de São Paulo - Itaim Paulista, mais precisamente Jardim Camargo Novo, onde nasci e fui criado. Para além disso, sou fruto da sensibilidade e força das mulheres da minha família, fortemente influenciado pelo rap e movimento hip hop, formado academicamente em Design Gráfico (PROUNI) e em Marketing.</t>
  </si>
  <si>
    <t>Criativo cheio de energia, artista auto de data daqueles que aprendem tudo na raça; as vezes desenho e escrevo umas poesias; danço sempre que posso; atuo em um grupo amador de teatro sacro; crio em um coletivo de audiovisual; modelo ocasionalmente para meus amigos; elaboro cosplays de heróis negros nas horas vagas; e concilio tudo com estudos e pesquisas de aperfeiçoamento na Comunicação, me aproximando cada vez mais da Produção Cultural.</t>
  </si>
  <si>
    <t>Flertei diversas vezes com o terceiro setor, mas acabei seguindo outros caminhos, descobri que encontrar novas formas de me conectar é o que me motiva existir, comunicar e criar daria para inspirar aqueles à minha volta, só que isso não tem sido suficiente. Agora meu grande objetivo é fazer parte de uma equipe na qual eu me identifique de verdade, com profissionais plurais, para realizar um trabalho que seja prazeroso e muito poderoso! Eu sei que eu posso e quero fazer mais pelos meus, contribuir com tudo que posso oferecer para salvar vidas, assim como fui salvo, o PJMC é minha porta de entrada para onde eu sempre quis estar, me sinto pronto para essa nova jornada.</t>
  </si>
  <si>
    <t>399.596.468-07</t>
  </si>
  <si>
    <t>Joao Pedro Souza Alevato Alvim</t>
  </si>
  <si>
    <t>pedroalevato155@gmail.com</t>
  </si>
  <si>
    <t>https://yz2spukd8h-jbrk7pf7uvw.s3.amazonaws.com/2024/06/8SdTBIW3ncgl5IvAVVFBg3XvUq44Sa8jPllba9cm7Ak%3D.jpg</t>
  </si>
  <si>
    <t>Vila Iório</t>
  </si>
  <si>
    <t>02965-090</t>
  </si>
  <si>
    <t>Travessa Carmen Jones</t>
  </si>
  <si>
    <t>524402966</t>
  </si>
  <si>
    <t>(11) 97031-8362</t>
  </si>
  <si>
    <t>https://www.instagram.com/alevato_jp?utm_source=ig_web_button_share_sheet&amp;igsh=ZDNlZDc0MzIxNw==</t>
  </si>
  <si>
    <t xml:space="preserve">grad - produção audiovisual </t>
  </si>
  <si>
    <t>Me chamo João. Nasci e fui criado em Pirituba, SP  Desde novo eu fui aficionado por filmes e revistas relacionadas a cultura pop. Esse gosto foi aumentando e eu decidi estudar para fazer parte do que eu sempre consumi. Comecei a estudar produção audiovisual e me formei em 2024 desde então fiz trabalhos independentes e financiados por leis governamentais.</t>
  </si>
  <si>
    <t>Atualmente trabalho como roteirista e produtor em projetos independentes.  Entre distribuições e vendas de roteiro eu tento seguir meus projetos e realizar meus sonhos. Nesta etapa a produtor independente que eu faço parte está concorrendo premiações com o nosso ultimo curta "Só Saudade" Neste eu fui roteirista e diretor de arte. Este foi o nosso segundo projeto que dá espaço e voz para afrodescendentes.</t>
  </si>
  <si>
    <t>Meu desejo e entrar em contato com a nova geração e desenvolver o gosto cultural e o pensamento critico.  Também pretendo abrir uma produtora focada em trabalhos feitos por jovens periféricos. Desse jeito dando voz e oportunidades à artistas jovens e independentes. Agindo onde programas de governo e leis de incentivo a cultura não alcançam. O foco é dar o espaço necessário para que a nova geração tenham mais escolhas e perspectivas</t>
  </si>
  <si>
    <t>509.887.618-40</t>
  </si>
  <si>
    <t>PAMELA YARA DA SILVA RIBEIRO MONTEIRO</t>
  </si>
  <si>
    <t>Pamela Yara Da Silva Ribeiro Monteiro</t>
  </si>
  <si>
    <t>pamela.y.monteiro@gmail.com</t>
  </si>
  <si>
    <t>https://yz2spukd8h-jbrk7pf7uvw.s3.amazonaws.com/2024/06/rRJbWMLQGtV4K8Up6InkZfZy7x1oexlCm3ABNTUPGdE%3D.jpeg</t>
  </si>
  <si>
    <t>22 anos, 4 meses, 6 dias</t>
  </si>
  <si>
    <t>NOME SOCIAL DIFERENTE DO QUE CONSTA NO DOCUMENTO OU NA INSCRICAO (A SABER - PAMELA YARA DA SILVA RIBEIRO MONTEIRO)</t>
  </si>
  <si>
    <t>Conjunto Habitacional Brigadeiro Faria Lima</t>
  </si>
  <si>
    <t>04840-610</t>
  </si>
  <si>
    <t>B 14 CS 21</t>
  </si>
  <si>
    <t>Rua Bilac</t>
  </si>
  <si>
    <t>471</t>
  </si>
  <si>
    <t>569688681</t>
  </si>
  <si>
    <t>Me chamo, Pamela, tenho 22 anos, nasci e cresci na Zona Sul da grande São Paulo.  Venho de uma família um pouco grande, cheia de gatinhos, vida e movimento, além de muitas mudanças que me causavam medo do novo, mas que me ensinaram as flexibilidades da vida e a me abrir a novas experiências. Foi no novo que me encontrei na arte, me movimentei no impulso de explorar novas paixões, ideias, experiências e desafios. Cada pedacinho de mim tornou-se arte dentro das mudanças que aconteciam em minha volta e em mim. Desde então continuo rodeado de mudanças.</t>
  </si>
  <si>
    <t>Hoje, vejo como todas essas mudanças me moldaram, como me impulsionaram a crescer e evoluir como pessoa de forma social, cultural, profissional e artística. E assim, como artista continuo nos estudos, no momento estou estudando de danças urbanas e cultura hip-hop na fábrica de cultura, pretendo me desenvolver no teatro e escrita também, ainda estou longe de ser profissional, mas sei que cada experiência, desafio e tentativa valem a pena, e o novo que antes me amedrontava hoje é o que me dá o gatilho para me movimentar no tentar. Não menos importante, estudo pedagogia e acredito que se conecta de uma forma que me permite entender mais sobre resiliência, expressões, inovações dentre tudo mais.</t>
  </si>
  <si>
    <t>Por fim, acredito que para onde vou estará sempre em movimento, cheio de vida e mudanças que não mais despertam medo do novo e sim curiosidade em conhecer. Quero poder compartilhar do que sou para que outras pessoas também sejam arte, sejam sua própria mudança sigam seus ritmos que num todo nos conectam. Quero fomentar a arte e de toda forma apoiar todos aqueles que tem medo do novo, mas de toda forma estão dispostos a abraçar essas mudanças que a arte e cultura traz em nossas vidas.</t>
  </si>
  <si>
    <t>501.232.198-76</t>
  </si>
  <si>
    <t>Paulo Victor Rodrigues Da Silva</t>
  </si>
  <si>
    <t>imvictordraco@gmail.com</t>
  </si>
  <si>
    <t>https://yz2spukd8h-jbrk7pf7uvw.s3.amazonaws.com/2024/04/KO3ivLl84Csbn2wkCi4pkyaiYU08Mb9k3cMd%2BhFvS3k%3D.jpg</t>
  </si>
  <si>
    <t>23 anos, 9 meses, 8 dias</t>
  </si>
  <si>
    <t>TRANCADO (MAS PRETENDE VOLTAR A ESTUDAR E TROCAR DE CURSO PARA MARKETING)</t>
  </si>
  <si>
    <t>Jardim Alpino</t>
  </si>
  <si>
    <t>04836-360</t>
  </si>
  <si>
    <t>Casa. 81A</t>
  </si>
  <si>
    <t>Rua Domingos Faustino Sarmiento</t>
  </si>
  <si>
    <t>568115570</t>
  </si>
  <si>
    <t>(11) 97649-5766</t>
  </si>
  <si>
    <t>TECNÓLOGO EM RADIOLOGIA</t>
  </si>
  <si>
    <t>Vim do extremo sul de São Paulo, rua de terra, mais conhecido como Marsilac, morei minha adolescência inteira na periferia de Grajaú-SP, já morei em muitas casas dividindo o teto com 6 pessoas, 3 gatos e 1 cachorro. Vim de escola pública no fundamental Escola Estadual Prof Regina Miranda Brant De Carvalho e no meu ensino médio, Escola Estadual Prof Esther Garcia.</t>
  </si>
  <si>
    <t>Estou em Grajaú-Sp, Jardim Alpino e cursando minha faculdade de Tecnologia em Radiologia pelo amor a área da saúde, ensinar e cuidar creio que são meus pontos fortes, além de pensar que as crianças vão mudar o nosso mundo, então precisamos cuidar delas com todo amor. Estudando inglês por conta própria, aprendi que o poder de expandir está em minhas próprias mãos.</t>
  </si>
  <si>
    <t>"Ao infinito e além" uma frase que muitos pensam em ser apenas de um filme, mas pra mim Essa frase tem um significado lindo, de que o infinito não é o final da jornada sempre podemos ir além, ser mais e fazer muito mais, viajar não só nos pensamentos mas sim conhecer outros lugares e pessoas. Sempre levando a cultura do Skate Boarding e do RAP a onde eu for, cresci assim e aprendi muito com música e esportes, e vou passar indo a diante seja lá a onde eu for.</t>
  </si>
  <si>
    <t>494.653.598-58</t>
  </si>
  <si>
    <t>Elivelton Leonel Da Silva</t>
  </si>
  <si>
    <t>eliveltonleonel@usp.br</t>
  </si>
  <si>
    <t>https://yz2spukd8h-jbrk7pf7uvw.s3.amazonaws.com/2024/06/GGLgdXJjgGitfM0hm97bFW//FPsyyNPHbl3WGMSHyW8%3D.jpg</t>
  </si>
  <si>
    <t>24 anos, 4 meses, 11 dias</t>
  </si>
  <si>
    <t>CRUSP - Bloco F 510</t>
  </si>
  <si>
    <t>53088219-x</t>
  </si>
  <si>
    <t>(14) 98119-5344</t>
  </si>
  <si>
    <t>eliveltonleonel44@gmail.com</t>
  </si>
  <si>
    <t>https://www.instagram.com/leonel_eli/</t>
  </si>
  <si>
    <t>Filosofia</t>
  </si>
  <si>
    <t>Nasci em Macatuba, interior de São Paulo, e vim para a capital em 2018 para fazer filosofia na USP. Sou uma pessoa Não-Binária, preta e sempre estudei em escola pública. Antes da Universidade, tive experiência como professor e dançarino, sobretudo,  nas danças urbanas, jazz, ballet e dança contemporânea. Também participei de um grupo de teatro no mesmo período. Meu interesse pela filosofia, pela escrita e pela acadêmica, portanto, decorre menos da leitura exaustiva e mais do contato com as artes e com a cultura, das questões que surgiam em grupo, das dinâmicas de teatro e das vivências em sala de aula e nos palcos.</t>
  </si>
  <si>
    <t>Por vir de uma cidade pequena, me impressionei bastante com a pluralidade de possibilidades e de realidades que circulam na capital, principalmente, tendo contato com pessoas periféricas, trans e travestis. Atualmente, sou mestrando em filosofia pela USP, tendo como objeto principal os processos de violência epistêmica no decorrer da história da ciência europeia, baseando-se principalmente em Michel Foucault. Além disso, atuo na comunidade ballroom de São Paulo, já tendo ministrado aulas de Vogue, participado de apresentações e ganhado categorias. Neste sentido, meu objetivo atual é aproximar o meu mestrado e sua temática das minhas vivências nas artes, sobretudo, profissionalmente.</t>
  </si>
  <si>
    <t>Como disse, a curto prazo meu objetivo é encontrar um emprego que permita aproximar a filosofia e as artes. Por isso, essa oportunidade como monitor me agrada, pois permite que eu me profissionalize na produção artística ou ao menos que tenha contato com o cotidiano do trabalho, com a organização e produção de eventos e oficinas etc. Já ao longo prazo, desejo me tornar um professor de filosofia ou de dança, usando esses conhecimentos acadêmicos no que realmente importa, isto é, na vida das pessoas e no planejamento de políticas culturais e de educação. Assim, tenho um forte interesse em atuar no setor da cultura e da educação.</t>
  </si>
  <si>
    <t>492.211.198-07</t>
  </si>
  <si>
    <t>Luiz Augusto Santos Almeida</t>
  </si>
  <si>
    <t>luizaugustossantos845@gmail.com</t>
  </si>
  <si>
    <t>https://yz2spukd8h-jbrk7pf7uvw.s3.amazonaws.com/2024/04/67EmYn%2BofCKtKhHdqwnSRzrP4Ao3kFBb8NOpfS2pWWk%3D.jpg</t>
  </si>
  <si>
    <t>23 anos, 0 meses, 2 dias</t>
  </si>
  <si>
    <t>Apto. 43, bloco B</t>
  </si>
  <si>
    <t>1487</t>
  </si>
  <si>
    <t>2029803839</t>
  </si>
  <si>
    <t>(11) 97101-4478</t>
  </si>
  <si>
    <t>LUIZAUGUSTOSSANTOS845@GMAIL.COM</t>
  </si>
  <si>
    <t>www.linkedin.com/in/luiz-augusto-9842031b1</t>
  </si>
  <si>
    <t>EDIFICAÇÕES</t>
  </si>
  <si>
    <t>Nasci na cidade de Canarana no interior da Bahia e cresci a poucos quilômetros dali em um povoado chamado de Porteira Nova, um povoado conhecido por suas casas simples e pacatas, rodeadas de campos e roças e longas veredas. Desde cedo, fui influenciado pela televisão e meus professores a desenvolver uma paixão por arte, literatura e música. Minha educação e experiências anteriores me proporcionaram uma base sólida em dedicação e valor pelo que faço, a importância do tempo para executar atividades e amor por ser quem eu sou.</t>
  </si>
  <si>
    <t>Atualmente, estou localizado em Itaquera, bairro da zona leste em São Paulo, onde estou realizando a minha primeira graduação em Enfermagem pela Faculdade Santa Marcelina (FASM), onde também conclui o meu curso Técnico em Edificações pelo Instituto Federal de Educação, Ciências e Tecnologia de São Paulo (IFSP). Estou envolvido em cursos de aprimoramento como Microsoft Office, idoimas e clubes literários, o que me permite aprimorar minhas habilidades em informática, línguas e literatura e contribuindo significamente para o meu desempenho.</t>
  </si>
  <si>
    <t>Olhando para o futuro, estou ansioso pelas minhas conquistas como estudante, atuando na área da saúde, além de novos horizontes a serem conquistados. Estou particulamente interessado nas áreas de biológicas e humanas e estou busacndo oportunidades que me permitam realizar outras graduações e outros projetos. Estou comprometido em continuar meu desenvolvimento profissional e fazer uma diferença positiva no mundo, beneficiando as pessoas ao meu redor.</t>
  </si>
  <si>
    <t>063.308.895-11</t>
  </si>
  <si>
    <t>Gleice Espindola Barbosa</t>
  </si>
  <si>
    <t>gleiceesp@gmail.com</t>
  </si>
  <si>
    <t>https://yz2spukd8h-jbrk7pf7uvw.s3.amazonaws.com/2024/04/0dMO7AY6jPrgWKmuZYot5IjaJ1scaeX9eCt%2BjZbGzD4%3D.jpeg</t>
  </si>
  <si>
    <t>24 anos, 11 meses, 17 dias</t>
  </si>
  <si>
    <t>tecnica  em  formacao teatro</t>
  </si>
  <si>
    <t>Santa Terezinha</t>
  </si>
  <si>
    <t>08247-060</t>
  </si>
  <si>
    <t>Rua Amanari</t>
  </si>
  <si>
    <t>568</t>
  </si>
  <si>
    <t>37.249.025-6</t>
  </si>
  <si>
    <t>(11) 98697-2498</t>
  </si>
  <si>
    <t>https://www.instagram.com/eugleiceesp?igsh=MW5vaTA5aXMzMXAxMQ%3D%3D&amp;utm_source=qr</t>
  </si>
  <si>
    <t>direito</t>
  </si>
  <si>
    <t>Me chamo Gleice e venho de uma família que sempre me incentivou a explorar as artes. Desde cedo, fui cercada pela criatividade e paixão pela cultura. Meu avô, sempre com suas filmadoras e artesanatos montando maquetes, foi uma grande influência em minha vida. Além disso, minha mãe teve um papel fundamental ao me colocar na Obra Social Dom Bosco, onde tive a oportunidade de iniciar na ginástica rítmica e no teatro. Hoje, ela continua sua dedicação na obra social, sempre ajudando e inspirando jovens como eu a explorar seu potencial nas artes.</t>
  </si>
  <si>
    <t>Atualmente, me encontro dedicando meu tempo e energia para aprimorar meu conhecimento nas artes cênicas. Estou fazendo o curso técnico em teatro na Etec de Artes, onde tenho a oportunidade de mergulhar ainda mais fundo nesse universo fascinante. Além disso, estou inserida como aluna no programa Juventudes do Sesc, onde tenho a chance de aprimorar minhas habilidades no teatro e explorar novas formas de expressão artística. Além disso, também sou fotógrafa, buscando capturar momentos significativos e contar histórias por meio das imagens.</t>
  </si>
  <si>
    <t>Tenho como objetivo contribuir ativamente para o desenvolvimento e valorização da cultura em nossa cidade. Com a oportunidade de participar do Programa Jovem Monitor, almejo adquirir novas habilidades, expandir minha rede de contatos e colocar em prática ideias inovadoras que possam impactar positivamente a comunidade. Estou comprometida em aprender, crescer e ser uma agente de mudança no cenário cultural de São Paulo.</t>
  </si>
  <si>
    <t>482.963.248-81</t>
  </si>
  <si>
    <t>CAROLINE FRANCA DA SILVA</t>
  </si>
  <si>
    <t>Caroline França Da Silva</t>
  </si>
  <si>
    <t>carolinefrancs2802@gmail.com</t>
  </si>
  <si>
    <t>https://yz2spukd8h-jbrk7pf7uvw.s3.amazonaws.com/2024/06/P5zNNy3AV9o1QCyygMBt1aqb04WwfifEPWQVpkNV4h8%3D.jpg</t>
  </si>
  <si>
    <t>24 anos, 3 meses, 21 dias</t>
  </si>
  <si>
    <t>Vila Independência</t>
  </si>
  <si>
    <t>04224-010</t>
  </si>
  <si>
    <t>APTO 807 TORRE 3</t>
  </si>
  <si>
    <t>Rua Campante</t>
  </si>
  <si>
    <t>410</t>
  </si>
  <si>
    <t>52.028.916-X</t>
  </si>
  <si>
    <t>(11) 98710-9455</t>
  </si>
  <si>
    <t>https://www.instagram.com/cahcal/</t>
  </si>
  <si>
    <t>TECNICO EM DANÇA E LICENCIATURA EM CIENCIAS SOCIAIS</t>
  </si>
  <si>
    <t>Olá, me chamo Caroline França da Silva, tenho 24 anos e moro na Vila Carioca (Ipiranga). Fiz curso técnico em dança na ETEC de Artes e atualmente trabalho como professora de dança em alguns colégios, além claro de continuar fazendo aula de diversas modalidades com danças afro, hiphop, jazz, entre outros. Por ser uma artista da dança, meu maior interesse é a dança. Mas tudo que rodeia este meio me encanta como todo o processo para um espetáculo/aula/oficina estrear.</t>
  </si>
  <si>
    <t>Em outubro, vou fazer 4 anos que me mudei para a Vila Carioca, mas nasci em São Mateus e morei uns 15 anos no Parque Bristol. Em todos esses espaços, atuei e atuo como voluntária em ONGs dando aula de dança para diversas idades, gosto muito de incentivar as pessoas do meu bairro a praticarem alguma atividade físicas. Além de usar as minhas redes sociais para divulgar atividades culturais gratuitas.</t>
  </si>
  <si>
    <t>Gostaria de participar do Programa Jovem Monitor Cultural para adquirir experiências profissionais enquanto estudo e aprendo mais sobre produção cultural na esfera pública, pois sei da importância desses espaços públicos na vida da juventude de São Paulo,  Além disso, quero contribuir para a democratização da cultura e ajudar a fomentar as diversas manifestações culturais periféricas.</t>
  </si>
  <si>
    <t>489.453.618-80</t>
  </si>
  <si>
    <t>RUI FRANCA TAVARES</t>
  </si>
  <si>
    <t>Rui França Tavares</t>
  </si>
  <si>
    <t>rui.franca75@gmail.com</t>
  </si>
  <si>
    <t>https://yz2spukd8h-jbrk7pf7uvw.s3.amazonaws.com/2024/05/q8%2BB00Mmz2bGZMvX7%2BxOAukuBnZQ1VHsnXnYdWTDdA0%3D.jpeg</t>
  </si>
  <si>
    <t>22 anos, 4 meses, 10 dias</t>
  </si>
  <si>
    <t>Parque Fongaro</t>
  </si>
  <si>
    <t>04257-143</t>
  </si>
  <si>
    <t>Apto 102 bloco 1</t>
  </si>
  <si>
    <t>Rua Rizieri negrini</t>
  </si>
  <si>
    <t>356</t>
  </si>
  <si>
    <t>5542656807</t>
  </si>
  <si>
    <t>(11) 97776-3969</t>
  </si>
  <si>
    <t>https://www.instagram.com/ruifranca.af?igsh=MXRidXQ2a3l3bGlrMA%3D%3D&amp;utm_source=qr</t>
  </si>
  <si>
    <t>SUPERIOR EM RELAÇÕES INTERNACIONAIS</t>
  </si>
  <si>
    <t>Eu sou Rui França Tavares, nasci na zona norte de São Paulo, no bairro do cachoeirinha, onde cresci e estudei ate meus 14 anos, aonde tive meus primeiros contatos com arte, sendo primeiramente com skate, onde iniciei cursos de línguas, e me pré formei, após os 14, me mudei para a Vila Prudente Zl, aonde fiquei por mais 4 anos, antes de me mudar para aonde moro atualmente.</t>
  </si>
  <si>
    <t>Atualmente moro no Sacomã, zona sul de São Paulo, sou rapper, faço quadros, estou fazendo faculdade de relações internacionais, no sexto período, também faço curso de alemão, a música e a arte são fundamentais na minha vida, tudo que faço tem isso, e se reflete até mesmo no meu visual, uso cabelos coloridos, unhas etc, amo cores e trocas com pessoas.</t>
  </si>
  <si>
    <t>Meu foco sempre foi, e sempre será o conhecimento, então com isso acredito que seja um leque de possibilidades infinitas, mas me vejo trabalhando num futuro próximo, apenas com minha arte, minha música, acredito que tudo que está envolta se for algo bom, acrescenta nisso, então me vejo fazendo um show lindo, com banda mil e tantas pessoas na plateia, muita arte.</t>
  </si>
  <si>
    <t>519.910.598-17</t>
  </si>
  <si>
    <t>Thamyres Da Silva Oliveira</t>
  </si>
  <si>
    <t>sothamyres@gmail.com</t>
  </si>
  <si>
    <t>https://yz2spukd8h-jbrk7pf7uvw.s3.amazonaws.com/2024/05/RrVImEV/STKMkxLmDSGJuQ1vB2cWATkMYm/WRbhQmmU%3D.jpeg</t>
  </si>
  <si>
    <t>23 anos, 4 meses, 11 dias</t>
  </si>
  <si>
    <t>Conjunto Habitacional Jardim São Bento</t>
  </si>
  <si>
    <t>05885-580</t>
  </si>
  <si>
    <t>CS 2</t>
  </si>
  <si>
    <t>Rua Mata da Juréia</t>
  </si>
  <si>
    <t>397812978</t>
  </si>
  <si>
    <t>(11) 95884-6402</t>
  </si>
  <si>
    <t>https://www.instagram.com/olivertham_?igsh=bzNkMHdxanFrOWRy</t>
  </si>
  <si>
    <t>TECNÓLOGO EM GESTÃO DE RECURSOS HUMANOS E TÉCNICO EM DANÇA</t>
  </si>
  <si>
    <t>Nascida em Três Lagoas - MS, me mudei para o estado de São Paulo aos 4 anos, mais especificamente, para a cidade de São Bernardo do Campo. Cresci em um barraco de madeira em cima da casa da minha avó, que fora construída em uma aérea de risco, onde haviam enchentes com frequência. Apesar dessa situação, minha mãe sempre se esforçou para que eu e minha irmã nos mantivéssemos ocupadas e longe "dos perigos das ruas"; sendo assim, aos 06 anos comecei a fazer ballet clássico, modalidade essa que permaneço praticando. Além do ballet, ao longo dos anos fiz outros cursos como inglês básico, informática e até tive uma breve passagem pela capoeira, através de iniciativas voltadas para a periferia.</t>
  </si>
  <si>
    <t>Aos 19 anos, me mudei para a cidade de São Paulo durante a pandemia, e após me formar no ballet no ano anterior, decidi investir meu tempo e foco em outros horizontes. Tendo adquirido experiência com atendimento ao cliente, iniciei meus estudos acadêmicos em Gestão de Recursos Humanos, conseguindo entrar na área administrativa, tendo atuado na Universidade de São Paulo - USP durante um ano. Atualmente, formada em RH e no último semestre da formação técnica em dança pela Etec de Artes, estou trabalhando como professora de dança autônoma no CEU Carrão, através do Grupo Raça em parceria com o Instituto Baccarelli, e meu objetivo profissional é atuar ativamente com a arte e cultura.</t>
  </si>
  <si>
    <t>Tendo meu objetivo definido, entendo o quanto será agregadora a formação do Programa Jovem Monitor Cultural, para a minha carreira. Além de toda a formação teórica, observar de perto a prática, me trará outra perspectiva e caminhos diversos para alcançar a meta de trabalhar com a cultura. Em principal, meu foco é voltado em levar para outros jovens periféricos as possibilidades de crescimento profissional e pessoal, para que tenham uma perspectiva de vida melhor, e com isso entendo a importância do papel da cultura nas periferia, pois a cultura sempre esteve presente em minha vida guiando minhas escolhas. Espero, em um futuro próximo, atuar de forma mais ativa em projetos culturais.</t>
  </si>
  <si>
    <t>405.581.418-62</t>
  </si>
  <si>
    <t>Bianca Da Silva Coelho</t>
  </si>
  <si>
    <t>biancacoelho1378@gmail.com</t>
  </si>
  <si>
    <t>https://yz2spukd8h-jbrk7pf7uvw.s3.amazonaws.com/2024/05/zm152MDwkFrGZSLRDtTOucUri9m3S0M/um/N866xRVk%3D.jpeg</t>
  </si>
  <si>
    <t>18 anos, 10 meses, 19 dias</t>
  </si>
  <si>
    <t>05886-020</t>
  </si>
  <si>
    <t>Rua Adonara</t>
  </si>
  <si>
    <t>575557631</t>
  </si>
  <si>
    <t>(11) 96148-9685</t>
  </si>
  <si>
    <t>BACHAEL ARTES VISUAIS</t>
  </si>
  <si>
    <t>Meu nome é Bianca da Silva Coelho, tenho 18 anos e sou uma pessoa preta moradora da periferia da zona sul da Região do Capão Redondo. Moro com meu pai, minha mãe e meu irmão mais novo. Estudei em escola pública até concluir o ensino médio. Conclui o meu ensino fundamental no CEU Feitiço da Vila. Tenho contato com a cultura da arte participando de aulas de balé na infância Depois participei do quinto ano até o nono do fundamental no projeto Academia Estudantil de Letras (AEL) João Cabral de Melo Neto, produzindo teatros e aprofundando os conhecimentos  da literatura clássica Brasileira. Também participei da oficina de Produção de Cenário no Fábrica de Cultura Capão Redondo no fim do ano 2023.</t>
  </si>
  <si>
    <t>Atualmente estou cursando o ensino superior particular pago no curso de Artes Visuais - Bacharelado. Também cursando atualmente uma oficina de Moda Costura e Criação no Fábrica de Cultura Capão Redondo, aprofundando meus conhecimentos na arte da costura e criação de roupas, todas terças e quintas no período da noite. Já possuía o gosto por visitas a museus pela cultura e arte que é meu interesse primordial. E com o apoio da faculdade consigo fazer visitas com mais frequência, sendo os mais recentes a Casa Guilherme de Almeida,  a Casa de Cultura Indígena, o Museu Afro Brasil,  o Memorial da Resistência e o Farol Santander pela segunda vez, procurando experiências vívidas no meio da cultura.</t>
  </si>
  <si>
    <t>Além de todas as formalidades de ter minha própria independência, uma renda estável e ter meus próprios bens, busco também informar e apresentar a cultura e a arte para outras pessoas, principalmente daquelas que são da periferia assim como eu. Imagino meu futuros colegas de trabalho e eu fazendo a diferença mostrando para as pessoas a influência boa que a cultura tem, o poder de abrir portas de oportunidades incríveis. Por isso estou cursando artes visuais, estou disposta a trabalhar minha mente, trabalho em equipe, meus conhecimentos gerais e internos de indústria nesta grande oportunidade. Trabalhar não só com algo que me dá gosto, mas algo que preserva a rica cultura e história do país.</t>
  </si>
  <si>
    <t>544.548.438-64</t>
  </si>
  <si>
    <t>Julia Santos Araujo</t>
  </si>
  <si>
    <t>juliasantosaaraujo1@icloud.com</t>
  </si>
  <si>
    <t>https://yz2spukd8h-jbrk7pf7uvw.s3.amazonaws.com/2024/04/YYFrCuOVPq18M4/6m11HkGqYKb6Xr/bUbknEV8e7qJ4%3D.jpeg</t>
  </si>
  <si>
    <t>20 anos, 2 meses, 9 dias</t>
  </si>
  <si>
    <t>05867-000</t>
  </si>
  <si>
    <t>557661845</t>
  </si>
  <si>
    <t>(11) 96938-6977</t>
  </si>
  <si>
    <t>https://www.instagram.com/juliasaaraujo?igsh=bnNja2Z3OXN1dnEw&amp;utm_source=qr</t>
  </si>
  <si>
    <t>Nascida e criada na zona sul de sao paulo, nos bairros jardim caiçara e capão redondo, onde resido. Os bairros de onde eu vim/ estou me trouxeram muito acesso a cultura, por conta de movimentos culturais e sociais que aconteciam ali e me aproximaram da minha identidade, fazendo eu reconhecer a importância da minha área, moldando o meu eu e me aproximando da arte.</t>
  </si>
  <si>
    <t>Onde estou atualmente, diz muito sobre onde eu quero chegar, como eu disse, os meus bairros me aproximaram da arte, por conta de movimentos culturais que aconteciam ali. Onde estou, é um lugar que eu enxergo uma movimentação muito grande na questão de ambição e referências. O meu bairro capão redondo, representa cultura e ancestralidade,  e por ser um bairro do extremo sul de Sao paulo, vejo muita significância nas questões que esse bairro carrega.</t>
  </si>
  <si>
    <t>Onde eu desejo chegar ainda diz muito sobre o meu lugar de origem. Acredito alcançar diferentes lugares com a minha arte, e ambição. Fortalecendo a minha identidade como moradora da zona sul, capão redondo e também expandindo para diferentes lugares e regiões.      Trazendo referências para pessoas que também enxergam a importância de fortificar o lugar de origem, como algo que carregamos como identidade e identificação para aqueles que tem o mesmo desejo que tenho.</t>
  </si>
  <si>
    <t>564.784.858-38</t>
  </si>
  <si>
    <t>Sabrina Santana De Jesus</t>
  </si>
  <si>
    <t>sabrina.jesus1304@gmail.com</t>
  </si>
  <si>
    <t>https://yz2spukd8h-jbrk7pf7uvw.s3.amazonaws.com/2024/04/xEKlfFr8aTFsVUSsyrzLNWNlpjSY1jWviYddsp/pSjU%3D.jpg</t>
  </si>
  <si>
    <t>21 anos, 2 meses, 5 dias</t>
  </si>
  <si>
    <t>05886-140</t>
  </si>
  <si>
    <t>Rua da Moenda</t>
  </si>
  <si>
    <t>396996826</t>
  </si>
  <si>
    <t>(11) 96742-9555</t>
  </si>
  <si>
    <t>https://www.instagram.com/sabrinaasant1/</t>
  </si>
  <si>
    <t>LICENCIATURA EM ARTES CÊNICAS</t>
  </si>
  <si>
    <t>Olá, meu nome é Sabrina Santana de jesus. tenho 21 anos estudei grande parte da minha vida academica em escolas publicas e uma pequena parte em escola particular, comecei a estudar teatro na fabrica de cultura do capão redondo o que gerou um grande interesse na forma de propagar a arte e fazer ela chegar em diferentes areas e pessoas idepedente da renda</t>
  </si>
  <si>
    <t>Estudo atualmente na Universidade de São paulo e estou trabalhando em um projeto na Escola de Aplicação da Faculdade de Educação da Universidade  de São Paulo (EAFEUSP) que visa formação de professores de Artes Cênicas e a  pesquisa em mediação teatral através de um trabalho colaborativo de cunho teórico-prático na condução de  processos de criação e aprendizagem na Escola de Aplicação da Faculdade de Educação da Universidade  de São Paulo (EAFEUSP)</t>
  </si>
  <si>
    <t>Tenho expectativa de conseguir mostrar a arte para diferentes realidades sociais e ser uma arte presente onde conseguimos elaborar pessoas com opinião critica, que fuja dos parametros de gosto e desgoto e que justifique a opinião. a arte que nos faz nos expressar de forma propria e autentica. tenho muita vontade de atuar na área da licenciatura  fiquei muito interessada nesse projeto por que conheço pessoas que participam desse projeto e smepre me falam muito bem sobre a forma que eles apredem com esse projeto.</t>
  </si>
  <si>
    <t>439.318.968-03</t>
  </si>
  <si>
    <t>Gustavo Tigre Da Silvsa</t>
  </si>
  <si>
    <t>GUSTAVO TIGRE DA SILVSA</t>
  </si>
  <si>
    <t>gustigreh@gmail.com</t>
  </si>
  <si>
    <t>https://yz2spukd8h-jbrk7pf7uvw.s3.amazonaws.com/2024/05/nTcstgBGIagaYOyRQb3ta7QrYHe7w%2BNWRRiGicRKc0Y%3D.jpg</t>
  </si>
  <si>
    <t>28 anos, 11 meses, 30 dias</t>
  </si>
  <si>
    <t>CURSANDO ARTES VISUAIS</t>
  </si>
  <si>
    <t>Jardim Roschel</t>
  </si>
  <si>
    <t>04883-290</t>
  </si>
  <si>
    <t>Rua Euzébio Coghi</t>
  </si>
  <si>
    <t>940</t>
  </si>
  <si>
    <t>487431479</t>
  </si>
  <si>
    <t>(11) 97432-1515</t>
  </si>
  <si>
    <t>https://www.instagram.com/lagrimasnachuva/</t>
  </si>
  <si>
    <t>LICENCIATURA ARTES VISUAIS, BACHARELADO EM AUDIOVISUAL</t>
  </si>
  <si>
    <t>https://drive.google.com/file/d/1Cyw_nFe5b8fM2lU5ninmTVhyeh-4Juo_/view?usp=sharing</t>
  </si>
  <si>
    <t>427.255.328-33</t>
  </si>
  <si>
    <t>RICHARD MAXUWEL DOS SANTOS GERALDO</t>
  </si>
  <si>
    <t>Richard Maxuwel Dos Santos Geraldo</t>
  </si>
  <si>
    <t>richard.maxx25@gmail.com</t>
  </si>
  <si>
    <t>https://yz2spukd8h-jbrk7pf7uvw.s3.amazonaws.com/2024/04/xvN7hc%2BLEkYK2w3jBAGPTMb9v1bpaOAiNjzPFXioYu0%3D.jpeg</t>
  </si>
  <si>
    <t>29 anos, 9 meses, 21 dias</t>
  </si>
  <si>
    <t>CURSANDO  FOTOGRAFIA</t>
  </si>
  <si>
    <t>03712-090</t>
  </si>
  <si>
    <t>casa 3</t>
  </si>
  <si>
    <t>Travessa Francisco Alto</t>
  </si>
  <si>
    <t>370397277</t>
  </si>
  <si>
    <t>(11) 96222-5226</t>
  </si>
  <si>
    <t>RICHARD.MAXX25@GMAIL.COM</t>
  </si>
  <si>
    <t>GASTRONOMIA</t>
  </si>
  <si>
    <t>oi sou o Richard, tenho 29 anos sou de SP capital, nasci e cresci numa comunidade onde a cultura sempre esteve presente e viver da cultura hoje em dia é muito gratificante, minha família me ensinou muito da cultura nordestina por parte de mãe, e da cultura Black por parte de pai, eu tenho muito orgulho em ter paixão pela cultura tanto de rua quanto a regional</t>
  </si>
  <si>
    <t>estou me envolvendo muito na área para poder me aprimorar mais na cultura, eu frequento centros culturais onde, gosto de fotografar, dançar, ir ao cinema, museus e estou fazendo um curso de fotografia na Rede daora onde eu aprendo mais sobre a arte e tbm da fotografia em si, minha paixão sempre foi a fotografia e a dança, e quero levar isso pelo resto da minha vida</t>
  </si>
  <si>
    <t>eu vou me dedicar bastante pra conseguir aquilo que eu almejo, o PJMC apareceu para mim numa hora boa, assim posso focar nas minhas conquistas pessoais eu iria amar ser um jovem monitor cultural, isso vai me elevar ao nível máximo  de aprendizado, como eu não consigo um emprego em outras áreas, acho que essa pode ser a minha oportunidade de mostrar a minha capacidade no que eu realmente gosto de fazer, e desde já agradeço pela  oportunidade.</t>
  </si>
  <si>
    <t>448.407.318-88</t>
  </si>
  <si>
    <t>Sabrina Correia De Mello</t>
  </si>
  <si>
    <t>mello.bina432@gmail.com</t>
  </si>
  <si>
    <t>https://yz2spukd8h-jbrk7pf7uvw.s3.amazonaws.com/2024/05/ub%2B9DMEyCYT3%2BPNsYv4liJpc%2Bq13l6V8TBw9m2TXlVw%3D.jpg</t>
  </si>
  <si>
    <t>26 anos, 4 meses, 27 dias</t>
  </si>
  <si>
    <t>08220-000</t>
  </si>
  <si>
    <t>APTO 21</t>
  </si>
  <si>
    <t>Rua Surucuás</t>
  </si>
  <si>
    <t>504324019</t>
  </si>
  <si>
    <t>(11) 95426-5445</t>
  </si>
  <si>
    <t>SABRINAMELLO@UNINOVE.EDU.BR</t>
  </si>
  <si>
    <t>https://www.instagram.com/sabrinacorrello</t>
  </si>
  <si>
    <t>BIOMEDICINA</t>
  </si>
  <si>
    <t>Sou formada em Tecnico em Administracão e atualmente estou cursando graduação em Biomedicina. Ao longo da minha trajetória profissional, tive a oportunidade de trabalhar em uma rede de farmácia, onde desenvolvi habilidades    valiosas em atendimento ao público. Esta experiência me permitiu aprimorar minha capacidade de comunicação e empatia, essenciais para entender e atender às necessidades dos clientes de forma eficaz. Além disso, trabalhei em telemarketing e como auxiliar de vendas, o que me proporcionou uma visão ampla sobre diferentes formas de interação com o cliente e técnicas de vendas.</t>
  </si>
  <si>
    <t>Estou em um processo de auto conhecimento e fortalecimento profisssional, acredito firmemente que o sucesso em qualquer função que envolva o atendimento ao público depende de uma abordagem humanizada e genuína. Pessoas precisam lidar com pessoas de verdade, que realmente gostem de se comunicar e estejam dispostas a ouvir e ajudar. Esse é um princípio que valorizo e pratico em todas as minhas interações.</t>
  </si>
  <si>
    <t>Pretendo ir aonde acredito que a missão e valores da empresa alinham-se perfeitamente com os meus. Estou entusiasmada com a perspectiva de contribuir para o crescimento e sucesso do local que eu tenha oportunidade decolaborar, trazendo minha paixão por comunicação e meu compromisso com um atendimento de excelência, firmando minhas experiencias e trazendo minha estabilidade financeira.</t>
  </si>
  <si>
    <t>464.435.358-20</t>
  </si>
  <si>
    <t>Ana Clara Borsetto Pereira</t>
  </si>
  <si>
    <t>ana.borsetto@unifesp.br</t>
  </si>
  <si>
    <t>https://yz2spukd8h-jbrk7pf7uvw.s3.amazonaws.com/2024/05/mL0eI2ZsAgAGoUCv9r77FC9t7vRSQu8UUkU8/tl2%2BuQ%3D.jpeg</t>
  </si>
  <si>
    <t>23 anos, 1 meses, 22 dias</t>
  </si>
  <si>
    <t>Vila Curuçá</t>
  </si>
  <si>
    <t>08030-410</t>
  </si>
  <si>
    <t>Apto 36 Torre 1</t>
  </si>
  <si>
    <t>Rua Garopá</t>
  </si>
  <si>
    <t>501843450</t>
  </si>
  <si>
    <t>(11) 96605-9109</t>
  </si>
  <si>
    <t>https://www.instagram.com/clara_borsetto/</t>
  </si>
  <si>
    <t>Nasci e fui criada na Zona Leste a minha vida toda. Até os 13 anos, morei em Itaquera, e frequentava o programa Escola da Família e aprendi as noções de coletividade e periferia. Fui criada por uma mãe solo e, desde pequena, saía para o mundo para aprender a viver e sobreviver, tal como ela, entre os meninos e homens. Dos 13 aos 23 (atualmente), morei em São Miguel, no bairro da Vila Curuçá. Neste, amadureci frequentando a biblioteca Vicente Paulo Guimarães. Aos 14 anos, comecei a trabalhar; inicialmente, como empacotadora, num mercado; depois disso, no Sesc Itaquera, que foi a experiência de maior importância da minha adolescência, pelo acesso à cultura ofertada no centro e afins.</t>
  </si>
  <si>
    <t>Atualmente, sou graduanda em Filosofia pela Universidade Federal de São Paulo; também, lá, sou pesquisadora de um projeto que envolve Simone de Beauvoir e a poesia slam. Por essa razão, acompanho a cena do hip-hop, do slam e da poesia produzida especialmente por mulheres aqui em SP. Procuro um emprego que me permita conciliar as minhas pretensões enquanto pesquisadora com as experiências culturais que nutrem este meu estudo e meu envolvimento com a cidade e meu bairro, além de adquirir mais um auxílio financeiro que a bolsa da pesquisa não supre para sustentar uma casa.</t>
  </si>
  <si>
    <t>Pretendo continuar na pesquisa até o doutorado, pelo menos. Por outro lado, a minha formação na Unifesp e a filosofia que pratico precisa necessariamente estar acompanhada das vivências na cultura, na literatura, nos museus e nos espaços de arte que as mulheres ocupam para ter voz. Por esta razão, sempre vou procurar estar próxima destas atividades e práticas para a produção de uma pesquisa próxima da vida concreta das mulheres e atenta às minhas origens.</t>
  </si>
  <si>
    <t>487.706.178-99</t>
  </si>
  <si>
    <t>Anna Beatriz Gonçalves Romão</t>
  </si>
  <si>
    <t>annaromao@hotmail.com</t>
  </si>
  <si>
    <t>https://yz2spukd8h-jbrk7pf7uvw.s3.amazonaws.com/2024/06/EnqO01/VV5DNuWqRpH4H0FCmMIapbBFrFWSXaU8%2BGv0%3D.pdf</t>
  </si>
  <si>
    <t>21 anos, 1 meses, 1 dias</t>
  </si>
  <si>
    <t>Jardim Noemia</t>
  </si>
  <si>
    <t>08180-100</t>
  </si>
  <si>
    <t>CASA B</t>
  </si>
  <si>
    <t>Rua Cachoeira Itaguassava</t>
  </si>
  <si>
    <t>398629079</t>
  </si>
  <si>
    <t>(11) 98440-9826</t>
  </si>
  <si>
    <t>hospedagem</t>
  </si>
  <si>
    <t>]Olá! Meu nome é Anna Beatriz, mas prefiro ser chamada de Bia. Tive uma infância legal, fui criada brincando na rua e jogando futebol. Sempre fui uma criança inteligente e comunicativa e por isso, gostava de ler os livros da sala de leitura da escola e contar a história para o meu pai. Aliás, isso é algo que faço até hoje. Desde essa época, gosto de escrever poesias.</t>
  </si>
  <si>
    <t>No ensino médio, me formei como técnica em Hospedagem, que abrange as áreas do Turismo, Hotelaria, Recreação, etc. Por isso, trabalhei em hotéis e como recreadora. Agora, que estou cursando História, dei aulas numa escola particular, estagiei no Museu Catavento e estou estagiando numa escola da Prefeitura. Estou no 4° semestre do meu curso e acabei de escrever um artigo. Ademais, sou fundadora de um coletivo antirracista e ainda gosto de escrever poesias.</t>
  </si>
  <si>
    <t>Para o futuro, penso em seguir na área da educação, que é a que mais gostei dentre as que pude experienciar. Pretendo trabalhar em museus e espaços culturais até que eu consiga passar num concordo para professora da Prefeitura. No campo acadêmico, pretendo fazer mestrado e doutorado na área de História Social e negritude. Se as coisas derem muito certo, eu gostaria de publicar um livro</t>
  </si>
  <si>
    <t>538.641.758-44</t>
  </si>
  <si>
    <t>Ivy Sophia Gomes Amorim</t>
  </si>
  <si>
    <t>contatodiosaivy@gmail.com</t>
  </si>
  <si>
    <t>https://yz2spukd8h-jbrk7pf7uvw.s3.amazonaws.com/2024/06/aeBAFareheQlWv%2BOxUq5bv4nQUXQvkH/wfL1gBuSQcw%3D.jpeg</t>
  </si>
  <si>
    <t>24 anos, 10 meses, 0 dias</t>
  </si>
  <si>
    <t>CURSANDO TECNICO EM AUDIO E   VISUAL</t>
  </si>
  <si>
    <t>08475-170</t>
  </si>
  <si>
    <t>Rua Moisés de Corena</t>
  </si>
  <si>
    <t>7964174</t>
  </si>
  <si>
    <t>(53) 98130-5862</t>
  </si>
  <si>
    <t>CONTATODIOSAIVY@GMAIL.COM</t>
  </si>
  <si>
    <t>https://www.instagram.com/diosaivy/</t>
  </si>
  <si>
    <t>https://drive.google.com/file/d/1jQUjDDqzaPyWozLWgy1VBfqE1G68xxqG/view?usp=sharing</t>
  </si>
  <si>
    <t>063.396.844-75</t>
  </si>
  <si>
    <t>MARIANA ISABEL VIEIRA DA SILVA</t>
  </si>
  <si>
    <t>Mariana Isabel Vieira Da Silva Lyra</t>
  </si>
  <si>
    <t>mariii1701@hotmail.com</t>
  </si>
  <si>
    <t>https://yz2spukd8h-jbrk7pf7uvw.s3.amazonaws.com/2024/06/AaNlQULo%2B3GL1KL3/Lk4SvavtdGIOnpxxxpicN5IPKg%3D.png</t>
  </si>
  <si>
    <t>23 anos, 5 meses, 1 dias</t>
  </si>
  <si>
    <t>08142-189</t>
  </si>
  <si>
    <t>Bloco F Apartamento 11</t>
  </si>
  <si>
    <t>Rua Linária</t>
  </si>
  <si>
    <t>505181666</t>
  </si>
  <si>
    <t>(11) 96421-8174</t>
  </si>
  <si>
    <t>CONTATOMARIANAISABEL@GMAIL.COM</t>
  </si>
  <si>
    <t>Vim do extremo leste paulistano Cidade Tiradentes, terra onde a arte e a cultura custam a chegar, politicamente falando. A zona leste é um pilar cultural na cidade de São Paulo, as produções artísticas só não são valoradas e devidamente articuladas para que haja visibilidade. Sou formada em Produção cultural e Agência cultural, além de ter uma trajetória longa no teatro , no circo e na dança. Através desses pilares me movimentei para subverter a lógica necropolitica imposta às periferias, e poder existir resistindo com arte as opressões e dificuldades das margens.</t>
  </si>
  <si>
    <t>Estou me movimentando através da arte, criando caminhos para minha comunidade, para que possamos através da acessibilidade artística, vivenciar novos possíveis para a existência marginalizada. Realizo trabalhos de articulação artística em toda Zona Leste de São Paulo, para que as pessoas frequentem os espaços culturais, contribuindo com as políticas públicas culturais da região e podendo experimentar-se em seus corpos um novo prisma de mundo extra cotidiano. Como em um ditado Yorubá, é necessário matar o pássaro hoje com uma pedra atirada ontem, ou seja, criar no presente através do passado para possibilitar novas maneira de enxergar o futuro.</t>
  </si>
  <si>
    <t>Vou para todos os lugares que a arte me proporcionar estar. Com a missão de acessibilizar as movimentações artísticas em todos os espaços da cidade de São Paulo, quero aprender como possibilitar um fazer equitativo de agência cultural, construindo verdadeiras pontes entre artistas, comunidades e territórios públicos. Para um futuro digno o trabalho precisa ser no agora.</t>
  </si>
  <si>
    <t>484.055.968-60</t>
  </si>
  <si>
    <t>Laís Estela Fontana</t>
  </si>
  <si>
    <t>laisestela.contato@gmail.com</t>
  </si>
  <si>
    <t>https://yz2spukd8h-jbrk7pf7uvw.s3.amazonaws.com/2024/04/58SongaKbAXJ9bvzrprNRsng03bTiL4i2VFKMsMcOAE%3D.jpg</t>
  </si>
  <si>
    <t>21 anos, 2 meses, 4 dias</t>
  </si>
  <si>
    <t>Jardim Wanda</t>
  </si>
  <si>
    <t>05864-030</t>
  </si>
  <si>
    <t>Apto 211</t>
  </si>
  <si>
    <t>Rua Cláudio Milano</t>
  </si>
  <si>
    <t>501</t>
  </si>
  <si>
    <t>53.413.491-9</t>
  </si>
  <si>
    <t>(11) 98897-7714</t>
  </si>
  <si>
    <t>Me chamo Laís, atualmente estou me formando em Artes Visuais, desde sempre tive grande interesse em expressões artísticas, principalmente expressões como pintura e desenho, visitava museus e exposições por influência familiar e acabei me envolvendo mais dentro dessa área artística. Por ter sempre mostrado interesse, isso também passou a ser interesse pela própria cultura e o que São Paulo poderia me oferecer em relação a ela, desde centros a casas culturais, e assim cresceu minha curiosidade sobre o funcionamento e o mundo dentro da cultura, como visitante sinto que minha conexão sempre terá pelo menos um grau superficial, e gostaria de poder sempre estar o mais envolvida possível na cultura</t>
  </si>
  <si>
    <t>Como uma moradora de São Paulo e estudante de Artes Visuais, por mais que eu sempre tenha esse contato com a cultura do local eu sinto que nunca o suficiente, queria poder dizer que estou mais adentro e conheço muitos locais culturais e tudo que São Paulo tem a oferecer porem São Paulo é muito grande, procuro ter essa conexão em locais perto de mim, ou em locais que já conheço, e até mesmo com pessoas e suas histórias, assim esperando manter a conexão com o território onde moro.</t>
  </si>
  <si>
    <t>Dentro do programa do Jovem Monitor Cultural vejo essa oportunidade para desenvolvimento dentro dessa áreas, seria uma abertura para a cultura e seus bastidores, algo que poucos valorizam, entendo que tenho muito a aprender e compreender sobre arte, expressões artísticas e até a própria cultura, mas isso não me desmotiva, sempre tive fome pelo conhecimento principalmente pela cultura, e vejo que esse programa me traria oportunidades onde eu poderia desenvolver minhas competências já existentes de forma contínua, e também passar a desenvolver novas competências.</t>
  </si>
  <si>
    <t>526.249.158-85</t>
  </si>
  <si>
    <t>Guilherme Alexandre Rodrigues Da Silva</t>
  </si>
  <si>
    <t>tiogui12345@gmail.com</t>
  </si>
  <si>
    <t>https://yz2spukd8h-jbrk7pf7uvw.s3.amazonaws.com/2024/05/DaJ41CoeIfCjOViub0v4jAfD/Qy83ZU2/GDXcjlOjA0%3D.jpg</t>
  </si>
  <si>
    <t>19 anos, 6 meses, 26 dias</t>
  </si>
  <si>
    <t>cursando analise de desenvolvimento</t>
  </si>
  <si>
    <t>08470-710</t>
  </si>
  <si>
    <t>Rua Antônio Lucas 133 ao 53a</t>
  </si>
  <si>
    <t>Rua Antônio Lucas</t>
  </si>
  <si>
    <t>11975003936</t>
  </si>
  <si>
    <t>394582755</t>
  </si>
  <si>
    <t>(11) 97500-3936</t>
  </si>
  <si>
    <t>https://www.instagram.com/guizinxz04?igsh=cXIwaDlxaXlnc3Zh</t>
  </si>
  <si>
    <t>Informatica e inglês</t>
  </si>
  <si>
    <t>Me chamo Guilherme, nasci e cresci em periferia, desde de cedo aprendi a respeitar. Nasci em São Paulo no bairro de Itaquera, minha origem sempre foi o simples, mas nunca me faltou nada, por isso quero poder fazer diferente para minha família, como ? Simples! Estudando, aprendendo, executando. De onde eu vim sei que esforço vale muito apena para conseguir o que deseja</t>
  </si>
  <si>
    <t>Atualmente moro no bairro Cidade Tiradentes na zona leste de São Paulo, um pouco longe de quase tudo, mas para quem quer isso não tem nada haver, estou buscando o primeiro emprego para entrar no mercado de trabalho para assim ganhar experiência e etc, com isso darei o primeiro passo para objetivos melhores na minha vida, estou buscando áreas onde provavelmente posso me dar bem</t>
  </si>
  <si>
    <t>Não gosto de colocar limites em minha mente, então, não sei certamente onde quero ou onde vou chegar, vai depender de mim do quanto vou me esforçar e melhorar a cada dia, mas já tenho em mente que posso chegar longe e conseguir melhores objetivos possíveis na minha vida, com ajuda de vcs também posso ir longe por que posso conseguir minha primeira oportunidade</t>
  </si>
  <si>
    <t>510.264.978-76</t>
  </si>
  <si>
    <t>Helena Gundim Muller</t>
  </si>
  <si>
    <t>helenagmuller@gmail.com</t>
  </si>
  <si>
    <t>https://yz2spukd8h-jbrk7pf7uvw.s3.amazonaws.com/2024/06/XVoF%2BBsrJ1UK0fhCLQk324Tkl6VlXG9n6rBq%2BY92%2BYk%3D.jpg</t>
  </si>
  <si>
    <t>29 anos, 4 meses, 10 dias</t>
  </si>
  <si>
    <t>Barra Funda</t>
  </si>
  <si>
    <t>01151-000</t>
  </si>
  <si>
    <t>BARRA FUNDA</t>
  </si>
  <si>
    <t>Rua Brigadeiro Galvão</t>
  </si>
  <si>
    <t>1020</t>
  </si>
  <si>
    <t>381619928</t>
  </si>
  <si>
    <t>(11) 93351-6878</t>
  </si>
  <si>
    <t>11-933516878</t>
  </si>
  <si>
    <t>tec - producao cultural</t>
  </si>
  <si>
    <t>Prezados,   Sou Helena, formada em técnico Produção Cultural pelo Senac e atualmente instrutora de Yoga formada pela Humaniversidade.   Tenho experiência diversa na área de projetos culturais tais como assistente pessoal da renomada artista plástica Amelia Toledo em 2013, assistência na execução de projetos/eventos culturais como a SP Arte 2015, bem como, administração de catálogos/arquivos relacionados à obras de arte da Bienal São Paulo 2016.  Sou proeficiente em diversos aspectos.</t>
  </si>
  <si>
    <t>Prezados,   Sou Helena, formada em técnico Produção Cultural pelo Senac e atualmente instrutora de Yoga formada pela Humaniversidade.   Tenho experiência diversa na área de projetos culturais tais como assistente pessoal da renomada artista plástica Amelia Toledo em 2013, assistência na execução de projetos/eventos culturais como a SP Arte 2015, bem como, administração de catálogos/arquivos relacionados à obras de arte da Bienal São Paulo 2016.</t>
  </si>
  <si>
    <t>Prezados,   Sou Helena, formada em técnico Produção Cultural pelo Senac e atualmente instrutora de Yoga formada pela Humaniversidade.   Tenho experiência diversa na área de projetos culturais tais como assistente pessoal da renomada artista plástica Amelia Toledo em 2013, assistência na execução de projetos/eventos culturais como a SP Arte 2015, bem como, administração de catálogos/arquivos relacionados à obras de arte da Bienal São Paulo 2016.  Tenho especial interesse em projetos na bilbioteca e gosto de trabalhar com atendimento ao público.  Procuro dar continuidade ao meu aprendizado e ficaria feliz em participar do programa Jovem Monitor Cultural.</t>
  </si>
  <si>
    <t>418.019.348-51</t>
  </si>
  <si>
    <t>Letícia Alves da Silva</t>
  </si>
  <si>
    <t>Leticia Alves Da Silva</t>
  </si>
  <si>
    <t>leticiacativante@outlook.com</t>
  </si>
  <si>
    <t>https://yz2spukd8h-jbrk7pf7uvw.s3.amazonaws.com/2024/05/TY1QlEDOnEKc8KNkluenrnSGg1HYQWF4EUOz0eteQnA%3D.png</t>
  </si>
  <si>
    <t>26 anos, 9 meses, 3 dias</t>
  </si>
  <si>
    <t xml:space="preserve">Fora do trabalho em grupo demonstrou interesse e proatividade. Não foi bem em grupo, mas pode ser boa em outras situações. </t>
  </si>
  <si>
    <t>607778969</t>
  </si>
  <si>
    <t>(11) 98198-5380</t>
  </si>
  <si>
    <t>LETICIAALVES.2024@OUTLOOK.COM</t>
  </si>
  <si>
    <t>Originária da periferia de São Paulo, encontrei minha paixão nas ruas pulsantes e na riqueza de suas culturas e vivências. Me encanto em celebrar a arte e observar o mundo com um olhar empático e poético, sempre atraída pela diversidade e pelo que foge ao comum. Identifico-me profundamente com tudo que é diferente, acolhendo cada experiência como gostaria de ser acolhida.</t>
  </si>
  <si>
    <t>No momento, estou imersa no curso de Pedagogia, uma jornada que me conecta profundamente com a minha criança interior. Sinto que assumir esse papel é mais do que uma simples escolha profissional; é uma missão de resgate ancestral. Desejo ser a pedagoga que eu mesma gostaria de ter encontrado durante minhas próprias jornadas de aprendizado. Sou uma amalgama de todas as figuras tutoriais que a vida colocou em meu caminho.   Estou ansiosa por experiências no campo da pedagogia, pois acredito que cada oportunidade é valiosa e enriquecedora. Estou pronta para absorver tudo o que essa jornada tem a oferecer e contribuir de forma significativa.</t>
  </si>
  <si>
    <t>Estou caminhando em direção ao meu sonho e a realização de contribuir positivamente para a construção de um mundo melhor, mais empático, participativo e inclusivo. Tenho fé na educação como uma força transformadora. Minha paixão pela história é como uma raiz que me sustenta, inspirando-me a resistir diante das adversidades. Estou comprometida em avançar, defendendo minhas convicções, uma lição de cada vez.</t>
  </si>
  <si>
    <t>461.813.208-65</t>
  </si>
  <si>
    <t>Vinicius Gomes Silva</t>
  </si>
  <si>
    <t>gomesvinicius9@gmail.com</t>
  </si>
  <si>
    <t>https://yz2spukd8h-jbrk7pf7uvw.s3.amazonaws.com/2024/04/2ojzfvVhcwAdbb6F2BTcc8CBZwqDEGnn/YmZVrcr/YE%3D.jpg</t>
  </si>
  <si>
    <t>23 anos, 11 meses, 16 dias</t>
  </si>
  <si>
    <t>Parque Doroteia</t>
  </si>
  <si>
    <t>04474-190</t>
  </si>
  <si>
    <t>Rua Antônio Pires dos Santos</t>
  </si>
  <si>
    <t>538510535</t>
  </si>
  <si>
    <t>(11) 93944-0700</t>
  </si>
  <si>
    <t>https://www.instagram.com/viin.gomez/</t>
  </si>
  <si>
    <t>Sou da região da pedreira morando na comunidade do parque doroteia desde meus 6 anos estou inserido na cultura, como moro proximo ao ceu alvarenga sempre participei dos projetos culturais minha familia sempre opitou em me colocar em projetos culturais para eu estar o maximo longe das ruas, no ceu fiz parte dos projetos da cultura como teatro, dança, musica e artes visual e foi onde me encontrei com 11 anos a escola começou os projetos de motitor e como a escola tinha uma sala de leitura cheia de livros entrei para fazer parte e ali me apaixonei pela literatura em poder inserir crianças na literatura de uma forma divertida e usando também o teatro como ferramenta.</t>
  </si>
  <si>
    <t>No momento estou cursando licenciatura em teatro, pois quero muito poder levar para as salas de aula uma forma divertida de conhecerem nossa cultura tenho isso como um grande objetivo de vida e faço parte da ong cia atelie das artes onde trabalho dando oficina de teatro para criaças e adolecentes onde poço trazer muito conhecimento de uma forma divertida onde eles possam fazer na pratica, e faço parte do coletivo perambularte onde estamos com a peça Pinoquio na catinga encantada com direção do Cecéu Trajano onde estamos trazendo a cultura do nosso nordeste.</t>
  </si>
  <si>
    <t>Me vejo dando aula mas em espaços cultural onde eu possa receber um pubico diverso um publico que queira produzir arte me vejo como um grande provocador cultural pois temos que ser resistente com nossa cultura ter muita gana de não estacionar e sim procurar sempre conhecer mais e mais quero poder transitar por varias modalidades cultural para que com o avanço do planeta eu utilize cada mudança ao meu favor.</t>
  </si>
  <si>
    <t>237.391.818-85</t>
  </si>
  <si>
    <t>Giovana Chamas Villegas Carvalho</t>
  </si>
  <si>
    <t>giovanachamas03@gmail.com</t>
  </si>
  <si>
    <t>https://yz2spukd8h-jbrk7pf7uvw.s3.amazonaws.com/2024/06/iF%2BcSNtDQjx6wdXiyySPW2B9bx9%2BdpVZW1HM3LK0edc%3D.jpg</t>
  </si>
  <si>
    <t>21 anos, 5 meses, 11 dias</t>
  </si>
  <si>
    <t>Cursando Geografia</t>
  </si>
  <si>
    <t>Parque Boturussu</t>
  </si>
  <si>
    <t>03804-180</t>
  </si>
  <si>
    <t>Rua Doutor José Manoel de Freitas</t>
  </si>
  <si>
    <t>107</t>
  </si>
  <si>
    <t>540953295</t>
  </si>
  <si>
    <t>(11) 97167-8784</t>
  </si>
  <si>
    <t>Técnico Modelagem do Vestuário</t>
  </si>
  <si>
    <t>Os caminhos cruzados entre uma pequena cidade do interior paulista, a zona norte e a zona leste da capital deram fruto a uma jovem moradora de Itaquera. Desde muito cedo apaixonada por música, mas com poucas referências dentro de casa, construí meu repertório musical juntamente a minha identidade, o que fez eu me aproximar do hip-hop. A música e o movimento nortearam minha forma de enxergar o mundo, como via a moda, o esporte, a estética, território e, consequentemente, como eu me enxergo enquanto sujeito. Participei de pequenos projetos durante esse processo, um deles consistia no incentivo de mulheres à prática de esportes, o outro, a conscientização sobre reciclagem na Vila Curuçá.</t>
  </si>
  <si>
    <t>Atualmente, moro no Ermelino Matarazzo, e estudo Geografia na Unifesp Zona Leste (Itaquera). Estudar sobre o território que eu ocupo, sua história e memória, fez com que eu tivesse uma conexão maior com este espaço, assim, me interessei ainda mais pelo campo cultural e entendi, finalmente, que o meu lugar carrega muita criatividade, coletividade e potência. Tive a oportunidade de conhecer alguns coletivos como Love CT (que educa as crianças do Inácio Monteiro através do esporte skate) ou o CPDOC Guaianás (centro de pesquisa e documentação que resgata a história e memória de bairros da zona leste da cidade) e ver de perto a importância de uma construção coletiva para a comunidade.</t>
  </si>
  <si>
    <t>Fazer parte do programa de jovem monitor, para mim, é a oportunidade de adentrar no campo cultural e poder retornar tudo aquilo que a produção cultural, principalmente periférica, já me ofereceu, fortalecendo o território que me abrigou, me construiu e me acolheu. Em um dos versos de sua música "Bença”, Djonga canta “Irmão, você lembra de onde 'cê vem? E quando você chegar lá o que 'cê tem vai voltar pra de onde 'cê vem? Ou 'cê nem sabe pra onde vai?”. E assim como no verso, minhas raízes me guiam, entendê-las me fez não só dar importância a tudo aquilo que me cerca,  como também faz com que eu queira fortalecê-las e somar nessa caminhada.</t>
  </si>
  <si>
    <t>424.540.228-85</t>
  </si>
  <si>
    <t>GABRIEL NOGUEIRA SANTOS</t>
  </si>
  <si>
    <t>Gabriel Nogueira Santos</t>
  </si>
  <si>
    <t>577.***.***-50</t>
  </si>
  <si>
    <t>gabrielnogueira15749@gmail.com</t>
  </si>
  <si>
    <t>https://yz2spukd8h-jbrk7pf7uvw.s3.amazonaws.com/2024/05/KOfL%2BK73tNWDSdtomTB0FtKqXl/bUUS6Uf8pFRbsTmw%3D.jpeg</t>
  </si>
  <si>
    <t>32723439</t>
  </si>
  <si>
    <t>20 anos, 6 meses, 8 dias</t>
  </si>
  <si>
    <t>Cursando TI</t>
  </si>
  <si>
    <t>Valdemar paiva e almeida</t>
  </si>
  <si>
    <t>08042-360</t>
  </si>
  <si>
    <t>296</t>
  </si>
  <si>
    <t>539870444</t>
  </si>
  <si>
    <t>(11) 95199-2276</t>
  </si>
  <si>
    <t>Eu vim do extremo leste e desejo ser uma pessoa totalmente bem de vida, realizar sonhos, ajudar   minha família e continuar sendo forte, sou totalmente focado nas minhas escolhas e dou o máximo de mim em todas as situações necessárias, eu vim totalmente decidido sobre as minhas metas e desejo realizar todas e ser o melhor possível em tudo oque eu faço .</t>
  </si>
  <si>
    <t>Estou travado no tempo e preciso me libertar, preciso de um emprego que me ajude a continuar a trilhar o meu caminho nessa vida, estou estagnado e desejo ser mais pra frente doque os outros ao meu redor, sempre um passo a frente e sempre continuando a humildade com a que eu fui criado, estou querendo me tornar melhor a cada dia, sempre em constante evolução</t>
  </si>
  <si>
    <t>Para aonde eu vou? eu me pergunto isso todos os dias, aonde que eu vou parar, e se eu terei conseguido tudo oque eu desejo na vida, eu pretendo sempre ir além e ser o melhor em tudo, aonde eu vou acho que só o tempo pode dizer para mim, e claramente eu indo atrás dos meus objetivos poderei saber oque o futuro me reserva, e aonde eu vou parar e com certeza será o melhor</t>
  </si>
  <si>
    <t>577.091.688-50</t>
  </si>
  <si>
    <t>Leonardo Rodrigues Oliveira</t>
  </si>
  <si>
    <t>zleoo23x@gmail.com</t>
  </si>
  <si>
    <t>https://yz2spukd8h-jbrk7pf7uvw.s3.amazonaws.com/2024/04/HLTxUzTvXnOXaFpScUHzTRB/kk36YpnLdP24ujQlwb4%3D.jpeg</t>
  </si>
  <si>
    <t>20 anos, 11 meses, 11 dias</t>
  </si>
  <si>
    <t>Vila Santa Inês</t>
  </si>
  <si>
    <t>03812-035</t>
  </si>
  <si>
    <t>Rua São Camilo</t>
  </si>
  <si>
    <t>502859398</t>
  </si>
  <si>
    <t>(11) 95166-5839</t>
  </si>
  <si>
    <t>ZLEOO23X@GMAIL.COM</t>
  </si>
  <si>
    <t>https://www.linkedin.com/in/leonardo-rodrigues-oliveira-236700244/</t>
  </si>
  <si>
    <t>BIBLIOTECA RUBENS BORBA ALVES DE MORAES</t>
  </si>
  <si>
    <t>Meu nome é Leonardo Rodrigues Oliveira, tenho 20 anos e sou residente em Ermelino Matarazzo, localizado na zona Leste de São Paulo. Participo de um projeto voluntário com mais de 30 anos de existência, o Ursos Basquetebol e pratico o esporte desde quando eu tinha 12 anos. Já fui campeão municipal das olimpíadas estudantis e atualmente jogo no time adulto.</t>
  </si>
  <si>
    <t>No momento, trabalho na TEL Telecomunicações como auxiliar de escritório. Estou desenvolvendo minhas habilidades comunicativas, organizacionais e administrativas que tenho facilidade e interesse pela área. Não estou estudando curso superior pois ainda estou analisando bem qual ramo seguir porque além do âmbito administrativo tenho apresso pela área musical, medicina veterinária, programação, logística, marketing e um leve flerte com psicologia.</t>
  </si>
  <si>
    <t>Pretendo ter uma carreira solida nas áreas acima, quero ter minha casa e carro próprio, me imagino criando uma família, conhecendo diversos países do mundo, aprendendo novas línguas e culturas, quero compartilhar isso com outras pessoas e um ótimo caminho para isso seria como criador de conteúdo. Quero aprender a tocar guitarra ou bateria pois gosto muito de rock e metal, quero assistir um jogo da NBA que é um sonho para qualquer jogador de basquete e com certeza dar uma vida melhor para minha família, por fim e eventualmente morar em um país com poder de compra melhor que o Brasil.</t>
  </si>
  <si>
    <t>546.936.608-17</t>
  </si>
  <si>
    <t>Ellen Campos Jacinto</t>
  </si>
  <si>
    <t>ellencampos443@gmail.com</t>
  </si>
  <si>
    <t>https://yz2spukd8h-jbrk7pf7uvw.s3.amazonaws.com/2024/06/mO8K3Mpks4j0Z3VoY0gB3kU887Xv9mLL3XFwhAgKChs%3D.jpg</t>
  </si>
  <si>
    <t>01319-030</t>
  </si>
  <si>
    <t>Rua Japurá</t>
  </si>
  <si>
    <t>63214291-1</t>
  </si>
  <si>
    <t>(11) 91082-0681</t>
  </si>
  <si>
    <t>https://www.instagram.com/x_ellencampos?utm_source=qr&amp;igsh=bmlqYzBnOHgyaXZn</t>
  </si>
  <si>
    <t>Nascida e criada em caieiras-SP,sem saber muito qual meu propósito nesse mundo maluco,nunca me interessei para trabalhos comuns (sem tirar o valor deles),disposta a descobrir até onde posso chegar com minha paixão por hip hop e pela cultura. Quero descobrir o que a cidade de São Paulo tem para oferecer  para uma mera admiradora como eu que quer se descobrir e aproveitar antes de partir...</t>
  </si>
  <si>
    <t>Desde que me apaixonei pela arte de rua e todas suas variantes,eu venho buscado me encaixar em algum lugar,descobri a fotografia e desde então tento explorar o máximo meu olhar singular. Atualmente integrando o coletivo Deliricamente em caieiras,como fotógrafa já passei por diversos projetos,como: documentário,batalhas de rima,videoclipes,batalhas de break entre outros eventos por São Paulo.</t>
  </si>
  <si>
    <t>Ansiosa para descobrir qual meu futuro no hip hop e espero não deixar esse meu amor e sonho morrer,estou disposta a ir para qualquer lugar só para encontrar meu espaço e minha felicidade, espero levar meu coletivo comigo para todos os lugares que eu puder e devolver a esperança de quem acha que não se pode viver fazendo o que ama,e principalmente viver da cultura e do hip hop,é o que me dá sentido na minha vida.</t>
  </si>
  <si>
    <t>426.233.568-23</t>
  </si>
  <si>
    <t>AMANDA RODRIGUES FERREIRA</t>
  </si>
  <si>
    <t>Amanda Rodrigues Ferreira</t>
  </si>
  <si>
    <t>dinha.r.f@hotmail.com</t>
  </si>
  <si>
    <t>https://yz2spukd8h-jbrk7pf7uvw.s3.amazonaws.com/2024/06/BYB/PocssEQEGhfntYC1UVwYL3pxkU4PC/NID8qgvnk%3D.jpeg</t>
  </si>
  <si>
    <t>22 anos, 2 meses, 23 dias</t>
  </si>
  <si>
    <t>Vila Dom Pedro II</t>
  </si>
  <si>
    <t>02243-000</t>
  </si>
  <si>
    <t>Rua Capitão Francisco Lipi</t>
  </si>
  <si>
    <t>232</t>
  </si>
  <si>
    <t>52.412.044-4</t>
  </si>
  <si>
    <t>(11) 97176-2691</t>
  </si>
  <si>
    <t>https://www.instagram.com/mandsrf_/</t>
  </si>
  <si>
    <t>dança</t>
  </si>
  <si>
    <t>Do segundo semestre de 2021 até o segundo semestre de 2022, fui aluna do curso de Técnico em Dança, da ETEC de Artes, no qual tive um primeiro contato com os elementos da Produção Cultural e Gestão de Projetos Culturais. Durante o ano de 2023, fui aprendiz do curso de Street Dance, da Fábrica de Cultura Parque Belém, e do Curso Formativo de Danças Urbanas, realizado no Centro de Referência da Dança. No momento, trabalho no call center do Hospital Leforte, localizado na Liberdade. Continuo meus estudos na área da dança e estou sempre a procura de eventos, projetos e lugares que me permitam conhecer as diferentes possibilidades de trabalho no meio da dança e da cultura.</t>
  </si>
  <si>
    <t>Em 2019, enquanto concluía o Ensino Médio, mudei-me do Bairro da Bela Vista para a região da Parada Inglesa e, foi, a partir dessa época, que comecei a explorar mais os lugares que ofereciam programações culturais: fábricas de cultura, centros culturais, escolas de dança, teatros, museus, unidades do Sesc. Do curso da ETEC de Artes, também surgiram muitos estímulos para que aprofundássemos nosso consumo de arte nesses espaços. Procurar e estar atento aos projetos e oportunidades que são disponibilizados para nós. Esse incentivo foi de extrema importância para todas as vivências que tive desde então.</t>
  </si>
  <si>
    <t>Interessei-me pelo Programa Jovem Monitor Cultural porque vi uma oportunidade de experienciar, ativamente, atividades e projetos culturais, ingressando nesse mercado de trabalho e conhecendo as diferentes maneiras de estar perto da dança e poder propagar essa arte. O curso me deu uma boa base teórica de mercado; porém, na prática, é difícil saber como começar e acredito que participar desse programa será um ótimo primeiro passo.</t>
  </si>
  <si>
    <t>515.087.488-45</t>
  </si>
  <si>
    <t>Sara Cristina Elias Porfirio</t>
  </si>
  <si>
    <t>sarasin111213@gmail.com</t>
  </si>
  <si>
    <t>https://yz2spukd8h-jbrk7pf7uvw.s3.amazonaws.com/2024/04/tmXXASowSqnQQizhdF8mXDvvcnT7IfaRAlpPcwMCtQU%3D.jpeg</t>
  </si>
  <si>
    <t>18 anos, 3 meses, 10 dias</t>
  </si>
  <si>
    <t>Pode não ter performado tão bem por conta da idade (18 anos)</t>
  </si>
  <si>
    <t>Jardim Etelvina</t>
  </si>
  <si>
    <t>08430-540</t>
  </si>
  <si>
    <t>Rua João Gomes de Farias</t>
  </si>
  <si>
    <t>13</t>
  </si>
  <si>
    <t>546172623</t>
  </si>
  <si>
    <t>(11) 94518-7940</t>
  </si>
  <si>
    <t>SARASIN111213@GMAIL.COM</t>
  </si>
  <si>
    <t>EU SARA CRISTINA ELIAS PORFIRIO, RESIDENTE DA PERIFERIA LOCALIZADA NA ZONA LESTE DE SÃO PAULO, NO BAIRRO DO LAGEADO, SOU UMA JOVEM DE 18 ANOS VIVENDO E ACOMPANHANDO O MOVIMENTO DE MILITANCIA DE PESSOAS PRETAS E PERIFERICAS QUASE DESDE A BARRIGA DA MINHA MÃE.  CONFORME FUI CRESCENDO ME ENCONTREI NO ESPAÇO DA CULTURA, VENHO DE UMA REALIDADE MUITO DIVERSA, CRECI NO MEIO DA CULTURA, RESISTENCIA, MILITANCIA E POLITICA.</t>
  </si>
  <si>
    <t>BREVEMENTE VENHO ENCERRANDO UMA EXPERIENCIA DE 2 ANOS DE CONTRATO COMO ESTAGIARIA ENSINO MEDIO NA CAMARA MUNICIPAL DOS VEREDORES DO MUNICIPIO DE SÃO PAULO, DENTRO DO  GABINETE DO MANDATO COLETIVO QUILOMBO PERIFERICO, ATUANDO EM DIVERSAS AREAS, COMO COMUNICAÇÃO E MARKETING, RECURSOS HUMANOS, ADMINISTAÇÃO, RECEPCIONISTA, E FUNCÕES BASICAS DA AREA JURIDICA .</t>
  </si>
  <si>
    <t>AO ENCERRAR ESSE NOVO CICLO, PRETENDO ME ENVOLVER EM AREAS RELACIONADAS A CULTURA, TRABALHAR COM CRIANÇAS E ADOLECENTES DAS PERIFERIAS, ENTRETER EM EVENTOS CULTURAIS NOS BAIRROS PERIFERICOS DA ZONA LESTE DE SÃO PAULO, COM NOVAS IDEIAS,  DESENVOLVIMENTOS SOCIAIS E OFICINAS CULTURAIS, E FUTURAMENTE MUDAR VIDAS DESSAS CRIANÇAS DE BAIRROS PERIFERICOS.</t>
  </si>
  <si>
    <t>LESTE - 16</t>
  </si>
  <si>
    <t>431.786.638-27</t>
  </si>
  <si>
    <t>Andréia Bel Simo</t>
  </si>
  <si>
    <t>deiabsimo@gmail.com</t>
  </si>
  <si>
    <t>https://yz2spukd8h-jbrk7pf7uvw.s3.amazonaws.com/2024/04/sopYIlaO4wobwaruF/NuqNjoR9c5262YaornZPgzCwM%3D.jpg</t>
  </si>
  <si>
    <t>18 anos, 3 meses, 14 dias</t>
  </si>
  <si>
    <t>Vila Campo Grande</t>
  </si>
  <si>
    <t>04455-310</t>
  </si>
  <si>
    <t>apto 71A</t>
  </si>
  <si>
    <t>Rua Engenheiro Domício de L. Pacheco e Silva</t>
  </si>
  <si>
    <t>57205203-0</t>
  </si>
  <si>
    <t>(11) 99351-1563</t>
  </si>
  <si>
    <t>PROA</t>
  </si>
  <si>
    <t>https://drive.google.com/file/d/1foXp3EGPnUjWWbl0NsODoqLJtTUWjY9V/view?usp=drivesdk</t>
  </si>
  <si>
    <t>400.785.148-43</t>
  </si>
  <si>
    <t>Karoline Rodrigues Carvalho</t>
  </si>
  <si>
    <t>karolinerodrigues384@gmail.com</t>
  </si>
  <si>
    <t>https://yz2spukd8h-jbrk7pf7uvw.s3.amazonaws.com/2024/04/aUmyjrxj8hk/aLa%2B8xzsSnl2cuFPVAcVV/UJ11fpbNo%3D.jpeg</t>
  </si>
  <si>
    <t>22 anos, 2 meses, 17 dias</t>
  </si>
  <si>
    <t>Vila Natal</t>
  </si>
  <si>
    <t>04863-020</t>
  </si>
  <si>
    <t>Rua Uva Natal</t>
  </si>
  <si>
    <t>348</t>
  </si>
  <si>
    <t>623989864</t>
  </si>
  <si>
    <t>(11) 94687-2206</t>
  </si>
  <si>
    <t>LICENCIATURA EM HISTORIA</t>
  </si>
  <si>
    <t>Pondero que para falar de onde eu vim, necessito falar de quem veio antes de mim. Sou filha de dois migrantes do nordeste, que enxergaram em SP, não apenas uma forma de escapar da fome e da penosa vida do interior da Bahia, mas, a possibilidade de ter acesso as condições de vida melhor.     E foi no extremo sul de São Paulo, que a semente de minha existência foi plantada. Nascida e crescida no Grajaú. Frequentei as escolas e cursinho popular da região.  Ao entrar na Universidade, descobri um novo mundo. Ele era acadêmico, elitista, excludente e nada acolhedor. No desgastante trajeto entre minha casa até o campus, recordo de onde eu vim, não só da periferia, mas desse sonho dos meus pais.</t>
  </si>
  <si>
    <t>Atualmente, estou entre duas realidades, completamente diferentes e que parecem não se interligar. Tendo a experiência do mundo acadêmico, que envolvem pesquisas, monitorias, congressos, seminários, responsabilidades universitárias, etc. E, ao mesmo tempo, eu estou no meu bairro, que tem vizinhos que me viram nascer e crescer, amigos que já se foram e colegas que fazem novos seres.</t>
  </si>
  <si>
    <t>Eu quero ir para locais que me viabilizem novas experiências e aprofundar minha bagagem cultural. Conhecer novas áreas, projetos e pessoas diferentes. Explorando as possibilidades e adquirindo o máximo de conhecimento possível. Podendo fazer uso da minha graduação, das minhas sabedorias e propagar as minhas vivências, ensinando e mostrando um mundo que consegui ter contato e aprender sobre a realidades de outras pessoas.</t>
  </si>
  <si>
    <t>514.908.948-61</t>
  </si>
  <si>
    <t>KARINA DOS SANTOS DA SILVA</t>
  </si>
  <si>
    <t>Karina Dos Santos Da Silva</t>
  </si>
  <si>
    <t>s.skarina1@gmail.com</t>
  </si>
  <si>
    <t>https://yz2spukd8h-jbrk7pf7uvw.s3.amazonaws.com/2024/06/qkGJpNGmc6rJnjNpXM0ddOvUFhnyQR68mN9nA0KaYr8%3D.jpeg</t>
  </si>
  <si>
    <t>28 anos, 5 meses, 8 dias</t>
  </si>
  <si>
    <t>EM  FORMAÇÃO PUB LICIDADE  E  PROPAGANDA</t>
  </si>
  <si>
    <t>Chácara Santa Etelvina</t>
  </si>
  <si>
    <t>08490-600</t>
  </si>
  <si>
    <t>Apto 22A</t>
  </si>
  <si>
    <t>Rua dos Têxteis</t>
  </si>
  <si>
    <t>2759</t>
  </si>
  <si>
    <t>38057875x</t>
  </si>
  <si>
    <t>(11) 94825-9161</t>
  </si>
  <si>
    <t>S.SKARINA1@GMAIL.COM</t>
  </si>
  <si>
    <t>PUBLICIDADE  E  PROPAGANDA</t>
  </si>
  <si>
    <t>Eu venho de uma trajetória onde a princípio não tive muito contato com a arte. Este contato aconteceu depois do ensino médio, onde eu estava me sentindo ''perdida'' sobre qual caminho seguir. Então surgiu a oportunidade de ingressar no teatro. Fiz por 1 ano o Projeto 1ªCena no Céu Inácio Monteiro. Onde posso dizer que foi o lugar que me encontrei. Depois tive a oportunidade de estudar direção de artes no Instituto Criar, onde desenvolvi ainda mais meu olhar para a cultura, sociedade e entretenimento. Um tempo depois cursei artes cênicas no Senac. Todas essas experiências me fizeram ser quem eu sou hoje e perceber a extrema importância da cultura na transformação social.</t>
  </si>
  <si>
    <t>Atualmente estou seguindo o fluxo em uma empresa convencional sem acesso a arte. No momento não encontro oportunidades de continuar ingressando nessa minha trajetória cultural como esta. Por mais que eu esteja ''afastada'' de projetos culturais eu tenho conhecimentos sobre esses espaços culturais e projetos então sempre que posso continuo frequentando e ocupando espaços culturais como... assisto espetáculo de circo na casa de cultura, vou á uma peça de teatro no Céu. Assisto Cinema no projeto Spcine, pois além de gostar muito sei que é muito importante para ter repertório.</t>
  </si>
  <si>
    <t>No futuro, pretendo continuar me desenvolvendo na área da cultura porque é o que eu amo fazer e quero participar de projetos que utilizem a cultura como desenvolvimento comunitário e transformação social. Pretendo contribuir para a criação de programas culturais que não apenas entretêm mas que também educam e capacitam as comunidades e que valorizem as diversas formas de expressão artística. Estou animada e disposta com a possibilidade de trazer e adquirir experiência e paixão para este projeto , ajudando a impulsionar iniciativas que tenham um impacto positivo e duradouro na sociedade.</t>
  </si>
  <si>
    <t>359.139.688-59</t>
  </si>
  <si>
    <t>Natalia Araujo Freitas</t>
  </si>
  <si>
    <t>comunicacao.natalia@outlook.com</t>
  </si>
  <si>
    <t>https://yz2spukd8h-jbrk7pf7uvw.s3.amazonaws.com/2024/04/sa0ufav0Co2lk5htoy1ocjTQddDwh0Q6tYOtc6%2BPYjM%3D.jpg</t>
  </si>
  <si>
    <t>23 anos, 4 meses, 25 dias</t>
  </si>
  <si>
    <t>PRECISA SER VERIFICADA PELA BANCA</t>
  </si>
  <si>
    <t>Jardim Itatiaia</t>
  </si>
  <si>
    <t>04843-300</t>
  </si>
  <si>
    <t>Rua Nitra</t>
  </si>
  <si>
    <t>381679354</t>
  </si>
  <si>
    <t>(11) 95391-0636</t>
  </si>
  <si>
    <t>Olá, sou a Natalia Freitas, uma jovem sonhadora de 23 anos, residente de São   Paulo/Grajaú. Sou estudante do último semestre de jornalismo, pela Universidade Paulista (UNIP), completamente apaixonada pela área e o universo da comunicação. Felizmente, já tive a oportunidade de trabalhar nesse setor, no Parque da Mônica, como jovem aprendiz, onde pude exercer minhas habilidades de escritas para o blog e redes sociais da empresa.</t>
  </si>
  <si>
    <t>Atualmente, estou realizando estágio não remunerado em um programa oferecido pela faculdade para os estudantes de jornalismo. Tenho como função, ser secretária da Agência, auxiliando nos atendimentos e organização das editorias. Além disso, estou criando um perfil no Instagram com foco em jornalismo independente, juntamente com uma colega de turma. Também tenho feito freelancers e continuo na busca constante por um novo trabalho.</t>
  </si>
  <si>
    <t>Anseio por conquistar uma recolocação no mercado de comunicação, onde eu possa exercer minhas habilidades e prestar um trabalho social que colabore para toda a sociedade. Acredito que no programa Jovem Monitor, eu realizaria essa minha grande meta, além de estar ligada ao meio cultural, pelo qual prezo desde sempre, pois sempre acompanhei e frequentei tais lugares. Para além das atividades profissionais, desejo continuar estudando e realizar minha pós graduação em marketing no próximo ano, assim como, também desejo muito ter a oportunidade de voltar a cursar inglês e outros cursos extra curriculares. Por fim, declaro aqui minha gratidão por essa oportunidade desde já!</t>
  </si>
  <si>
    <t>528.580.178-83</t>
  </si>
  <si>
    <t>João Vitor Ferreira De Macedo</t>
  </si>
  <si>
    <t>jv.macedo@unesp.br</t>
  </si>
  <si>
    <t>https://yz2spukd8h-jbrk7pf7uvw.s3.amazonaws.com/2024/05/FKFJs4UzL2PZ3xobHdwJKFviMkidbuPk0cByMkSmsIw%3D.jpg</t>
  </si>
  <si>
    <t>26 anos, 11 meses, 9 dias</t>
  </si>
  <si>
    <t>Bloco 03 Apartamento 301</t>
  </si>
  <si>
    <t>382906809</t>
  </si>
  <si>
    <t>(11) 93284-2922</t>
  </si>
  <si>
    <t>BACHARELADO E LICENCIATURA EM ARTES VISUAIS</t>
  </si>
  <si>
    <t>Meu nome é João Vitor, tenho 26 anos e resido no Capão Redondo, distrito da Zona Sul da capital. Desde os 06 de idade moro na região, e há mais de vinte anos circulo entre a periferia e o centro da cidade, onde estudei o meu ensino básico e onde permaneço a estudar através do ensino superior. Compreendo que responder a pergunta "De onde eu vim?" é também recuperar a biogeografia daquelas pessoas que vieram (imediatamente) antes de mim, tanto minha mãe quanto meu pai. Ambos são da Bahia, de regiões distintas do estado - Boquira e Tucano.</t>
  </si>
  <si>
    <t>Para mim, a resposta imediata à pergunta “Onde estou?” é o trânsito, isto é, o lugar entre um determinado ponto de partida e variados pontos de chegada. Este lugar portanto é o meio, os variados caminhos que me permitem o deslocamento e a movimentação. Atualmente, - agora buscando uma resposta mais concreta -,  estou no quinto semestre do curso em Artes Visuais, nas modalidades Bacharelado e Licenciatura, pela UNESP (Universidade Estadual Paulista "Júlio de Mesquita Filho"), onde, como bolsista, participei do Programa de Iniciação à Docência (PIBID) durante um ano e meio, e desde 2023, atuo como docente voluntário no cursinho popular Pré-Vestibular em Artes Visuais (Prévia).</t>
  </si>
  <si>
    <t>A princípio, minha resposta me leva aonde o meu interesse em continuar a aprender maneiras de estreitar as relações entre os lugares de produção de conhecimentos esteja, tanto a academia como os centros culturais, bibliotecas públicas e escolas de ensino básico . Acredito que o PJMC seja um espaço para fortalecer estas trocas, bem como um espaço fundamental para aprimorar as dinâmicas com o território e um vetor essencial de profissionalização das juventudes. Portanto, vou para os lugares onde tudo isto esteja à disposição.</t>
  </si>
  <si>
    <t>438.580.968-22</t>
  </si>
  <si>
    <t>Jaqueline Fernandes Da Silva</t>
  </si>
  <si>
    <t>jakef2002@gmail.com</t>
  </si>
  <si>
    <t>https://yz2spukd8h-jbrk7pf7uvw.s3.amazonaws.com/2024/06/GJVIEwvF0bR6qkHrM%2Br3o0oMkvwzD4uiBdVjG/Zf8UY%3D.jpeg</t>
  </si>
  <si>
    <t>Vila Morse</t>
  </si>
  <si>
    <t>05624-090</t>
  </si>
  <si>
    <t>Rua Pero Lobo Pinheiro</t>
  </si>
  <si>
    <t>287</t>
  </si>
  <si>
    <t>528463123</t>
  </si>
  <si>
    <t>(11) 99254-3209</t>
  </si>
  <si>
    <t>https://www.skoob.com.br/usuario/5798072-jaquelinefernandes</t>
  </si>
  <si>
    <t>RELACOES INTERNACIONAIS</t>
  </si>
  <si>
    <t>https://www.youtube.com/watch?v=pcY_yZ06NRA&amp;ab_channel=JaquelineFernandes</t>
  </si>
  <si>
    <t>452.414.388-23</t>
  </si>
  <si>
    <t>leticiafurlan99@gmail.com</t>
  </si>
  <si>
    <t>https://yz2spukd8h-jbrk7pf7uvw.s3.amazonaws.com/2024/06/QE9NYr%2BkC3GIIy1fDsVdOo4A20Q2x0ymx9WhFIxjs0Y%3D.jpeg</t>
  </si>
  <si>
    <t>23 anos, 0 meses, 5 dias</t>
  </si>
  <si>
    <t>Vila Butantã</t>
  </si>
  <si>
    <t>05360-150</t>
  </si>
  <si>
    <t>APTO. 11B BLOCO GUADALUPE</t>
  </si>
  <si>
    <t>Avenida São Remo</t>
  </si>
  <si>
    <t>463</t>
  </si>
  <si>
    <t>531388748</t>
  </si>
  <si>
    <t>(11) 93211-0640</t>
  </si>
  <si>
    <t>leticiatcc99@gmail.com</t>
  </si>
  <si>
    <t>www.linkedin.com/in/leticia-furlan</t>
  </si>
  <si>
    <t>CIENCIAS SOCIAIS</t>
  </si>
  <si>
    <t>Prezado(a) recrutador(a),    Nasci e fui criada na Vila Engenho Novo em Barueri/SP. Desde a pequena me interesso pelas Artes, acredito que seja porque passei muito tempo em Centros Culturais e Poliesportivos na minha cidade. Cresci como estudante de escola pública e realizei meu ensino médio técnico em design de interiores. Após o ensino médio, fiz um ano de cursinho popular e entrei em Ciências Sociais na USP com a intenção de atuar como Antropóloga. Em meu segundo ano de graduação, trabalhei como mediadora cultural no Museu de Arqueologia e Etnologia da USP.</t>
  </si>
  <si>
    <t>Atualmente, me mudei para a comunidade São Remo na Vila Butantã em SP. Estou no 4º ano da graduação com bacharel e licenciatura em andamento. Realizo uma pesquisa de Iniciação Científica a respeito do novo ativismo feminista no Brasil, ligada a um temático sobre Crises da Democracia no CEBRAP (Centro Brasileiro de Análise e Planejamento). Fui coautora da notícia "O 8M na Paulista: convergências superficiais, fragmentações profundas" publicada pelo Boletim Lua nova neste ano. Em paralelo a isso, a revista Aboio realizou a publicação de "Em todo lugar ou lugar nenhum", conto escrito por mim no início de 2024.</t>
  </si>
  <si>
    <t>Anseio por novas oportunidades que me permitam continuar crescendo profissionalmente e aplicando minhas habilidades obtidas no âmbito cultural e acadêmico/escolar, especialmente em áreas como museus, centros culturais e bibliotecas. Meu objetivo é participar ativamente em projetos inovadores que promovam a preservação e a acessibilidade do patrimônio cultural brasileiro. Desejo compor uma equipe dinâmica que compartilha os mesmos valores de acesso à todos e respeito à diversidade, na qual possamos trabalhar juntos para enriquecer a experiência cultural e educacional oferecida.    Atenciosamente,    Letícia Furlan Nunes</t>
  </si>
  <si>
    <t>516.288.328-00</t>
  </si>
  <si>
    <t>Wendy Lin Monteiro Soares</t>
  </si>
  <si>
    <t>wndlnx@gmail.com</t>
  </si>
  <si>
    <t>https://yz2spukd8h-jbrk7pf7uvw.s3.amazonaws.com/2024/05/nrxTjgRlmYiVsbGs8MJ5bkRlUcTt1U%2BLJxemxkQLuhY%3D.jpg</t>
  </si>
  <si>
    <t>25 anos, 5 meses, 5 dias</t>
  </si>
  <si>
    <t>Jardim Romano</t>
  </si>
  <si>
    <t>08190-180</t>
  </si>
  <si>
    <t>casa 03, fundos</t>
  </si>
  <si>
    <t>Rua Cezário de Barros</t>
  </si>
  <si>
    <t>545519391</t>
  </si>
  <si>
    <t>(11) 98605-7583</t>
  </si>
  <si>
    <t>WNDLNX@GMAIL.COM</t>
  </si>
  <si>
    <t>https://www.instagram.com/linz___________ | https://www.instagram.com/pytnga/</t>
  </si>
  <si>
    <t>GRADUAÇAO ARTES VISUAIS</t>
  </si>
  <si>
    <t>eu sou linz, tenho 25 anos, sou uma pessoa cabocla. cresci nas cidades de ananindeua no pará e general dutra em minas gerais, e ressaltar isso se faz importante porque são lugares muito especiais e únicos, que foram os locais onde eu pude não só conhecer coisas diferentes como também me expandir através do espaço. desde pequeno sempre fui muito criativo e curioso, sempre fascinado pela aprendizagem, assim como pela produção e pelas formas como tudo pode se transformar quando em conjunto com outras pessoas; a ideia de coletividade sempre me foi muito fácil de entender, crescer assistindo meus mais velhos trocando entre si sempre me foram momentos muito mágicos.</t>
  </si>
  <si>
    <t>trabalhar com o meio cultural/artístico para mim, foi quase natural, tenho me voluntariado nesses nichos, em ações culturais. auxiliar no desenvolver de projetos assim como conhecendo e trocando com outras pessoas do meio tem sido incrível! hoje eu tenho uma relação maior através da pintura, onde desenvolvo a pesquisa da memória partindo do corpo-território, numa auto-biogeografia. creio que minha ancestralidade e identidade se fazem muito presentes e me encanta o trabalho de artistas que fazem essa mesma trajetória, num grande projeto de re-existência.</t>
  </si>
  <si>
    <t>pretendo continuar nesse meio; seguir para uma licenciatura, aprender outras didáticas, conhecer outros meios; fazer do encontro com a memória como principal tecnologia capaz de fazer o resgate a conhecimentos ancestrais que são/estão presentes no nosso dia a dia, da valorização dessa relação para/com a comunidade. ser um facilitador artístico e não só abrir possibilidades de aprendizagem e reflexão, mas também encontrar meios para se fazer um solo fértil que haja a aproximação de forma aberta entre raízes.</t>
  </si>
  <si>
    <t>431.046.328-20</t>
  </si>
  <si>
    <t>Kevin Nascimento Santos De Almeida</t>
  </si>
  <si>
    <t>KEVIN</t>
  </si>
  <si>
    <t>Kevin</t>
  </si>
  <si>
    <t>kevinnsa9@gmail.com</t>
  </si>
  <si>
    <t>https://yz2spukd8h-jbrk7pf7uvw.s3.amazonaws.com/2024/06/d8drrCGbV1XJQnwlv9PcHfi1T/J1hE2hAlMflVdSDsA%3D.jpg</t>
  </si>
  <si>
    <t>27 anos, 3 meses, 25 dias</t>
  </si>
  <si>
    <t>02873-170</t>
  </si>
  <si>
    <t>Passagem Nina Grieg</t>
  </si>
  <si>
    <t>399778342</t>
  </si>
  <si>
    <t>(11) 94917-6326</t>
  </si>
  <si>
    <t>https://www.instagram.com/kavinvem/</t>
  </si>
  <si>
    <t>tec - processo fotográfica e audiovisual</t>
  </si>
  <si>
    <t>Nascido e criado na Zona Norte de São Paulo, mais precisamente no Jardim Peri Alto, terra fértil. Mas não me limitei a ficar atrás da ponte, sempre fui faminto de conhecer e explorar, assim conheci boa parte de SP, sempre estudei em escola publica mas fui atras de conhecimento logo cedo, então desde que pude vim me formando em alguns cursos técnicos até chegar no momento da minha graduação.</t>
  </si>
  <si>
    <t>Formado em Desenvolvimento de Sistemas mudei completamente o rumo que estava seguindo rs, atualmente estou finalizando meu tecnólogo em Produção de Audio e Video, meu segundo curso técnico logo após me formar em Processos Fotográficos pela ETEC, percebi que atuar com imagem estava muito mais perto do meu perfil doque programação, então atualmente fotografando esportes e participando de algumas produções aos finais de semana.</t>
  </si>
  <si>
    <t>Projeto muito para o meu futuro ter boas companhias para compartilhar projetos, imagino em alguns anos já com meu estúdio de fotografia mas acredito que ainda tenho muitos campos para conhecer e conselhos para ouvir que foram toda diferença, acredito que essa oportunidade será a que estava faltando para desempenhar um bom trabalho em conjunto na unidade e compartilhar/receber conhecimento.</t>
  </si>
  <si>
    <t>448.173.708-58</t>
  </si>
  <si>
    <t>Sabrina Da Rocha Sousa</t>
  </si>
  <si>
    <t>sasousa.oficial@gmail.com</t>
  </si>
  <si>
    <t>https://yz2spukd8h-jbrk7pf7uvw.s3.amazonaws.com/2024/06//J0UbjDcEr2gVIcwwnxR7TYPTUVM1g4rRJJa5IGd6%2Bs%3D.jpeg</t>
  </si>
  <si>
    <t>25 anos, 0 meses, 23 dias</t>
  </si>
  <si>
    <t>03634-030</t>
  </si>
  <si>
    <t>Rua Antônio Lobo</t>
  </si>
  <si>
    <t>379998804</t>
  </si>
  <si>
    <t>(11) 98322-4637</t>
  </si>
  <si>
    <t>SASOUSA.OFICIAL@GMAIL.COM</t>
  </si>
  <si>
    <t>https://www.instagram.com/_ssalen/</t>
  </si>
  <si>
    <t>ARTES CÊNICAS</t>
  </si>
  <si>
    <t>BIBLIOTECA PROF. ARNALDO MAGALHÃES GIACOMO</t>
  </si>
  <si>
    <t>Desde criança eu sonhava em ser atriz, mas me encontrava em uma realidade onde tudo que se escutava era que somente pessoas com dinheiro conseguiriam ter essa profissão. Mesmo com todas as dificuldades existentes nessa carreira, eu comecei a procurar cursos gratuitos, oficinas, uma forma de conseguir me profissionalizar de forma mais acessível. Quando me formei no ensino médio, me matriculei na ETEC de Artes e graças a ela consegui tirar o meu DRT e me tornar uma atriz profissional.</t>
  </si>
  <si>
    <t>Depois de me formar na ETEC de Artes, comecei a estudar para o vestibular, pois não conseguiria pagar uma faculdade particular. Depois de 3 tentativas, consegui passar na UNESP no curso de Bacharelado em Artes Cênicas, para continuar a me aperfeiçoar na área. Durante esse período que estou na faculdade, encontrei algumas dificuldades em relação a encontrar trabalhos relacionados a área por conta dos horários da faculdade,  mesmo assim sempre busquei estar por dentro das programações culturais que estão acontecendo a meu redor, principalmente por morar ao lado do Centro Cultural da Penha.</t>
  </si>
  <si>
    <t>Agora entrando no último ano da faculdade, com os horários das aulas mais tranquilos, gostaria de trabalhar em um ambiente voltado para a divulgação da arte, principalmente na área de produção cultural, na qual me aproximei muito através da faculdade e que já estou desenvolvendo com o meu coletivo de teatro, e o Programa Jovem Monitor Cultural será uma ótima oportunidade para que eu consiga entrar nesse mercado de trabalho e me desenvolver e aprender cada vez mais.</t>
  </si>
  <si>
    <t>475.684.438-33</t>
  </si>
  <si>
    <t>Lavínia Ferreira Dos Santos</t>
  </si>
  <si>
    <t>LAVÍNIA FERREIRA DOS SANTOS</t>
  </si>
  <si>
    <t>laviniaferreirasade@gmail.com</t>
  </si>
  <si>
    <t>https://yz2spukd8h-jbrk7pf7uvw.s3.amazonaws.com/2024/06/QPrSOi51r4fAcM6ekIa8A6EsGiusswGv5fNoBcrj4oM%3D.jpg</t>
  </si>
  <si>
    <t>20 anos, 2 meses, 27 dias</t>
  </si>
  <si>
    <t>Jardim Nova Conquista</t>
  </si>
  <si>
    <t>08346-410</t>
  </si>
  <si>
    <t>Rua do Índio</t>
  </si>
  <si>
    <t>556765060</t>
  </si>
  <si>
    <t>(11) 98525-5732</t>
  </si>
  <si>
    <t>LAVINIAFERREIRASADE@GMAIL.COM</t>
  </si>
  <si>
    <t>ADMINISTRATIVO,ASSISTENTE  RH,MECANICA AUTOMOTIVA</t>
  </si>
  <si>
    <t>Meu nome é Lavínia Ferreira dos Santos, tenho 20 anos. Nasci e vivo até hoje em São Paulo -SP, filha de Lúcia Ferreira da Silva e Esmeraldo dos Santos, sou a mais nova de 5 irmãos ( sendo 3 por parte de pai), e uma mais velha que trato como irmã de criação. Sempre fui muito apegado ao meu irmão mais velho (o segundo mais novo) enquanto este ainda era vivo.</t>
  </si>
  <si>
    <t>Atualmente tenho 20 anos, com o ensino médio completo e tendo técnico em alguns cursos que fiz pela vida, que são Mecânica automotiva, Assistente administrativo, Assistente de Recursos Humanos e terminando um curso de japonês básico I. Trabalho no Camp Rotary club de santo André como jovem aprendiz administrativo terceirizada e, por ser terceirizada meu contratante é a empresa de saúde Fundação Abc onde atuo na UBS e AMA jardim das Laranjeiras.</t>
  </si>
  <si>
    <t>Essa é uma pergunta que faço quase todos os dias, não sou uma pessoa metódica mas procuro sempre ser organizada e organizar meus planos para o futuro. Daqui alguns anos me vejo concluindo a faculdade de gastronomia e outra na área da tecnologia, trabalhando no ramo administrativo e podendo comprar minha casa, carros e uma loja com a qual pretendo, abrir uma cafeteria biblioteca onde promoverei os estudos e cultura através dos livros e eventos que serão feitos para que crianças e adolescentes nunca percam aquela vontade de ir e ser mais ou de explorar o mundo que nos temos.</t>
  </si>
  <si>
    <t>529.905.968-01</t>
  </si>
  <si>
    <t>Emmanuelly Berbel Dos Santos</t>
  </si>
  <si>
    <t>emmanuellyberbel@gmail.com</t>
  </si>
  <si>
    <t>https://yz2spukd8h-jbrk7pf7uvw.s3.amazonaws.com/2024/06/PEAQFdbukNbu0KayugAHc074rD0IXS9p7e3nPYNKA7o%3D.jpeg</t>
  </si>
  <si>
    <t>21 anos, 10 meses, 17 dias</t>
  </si>
  <si>
    <t>Vila América</t>
  </si>
  <si>
    <t>02928-020</t>
  </si>
  <si>
    <t>Rua Amazonita</t>
  </si>
  <si>
    <t>503074354</t>
  </si>
  <si>
    <t>(11) 99343-8384</t>
  </si>
  <si>
    <t>11-993438384</t>
  </si>
  <si>
    <t>https://www.instagram.com/manu.berbel/</t>
  </si>
  <si>
    <t xml:space="preserve">artes cênicas - graduação </t>
  </si>
  <si>
    <t>Eu venho de um bairro com poucas movimentações culturais e em contraposição sempre com desejos de mudar isso dentro da minha vicência, faço teatro desde os 11 anos, em diversos espaços públicos que me possiblitaram me entender para alem de ser artistisco, mas um ser social para entender que venho de lugares com poucas possibilidades, e questionando o porque disso e descobrindo que teria que furar esse macanismo. Porque para além do lugar que venho, venho de relações, que estabeleceram e fortaleceram meus estudos para que eu tivesse a criatividade de prosseguir.</t>
  </si>
  <si>
    <t>Atualmente eu estou cursando a graduação de artes cênicas com habilitação em interpretação, e vivênciando que para além da atuação, para eestar no palco, preciso promover a cultura, não só na minha cidade quanto no meu país, pelas coxias, pela organização da produção, pelo cenário, pela comunicação direta e indireta com o público. Estou no ultimo ano de graduação realizando meu TCC e Iniciação científica com a certeza de que preciso aplicar toda a bagagem que venho adquirindo nos muros da faculdade, como experiência em produções de festivais, direção de espetáculos, formação cultural (sou docente do cursinho pré vestibular) entre outros campos, para além dela.</t>
  </si>
  <si>
    <t>Eu vou para além do que me for permitido como artista na sociedade que vivo. Meu objetivo é cada vez mais promover espaços, vivências e experiências com viés decolonial, trilhando novos caminhos onde tenham mais espaços para pessoas negras, lgbtqiap+ e indígenas partilharem da experiência de vida por meio de suas manifestações artísticas ocupando seus lugares na produção artística.</t>
  </si>
  <si>
    <t>459.501.418-06</t>
  </si>
  <si>
    <t>im</t>
  </si>
  <si>
    <t>BEATRIZ ALVES OLIVEIRA</t>
  </si>
  <si>
    <t>Beatriz Alves Oliveira</t>
  </si>
  <si>
    <t>Gabriel Alves Oliveira</t>
  </si>
  <si>
    <t>alvesoliveiragabri@gmail.com</t>
  </si>
  <si>
    <t>https://yz2spukd8h-jbrk7pf7uvw.s3.amazonaws.com/2024/06/IYnDUwiWpQnKQZG7IAe2FnMXfU1Lzqbz82dHE3evsos%3D.png</t>
  </si>
  <si>
    <t>Técnico em Teatro concluído</t>
  </si>
  <si>
    <t>03041-000</t>
  </si>
  <si>
    <t>AP 502</t>
  </si>
  <si>
    <t>Rua Caetano Pinto</t>
  </si>
  <si>
    <t>388547194</t>
  </si>
  <si>
    <t>(11) 97031-7318</t>
  </si>
  <si>
    <t>Bacharelado</t>
  </si>
  <si>
    <t>https://www.instagram.com/bi2vezes/</t>
  </si>
  <si>
    <t>https://drive.google.com/file/d/1jVwSIDHWSYXPfWIYP_q7v0jgbBX1PKBb/view?usp=drive_link</t>
  </si>
  <si>
    <t>408.213.288-08</t>
  </si>
  <si>
    <t>Walison Moura Braz</t>
  </si>
  <si>
    <t>WALISON</t>
  </si>
  <si>
    <t>Walison</t>
  </si>
  <si>
    <t>walisonmourabraz@gmail.com</t>
  </si>
  <si>
    <t>https://yz2spukd8h-jbrk7pf7uvw.s3.amazonaws.com/2024/04/29p5aTBprJjTPkvu3L3438K7bZAaUNwBgxq9e/WHIJ8%3D.jpg</t>
  </si>
  <si>
    <t>20 anos, 1 meses, 24 dias</t>
  </si>
  <si>
    <t>Jardim do Tiro</t>
  </si>
  <si>
    <t>02842-260</t>
  </si>
  <si>
    <t>Bl 12 AP 112</t>
  </si>
  <si>
    <t>Rua Rui de Morais Apocalipse</t>
  </si>
  <si>
    <t>574766315</t>
  </si>
  <si>
    <t>(11) 97747-8248</t>
  </si>
  <si>
    <t>WALISONMOURABRAZ@GMAIL.COM</t>
  </si>
  <si>
    <t>CURSANDO - CIENCIAS DA COMPUTACAO</t>
  </si>
  <si>
    <t>Olá, sou de Sampa, capital paulista, São Paulo como todos sabem é um lugar cheio de energia e diversidade. Cresci nesta cidade que nunca dorme especificamente na Brasilândia onde realmente e difícil dormir kkkk, mas apesar disso a Brasilândia e o bairro que eu amo aqui você consegue encontrar diversas culturas, artistas e obras  recomendo vocês procurar saber e visitar meu bairro tenho certeza que irão se apaixonar desse lado de Sampa.  Crescer na Brasilândia não foi tão ruim cresci em uma comunidade chamada "Iraque" por muito tempo só conhecia aquela área mas aí fui crescendo começando a sair um pouco da minha bolha e conhecendo está linda cidade.</t>
  </si>
  <si>
    <t>Atualmente estou cursando ensino superior no Senac consegui uma bolsa cinquenta porcento, em ciências da computação,  estou gostando bastante é um pouco puxado pois o curso fica na zona sul, Santo Amaro e eu moro na zona noroeste, Brasilândia como eu tinha mencionado,  apesar  de ser uma rotina cansativa , sinto que dará tudo certo, além da faculdade eu trabalho no período dá manhã, no Bourbon shopping como jovem aprendiz é o meu primeiro emprego, está sendo uma ótima experiência, mas sinto que não é especificamente a área em que desejo seguir, lá trabalho como auxiliador administrativo e operacional.</t>
  </si>
  <si>
    <t>Pensando no futuramente espero que eu esteja estável tanto profissionalmente quanto financeiramente, espero estar formado, feliz vivendo e aproveitando tudo de bom que está vida pôde proporcionar. Espero que nosso país e nossos governantes sejam mais sinceros e honesto com seu povo, espero que nosso país seja mais rico como um todo, mas principalmente culturalmente e financeiramente.</t>
  </si>
  <si>
    <t>470.567.828-17</t>
  </si>
  <si>
    <t>Alexandre Da Rocha Santos</t>
  </si>
  <si>
    <t>darochasantos.alex@gmail.com</t>
  </si>
  <si>
    <t>https://yz2spukd8h-jbrk7pf7uvw.s3.amazonaws.com/2024/04/HpyBycrIHFLUUeEZxQ0L2Wl%2Bvpyls85nYxKJN98tEKQ%3D.jpg</t>
  </si>
  <si>
    <t>25 anos, 6 meses, 11 dias</t>
  </si>
  <si>
    <t>02931-040</t>
  </si>
  <si>
    <t>Rua Baltazar da Silveira</t>
  </si>
  <si>
    <t>406</t>
  </si>
  <si>
    <t>66147401X</t>
  </si>
  <si>
    <t>(41) 99806-6032</t>
  </si>
  <si>
    <t>https://www.instagram.com/crioulx/</t>
  </si>
  <si>
    <t>ciencias  sociais</t>
  </si>
  <si>
    <t>Nasci em Curitiba, no estado do Paraná em 1998, filho de professores de escola pública. toda minha trajetória educacional acadêmica se deu com influência da família e na condição de estudante me vislumbrou a intenção de retornar futuramente como docente.  No Ensino Médio cursei Magistério e após o término fiquei um tempo em curso pré-vestibular para ingressar em uma universidade. Em 2018 entrei em Engenharia de Produção na Universidade Federal do Paraná (UFPR) e cursei um semestre, percebi que não era o que queria. Sempre tive interesse entender relações sociais, então procurei estudar e caminhar para algo relacionado à sociedade e cultura.</t>
  </si>
  <si>
    <t>Em 2019 ingressei no curso de Ciências Sociais via Sistema de Seleção Unificada  na Universidade de São Paulo (USP). Me mudei para São Paulo, morei dois anos na moradia estudantil da USP e hoje estou na Zona Norte de São Paulo. Trabalho como estagiário do Núcleo de Ação Educativa da Pinacoteca de São Paulo, atuando com educação museal. Se tratando do meu curso onde estudo sociedade, indivíduo e cultura, eu gosto de antropologia e ciência política, mas também de artes e futebol. Sou membro do Instituto Meninos Bons de Bola desde outubro de 2020, uma organização sem fins lucrativos que atua com a promoção dos direitos humanos da comunidade trans através do esporte amador e atividades culturais</t>
  </si>
  <si>
    <t>Pretendo concluir meu bacharelado em dezembro desse ano e meu contrato com a Pinacoteca acaba em dezembro também. Então, minha intenção é conseguir uma ocupação na área cultural e utilizar meus conhecimentos interdisciplinares. No ano que vem tenho plano de concluir a licenciatura. Então, seria perfeito atuar como jovem monitor cultural e poder explorar esse campo de atuação que certamente será de abrir novas portas para minha trajetória.</t>
  </si>
  <si>
    <t>115.005.829-30</t>
  </si>
  <si>
    <t>Carolina David Salicini</t>
  </si>
  <si>
    <t>carolina.salicini@hotmail.com</t>
  </si>
  <si>
    <t>https://yz2spukd8h-jbrk7pf7uvw.s3.amazonaws.com/2024/04/a%2BzEApEqKjANaZLXFyflh47DC6a%2BZSu6drvNbddbXPU%3D.jpeg</t>
  </si>
  <si>
    <t>28 anos, 4 meses, 28 dias</t>
  </si>
  <si>
    <t>02840-080</t>
  </si>
  <si>
    <t>Rua Alberto Andaló</t>
  </si>
  <si>
    <t>175</t>
  </si>
  <si>
    <t>381441751</t>
  </si>
  <si>
    <t>(11) 96643-5926</t>
  </si>
  <si>
    <t>CAROLINA.SALICINI@HOTMAIL.COM</t>
  </si>
  <si>
    <t>https://www.instagram.com/saliserious/</t>
  </si>
  <si>
    <t>GRADUACAO EM DESIGNER GRAFICO E TECNICO EM ARQUIVO</t>
  </si>
  <si>
    <t>Durante o Ensino Médio fui aprendiz na Empresa Brasileira de Correios e Telégrafos, e frequentei o curso de Auxiliar Administrativo (SENAI). Depois, me graduei como bolsista integral pelo Prouni em Design Gráfico (FMU) e durante a graduação trabalhei na Saraiva e Siciliano S.A., como Atendente no Televendas/SAC, e auxiliando a Ouvidoria nos atendimentos na plataforma Reclame Aqui. Até o fim de Março de 2024 fui também cuidadora familiar. Dediquei boa parte do meu tempo ao meu avô, que em 2019 já tinha 93 anos e começou a ter problemas de saúde que expiravam cuidados constantes. Um familiar não escolhe essa posição, mas pode encara-la como um momento de aprendizagem.</t>
  </si>
  <si>
    <t>Hoje sou estudante do curso Técnico de Arquivo, na ETEC Parque da Juventude, mas já concluí o curso Técnico de Museologia na mesma instituição. Também participo do programa de Residência Educativa do Instituto Arte Contemporânea, para formação profissional focado em ações educativas e de mediação artística em instituições culturais, com previsão de conclusão em Junho de 2024.</t>
  </si>
  <si>
    <t>Para o futuro, tenho esperança de conseguir novas oportunidades para trabalhar na área da cultura, e também para continuar estudando. A ideia é procurar cursos de temas que me ajudem profissionalmente, bem como o aprimoramento de idiomas que já estudo, e quem sabe iniciar estudo de novas línguas, além de buscar mais engajamento em atividades e oficinas culturais.</t>
  </si>
  <si>
    <t>NORTE - 2</t>
  </si>
  <si>
    <t>367.312.418-81</t>
  </si>
  <si>
    <t>Tawane Silva Ramos</t>
  </si>
  <si>
    <t>ramostawane26@gmail.com</t>
  </si>
  <si>
    <t>https://yz2spukd8h-jbrk7pf7uvw.s3.amazonaws.com/2024/06/XSW0QNlXbc0YBFNrYhgXWyIv0CBV2Tri3DrjMphQaMg%3D.pdf</t>
  </si>
  <si>
    <t>21 anos, 1 meses, 23 dias</t>
  </si>
  <si>
    <t>Vila São José (Cidade Dutra)</t>
  </si>
  <si>
    <t>04837-050</t>
  </si>
  <si>
    <t>Rua Taquapiri</t>
  </si>
  <si>
    <t>523338119</t>
  </si>
  <si>
    <t>(11) 96625-3888</t>
  </si>
  <si>
    <t>https://www.instagram.com/tawane.rm/</t>
  </si>
  <si>
    <t>SUPERIOR EM MARKETING</t>
  </si>
  <si>
    <t>Me chamo Tawane, tenho 21 anos, sou do Grajaú zona sul, moro na periferia, tenho 1 irmão e pais separados, gosto de sair para explorar novos lugares, gosto de ir acompanhada, mas amo minha companhia também, gosto de ir ao cinema, parques e Ceu/Sesc, amo a natureza, ficar em céu aberto, sempre gostei dessa parte da cultura, da arte, da musica, me encanto com os animais.</t>
  </si>
  <si>
    <t>Bom atualmente sou voluntaria em um Projeto Social que minha mãe é gestora aqui da minha comunidade, ajudo todos os sábados e sou da parte da administração do projeto, me encanto com as crianças e adolescentes, acabei de me formar em tecnologia em marketing da faculdade da UNINOVE de Santo Amaro, me sinto realizada  e grata por esses 2 anos que passei.</t>
  </si>
  <si>
    <t>Bom estou ansiosa para ingressa no PJMC, pois mexe com tudo o que eu estou fascinada, arte, cultura, musica, parceria,  buscar conhecimento, para trazer também para o meu voluntarismo no Projeto Social F.M, estou em busca de praticar Inglês, para melhorar meu conhecimento, vou me sentir honrada em fazer parte da equipe com vocês, estou ansiosa e preocupada</t>
  </si>
  <si>
    <t>500.848.278-58</t>
  </si>
  <si>
    <t>Luana Melinka Cárcamo Aranda</t>
  </si>
  <si>
    <t>luana.melinka@gmail.com</t>
  </si>
  <si>
    <t>https://yz2spukd8h-jbrk7pf7uvw.s3.amazonaws.com/2024/06/8oAsA7/7zHoL4afseF58zowf1OqsuB4HMTgLDrt5g88%3D.png</t>
  </si>
  <si>
    <t>24 anos, 5 meses, 18 dias</t>
  </si>
  <si>
    <t>05843-290</t>
  </si>
  <si>
    <t>Rua João Gaspar</t>
  </si>
  <si>
    <t>888</t>
  </si>
  <si>
    <t>50.542.214-1</t>
  </si>
  <si>
    <t>(15) 99167-9369</t>
  </si>
  <si>
    <t>https://www.instagram.com/_melinkamc?igsh=OW1xcHNmdGVmd2N0</t>
  </si>
  <si>
    <t>BACHARELADO EM HISTÓRIA</t>
  </si>
  <si>
    <t>https://drive.google.com/file/d/16vHK52bXd__XPxe4Q6pNAL8baSsgYtHa/view?usp=drivesdk</t>
  </si>
  <si>
    <t>413.212.858-09</t>
  </si>
  <si>
    <t>BEATRIZ DA CRUZ LIMA MEDEIROS</t>
  </si>
  <si>
    <t>Beatriz Da Cruz Lima Medeiros</t>
  </si>
  <si>
    <t>Victor Bartholomeu Da Cruz Lima Medeiros</t>
  </si>
  <si>
    <t>victor.barto@usp.br</t>
  </si>
  <si>
    <t>https://yz2spukd8h-jbrk7pf7uvw.s3.amazonaws.com/2024/06/xxWeebSDXJJCEPFuutjlrNYIhMpC%2B0DvXHryxekjL2A%3D.jpg</t>
  </si>
  <si>
    <t>19 anos, 6 meses, 17 dias</t>
  </si>
  <si>
    <t>Parque São José</t>
  </si>
  <si>
    <t>04843-430</t>
  </si>
  <si>
    <t>Avenida Antônio Carlos Benjamin dos Santos</t>
  </si>
  <si>
    <t>299</t>
  </si>
  <si>
    <t>700302827</t>
  </si>
  <si>
    <t>(11) 93493-1672</t>
  </si>
  <si>
    <t>https://www.instagram.com/dontcryforh?igsh=MXFpbjl2bzEzb3A5Zw==</t>
  </si>
  <si>
    <t>BACHARELADO EM BIBLIOTECONIMIA</t>
  </si>
  <si>
    <t>Nasci em 2004 na cidade de São Paulo, mas logo fui para Belo Horizonte–MG, onde morei até meus 15 anos. Depois retornei para SP para morar com minha família paterna, que é nativa do interior do Ceará, mas que reside há mais de 50 anos no extremo sul da capital paulista, no Grajaú. Foi nessa mesma época de retorno à minha cidade natal que iniciei minha trajetória de entendimento como uma pessoa transmasculina. Assim, em minha formação pessoal, tive muitas influências culturais de diferentes regiões brasileiras, além de vivências periféricas e de pessoa não branca que construíram a minha identidade e repertório cultural.</t>
  </si>
  <si>
    <t>Hoje, aos meus 19 anos, me encontrei na profissão de Bibliotecário e estou no terceiro semestre da minha formação em Biblioteconomia e Ciência da Informação pela USP. Desde meu ingresso na universidade pública, lido com o sentimento de não pertencimento ao ambiente acadêmico por ser uma pessoa dissente de gênero, raça e classe e esse espaço ainda estar restrito a pessoas brancas e de boa condição familiar. Apesar disso, sigo persistente para me formar e estar presente nesse espaço que por direito é meu e dos meus iguais. Além da biblioteca, nutro outros interesses, desde o ramo da educação escolar, formação cultural, moda e música.</t>
  </si>
  <si>
    <t>Desejo dar continuidade a minha trajetória de formação intercultural ao me propor acessar a cosmovisão dos outros à minha volta. Me dedicar mais para atingir minhas metas profissionais, pretendo seguir formando bibliotecas públicas, mas sem me restringir à academia. Quero nutrir outras paixões que me moveram até agora, como a formação cultural da comunidade que vivo, a criação e manutenção de acervos históricos dessas comunidades, eventos culturais, a indústria da moda e do cinema, etc. Sobretudo dar espaço e continuidade para que políticas públicas transformem a vida de pessoas carentes pelo país, assim como eu pude ter oportunidades para o meu desenvolvimento pessoal e profissional.</t>
  </si>
  <si>
    <t>123.538.286-98</t>
  </si>
  <si>
    <t>Felipe Ivo De Sales</t>
  </si>
  <si>
    <t>felipeivodesales18@usp.br</t>
  </si>
  <si>
    <t>https://yz2spukd8h-jbrk7pf7uvw.s3.amazonaws.com/2024/04/QKAS8tOUmUawQkOxMxQHo3u9BpWWlI8s6/e1axEcuuQ%3D.jpeg</t>
  </si>
  <si>
    <t>19 anos, 4 meses, 23 dias</t>
  </si>
  <si>
    <t>Pirituba</t>
  </si>
  <si>
    <t>05159-040</t>
  </si>
  <si>
    <t>Rua Saloá</t>
  </si>
  <si>
    <t>559722874</t>
  </si>
  <si>
    <t>(11) 98472-1783</t>
  </si>
  <si>
    <t>felipeivodesales18@usp.com.br</t>
  </si>
  <si>
    <t>11-984721783</t>
  </si>
  <si>
    <t>lazer e turismo</t>
  </si>
  <si>
    <t>Me chamo Felipe Ivo de Sales, nasci em São Paulo mais especificamente na Brasilândia onde foi a primeira moradia de meus pais após saírem do  Rio Grande do Norte no Nordeste do Brasil. Vim na mistura do Nordeste com o Sudeste desse país. , com uma grande maioria de minha família localizada no RN, e aos que se encontram em SP boa parte se encontram na Brasilândia, de onde vim e fui batizado.</t>
  </si>
  <si>
    <t>Cheguei com meus 19 anos na minha primeira graduação logo após o Ensino médio de tempo integral, já me encontro no 2° (segundo) ano e 3° (terceiro) semestre do meu bacharel da USP - Universidade de São Paulo, no curso de Lazer e Turismo ministrado na EACH - Escola de Artes Ciências e Humanidades no campus da Zona Leste de São Paulo, tenho ciência que isso é só mais uma grande parte preciosa em minha vida, onde vejo que tenho que aproveitar e correr atrás de todas as oportunidades que me aparecem, como nunca foi possível ao ver do “eu” antigo estar em uma das melhores universidades da América latina!</t>
  </si>
  <si>
    <t>A pergunta que me faz mais refletir, onde vou e/ou quero chegar. Ao entrar na graduação me fazia pensar muito sobre esse questionamento eu estava sendo um adolescente de 18 anos na universidade, as aulas foram acontecendo os semestres passando e o primeiro ano já quase terminando quando tive um “start” que me fez entender que independente de onde vou e quero chegar preciso me dedicar e esforçar, e de longe poder aprender cada vez mais e mais num desenvolvimento pessoal e profissional e poder entender que meu objetivo foi alcançado.</t>
  </si>
  <si>
    <t>489.113.788-60</t>
  </si>
  <si>
    <t>Eduardo Gonçalves Marques Silva</t>
  </si>
  <si>
    <t>EDUARDO GONÇALVES MARQUES SILVA</t>
  </si>
  <si>
    <t>edumarques_drummer@hotmail.com</t>
  </si>
  <si>
    <t>https://yz2spukd8h-jbrk7pf7uvw.s3.amazonaws.com/2024/05/fZRwnJlkYJ0R9opKG5gntOhMvLrdzHIjc0tvsRedUWs%3D.jpg</t>
  </si>
  <si>
    <t>22 anos, 10 meses, 26 dias</t>
  </si>
  <si>
    <t>Bloco B, Ap 211</t>
  </si>
  <si>
    <t>536552769</t>
  </si>
  <si>
    <t>(11) 98749-2542</t>
  </si>
  <si>
    <t>edumarques_drummer@usp.br</t>
  </si>
  <si>
    <t>https://www.instagram.com/leaaojamaicano/</t>
  </si>
  <si>
    <t>https://drive.google.com/file/d/1CCJ7uxJuDrtBa4sakW_FCbFIfG4pxIp4/view?usp=drive_link</t>
  </si>
  <si>
    <t>325.274.458-96</t>
  </si>
  <si>
    <t>JOAO PEDRO CARDOSO DA SILVA</t>
  </si>
  <si>
    <t>João Pedro Cardoso Da Silva</t>
  </si>
  <si>
    <t>jaopdr298@gmail.com</t>
  </si>
  <si>
    <t>https://yz2spukd8h-jbrk7pf7uvw.s3.amazonaws.com/2024/06/YdvvGIxslupF/fySM4RBuURiXF9o6nUrr9qkPkUpP14%3D.jpeg</t>
  </si>
  <si>
    <t>22 anos, 10 meses, 5 dias</t>
  </si>
  <si>
    <t>CURSANDO O TECNICO DE  ADM</t>
  </si>
  <si>
    <t>522607822</t>
  </si>
  <si>
    <t>(11) 99023-0701</t>
  </si>
  <si>
    <t>JAOPDR298@GMAIL.COM</t>
  </si>
  <si>
    <t>https://www.instagram.com/jopedro9200/</t>
  </si>
  <si>
    <t>Desde jovem, sempre fui profundamente conectado às artes e à cultura. Cresci em um ambiente onde a música, a dança e a expressão corporal eram parte integrante da minha vida cotidiana. Meu primeiro contato com a capoeira aconteceu quando ainda era criança, através do programa escola da família e desde então, essa arte , que é também uma expressão cultural rica, tem sido uma paixão constante. Ao longo dos anos, participei de rodas de capoeira, eventos culturais e workshops, sempre buscando aprender mais e me envolver ativamente com a comunidade capoeirista.</t>
  </si>
  <si>
    <t>Atualmente, estou em uma fase de formação intensa como capoeirista e administrador, dedicando-me não apenas ao aperfeiçoamento das minhas habilidades técnicas, mas também ao entendimento profundo das raízes históricas e culturais da capoeira. Participo regularmente de aulas e treinos, e estou engajado em projetos comunitários que utilizam a capoeira como ferramenta de inclusão social e cultural. Além disso, tenho buscado capacitação em áreas complementares, como gestão cultural e produção de eventos, para ampliar meu leque de competências no setor cultural.</t>
  </si>
  <si>
    <t>Pretendo contribuir de maneira significativa para a promoção e valorização da capoeira e outras manifestações culturais. Vejo-me atuando em instituições culturais, ONGs e projetos que visem a preservação e difusão do patrimônio cultural brasileiro. Desejo utilizar minha formação e paixão pela capoeira para criar pontes entre diferentes comunidades, promovendo a inclusão e o respeito pela diversidade cultural. Minha meta a longo prazo é desenvolver projetos que levem a capoeira e a cultura brasileira para um público ainda maior, tanto no Brasil quanto no exterior, mostrando a riqueza e a profundidade dessas tradições.</t>
  </si>
  <si>
    <t>239.677.378-02</t>
  </si>
  <si>
    <t>Elisa Mayara Da Silva Oliveira</t>
  </si>
  <si>
    <t>elisa.oliveira019@gmail.com</t>
  </si>
  <si>
    <t>https://yz2spukd8h-jbrk7pf7uvw.s3.amazonaws.com/2024/04/%2BYpz%2BQFOvL6RBeN4YFRofhQfOheu13sWn7m/gEBbFwE%3D.jpg</t>
  </si>
  <si>
    <t>Jardim Santa Edwiges (Capela do Socorro)</t>
  </si>
  <si>
    <t>04913-080</t>
  </si>
  <si>
    <t>Rua Dapoli</t>
  </si>
  <si>
    <t>50672931X</t>
  </si>
  <si>
    <t>(11) 94803-6806</t>
  </si>
  <si>
    <t>ELISA.OLIVEIRA019@GMAIL.COM</t>
  </si>
  <si>
    <t>https://www.instagram.com/pazpranoix?igsh=bGlyOWU3Mmh1cjll</t>
  </si>
  <si>
    <t>PRODUÇÃO ÁUDIO VISUAL</t>
  </si>
  <si>
    <t>Vim de Capoeiras, Pernambuco, com 5 ou 6 anos. Nasci lá, mas fui criada na zona sul de São Paulo. Estudei em escolas públicas, fiz diversos cursos na Fábrica de Cultura do Jardim São Luís, tentei vaga de emprego lá, mas não fui chamada. Fiz parte de um grupo de hip-hop, treinávamos na Fábrica, em Céus, em Casas de Cultura, Sacolões, Sescs, onde fosse possível. Essas experiências me ensinaram a ter senso de comunidade, de pertencimento, empatia, responsabilidade e sonhar com um futuro digno pra mim e pros meus. Nem tudo era um mar de rosas, no entanto. Passei pela depressão e ansiedade, mas a arte me salvou, no final (que virou um novo começo).</t>
  </si>
  <si>
    <t>Hoje eu trabalho na Teleperformance como atendente de telemarketing. Sinto que minha vida está num momento de aprendizado e paciência. Sou uma pessoa que deseja o futuro incessantemente, então é difícil ficar num lugar onde não me sinto bem trabalhando. Eu quero seguir meu sonho. Pretendo estudar para tentar uma vaga na Fábrica de Cultura do Jardim São Luís novamente, agora com mais gana ainda de entrar. Uma moça do meu trabalho indicou o Programa Jovem Monitor Cultural depois de eu deixar claro meus planos de trabalhar com cultura no decorrer da minha vida..</t>
  </si>
  <si>
    <t>Eu vou trabalhar com arte e cultura. É disso que sei e tenho certeza. É difícil hoje um jovem saber o que ele quer da vida, e demorei muito pra descobrir, apesar das minhas experiências. Mas, hoje, quero compartilhar minhas experiências e aprendizados com pessoas que, assim como eu antes, talvez estejam em um momento sombrio de suas vidas, esperando um sinal de esperança pra saber pra onde seguir. Às vezes a gente só precisa de um empurrãozinho. Quero fazer na vida das pessoas a diferença que a arte e a cultura fizeram pra mim, proporcionar pra elas as experiências maravilhosas que tive. Se eu conseguir ajudar uma pessoa sequer, serei vitoriosa.</t>
  </si>
  <si>
    <t>SUL - 3</t>
  </si>
  <si>
    <t>444.153.158-36</t>
  </si>
  <si>
    <t>Julya Cristina Nascimento De Goes</t>
  </si>
  <si>
    <t>JULYA GOES</t>
  </si>
  <si>
    <t>Julya Goes</t>
  </si>
  <si>
    <t>julya_goes@yahoo.com</t>
  </si>
  <si>
    <t>https://yz2spukd8h-jbrk7pf7uvw.s3.amazonaws.com/2024/06/sNk3RUCpt4j03fyVY74NFYBBdkW4i7gomYdXu6GV6zg%3D.jpeg</t>
  </si>
  <si>
    <t>bloco 3 apartamento 46</t>
  </si>
  <si>
    <t>390615663</t>
  </si>
  <si>
    <t>(11) 94813-9232</t>
  </si>
  <si>
    <t>https://www.instagram.com/julya_goes?igsh=Z3FneTQ2bDBpN2Rm&amp;utm_source=qr</t>
  </si>
  <si>
    <t>Meu nome é Julya, cresci em Diadema, no Grande ABC Paulista, em um bairro periférico que não só moldou minha identidade, mas também foi o ponto de partida para minha jornada na dança, mais especificamente no ballet, aos 9 anos de idade.  Desde então, a dança se tornou não apenas uma paixão, mas um pilar central em minha vida. Ao longo dos anos, desenvolvi habilidades técnicas e emocionais através da disciplina. Estes valores não só enriqueceram minha formação pessoal, mas também fortaleceram minha determinação em alcançar excelência em tudo que faço.</t>
  </si>
  <si>
    <t>Com uma trajetória de 11 anos como bailarina e 2 anos como professora de dança, sendo ballet e contemporâneo, atuando com crianças e adolescentes, desenvolvi uma paixão inabalável.  Além da dança, sempre tive interesse profundo pelas artes visuais, o que me motivou a buscar uma formação acadêmica em Licenciatura em Artes Visuais na qual estou cursando. Pretendo um dia tornar a arte acessível a todos, especialmente àqueles que enfrentam barreiras de acesso.</t>
  </si>
  <si>
    <t>Desde os meus primeiros passos como bailarina em Diadema, cresci valorizando profundamente o poder transformador da arte. Como professora de dança há 2 anos, tenho trabalhado de perto com crianças e adolescentes, não só para ensiná-los técnica e expressão, mas também para instigar neles o amor pela arte como meio de autoexpressão e conexão com os outros. Essa experiência me ensinou a importância de tornar a arte acessível a todos, independentemente de sua origem ou recursos.   Meu objetivo é um dia organizar exposições, espetáculos e performances que não apenas inspiram, mas também capacitam comunidades, proporcionando oportunidades para a expressão criativa e o diálogo cultural.</t>
  </si>
  <si>
    <t>506.574.098-47</t>
  </si>
  <si>
    <t>Pedro De Moura Mendes</t>
  </si>
  <si>
    <t>pedrommendes12@gmail.com</t>
  </si>
  <si>
    <t>https://yz2spukd8h-jbrk7pf7uvw.s3.amazonaws.com/2024/06/JS2recyUB1XTM8GsQEL0DjC/zeOa6c91ANgkOTS8jJk%3D.png</t>
  </si>
  <si>
    <t>23 anos, 2 meses, 27 dias</t>
  </si>
  <si>
    <t>Conjunto Habitacional Padre Manoel da Nóbrega</t>
  </si>
  <si>
    <t>03590-120</t>
  </si>
  <si>
    <t>21B</t>
  </si>
  <si>
    <t>Avenida Padre Francisco de Toledo</t>
  </si>
  <si>
    <t>541494922</t>
  </si>
  <si>
    <t>(11) 98338-2874</t>
  </si>
  <si>
    <t>PEDROMMENDES12@GMAIL.COM</t>
  </si>
  <si>
    <t>https://www.instagram.com/pedrosemtwitter/</t>
  </si>
  <si>
    <t>RADIO TV TEATRO</t>
  </si>
  <si>
    <t>https://youtu.be/dnRI6C6OIUQ</t>
  </si>
  <si>
    <t>425.346.468-85</t>
  </si>
  <si>
    <t>Letícia Cristina Da Silva</t>
  </si>
  <si>
    <t>leticia.pulter@gmail.com</t>
  </si>
  <si>
    <t>https://yz2spukd8h-jbrk7pf7uvw.s3.amazonaws.com/2024/06/iykdp6KM3chLON27T7ir3FtJW3avWF33pxDC0yMx7oc%3D.jpg</t>
  </si>
  <si>
    <t>03173-010</t>
  </si>
  <si>
    <t>Apto 1410 T1</t>
  </si>
  <si>
    <t>Rua Siqueira Bueno</t>
  </si>
  <si>
    <t>656</t>
  </si>
  <si>
    <t>392763242</t>
  </si>
  <si>
    <t>(11) 97506-2249</t>
  </si>
  <si>
    <t>LETICIA.PULTER@GMAIL.COM</t>
  </si>
  <si>
    <t>HOTELARIA</t>
  </si>
  <si>
    <t>Meu nome é Letícia, tenho 27 anos, sou mãe do Samuel, que tem 6 anos, fui criada na Vila Industrial pela minha avó materna   até os 12, quando voltei para casa da minha mãe. Tenho pais esforçados e que foram focados no desenvolvimento financeiro da família. Estudei no ensino privado como bolsista durante toda minha vida academica. Cursei o técnico em finanças  na rede pública estadual (ETEC Professor Camargo Aranha) e o superior na instituição Senac.</t>
  </si>
  <si>
    <t>Atualmente, como fonte da minha renda, sou atendente há dois anos numa rede de restaurantes,  sou mãe solo e conto com uma rede de apoio muito sólida para criação e educação do meu filho. Consegui conquistar minha  casa própria através do programa do  governo minha casa minha vida, onde moro com meu filho.</t>
  </si>
  <si>
    <t>Tenho como objetivo encontrar novos caminhos acadêmicos e profissionais dentro da área cultural, da qual sempre me interessei e tive contato de maneira voluntária (como projetos sociais em comunidades). Iniciar uma nova graduação, que me possibilite atuar na área cultural pública e me dedicar a projetos que me tragam  crescimento profissional e pessoal.</t>
  </si>
  <si>
    <t>436.106.408-39</t>
  </si>
  <si>
    <t>Vitória Dellevedove Moreira</t>
  </si>
  <si>
    <t>vitoriadellevedove@gmail.com</t>
  </si>
  <si>
    <t>https://yz2spukd8h-jbrk7pf7uvw.s3.amazonaws.com/2024/04/yO5vxRycUfyiuBDk3ddNDvD7%2BiOinkaGTmuvKHOqK10%3D.jpg</t>
  </si>
  <si>
    <t>04840-820</t>
  </si>
  <si>
    <t>Rua Pradópolis</t>
  </si>
  <si>
    <t>54048149x</t>
  </si>
  <si>
    <t>(11) 97032-2595</t>
  </si>
  <si>
    <t>BACHARELADO EM FILOSOFIA</t>
  </si>
  <si>
    <t>A vida toda me liguei muito à arte e ao fazer arte como meio de me colocar em algo. Desde pequena sempre fiz muitos desenhos, daqueles de bonequinho palito, casinha com árvore e família feliz. Cresci e fui aprendendo muito sobre tudo isso, sobre a cultura, sobre política, sobre a cidade, e meu modo de ver as coisas, a arte se transformou. Fui, aos 18 anos, jovem aprendiz em uma biblioteca e lá tive contato com diversos livros que me abriram a mente para a realidade. Entrei, em 2021, na USP para cursar Filosofia que para mim era o que dava sentido a vida. Ano passado vivenciei minha primeira bolsa de pesquisa, onde trabalhei com o acervo de uma importante mulher para a filosofia brasileira.</t>
  </si>
  <si>
    <t>No momento estou na reta final do meu bacharelado em Filosofia na e caminhando para a licenciatura. Possuo, também, uma bolsa de estágio da faculdade para estagiar no Centro de Preservação Cultural da USP/Casa de Dona Yayá, auxiliando a área de acervos, onde mapeio todos os acervos pertencentes à USP e a proposta é construir um guia/catálogo atualizado com todos os dados desses acervos, sejam museus ou laboratórios.</t>
  </si>
  <si>
    <t>Me interesso por permanecer na área de trabalho que envolva a cultura e a arte, organizando eventos, encontros, conhecendo e aprendendo cada vez mais sobre a cultura do povo, a cultura da minha periferia e do meu país. Me vejo, principalmente, na área da pesquisa que sintetiza tudo que já vivi e vivo atualmente, seja organizando acervos e documentos, seja trazendo ao conhecimento de mais pessoas e abrindo o espaço para muitas e muitos artistas que permanecem no anonimato e fazem parte de uma importante cultura que é a nossa cultura brasileira.</t>
  </si>
  <si>
    <t>381.079.548-82</t>
  </si>
  <si>
    <t>STEPHANIE BARROS SILVA</t>
  </si>
  <si>
    <t>STEPHANIE</t>
  </si>
  <si>
    <t>Stephanie</t>
  </si>
  <si>
    <t>stephaniebarros.artista@gmail.com</t>
  </si>
  <si>
    <t>https://yz2spukd8h-jbrk7pf7uvw.s3.amazonaws.com/2024/06/KKZx5rHFR6QV5%2BGMB5Le%2B2QxlYwf6z7rytVCtO2u/iI%3D.JPG</t>
  </si>
  <si>
    <t>24 anos, 7 meses, 28 dias</t>
  </si>
  <si>
    <t>Av Professor Mello Moraes</t>
  </si>
  <si>
    <t>551350611</t>
  </si>
  <si>
    <t>(19) 99790-2225</t>
  </si>
  <si>
    <t>Stephaniebarros.artista@gmail.com</t>
  </si>
  <si>
    <t>Sou Stephanie Barros. Tenho 24 anos, sou natural do interior de São Paulo. Minha cidade se chama  Porto Ferreira, sai de casa pela primeira vez com 18 anos (2019). Para estudar no estado do Rio de Janeiro, mas com a pandemia eu voltei para minha cidade e tranquei o curso. Havia passado na UFRJ para prestar Artes Cênicas com Habilitação em indumentária. Após minha volta para casa, decidi que não voltaria mais para o Rio de Janeiro.</t>
  </si>
  <si>
    <t>Em 2022 me desafiei novamente. Me mudei para São Paulo - SP para trabalhar com atuação (teatro) o que sempre foi meu sonho. Ingressei na SP Escola de Teatro no curso de técnicas de palco que será finalizado nesse primeiro semestre de 2024. No final de 2022 me inscrevi para o curso técnico de teatro na Escola Arte Dramática da USP. Serão 4 anos e me encontro no 2 ano, me sinto realizada cursando algo que sempre foi o meu maior desejo.</t>
  </si>
  <si>
    <t>Para além do teatro, também preciso me desdobrar em outras profissoes para conseguir me sustentar. No mundo capitalista em que vivemos, o dinheiro se torna algo importante e primordial para alcançarmos objetivos da vida, principalmente ela na fase adulta. E no momento tenho projetado ter um trabalho digno que me trará ao menos conforto, para que eu posso construir o futuro que desejo ter.</t>
  </si>
  <si>
    <t>422.060.958-07</t>
  </si>
  <si>
    <t>Maria Eduarda Alves Cipriano</t>
  </si>
  <si>
    <t>mariaeduardaalvescipriano83@gmail.com</t>
  </si>
  <si>
    <t>https://yz2spukd8h-jbrk7pf7uvw.s3.amazonaws.com/2024/06/qVmf8OWypiIrFvshkJH1XX6OenKxXUeMUKRK4gaTkL8%3D.jpg</t>
  </si>
  <si>
    <t>18 anos, 1 meses, 6 dias</t>
  </si>
  <si>
    <t>Vila Divina Pastora</t>
  </si>
  <si>
    <t>03265-070</t>
  </si>
  <si>
    <t>ap 4</t>
  </si>
  <si>
    <t>Rua dos Aires</t>
  </si>
  <si>
    <t>197</t>
  </si>
  <si>
    <t>577309511</t>
  </si>
  <si>
    <t>(11) 95323-0078</t>
  </si>
  <si>
    <t>MARIAEDUARDAALVESCIPRIANO83@GMAIL.COM</t>
  </si>
  <si>
    <t>BIBLIOTECA AURELIANO LEITE</t>
  </si>
  <si>
    <t>Prezada SMC,    Com prazer, me apresento: Sou Maria Eduarda, vinda de família pequena composta apenas por mim e minha mãe. Desde criança sempre me interessei por literatura e passava meus dias me adentrando em histórias que muitas vezes encontrava em bibliotecas que aceitam participantes do Programa Jovem Monitor Cultural hoje em dia. Isso se intensificou quando precisei me mudar de São Paulo para uma pequena área rural por conta de problemas financeiros, ocupando mais meu tempo com leitura e cinema e me interessando ainda mais por áreas culturais e artísticas.</t>
  </si>
  <si>
    <t>Hoje em dia,  felizmente superei os empecilhos financeiros e estou de volta em São Paulo. Estou no último ano do ensino médio e procuro focar em estudos para o vestibular no próximo ano, também procuro conseguir meu primeiro trabalho. Descobri o programa por uma biblioteca que frequento constantemente e sempre me perguntava como poderia trabalhar lá. Contínuo muito interessada por áreas da arte e cultura, engajando em diversas atividades como artesanato e ilustração hoje em dia. Acredito que o PJMC me trará experiências enriquecedoras para entender o mercado de trabalho e para minha formação como pessoa.</t>
  </si>
  <si>
    <t>No futuro, pretendo cursar arquitetura e esse é um dos motivos de que busco participar do Jovem Monitor Cultural. Sempre fui uma pessoa mais reservada, me mantendo em meu próprio mundo e perdendo experiências que agregassem na minha formação de trabalho e que seriam de grande importância pra seguir a carreira que desejo. O contato com o público, gestão e administração de tarefas, e cultura e arte são áreas intrinsecamente ligadas a arquitetura, e gostaria de já ter experiência e treinamento em tais, coisa que o programa me traria. Espero poder ter a oportunidade de fazer parte do mercado cultural de São Paulo, obrigada por ler, encerra-se aqui minha apresentação.</t>
  </si>
  <si>
    <t>424.710.258-38</t>
  </si>
  <si>
    <t>Juliana Mendes Santiago</t>
  </si>
  <si>
    <t>jupc10@yahoo.com.br</t>
  </si>
  <si>
    <t>https://yz2spukd8h-jbrk7pf7uvw.s3.amazonaws.com/2024/06/5QSSLNKjZEprpBFLV5/yetvBjtIg0U4tfUV7B6uwAew%3D.jpg</t>
  </si>
  <si>
    <t>26 anos, 3 meses, 8 dias</t>
  </si>
  <si>
    <t>Jardim Santa Zélia</t>
  </si>
  <si>
    <t>04933-080</t>
  </si>
  <si>
    <t>Rua dos Clarins</t>
  </si>
  <si>
    <t>93</t>
  </si>
  <si>
    <t>397523415</t>
  </si>
  <si>
    <t>(11) 98674-2931</t>
  </si>
  <si>
    <t>Em 1996 a ONU declarou o Jardim Angela como bairro mais violento do mundo, minha família mora aqui desde os anos 60, quando meus avós maternos acharam que fugir do interior do Rio Grande do Norte para trabalhar nas fábricas de São Paulo seria melhor para criação dos seus filhos.  A luta dos dois lados da família até aqui foi muito grande mas já resultou em três netos chegando na universidade pública! E mesmo assim, a luta continua diariamente, nas 4 horas diárias enfrentando o transporte público até chegar lá, já que o metrô/trem ainda não chegou por aqui.</t>
  </si>
  <si>
    <t>Estou tentando criar pontes de diálogo entre áreas socioculturais e epistemologicas historicamente fragmentadas dentro e fora da Universidade.  Terminei minha graduação em biblioteconomia no ano passado e agora faço mestrado em Ciência da Informação, ambos pela ECA/USP, campus do Butantã. Minhas pesquisas sempre giram em torno de educação e cinema dentro das bibliotecas.</t>
  </si>
  <si>
    <t>Sei que meus objetivos e sonhos estão distantes diante das dificuldades que o   neoliberalismo impõe a nossa sociedade. Mas minha sincera pretensão é conseguir construir essas pontes de diálogo. Definitivamente não acredito que um bom acervo, bons cursos e atividades culturais têm pouco acesso por culpa do público. Eu quero ajudar na criação e manutenção de dispositivo culturais e informacionais diálogicos, democráticos e que ajudam a formar cidadãos críticos. Quero ajudar na construção de bibliotecas públicas no Jardim Angela e na unidade futura do IFSP</t>
  </si>
  <si>
    <t>403.631.298-71</t>
  </si>
  <si>
    <t>CAMILA MARTINS PALHARES</t>
  </si>
  <si>
    <t>Camila Martins Palhares</t>
  </si>
  <si>
    <t>trabalhos.camila11@gmail.com</t>
  </si>
  <si>
    <t>https://yz2spukd8h-jbrk7pf7uvw.s3.amazonaws.com/2024/04/h30AoP3s0l%2B5RaJGxarINT1K%2BDOIA0Dte0%2BWIue3%2B/4%3D.jpg</t>
  </si>
  <si>
    <t>Jardim Centenário</t>
  </si>
  <si>
    <t>05365-240</t>
  </si>
  <si>
    <t>Travessa Iapu</t>
  </si>
  <si>
    <t>189</t>
  </si>
  <si>
    <t>532023043</t>
  </si>
  <si>
    <t>(11) 98695-7878</t>
  </si>
  <si>
    <t>trabalho.camila11@gmail.com</t>
  </si>
  <si>
    <t>Historia da Arte</t>
  </si>
  <si>
    <t>A busca pela a minha identidade veio através da Arte, onde por meio de aparelhos culturais tipo o CEU, pude me aventurar em aulas de dança, sessões gratuitas de cinema e cursos de desenhos. Essas experiências aguçaram a minha curiosidade pela cultura pop-urbana afro-ameríndicana que foram ainda mais aprofundadas com a entrada dos mangás em minha vida e com a influência de uma prima professora de Arte. Já na adolescência, o interesse pela comunicação floresce frente ao meu fascínio tanto pelas grandiosas singularidades por de trás das histórias, pessoas, tanto pela reflexão “quem está contando a História ?”. Logo, parto dessa minha costura atenta de escuta e contemplação de histórias da arte</t>
  </si>
  <si>
    <t>Atualmente estou estudante de História da Arte na Universidade Federal de São Paulo. O curso fomenta um contato valioso com a arte-cultura e onde eu mergulho no âmbito nacional e periférico. Um exemplo foi a minha participação do projeto Ouvidor63 com foco em artes urbanas de Guarulhos. Me encontro nas ocupações culturais e underground, terreiros, batalhas de rima, lugares onde ancestralidade e arte se entrelaçam. Como supervisora de crianças e adolescentes no transporte escolar tenho encarado esse trabalho também como forma de amplificação das minhas referências e formas comunicação oral e digital.</t>
  </si>
  <si>
    <t>Vou aonde tiver cultura e histórias. Pretendo estar sempre inserida na relação de ambos seja em Casas de Culturas, em Oficinas, em Exposições, Museus entre outros. Sendo mediadora, ouvinte, educadora. Quero exercer uma função que tenha relação direta propagar e conhecer novas formas das artes. Nesse aspecto, trabalhos com conservação da memória e arquivos como fonte de educação à futuras gerações são o meu foco. A partir disso quero difundir reflexões sobre a importância da história e de quem está narrando-a principalmente falando de arte fora dos grandes centros.</t>
  </si>
  <si>
    <t>538.135.988-88</t>
  </si>
  <si>
    <t>Leonardo Carneiro De Lima</t>
  </si>
  <si>
    <t>leonardocarneiro150@gmail.com</t>
  </si>
  <si>
    <t>https://yz2spukd8h-jbrk7pf7uvw.s3.amazonaws.com/2024/05/2TZzmcjpW2hm4OhtCyLRJBfHZJ3CafJp/BELhXpvo1g%3D.jpeg</t>
  </si>
  <si>
    <t>19 anos, 7 meses, 4 dias</t>
  </si>
  <si>
    <t>ESTA  CURSANDO PUBLICIDADE  E PROPAGANDA</t>
  </si>
  <si>
    <t>08225-390</t>
  </si>
  <si>
    <t>Praça Jandaira</t>
  </si>
  <si>
    <t>537860691</t>
  </si>
  <si>
    <t>(11) 94168-6813</t>
  </si>
  <si>
    <t>LEONARDOCARNEIRO150@GMAIL.COM</t>
  </si>
  <si>
    <t>PUBLICIDADE  E PROPAGANDA</t>
  </si>
  <si>
    <t>www.linkedin.com/in/leonardo-lima-7bb607269</t>
  </si>
  <si>
    <t>424.655.368-93</t>
  </si>
  <si>
    <t>Luiza Camargo De Assis</t>
  </si>
  <si>
    <t>lcamargo0502@gmail.com</t>
  </si>
  <si>
    <t>https://yz2spukd8h-jbrk7pf7uvw.s3.amazonaws.com/2024/04/O3ShcLxtEa9/Jjol3nXu7KwRFZHR3OLcqt4Hr8A1DrY%3D.jpeg</t>
  </si>
  <si>
    <t>22 anos, 2 meses, 13 dias</t>
  </si>
  <si>
    <t>385295649</t>
  </si>
  <si>
    <t>(11) 94558-8331</t>
  </si>
  <si>
    <t>LCAMARGO0502@GMAIL.COM</t>
  </si>
  <si>
    <t>CURSANDO SUPERIOR</t>
  </si>
  <si>
    <t>HISTÓRIA DA ARTE</t>
  </si>
  <si>
    <t>Me chamo Luiza, tenho 22 anos curso história da arte na Universidade Federal de São Paulo e moro em Guaianases. Moro com minha mãe, irmão e avó. Me formei em comunicação visual na ETEC onde pude desenvolver e conhecer mais sobre arte e cultura interesse que possuo desde criança. Procurando aprofundar mais esse conhecimento iniciei o curso de história da arte.</t>
  </si>
  <si>
    <t>Trabalho atualmente com pesquisa iconográfica em uma editora de livros didáticos, realizo o licenciamento de imagens junto aos fornecedores, agências e representantes de artistas. Faço o acompanhamento dos contratos e pagamento dos licenciamentos, administrando planilhas de controle e fechando dossiês. Realizo essas funções há cerca de um 1 ano e 8 meses.</t>
  </si>
  <si>
    <t>Tenho vontade de atuar em equipamentos culturais com o intuito de entender melhor os processos de preservação e profusão de cultura. Entendo que a cultura é um pilar da sociedade e através dela é possível conhecer os processos que passamos e a partir disso desejo atuar na defesa das formas de expressão que fazem parte desse conhecimento, especialmente nas regiões periféricas da cidade e do mundo.</t>
  </si>
  <si>
    <t>516.670.978-06</t>
  </si>
  <si>
    <t>Breno Máximo Dos Santos Vieira</t>
  </si>
  <si>
    <t>brenomaximo6@gmail.com</t>
  </si>
  <si>
    <t>https://yz2spukd8h-jbrk7pf7uvw.s3.amazonaws.com/2024/06//q3CiqelBioV9to0AhZ%2BfU2rLTwv6trV0MG8xAm8x8Q%3D.JPG</t>
  </si>
  <si>
    <t>20 anos, 4 meses, 25 dias</t>
  </si>
  <si>
    <t>02281-130</t>
  </si>
  <si>
    <t>Rua Ernesto Simões Filho</t>
  </si>
  <si>
    <t>397124326</t>
  </si>
  <si>
    <t>(11) 98057-0894</t>
  </si>
  <si>
    <t>marketing</t>
  </si>
  <si>
    <t>https://drive.google.com/file/d/1v633hpBHltWoCZDeTfTejySpD_371gey/view?usp=drive_link</t>
  </si>
  <si>
    <t>527.644.398-06</t>
  </si>
  <si>
    <t>josearaujod97@gmail.com</t>
  </si>
  <si>
    <t>https://yz2spukd8h-jbrk7pf7uvw.s3.amazonaws.com/2024/06/171YYxpdlMPGsAfmjemAjIqk/55sqD14W0o6Dc4nht0%3D.jpeg</t>
  </si>
  <si>
    <t>26 anos, 6 meses, 16 dias</t>
  </si>
  <si>
    <t>Jardim Arizona</t>
  </si>
  <si>
    <t>03795-300</t>
  </si>
  <si>
    <t>Thomas Amantini</t>
  </si>
  <si>
    <t>52737216X</t>
  </si>
  <si>
    <t>(11) 98160-1417</t>
  </si>
  <si>
    <t>JOSEARAUJOD97@GMAIL.COM</t>
  </si>
  <si>
    <t>CURSANDO, TECNICO</t>
  </si>
  <si>
    <t>https://www.linkedin.com/in/josearaujod/</t>
  </si>
  <si>
    <t>Olá, me chamo José, tenho 26 anos de idade, filho de Maria Luiza e Adeilson, oriundos do nordeste brasileiro, Bahia e Pernambuco. Nasci na região central de São Paulo, nos arredores do Glicério e Cambuci, no entanto, ainda na primeira infância nos mudamos para o Jabaquara, onde ficamos por sete anos. Em 2006 saímos de lá para o bairro do Paraíso, local onde meu pai exercia o ofício de zelador. Neste mesmo ano nasce meu irmão, o Fábio, hoje com 19 anos e TEA severo. Sete anos no Paraíso até nos mudarmos para Mogi das Cruzes, precisamente em Jundiapeba.</t>
  </si>
  <si>
    <t>Atualmente, estou seguindo meu caminho interior, o coração, desde janeiro correndo atrás das oportunidades de se atuar na área da cultura. Atuei durante dois anos no segmento de eventos em shopping center´s, onde permaneci como coordenador ora promotor, no entanto, a rotina era de 12h diárias, aos poucos, me distanciei daquilo que almejava: trabalhar com arte, cultura, musica, entretenimento. Em Outubro de 2023, reconheci a aspiração que alimento desde tenra idade a nível profissional, desde então, comecei estudar Produção Cultural e estou conciliando estudos e jobs, morando na casa de meu irmão de consideração para estar mais próximo das oportunidades de freelance.</t>
  </si>
  <si>
    <t>Para o encontro da felicidade em ser eu mesmo, atuando naquilo que desejo, crescendo e contribuindo na sociedade. Tirei este ano para me dedicar aos estudos e as oportunidades na área da cultura e áudio, afinal, estudo Produção Cultural com ênfase em Produção Cultural.  Paralelo a tudo isso, sigo fazendo alguns freelas na área de eventos para me manter enquanto não adentro neste mercado da cultura.</t>
  </si>
  <si>
    <t>465.728.198-41</t>
  </si>
  <si>
    <t>Catarina Victoria Reis De Lima</t>
  </si>
  <si>
    <t>catarinavictoria2211@gmail.com</t>
  </si>
  <si>
    <t>https://yz2spukd8h-jbrk7pf7uvw.s3.amazonaws.com/2024/06/PQIz0F97WJlCk8MVoQZKeuPjrcNPEYZWi/yOEZ%2BwX2c%3D.jpeg</t>
  </si>
  <si>
    <t>22 anos, 6 meses, 27 dias</t>
  </si>
  <si>
    <t>Recanto Campo Belo</t>
  </si>
  <si>
    <t>04880-040</t>
  </si>
  <si>
    <t>Rua Carlos Jorge Schmidt</t>
  </si>
  <si>
    <t>675</t>
  </si>
  <si>
    <t>50717513X</t>
  </si>
  <si>
    <t>(11) 99236-5385</t>
  </si>
  <si>
    <t>ANALISE E DESENVOLVIMENTO DE SISTEMAS</t>
  </si>
  <si>
    <t>Venho de um lugar distante de tudo e todos, sempre observando o meu redor. Nasci e fui criada em Parelheiros em São Paulo  estudei o ensino fundamental e médio em escola publica, durante o ensino médio  descobri o teatro através de grupos teatrais que tinham em minha escola e me apaixonei.  No final do ensino médio surgiu meu interesse por informática, já que meu pai era professor  de programação vi uma oportunidade de estudos e mercado de trabalho, fiz cursos técnicos  e profissionalizantes começei trabalhando como técnica de manutenção pela região onde moro atendendo amigos e vizinhança,  realizei a graduação em Análise e Desenvolvimento de Sistemas pela UNISA Santo Amaro.</t>
  </si>
  <si>
    <t>Me descobrindo artisticamente, participei do Projeto Primeira Cena em 2022 cursando teatro e dança  contemporânea encenamos experimentos e peças baseado em nossas ancestralidades e inspirados nos  textos de Conceição Evaristo (Contos dos Olhos d'água e Afetopia de 2023 dir. Léo Cicero. Dei continuidade estudando Teatro Musical no Centro Cultural da Diversidade em uma Oficina ministrada por Ada Anjos no qual realizamos a peça de revista Segunda Chance, onde além de interpretar colaborei na construção da dramaturgia e  sonoplastia. Estou cursando o técnico em teatro no Senac Lapa Scipião finalizei em Março o curso de Teatro Musical no Ceu Esperança Garcia dirigido por Jarbas Homem  de Mello.</t>
  </si>
  <si>
    <t>Sei para onde quero ir. Nessas caminhadas conheçendo e absorvendo cada vivência e experiência descobri  que há muito a ser trilhado, muitas pessoas e lugares precisam de saberes culturais pois a cultura que  faz parte do seu povo deixa seu povo fortalecido. Quero chegar em um lugar onde posso ser vista como  inspiração para pessoas como eu do lugar que venho.</t>
  </si>
  <si>
    <t>423.792.188-38</t>
  </si>
  <si>
    <t>Yasmin Magalhães Dos Santos Oliveira</t>
  </si>
  <si>
    <t>yasmin011magalhaes@gmail.com</t>
  </si>
  <si>
    <t>https://yz2spukd8h-jbrk7pf7uvw.s3.amazonaws.com/2024/05/HPNxx3s5ofm66Kg3aPuRMrgCc3aJlx6lEQm8qtKp69Q%3D.pdf</t>
  </si>
  <si>
    <t>22 anos, 5 meses, 7 dias</t>
  </si>
  <si>
    <t>Jardim Vitória Régia (Zona Norte)</t>
  </si>
  <si>
    <t>02859-150</t>
  </si>
  <si>
    <t>Rua B</t>
  </si>
  <si>
    <t>66</t>
  </si>
  <si>
    <t>50945848-8</t>
  </si>
  <si>
    <t>(11) 94307-1920</t>
  </si>
  <si>
    <t>YASMIN011MAGALHAES@GMAIL.COM</t>
  </si>
  <si>
    <t>https://www.instagram.com/yasminebere/</t>
  </si>
  <si>
    <t>CURSANDO TEC - ILUMINAÇAO CENICA + CURSANDO GRAD - TECNOLOGIA EM PRODUÇAO AUDIO VISUAL</t>
  </si>
  <si>
    <t>Nasci no Jardim Almanara, na região da Brasilândia, onde estudei o primário e ensino fundamental 1. Desde ai já apresentava grande interesse por artes manuais, escrita e música, onde podia descarregar o estresse causado pela falta de compreensão em ser uma criança introspectiva com dificuldade de atenção. Aos 15 anos ingressei no Projeto  Espetáculo da Fábrica de Cultura Brasilândia, onde considero que iniciei um sonho profissional que sempre me foi negado. O P.E interrompeu a volta desse momento de introspecção e impulsividade que retornara à minha adolescência e ali pude desenvolver minha escrita, que por dois anos foram as falas de outros personagens da peças montadas, além de adereços.</t>
  </si>
  <si>
    <t>Hoje estou concluindo o ensino superior em Audiovisual na Uninove, concluo esse semestre. A faculdade me abriu portas no mercado audiovisual, embora ainda encontre a mesma dificuldade que qualquer outro jovem negro e pobre encontraria, sei que esse é meu caminho. Possuo dois coletivos de cinema independente negro, onde buscamos fortalecer nossas narrativas atráves do viés de uma juventude comum e tranquila a pobres pretos e transsexuais. A maneira que encontrei de permanecer no teatro foi cursando iluminação da SP Escola de Teatro, onde posso futuramente ter contato com aparelhos culturais e ter um emprego que me sustente.</t>
  </si>
  <si>
    <t>Meu maior desejo atualmente é poder me manter de arte, sonho que diversas vezes tive que abdicar, pois, não me seria remunerado o suficiente. Pretendo me formar em teatro e cinema e ser pesquisadora e educadora de ambas as áreas.  Enquanto isso não acontece, quero experiência ao máximo o contato com meu território, pois acredito que a prática da educação dos meus é o melhor viés pra me formar artista, e o viés principal pra formar QUALQUER educador. Quero contribuir com meu território preservando a cultura dele e o caráter digno das pessoas que precisam desses aparelhos para não sucumbir no sofrimento de ser dissidente como um dia eu quase sucumbi.</t>
  </si>
  <si>
    <t>456.396.368-23</t>
  </si>
  <si>
    <t>Layla Cesare Trindade</t>
  </si>
  <si>
    <t>layla.trindade@hotmail.com</t>
  </si>
  <si>
    <t>https://yz2spukd8h-jbrk7pf7uvw.s3.amazonaws.com/2024/06/lsFCQva6Ex2aRJ8w7Ejy8iO2qVEVssMr4q/0OTenKvk%3D.jpg</t>
  </si>
  <si>
    <t>25 anos, 1 meses, 20 dias</t>
  </si>
  <si>
    <t>Parque São Domingos</t>
  </si>
  <si>
    <t>05127-030</t>
  </si>
  <si>
    <t>Rua Luís Piccoli</t>
  </si>
  <si>
    <t>392183973</t>
  </si>
  <si>
    <t>(11) 99462-0540</t>
  </si>
  <si>
    <t xml:space="preserve">tec - marketing e teatro\grad - artes cênicas </t>
  </si>
  <si>
    <t>Nascida em São Paulo, filha de mãe paulistana e pai carioca, fui criada em uma família grande, com 6 irmãos. Sempre vivi entre São Paulo e Rio de Janeiro, vivenciando esse intercâmbio de vivências e culturas, minha família carioca tem tradição dentro das escolas de samba, o que me aproximou desse mundo desde pequena. A música sempre foi algo que me mobilizou desde a infância, talvez por essa ancestralidade, então sempre gostei de cantar, aprender novos instrumentos e estar em meio a esses espaços culturais que me aproximavam de algo difícil de descrever em palavras, uma sensibilização e encantamento que essas práticas propiciam, comecei com a música, mas depois me encontrei dentro do teatro.</t>
  </si>
  <si>
    <t>Depois de uma longa trajetória tentando me encontrar, comecei a graduação de Licenciatura em Artes Cênicas e isso mudou minhas perspectivas e forma de enxergar minha vida. Hoje, faço parte de três coletivos teatrais e trabalhos enquanto arte-educadora em espaços de Educação Não-formal e Formal. A possibilidade de trabalhar com práticas que me movem enquanto pessoa tem sido muito importante para minhas prospecções de futuro. Além da faculdade e trabalhos esporádicos que tenho feito, também tenho me aproximado de outros interesses, como maracatu - que comecei a frequentar oficinas e a bateria universitária, onde estou aprendendo a tocar caixa atualmente.</t>
  </si>
  <si>
    <t>É difícil saber ao certo quais são os caminhos que se abrirão, mas pensando nos passos que tenho dado, imagino que o futuro me guarda grandes projetos em torno da Cultura e Arte. Pretendo terminar minha faculdade e possivelmente ingressar em alguma pós graduação. Mas até lá, gostaria de me dedicar a trabalhar exclusivamente com a área que escolhi, seja em ação cultural, dando aulas em educação formal ou não-formal, trabalhando com arte-educação em exposições, com meus grupos de teatro, entre outras possibilidades dentro desse campo. Além de me aprimorar em práticas que tenho vontade de conhecer melhor, como a capoeira.</t>
  </si>
  <si>
    <t>475.672.818-99</t>
  </si>
  <si>
    <t>Thiago Macedo De Queiroz Silva</t>
  </si>
  <si>
    <t>thiago.mqs12@gmail.com</t>
  </si>
  <si>
    <t>https://yz2spukd8h-jbrk7pf7uvw.s3.amazonaws.com/2024/04/QBX6YY4MMn8eL2GZoSkvXvA63%2BPh0w9Z12tQ%2BNVCYSU%3D.jpeg</t>
  </si>
  <si>
    <t>22 anos, 9 meses, 23 dias</t>
  </si>
  <si>
    <t>02728-070</t>
  </si>
  <si>
    <t>casa baixo</t>
  </si>
  <si>
    <t>Rua Bento Ferraz</t>
  </si>
  <si>
    <t>505933949</t>
  </si>
  <si>
    <t>(11) 94569-8955</t>
  </si>
  <si>
    <t>THIAGO.MQS12@GMAIL.COM</t>
  </si>
  <si>
    <t>https://www.instagram.com/yshuts/</t>
  </si>
  <si>
    <t>INCOMPLETO - ANALISE E DESENVOLVIMENTO DE SISTEMA</t>
  </si>
  <si>
    <t>https://youtu.be/JFq_nH_KMjw</t>
  </si>
  <si>
    <t>524.220.918-65</t>
  </si>
  <si>
    <t>RAYKA ALVES HERCILIO SILVA</t>
  </si>
  <si>
    <t>Rayka Alves Hercílio Silva</t>
  </si>
  <si>
    <t>542.***.***-51</t>
  </si>
  <si>
    <t>raykaalvesherciliosilva@gmail.com</t>
  </si>
  <si>
    <t>https://yz2spukd8h-jbrk7pf7uvw.s3.amazonaws.com/2024/06/bzZkodIH%2BWmDzTOHpPav8wMGRbdZBJOg2azDYbXHUOg%3D.jpg</t>
  </si>
  <si>
    <t>32838179</t>
  </si>
  <si>
    <t>18 anos, 8 meses, 30 dias</t>
  </si>
  <si>
    <t>JOVEM COM 16 ANOS DE IDADE, DATA DE NASCIMENTO: 19 DE SETEMBRO DE 2007</t>
  </si>
  <si>
    <t>DESCLASSIFICADA</t>
  </si>
  <si>
    <t>Jardim Laura</t>
  </si>
  <si>
    <t>08142-235</t>
  </si>
  <si>
    <t>Rua Manuel Rodrigues Santiago</t>
  </si>
  <si>
    <t>70</t>
  </si>
  <si>
    <t>6250143352</t>
  </si>
  <si>
    <t>(11) 93905-4230</t>
  </si>
  <si>
    <t>RAYKAALVESHERCILIOSILVA@GMAIL.COM</t>
  </si>
  <si>
    <t>https://www.instagram.com/sweet_raay/</t>
  </si>
  <si>
    <t>Meu nome é Rayka Alves Hercílio Silva, tenho 16 anos, e moro no Itaim Paulista, ZL. Estou à procura de uma vaga de jovem aprendiz na área cultural, pois acredito que esta oportunidade me permitirá crescer pessoal e profissionalmente.    Participei de diversas atividades culturais que contribuíram para meu desenvolvimento pessoal e artístico:    Oficina de Canto/Coral na escola Gerando Falcões (10-11 anos).  Oficina de teatro na escola Gerando Falcões (12 anos).  Teatro Vocacional no CEU Parque Veredas (14-15 anos).  Participação no elenco de uma produtora de Teatro Musical para um espetáculo (15 anos).  Essas experiências me prepararam para novos desafios e oportunidades.</t>
  </si>
  <si>
    <t>Atualmente, estou focada em me preparar para obter uma bolsa de estudos na ETEC de artes, ao mesmo tempo em que busco por novas oportunidades com produtoras. Além disso, estou à procura do meu primeiro emprego, pois quero crescer artisticamente. Estou sempre me envolvendo com pessoas do ramo e profissionais desta área para aprender e evoluir constantemente.</t>
  </si>
  <si>
    <t>Acredito que o Programa Jovem Monitor Cultural seja o impulso que eu preciso para crescer profissionalmente e alcançar as coisas que eu desejo. Estar em um ambiente cercado de artistas e pessoas experientes que podem me ensinar coisas novas será uma oportunidade única na minha carreira. Além disso, a troca de experiências e a possibilidade de desenvolver novas habilidades serão fundamentais para o meu crescimento pessoal e profissional.</t>
  </si>
  <si>
    <t>542.311.128-51</t>
  </si>
  <si>
    <t>"nota zero em qualquer das etapas"</t>
  </si>
  <si>
    <t>Michelly Soares Rodrigues</t>
  </si>
  <si>
    <t>max.fsstuff@gmail.com</t>
  </si>
  <si>
    <t>https://yz2spukd8h-jbrk7pf7uvw.s3.amazonaws.com/2024/06/zaVqxHVBPjlZar0vw8Pd9bQXy9h%2B5Vqx84WJhBdfQ2o%3D.jpg</t>
  </si>
  <si>
    <t>23 anos, 6 meses, 29 dias</t>
  </si>
  <si>
    <t>08121-530</t>
  </si>
  <si>
    <t>Rua Sebastião Álvares</t>
  </si>
  <si>
    <t>446</t>
  </si>
  <si>
    <t>536013743</t>
  </si>
  <si>
    <t>(11) 95903-4786</t>
  </si>
  <si>
    <t>MAX.FSSTUFF@GMAIL.COM</t>
  </si>
  <si>
    <t>TECNICO DESING GRAFICO</t>
  </si>
  <si>
    <t>Eu nasci e sempre estive em São Paulo, filho de pais super protetores, nunca tive oportunidade para explorar o mundo com meus próprios olhos, desta forma, passei grande parte de minha infância e adolescia dentro de casa, entretanto, graças a tecnologia, fui capaz de ainda conhecer e aprender mais sobre nosso mundo: cresci sendo uma pessoa bastante imaginativa, criando grande interesse pela arte como forma de expressar minhas ideas e historias desde de pequeno. Sempre adorei jogos, animações e quadrinhos, e desde muito jovem estive criando algo. Apesar de ter passado grande tempo de minha vida em frente telas de computadores, elas nunca me impediram de sonhar grande, e acabaram me inspirando.</t>
  </si>
  <si>
    <t>Recentemente eu tinha terminado um curso de design gráfico na ETEC Carlos de Campos; o que me trouxe novas experiências de aprendizado. Apesar disso, procurar um emprego é difícil e não tive a chance de conseguir um estagio enquanto estudava. Desta forma, atualmente estou apenas trabalhando em projetos pessoais e as vezes fazendo trabalho freelance como illustrator. Eu amo desenhar e também gosto de imaginar historias, então estou tirando esse tempo para focar em minhas criações e aproveitar o que foi feito para ser usado como portfólio.</t>
  </si>
  <si>
    <t>Eu pretendo um dia compartilhar as historias que sempre sonhei desde pequeno para o mundo, buscando trabalhar com game design mas também criar meu próprio website e galeria de arte (virtual) com quadrinhos e outras obras que possam mostrar um pouco do que estava guardado em minha mente. No geral, meu foco é continuar trabalhando com art e permanecer aprimorando minhas habilidades.</t>
  </si>
  <si>
    <t>536.179.028-12</t>
  </si>
  <si>
    <t>Ananda Gregio Capalbo</t>
  </si>
  <si>
    <t>gregiocapalbo@gmail.com</t>
  </si>
  <si>
    <t>https://yz2spukd8h-jbrk7pf7uvw.s3.amazonaws.com/2024/06/BenZ0mEUvvsqxFQ/kOMWGjlqZW9qXH/6MT%2BSGC4PqCk%3D.jpg</t>
  </si>
  <si>
    <t>20 anos, 7 meses, 3 dias</t>
  </si>
  <si>
    <t>03639-050</t>
  </si>
  <si>
    <t>Rua Padre Bernardino Bandeira</t>
  </si>
  <si>
    <t>609223859</t>
  </si>
  <si>
    <t>(11) 98642-4437</t>
  </si>
  <si>
    <t>https://www.instagram.com/anandagregio?igsh=MWkzdGI1am5hYndqMg==</t>
  </si>
  <si>
    <t>Meu nome é Ananda Gregio Capalbo, sou paulistana nascida em Itaquera zona leste de São Paulo onde morei até os meus 7 anos, um pouco antes de completar 8 anos me mudei para a Penha bairro que moro até hoje, quando eu era criança gostava de brincar de atuar, e tinha muita vontade de ser atriz, lembro que em meados de 2015 surgiu um curso no Centro cultural da Penha de teatro infantil, mas não consegui vaga, e fiquei bastante triste, mas depois minha mãe me inscreveu no PIÁ e eu participei, foi uma ótima experiência, nesse ano também descobri que tenho TDHA e tudo o que eu vivi me fez entender um pouco mais quem eu era.</t>
  </si>
  <si>
    <t>Em 2022 eu voltei a ter contato com o Centro Cultural da Penha, fui fazer uma das coisas que eu mais queria, um curso de teatro, acabei fazendo 3 naquele ano e pude experimentar algo novo, me encantei de verdade pelo teatro, e interpretei textos de Shakespeare e Nelson Rodrigues, em 2023 eu entrei para a faculdade de Biologia com bolsa 100% pelo PROUNI, fiz uma oficina de teatro no Centro cultural Vila Formosa e realizamos uma apresentação na mostra teatral, formamos um grupo e nesse ano mandamos um projeto para o programa VAI1. Eu decidi sair da faculdade para me dedicar ao teatro e a cultura.</t>
  </si>
  <si>
    <t>Espero alcançar alguns objetivos, continuo estudando teatro, meu projeto para o programa VAI1 foi deferido e aguardo um resultado, caso seja positivo vou ficar muito feliz em fazer e espalhar a arte do teatro pela periferia de São Paulo, pretendo me profissionalizar nessa área, vou prestar vestibular novamente, mas dessa vez para fazer Artes cênicas, o que eu realmente gosto de fazer, e claro contribuir com a cultura no geral.</t>
  </si>
  <si>
    <t>483.394.148-10</t>
  </si>
  <si>
    <t>Isadora Oliveira Amorim</t>
  </si>
  <si>
    <t>IZZY AMORIM</t>
  </si>
  <si>
    <t>Izzy Amorim</t>
  </si>
  <si>
    <t>isaamorim654@gmail.com</t>
  </si>
  <si>
    <t>https://yz2spukd8h-jbrk7pf7uvw.s3.amazonaws.com/2024/06/i5YcarDNAMqTCOJL0xTip4RvWHNUKSM94dawjdarGK0%3D.jpeg</t>
  </si>
  <si>
    <t>23 anos, 5 meses, 13 dias</t>
  </si>
  <si>
    <t xml:space="preserve">CONCLUIU O TÉCNICO </t>
  </si>
  <si>
    <t>03512-050</t>
  </si>
  <si>
    <t>Apto. 13</t>
  </si>
  <si>
    <t>Rua Hercília</t>
  </si>
  <si>
    <t>513</t>
  </si>
  <si>
    <t>558376605</t>
  </si>
  <si>
    <t>(11) 98192-3845</t>
  </si>
  <si>
    <t>ISAAMORIM654@GMAIL.COM</t>
  </si>
  <si>
    <t>https://www.instagram.com/izzyaamorim/</t>
  </si>
  <si>
    <t>Me chamo Isadora, mas uso Izzy Amorim como nome artístico. Eu tenho 23 anos, nascida em São Paulo, mas morei praticamente a vida inteira em Guarulhos. Agora moro em São Paulo novamente, Vila Matilde. Eu venho de uma família com uma veia artística muito forte. Boa parte deles toca algum instrumento ou cantam. Eles sempre valorizaram muito a cultura, então desde muito nova eu frequentei espaços culturais e sempre amei muito assistir, até que decidi fazer parte desse meio artístico também.</t>
  </si>
  <si>
    <t>Como sempre foi algo natural para mim, eu canto desde bem pequena e sempre gostei de me fantasiar e contar histórias. Em 2022 me formei como atriz no curso Técnico de Teatro na Etec de Artes, que fica no Carandiru. Mas estudo Teatro desde 2017. Fiz alguns outros cursos profissionalizantes também de Teatro (ETA) e algumas oficinas de canto (Laura Carolinah, Lucca Gussoni) e dança (Adamastor). Atualmente eu trabalho com Teatro musical e eventos culturais como festas infantis, contações de história, etc. Estou buscando me aperfeiçoar e agora estou fazendo um cursos de ópera e de dança, ambos na Fábrica de Cultura Parque Belém.</t>
  </si>
  <si>
    <t>Atualmente o meu maior desejo é poder viver de arte e espalhando cultura por aí. Tenho o objetivo de me aperfeiçoar e poder trabalhar em grandes musicais, assim como também quero conseguir abrir a minha própria produtora de eventos e personagens vivos. Com isso, entendo que ainda tenho muito o que aprender e acredito que estar trabalhando diretamente com essa parte de gestão cultural, vá me agregar muito. E eu quero também de alguma forma poder contribuir com tudo que eu aprendi com a minha caminhada na arte até agora.</t>
  </si>
  <si>
    <t>504.043.128-70</t>
  </si>
  <si>
    <t>Juliana Andrez Silva</t>
  </si>
  <si>
    <t>judaasilvas@gmail.com</t>
  </si>
  <si>
    <t>https://yz2spukd8h-jbrk7pf7uvw.s3.amazonaws.com/2024/06/BR31KFIt2p1ascCrL9sTof9tJ7XgRlZOZllxt90Jx%2BM%3D.jpg</t>
  </si>
  <si>
    <t>23 anos, 4 meses, 9 dias</t>
  </si>
  <si>
    <t>Vila Iolanda(Lajeado)</t>
  </si>
  <si>
    <t>08451-015</t>
  </si>
  <si>
    <t>Rua Japebaçu</t>
  </si>
  <si>
    <t>504162640</t>
  </si>
  <si>
    <t>(11) 99906-7175</t>
  </si>
  <si>
    <t>JUDASILVA@GMAIL.COM</t>
  </si>
  <si>
    <t>https://www.instagram.com/tranquilaycalma/   https://www.instagram.com/sarauartecura/  https://www.instagram.com/casatranquilaycalma/</t>
  </si>
  <si>
    <t>NATUROLOGIA</t>
  </si>
  <si>
    <t>https://www.youtube.com/watch?v=NTnXgReBkLU</t>
  </si>
  <si>
    <t>507.097.238-30</t>
  </si>
  <si>
    <t>LUCAS SILVA DA COSTA</t>
  </si>
  <si>
    <t>Lucas Silva Da Costa</t>
  </si>
  <si>
    <t>luctwantnf01@gmail.com</t>
  </si>
  <si>
    <t>https://yz2spukd8h-jbrk7pf7uvw.s3.amazonaws.com/2024/06/SlPmndmBQ2Dyk1iws9sXQpi0OeFFgLkRlbrwWAd5MhY%3D.jpeg</t>
  </si>
  <si>
    <t>28 anos, 4 meses, 9 dias</t>
  </si>
  <si>
    <t>02977-320</t>
  </si>
  <si>
    <t>Rua sem saída</t>
  </si>
  <si>
    <t>Rua Dois</t>
  </si>
  <si>
    <t>5071543608</t>
  </si>
  <si>
    <t>(11) 93438-0581</t>
  </si>
  <si>
    <t>LUCTWAN01@GMAIL.COM</t>
  </si>
  <si>
    <t>Sou Lucas, tenho 28 anos, sou filho de dois nordestinos, nasci em Santo André, atualmente residimos nessa comunidade a 16 anos. Fui criado no nordeste passei minha infância em Capoeiras - PE. Somos uma família de origem trabalhadora. Sempre almejei evoluir independente das dificuldades, e os meios culturais e o esportes sempre foram uma válvula de escape pra certas frustações.</t>
  </si>
  <si>
    <t>Atualmente estou focado em ter um trabalho significativo, que promova algo. Trabalho a 11 anos na área de logística, mas e bem difícil conseguir oportunidades reais, quero experimentar algo novo, sou um ótimo comunicador, pontual e muito dedicado no que faço. Tenho envolvimento com musica e projetos sócias em minha comunidade, tenho um coletivo artístico, onde através da arte alcançar novas perspectivas.</t>
  </si>
  <si>
    <t>Vivo um dia após o outro, buscando evolução pessoal e profissional. Tenho muitos planos, mas também sou muito paciente, tenho minhas ambições, mas giram em torno de viver bem com o necessário. Sei oque estou plantando e a colheita vira, não me pego pensando daqui as anos, mas sempre estou aprendendo e evoluindo, isso me deixa tranquilo. Quero um futuro confortável.</t>
  </si>
  <si>
    <t>427.992.998-06</t>
  </si>
  <si>
    <t>Matheus Lucena Ady Dos Santos</t>
  </si>
  <si>
    <t>matheusadyy@gmail.com</t>
  </si>
  <si>
    <t>https://yz2spukd8h-jbrk7pf7uvw.s3.amazonaws.com/2024/05/PXDMaltOWzFdzYcs4aN4HUO%2BWIR2S%2BfB9RUkpmunmFw%3D.jpg</t>
  </si>
  <si>
    <t>25 anos, 6 meses, 6 dias</t>
  </si>
  <si>
    <t>Jardim Arpoador</t>
  </si>
  <si>
    <t>05565-000</t>
  </si>
  <si>
    <t>RAPOSO TAVARES</t>
  </si>
  <si>
    <t>Avenida General Asdrúbal da Cunha</t>
  </si>
  <si>
    <t>209179209</t>
  </si>
  <si>
    <t>(11) 95290-7235</t>
  </si>
  <si>
    <t>https://www.instagram.com/atritoz?utm_source=ig_web_button_share_sheet&amp;igsh=ZDNlZDc0MzIxNw==</t>
  </si>
  <si>
    <t xml:space="preserve">Informática </t>
  </si>
  <si>
    <t>Eu sou o Matheus Lucena, tenho 25 anos, eu vim do Cidade Intercap, Zona Oeste, e cresci imerso na cultura do rap, apesar de minha família ser conservadora. Por esse motivo, sempre me encontrei questionando certos padrões e me baseando na vivência das ruas de São Paulo. O lugar onde cresci e as músicas que ouço, como Racionais MCS, são espelhos de quem sou e de onde vim.</t>
  </si>
  <si>
    <t>Eu estou procurando um espaço onde eu posso mostrar realmente quem sou e o que posso fazer, sem ser julgado pela minha aparência. Por isso, atualmente moro com minha namorada, mas meu objetivo é voltar para o Intercap com ela. A minha realidade mostra o quão importante é ter um trabalho inclusivo, principalmente na cena cultural, que já se abriu bastante, mas precisa se abrir a diversidade ainda mais.</t>
  </si>
  <si>
    <t>Eu vou onde eu inspire e ensine quem está começando, mesmo que as dificuldades de trabalhar com cultura e ensinar outros jovens a fomentar a cena seja dificil, mas é para isso que eu vim ao mundo, para fazer a diferença e oferecer oportunidade. Por ser homem, cis e hetero, percebo que ainda há muito preconceito, e estou aqui para acabar com isso.</t>
  </si>
  <si>
    <t>478.711.048-96</t>
  </si>
  <si>
    <t>penellope.nyffenegger@hotmail.com</t>
  </si>
  <si>
    <t>https://yz2spukd8h-jbrk7pf7uvw.s3.amazonaws.com/2024/05/S2XdAtBeFLGZ4YmliT6SP8Iam7mQiL7Ljt9PTIbGB/c%3D.jpg</t>
  </si>
  <si>
    <t>24 anos, 10 meses, 23 dias</t>
  </si>
  <si>
    <t>04015-050</t>
  </si>
  <si>
    <t>13 B</t>
  </si>
  <si>
    <t>Rua Morgado de Mateus</t>
  </si>
  <si>
    <t>53.880.175-x</t>
  </si>
  <si>
    <t>(11) 96361-2381</t>
  </si>
  <si>
    <t>15525321495</t>
  </si>
  <si>
    <t>Meu nome é Penellope, tenho 24 anos, sou estudante do curso de História pela FMU, atualmente faço estágio pela prefeitura de SP em uma escola municipal. É a primeira vez que trabalho com algo remotamente ligado ao meu curso. Meu sonho sempre foi trabalhar no campo cultural, em museus, nas casas de cultura, desde pequena minha mãe foi a única que me incentivava a ir aos museus, sempre me levava. Hoje fazendo História vejo a importância desses locais, não só o museus, mas as casas de cultura, bibliotecas, etc, é de grande importância para conectar a população a cultura do nosso país e nossas raízes.</t>
  </si>
  <si>
    <t>Atualmente moro no bairro de Vila Mariana, passando por algumas dificuldades financeiras e questões de estágio e faculdade não possuo muito tempo, mas quando o tenho, costumo ir ao Centro Cultural São Paulo (CCSP), a Cinemateca. Já participei de movimentos sociais, onde havia uma ligação com o bairro onde foi criado e desenvolviam diversas atividades e engajamento da população do local. Eu queria muito me envolver dessa forma com o meu bairro e acredito que fazendo parte do PJMC vou conseguir desenvolver isso.</t>
  </si>
  <si>
    <t>Como falei anteriormente, meu sonho é trabalhar no campo cultural, mais especificamente com pâtrimonio histórico, também tenho grande paixão pelas casas de cultura, já visistei várias pela cidade de São Paulo e foram sempre momentos inesquecíveis, adoraria fazer parte da construção desses locais que em momentos de lazer me proporcionaram muitas memórias boas. Além, da questão já dita, eu adoraria trabalhar dentro da minha área que é o curso de História, em museus e etc, mas na minha visão as casas de cultura são nossos museus, o museu do jovem.</t>
  </si>
  <si>
    <t>405.891.018-62</t>
  </si>
  <si>
    <t>CARINE GIOVANA SANTOS</t>
  </si>
  <si>
    <t>Carine Giovana Santos</t>
  </si>
  <si>
    <t>CARINE Giovana SANTOS</t>
  </si>
  <si>
    <t>Carine Santos</t>
  </si>
  <si>
    <t>carinegiovana1@gmail.com</t>
  </si>
  <si>
    <t>https://yz2spukd8h-jbrk7pf7uvw.s3.amazonaws.com/2024/06/5yuBPNosxjCNO14S/SRrzMA%2BoeJYymo6GDBqQyoWInI%3D.jpg</t>
  </si>
  <si>
    <t>25 anos, 0 meses, 10 dias</t>
  </si>
  <si>
    <t>CARINE SANTOS</t>
  </si>
  <si>
    <t>08245-100</t>
  </si>
  <si>
    <t>Rua Padre Antão Jorge</t>
  </si>
  <si>
    <t>696</t>
  </si>
  <si>
    <t>367504200</t>
  </si>
  <si>
    <t>(11) 95822-4465</t>
  </si>
  <si>
    <t>https://www.instagram.com/carineg_?igsh=MWZmZnd1bG8yZzBqeg==</t>
  </si>
  <si>
    <t>Superior em Rádio tv</t>
  </si>
  <si>
    <t>Sou Carine Santos, da zona leste de São Paulo. Cresci investindo em formações públicas do Estado e bolsas de estudo, sabendo que o ensino e a formação cultural são o que proporciona uma oportunidade para o jovem da periferia.   Em 2012, enquanto realizava formações artísticas na ONG Cesomar, próximo de onde moro na Vila Progresso, decidi que iria fazer cinema e tudo que contempla artes.     Sou formada pelo Centro de Línguas do Estado de São Paulo em francês, e também cursei técnico em moda na ETEC Carlos de Campos. Enquanto fazia o ensino médio, francês e o técnico em moda, também cursei audiovisual no Centro Cultural Parque Raul Seixas. Onde terminei todos meus estudos em 2017.</t>
  </si>
  <si>
    <t>Formada em Rádio e Tv em 2021 com bolsa 100% pelo ProUni, hoje acúmulo premiaçõoes e reconhecimentos na área audiovisual. Estudei na EICTV - Escuela Internacional de Cine y televisión em Cuba, ganhadora de uma bolsa de incentivo pela SPCine, da rede afirmativa. Meu último trabalho foi no setor Audiovisual da APAA - Associação Paulista dos Amigos da Arte, onde tive meu término de contrato em maio de 2024.</t>
  </si>
  <si>
    <t>Desempregada, gostaria de ter uma oportunidade sendo monitora cultural, para poder continuar desenvolvendo minhas habilidades no setor cultural e tendo um retorno financeiro para conseguir financiar meus estudos no exterior, além de poder contribuir para os equipamentos e espaços culturais que engrandecem meus conhecimentos. Ser monitora cultural promoveria uma mudança na minha vida, poderia continuar no setor cultural e investir nos meus estudos com estabilidade, tendo uma garantia de renda que o freelance não me permite ter.</t>
  </si>
  <si>
    <t>455.877.898-88</t>
  </si>
  <si>
    <t>Lyvia Emanuelly Souza Alves</t>
  </si>
  <si>
    <t>lyvia.emanuelly@gmail.com</t>
  </si>
  <si>
    <t>https://yz2spukd8h-jbrk7pf7uvw.s3.amazonaws.com/2024/05/rfnC81unLAItzM%2BglGOmgxbEKLbKfXGVMzvLVu89LiY%3D.jpg</t>
  </si>
  <si>
    <t>24 anos, 5 meses, 0 dias</t>
  </si>
  <si>
    <t>Vila Rosaria</t>
  </si>
  <si>
    <t>08021-030</t>
  </si>
  <si>
    <t>C</t>
  </si>
  <si>
    <t>Rua Pedro de Melo</t>
  </si>
  <si>
    <t>679073474</t>
  </si>
  <si>
    <t>(11) 94010-3293</t>
  </si>
  <si>
    <t>https://www.instagram.com/lyv_x/</t>
  </si>
  <si>
    <t>HISTORIA DA ARTE</t>
  </si>
  <si>
    <t>LYV é uma artista visual e estudante de história da arte nascida no Gama-DF, atualmente morando em São Miguel Paulista-SP e trabalhando com pintura, audiovisual e artes digitais. Suas obras refletem sobre o empoderamento de corpos negros e suas interseccionalidades a partir do retrato e do autorretrato, assim criando um diálogo entre a representação de pessoas da periferia com linguagens técnicas clássicas na história da arte como aquarela e acrílica sobre tela. Recentemente, participou do beco dos artistas da Perifacon 2023, expôs na galeria A Gentil Carioca  e desenvolveu pinturas digitais para organizações que atuam na defesa dos direitos humanos como a Front Line Defenders e AOTA.</t>
  </si>
  <si>
    <t>Enquanto uma pessoa nascida no cerrado e vinda de uma família de imigrantes nordestinos que se mudaram pro Gama-DF durante a construção de Brasília em busca de melhores condições de vida, atualmente me sinto em casa morando em São Miguel Paulista, região conhecida pela migração e valorização da cultura nordestina em São Paulo. Dessa forma me reconheço nos meus antepassados e nesse território quando venho pra São Paulo buscando melhorias e formação profissional. Para além da busca de qualidade de vida através da educação e profissionalização posso dizer que me sinto pertencente desse território através da cultura, seja na produção audiovisual ou bailes e soundsystem's da região.</t>
  </si>
  <si>
    <t>Vejo no PJMC uma oportunidade sólida de dar mais um passo na jornada de profissionalização na área de arte e cultura, visto o quão exclusivo e elitista é o mundo da arte e como é complicado se inserir nesse mercado profissional e conseguir formações que envolvam produção cultural, gestão da cultura, comunicação e afins. Ao acompanhar a atuação do programa posso perceber o quão essencial ele é pra inclusão de pessoas periféricas no ramo da cultura e acho que seria uma troca importante pra minha carreira e produção artistica fazer parte do projeto.</t>
  </si>
  <si>
    <t>057.961.281-32</t>
  </si>
  <si>
    <t>Gabriel Cerqueira Emidio</t>
  </si>
  <si>
    <t>gabrielcemidio@gmail.com</t>
  </si>
  <si>
    <t>https://yz2spukd8h-jbrk7pf7uvw.s3.amazonaws.com/2024/06/U95HquyaB5Esy9x%2BlmU4lrSQY5NDJYbGVTz3VF7xN/s%3D.png</t>
  </si>
  <si>
    <t>24 anos, 0 meses, 19 dias</t>
  </si>
  <si>
    <t>02281-110</t>
  </si>
  <si>
    <t>Rua Alpheu Luiz Gasparino</t>
  </si>
  <si>
    <t>377196320</t>
  </si>
  <si>
    <t>(11) 96551-9578</t>
  </si>
  <si>
    <t>11-965519578</t>
  </si>
  <si>
    <t xml:space="preserve">psicologia e administração </t>
  </si>
  <si>
    <t>Me chamo Gabriel, tenho 24 anos e sou residente da Vila Nova Galvão, localizada na zona norte de São Paulo. Venho de uma família humilde, onde sempre aprendi o valor do trabalho e da perseverança. Desde jovem, enfrentei desafios que moldaram meu caráter e minhas aspirações.    Durante quatro anos, trabalhei como assistente de saúde, uma experiência que não só ampliou minhas habilidades técnicas, mas também me proporcionou uma compreensão profunda da importância do cuidado com o próximo e do impacto que pequenas ações podem ter na vida das pessoas. Paralelamente, concluí minha formação em eletrônica, o que me deu uma base sólida em tecnologia e resolução de problemas.</t>
  </si>
  <si>
    <t>Atualmente, estou em busca de novas oportunidades para expandir minha carreira cultural. Estou participando de um processo seletivo para uma bolsa de emprego cultural. Esta bolsa representa para mim a chance de unir minhas habilidades técnicas, conhecimentos acadêmicos e minha paixão pela arte e cultura, contribuindo para o enriquecimento cultural da minha comunidade e do nosso estado</t>
  </si>
  <si>
    <t>Quero contribuir para projetos que promovam a inclusão cultural e que utilizem a arte como ferramenta de transformação social. Acredito que minha formação multidisciplinar e meu histórico de dedicação podem agregar valor significativo à instituição e aos projetos desenvolvidos.    Espero, com essa oportunidade, poder continuar crescendo pessoal e profissionalmente, ao mesmo tempo que contribuo para a comunidade e para o cenário cultural do nosso país. Para onde vou? Vou em direção a um futuro onde minhas habilidades possam ser plenamente aproveitadas para fazer a diferença na vida das pessoas através da cultura e da arte.</t>
  </si>
  <si>
    <t>488.535.908-23</t>
  </si>
  <si>
    <t>LEONARDO ANASTACIO EDUARDO</t>
  </si>
  <si>
    <t>Leonardo Anastácio Eduardo</t>
  </si>
  <si>
    <t>Mênade Anastácio Eduardo</t>
  </si>
  <si>
    <t>menadetm@gmail.com</t>
  </si>
  <si>
    <t>https://yz2spukd8h-jbrk7pf7uvw.s3.amazonaws.com/2024/05/3rgV%2BTonuN2eTFlLXFgluW1z88stpoan6azHUKL/WSw%3D.png</t>
  </si>
  <si>
    <t>05360-120</t>
  </si>
  <si>
    <t>Rua Aquianes, Tv. Roberto de Barros</t>
  </si>
  <si>
    <t>667181933</t>
  </si>
  <si>
    <t>(11) 96461-9278</t>
  </si>
  <si>
    <t>https://www.instagram.com/odonodessacontafoimorto/?next=%2F</t>
  </si>
  <si>
    <t>Ciências Sociais</t>
  </si>
  <si>
    <t>Me chamo Mênade, tenho 22 anos. Nasci em Diadema - SP, porém foi em Salvador - BA que cresci. Frequentei os projetos sociais do Candeal, bairro histórico de Salvador, rico em cultura afro. Lá aprendi capoeira, percussão e diversas manifestações culturais da região que moldaram quem sou hoje. Sempre mudando de lugar em lugar (São Paulo, Minas Gerais, Bahia), pude, desde cedo, entender as diferenças culturais e a diversidade do Brasil. Sempre morei nas periferias brasileiras ao mesmo tempo que tive um enorme impulso aos estudos. Nessa contradição, entre esses dois mundos "intelectual" e "popular" vi a importância da cultura e da arte para a sociedade na construção de laços com o território.</t>
  </si>
  <si>
    <t>Atualmente, vivo na Favela São Remo, comunidade próxima ao campus Butantã da USP. Sou estudante de C. Sociais (USP) e, atualmente, bolsista de iniciação científica em Política Internacional. Além disso, sou multiartista, utilizando performances, fotografia, poesia, artes visuais e outras linguagens para compor um corpus artístico que expresse a dissidência de gênero, violências sociais, negação dos modelos de subjetivação dominantes, a animalidade e os sonhos. Um dos meus focos artísticos foi na cena de techno de São Paulo, participando de maneira artística nos eventos e com uma pesquisa etnográfica , chamada "No Front" sobre esses eventos e sua inclusão social e uso do espaço público.</t>
  </si>
  <si>
    <t>Atualmente me encontro em uma dificuldade financeira, pois vivo com minha namorada e nossa renda é somente a partir da bolsa de pesquisa e do auxílio permanência da universidade. Porém, com o apoio certo a partir do programa, eu poderia me estabilizar e correr atrás dos meus sonhos. Eu pretendo expandir minha arte nos lugares que achar brechas para propagar a mensagem de um corpo periférico, não-binárie e negro que insiste na insubmissão e na ocupação de espaços comuns para incentivo a cultura. Assim, unindo arte, ciência (social), e saberes populares da margem, criando espaços de diálogo e arte. Gostaria, também, de em algum momento poder estudar História da Arte no exterior.</t>
  </si>
  <si>
    <t>506.297.078-47</t>
  </si>
  <si>
    <t>Marcello Lima</t>
  </si>
  <si>
    <t>m.lima.mah@gmail.com</t>
  </si>
  <si>
    <t>https://yz2spukd8h-jbrk7pf7uvw.s3.amazonaws.com/2024/05/UMJaupwwoXCBnVPyB1dZs%2BH%2B37rASqWFXBEsKYrEHlY%3D.png</t>
  </si>
  <si>
    <t>23 anos, 5 meses, 3 dias</t>
  </si>
  <si>
    <t>08473-730</t>
  </si>
  <si>
    <t>Rua Umuarama</t>
  </si>
  <si>
    <t>537087321</t>
  </si>
  <si>
    <t>(11) 95495-9514</t>
  </si>
  <si>
    <t>https://www.instagram.com/maucelloo?igsh=ZGl1ZWtjNHVpZ3Zy&amp;utm_source=qr</t>
  </si>
  <si>
    <t>https://drive.google.com/file/d/1olkyvv9zMkCaEMg0DUW36VlHfuwskSWJ/view?usp=drivesdk</t>
  </si>
  <si>
    <t>496.245.728-44</t>
  </si>
  <si>
    <t>Juan Matias De Lucena Pedrozo</t>
  </si>
  <si>
    <t>juanmatias012@gmail.com</t>
  </si>
  <si>
    <t>https://yz2spukd8h-jbrk7pf7uvw.s3.amazonaws.com/2024/04/s%2BSesG8aBIeV%2BR/iSxcXG38iPaHG6J2SyCP7B50YSWQ%3D.jpg</t>
  </si>
  <si>
    <t>23 anos, 2 meses, 2 dias</t>
  </si>
  <si>
    <t>02422-120</t>
  </si>
  <si>
    <t>Apto 07</t>
  </si>
  <si>
    <t>Rua Professor Roger Bastide</t>
  </si>
  <si>
    <t>243</t>
  </si>
  <si>
    <t>526662517</t>
  </si>
  <si>
    <t>(11) 94233-1347</t>
  </si>
  <si>
    <t>https://www.instagram.com/juan.matiaslu?igsh=MWN6YmZsbDhwMzNwdg==</t>
  </si>
  <si>
    <t>tec - informatica</t>
  </si>
  <si>
    <t>Sou de São Paulo, cresci no bairro do Mandaqui e estudei meu Ensino Fundamental e Médio em escola publica, nas escolas E.M.E.F Comandante Gastão Moutinho e E.E Prof. Paul Hugon respectivamente. Após finalizar o todo o ensino básico em 2018 entrei no ano seguinte (2019) no curso pré-vestibular da ACEPUSP, para entrar na faculdade, porém infelizmente não tive sucesso ao tentar ingressar no Ensino superior.    Em 2020 comecei uma marca de camisetas com um amigo, onde abordamos questões socias e ambientais, produzi ilustrações e me responsabilizei pelas redes socias.    No segundo semestre de 2022 entrei na ETEC Carlos de Campus para cursar Design Gráfico e conclui o curso no final do ano de 2023.</t>
  </si>
  <si>
    <t>Atualmente estou trabalhando na imobiliária Farol  Azul, onde auxilio os corretores na busca de imóveis para clientes, alinho com clientes e proprietários apenas agendamento de visitas aos imóveis, além disso, trabalho na parte de design da imobiliária, formulando a estética do site principalmente,    Apesar de estar trabalhando, sigo estudando para entrar no Ensino Superior pela plataforma da Descomplica.</t>
  </si>
  <si>
    <t>Pretendo cursar preferencialmente Design, pois pretendo atuar em diversas frentes dessa área ou se correlacionam (gráfico, digital, jogos, multimídia, expografias, etc), no entanto, me interesso também pelo Audiovisual, portanto estou procurando ser um profissional que não irá se limitar a somente um ambiente. Busco ser um individuo multifacetado para a melhor atuação dentro de uma empresa ou instituição, para dialogar sobre as diversas propostas que a mesma se propor a realizar.</t>
  </si>
  <si>
    <t>498.368.178-75</t>
  </si>
  <si>
    <t>Fernando Nobre Candido</t>
  </si>
  <si>
    <t>fernandonobrecandido@gmail.com</t>
  </si>
  <si>
    <t>https://yz2spukd8h-jbrk7pf7uvw.s3.amazonaws.com/2024/06/T6VJPJ5YeesyvHEcCvqHAPlH%2BmFjU/jYC%2BEISwysVMs%3D.jpg</t>
  </si>
  <si>
    <t>18 anos, 4 meses, 4 dias</t>
  </si>
  <si>
    <t>Vila Nova Cachoeirinha</t>
  </si>
  <si>
    <t>02430-008</t>
  </si>
  <si>
    <t>Rua Torre da Boa Viagem</t>
  </si>
  <si>
    <t>548153000</t>
  </si>
  <si>
    <t>(11) 97265-2935</t>
  </si>
  <si>
    <t>11-972652935</t>
  </si>
  <si>
    <t>comunicação visual</t>
  </si>
  <si>
    <t>https://youtu.be/CERNjB4VNfA</t>
  </si>
  <si>
    <t>432.756.598-98</t>
  </si>
  <si>
    <t>Carolina Maria Dos Santos Lopes</t>
  </si>
  <si>
    <t>carolinamaria535@gmail.com</t>
  </si>
  <si>
    <t>https://yz2spukd8h-jbrk7pf7uvw.s3.amazonaws.com/2024/06/FXTggjOpNAsu/dNELV8%2B/Kot%2BVlWDyqUble1OWlTIy4%3D.png</t>
  </si>
  <si>
    <t>24 anos, 3 meses, 2 dias</t>
  </si>
  <si>
    <t>Imirim</t>
  </si>
  <si>
    <t>02540-120</t>
  </si>
  <si>
    <t>Rua Galeb Safady</t>
  </si>
  <si>
    <t>374713108</t>
  </si>
  <si>
    <t>(11) 96351-3160</t>
  </si>
  <si>
    <t xml:space="preserve">desenvolvimento de sistema </t>
  </si>
  <si>
    <t>https://youtu.be/q_otUpV3Sc0?si=wm0nBJ0SgmHC5xep</t>
  </si>
  <si>
    <t>401.779.498-05</t>
  </si>
  <si>
    <t>Vinicius Armando Gonzales Do Nascimento</t>
  </si>
  <si>
    <t>viniciemsexto@gmail.com</t>
  </si>
  <si>
    <t>https://yz2spukd8h-jbrk7pf7uvw.s3.amazonaws.com/2024/06/AtkgmM2uPKaKaHR8lXR8LuFlF4wqJlDSi35jhYGOYEM%3D.jpeg</t>
  </si>
  <si>
    <t>Jardim Mutinga</t>
  </si>
  <si>
    <t>05159-180</t>
  </si>
  <si>
    <t>Rua Frederico Lecor</t>
  </si>
  <si>
    <t>528515779</t>
  </si>
  <si>
    <t>(11) 96358-2209</t>
  </si>
  <si>
    <t>vinici.us.agm00@gmail.com</t>
  </si>
  <si>
    <t>https://www.instagram.com/vinicius.agn_kp?igsh=MWhpanM4am5oNnBtNw==</t>
  </si>
  <si>
    <t>LICENCIATURA EM EDUCOMUNICAÇÃO</t>
  </si>
  <si>
    <t>CEU JAGUARÉ</t>
  </si>
  <si>
    <t>CEU VILA ATLÂNTICA</t>
  </si>
  <si>
    <t>Cresci na região sul da cidade de São Paulo. As margens de Embu das Artes e Itapecerica da Serra. Próximo ao capão redondo, onde passei toda infância   Aos 16 anos minha família e eu nos mudamos para Pirituba, no endereço onde estou até hoje.   Durante o ensino médio desbravei a cidade de São Paulo e descobri muitas coisas. Me aproximei da fotografia, da musica feita na rua, e das artes urbanas nas mais diversas linguagens  que acontecem nas periferias.</t>
  </si>
  <si>
    <t>Após a conclusão do ensino médio, consegui ter acesso a uma faculdade pública e estudar na Universidade de São Paulo.  Onde estou me graduando em Licenciatura em Educomunicação  Ingressei em 2020 e logo veio a pandemia, o que me fez ter muitas dificuldades de permanência, porem segui.  Em 2022 passei a fazer parte do coletivo CANiL - Espaços Fluxus de Cultura. Com o passar do tempo fui me tornando cada vez mais responsável  pela idealização e produção de produtos culturais na cidade universitária através do Coletivo, como oficinas de dj, festas, exposições.   Hoje sou principalmente responsavel pela montagem de sistemas de som e  Assitencia Eletrica</t>
  </si>
  <si>
    <t>Atualmente estou fazendo uma oficina no CC Tendal da Lapa sobre elaboração de projetos Artistico Culturais.  Que é o que pretendo seguir fazendo. Idealizando, produzindo e trabalhando em produçoes culturais e com equipamentos de cultura.  Acredito que me tornar um jovem monitor cultural vai ser muito valioso para a minha formação cultural, profissioal e como cidadão</t>
  </si>
  <si>
    <t>NORTE - 10</t>
  </si>
  <si>
    <t>503.350.418-50</t>
  </si>
  <si>
    <t>LUCAS VILLAÇA DA SILVA</t>
  </si>
  <si>
    <t>lucas.villaca@live.com</t>
  </si>
  <si>
    <t>https://yz2spukd8h-jbrk7pf7uvw.s3.amazonaws.com/2024/05/oPZ3ZZdQK7T8iHXxikcqYBpVVaO4fbGxr%2Bujg9V0tYk%3D.png</t>
  </si>
  <si>
    <t>27 anos, 0 meses, 30 dias</t>
  </si>
  <si>
    <t>03081-015</t>
  </si>
  <si>
    <t>46b</t>
  </si>
  <si>
    <t>Rua Tuiuti</t>
  </si>
  <si>
    <t>770</t>
  </si>
  <si>
    <t>37081723-0</t>
  </si>
  <si>
    <t>(11) 97158-8007</t>
  </si>
  <si>
    <t>LUCAS.VILLACA@LIVE.COM</t>
  </si>
  <si>
    <t>https://www.instagram.com/pegasutv/</t>
  </si>
  <si>
    <t>https://youtu.be/6wss7YJv7RM</t>
  </si>
  <si>
    <t>410.562.068-10</t>
  </si>
  <si>
    <t>Paulo Henrique Corrêa Azevedo</t>
  </si>
  <si>
    <t>Paulo</t>
  </si>
  <si>
    <t>phcorrea.011@gmail.com</t>
  </si>
  <si>
    <t>https://yz2spukd8h-jbrk7pf7uvw.s3.amazonaws.com/2024/06/w8gFd7ix7gPs4VuQWguM1Cvbz7UUuTxqRM2wYSyriHE%3D.jpg</t>
  </si>
  <si>
    <t>23 anos, 8 meses, 9 dias</t>
  </si>
  <si>
    <t>PAULO</t>
  </si>
  <si>
    <t>parque assunção</t>
  </si>
  <si>
    <t>00000-000</t>
  </si>
  <si>
    <t>ap 24</t>
  </si>
  <si>
    <t>condomínio manacá da serra</t>
  </si>
  <si>
    <t>187</t>
  </si>
  <si>
    <t>291026112</t>
  </si>
  <si>
    <t>(11) 98374-9097</t>
  </si>
  <si>
    <t>PHCORREA.011@GMAIL.COM</t>
  </si>
  <si>
    <t>https://www.instagram.com/phc.tattoos/</t>
  </si>
  <si>
    <t>Sou ex morador da região da Zona sul de São Paulo. Atualmente estou em Taboão da Serra em divisa com Embu/Vila Sonia. Moro próximo a Prefeitura da região e estou na região de fácil acesso ao centro/BR/Regis Bittencourt. Já trabalhei com logística mas minha área de interesse e formação mesmo são as Artes Visuais e Plásticas.........................</t>
  </si>
  <si>
    <t>Como citado, atualmente resido na região centro-oeste de São Paulo, estou procurando oportunidades na área e já tive experiência com o SESC em atendimento ao público/ além disso também estagiei em 2 empresas com o Design gráfico para mídias sociais, foi uma ótima experiência para capacitação pessoal e na formação da mediação cultural de atendimento</t>
  </si>
  <si>
    <t>Meu intuito é trabalhar minha carreira artística e pessoal e desenvolver minha linguagem de pesquisa própria. Tenho 7 anos de experiência na área de autônomo e estou há 3 anos e meio na faculdade, meu intuito com isso é aprimorar meu repertório artístico e poder influenciar meu network e referências pessoais em prol do avanço da cultura na cidade de SP</t>
  </si>
  <si>
    <t>CENTRO - 4</t>
  </si>
  <si>
    <t>349.694.028-09</t>
  </si>
  <si>
    <t>RAPHAELLA CRISTINA NASCIMENTO DE MELLO</t>
  </si>
  <si>
    <t>Raphaella Cristina Nascimento De Mello</t>
  </si>
  <si>
    <t>RAPHAELLA</t>
  </si>
  <si>
    <t>Raphaella</t>
  </si>
  <si>
    <t>raphaellamello.sp@gmail.com</t>
  </si>
  <si>
    <t>https://yz2spukd8h-jbrk7pf7uvw.s3.amazonaws.com/2024/06/qn6REj8noTOCiGH%2B3/HqgYje8l18oHvsThpgs9Qafao%3D.jpeg</t>
  </si>
  <si>
    <t>19 anos, 11 meses, 7 dias</t>
  </si>
  <si>
    <t>EM  FORMAÇÃO  SUJPERIOR  EM LICENCIATURA  DE  HISTÓRIA</t>
  </si>
  <si>
    <t>08021-020</t>
  </si>
  <si>
    <t>Rua Maria Branca</t>
  </si>
  <si>
    <t>596</t>
  </si>
  <si>
    <t>59 . 8 2 0 . 2 7 1 - 7</t>
  </si>
  <si>
    <t>(11) 97741-6009</t>
  </si>
  <si>
    <t>RAPHAELLAMELLO.SP@GMAIL.COM</t>
  </si>
  <si>
    <t>LICENCIATURA  EM HISTORIA</t>
  </si>
  <si>
    <t>Meu nome é Raphaella e fui  criada  do interior de Mogi das Cruzes . Desde criança, sempre fui apaixonada por arte recorte, pintura entre outros e histórias do cotidiano e lendas. Essa paixão me acompanhou ao longo dos anos e, durante o ensino médio, tive a oportunidade de descobrir meu amor pela história.  Desde então, tenho trilhado o caminho da história, buscando conhecimento e aprofundando minha compreensão das narrativas que moldaram o mundo ao nosso redor. Acredito que a história é uma ferramenta poderosa para entender o presente e construir um futuro melhor.  Acredito na importância de estar em constante evolução e buscar oportunidades que me permitam expandir meus horizontes.</t>
  </si>
  <si>
    <t>Atualmente estagiária no programa "Aprender sem Limites" da Prefeitura de São Paulo. Desde que iniciei meu estágio, tenho tido a oportunidade de adquirir uma valiosa experiência profissional e pessoal.  Essa experiência tem sido enriquecedora, pois me permitiu desenvolver habilidades de comunicação, paciência e empatia. Além disso, tenho aprendido a adaptar as atividades de acordo com as necessidades individuais de cada aluno, buscando sempre promover um ambiente de aprendizado inclusivo e estimulante.  me mudei para São Paulo ontem. Essa nova etapa tem sido uma oportunidade para explorar novos horizontes e vivências. Tenho aproveitado para me aprofundar ainda mais no estudo da história,</t>
  </si>
  <si>
    <t>Desde muito cedo, desenvolvi um profundo interesse pela história e arte. Através delas, tenho a oportunidade de explorar diferentes culturas, períodos históricos e expressões artísticas. Pretendo apoiar os meus conhecimentos nessas áreas, buscando oportunidades que me permitam expandir e aprofundar meu entendimento sobre elas.  Estou aberta a oportunidades que me permitam experimentar  as diversas áreas de trabalhar com história e arte Pretendo utilizar essas oportunidades para expandir minha visão de mundo, aprimorar minhas habilidades.</t>
  </si>
  <si>
    <t>496.684.338-31</t>
  </si>
  <si>
    <t>JESSICA DE JESUS NASCIMENTO</t>
  </si>
  <si>
    <t>Jéssica De Jesus Nascimento</t>
  </si>
  <si>
    <t>j.ssicajn@gmail.com</t>
  </si>
  <si>
    <t>https://yz2spukd8h-jbrk7pf7uvw.s3.amazonaws.com/2024/06/4wobxIEW6oqmM7gGZbubraSpxl/Aklwz53eVijqGA50%3D.jpeg</t>
  </si>
  <si>
    <t>25 anos, 2 meses, 17 dias</t>
  </si>
  <si>
    <t xml:space="preserve">TECNICO  DESIGNER  GRAFICO CONCLUIDOS </t>
  </si>
  <si>
    <t>Jardim Laone</t>
  </si>
  <si>
    <t>03884-040</t>
  </si>
  <si>
    <t>PONTE RASA</t>
  </si>
  <si>
    <t>Rua das Angélicas</t>
  </si>
  <si>
    <t>502967584</t>
  </si>
  <si>
    <t>(11) 95234-6363</t>
  </si>
  <si>
    <t>J.SSICAJN@GMAIL.COM</t>
  </si>
  <si>
    <t>Me chamo Jéssica de Jesus Nascimento, hoje tenho 25 anos, nasci em São Paulo, cresci e ainda vivo na zona leste na região da Patriarca, estudei em escola pública durante toda minha vida escolar, fiz uma graduação num Tecnólogo de Produção Audiovisual, concluído em 2019, e mais recentemente, cursei Design Gráfico na ETEC Tiquatira, concluído no ano de 2022.</t>
  </si>
  <si>
    <t>No momento atual estou desempregada há 6 meses, buscando uma oportunidade de emprego na área cultural, e me encantei com o Programa Jovem Monitor Cultural ao acompanhar o cotidiano pelas redes sociais e ver as formações, tenho grande interesse em participar, talvez no futuro usar a experiência para trabalhar na minha área de formação, a qual nunca tive oportunidades até o momento. Atualmente estou sem acompanhamento psicológico há mais de um ano e com dificuldades com contas e aluguel, espero realmente que dê tudo certo pois seria uma ótima oportunidade e os benefícios seriam de grande ajuda para minha vida pessoal.</t>
  </si>
  <si>
    <t>Tenho objetivos claros em mente, como me mudar do bairro onde estou atualmente, cuidar da minha saúde física e mental. Quero entrar no meio cultural profissionalmente, e vejo muito as formações o programa e me interessei bastante e queria viver essas experiências e talvez juntar elas a minha formação do tecnólogo no futuro, me desenvolvendo profissionalmente.</t>
  </si>
  <si>
    <t>468.972.708-22</t>
  </si>
  <si>
    <t>GABRIEL MENDONCA SANTOS</t>
  </si>
  <si>
    <t>Gabriel Mendonça Santos</t>
  </si>
  <si>
    <t>gabriel_sm75@hotmail.com</t>
  </si>
  <si>
    <t>https://yz2spukd8h-jbrk7pf7uvw.s3.amazonaws.com/2024/06/memzzIqIKvR/taY5yTogPGL0e2Y0eq852l3FQHQH5kI%3D.jpg</t>
  </si>
  <si>
    <t>23 anos, 9 meses, 20 dias</t>
  </si>
  <si>
    <t>551193633</t>
  </si>
  <si>
    <t>(11) 98427-2046</t>
  </si>
  <si>
    <t>Eu nasci na cidade de São Paulo, onde passei toda minha vida. Desde pequeno sempre tive afinidade com cultura e arte, principalmente em relações a livros e ao audiovisual.  Quando terminei a escola eu quis estudar Produção Audiovisual e consegui uma bolsa pelo Prouni. Como eu sempre gostei muito de desenhos animados eu também fiz um curso de Animação no Senac. E por gostar muito de histórias em quadrinhos e design gráfico eu também fiz um curso de Comunicação Visual.  Trabalhei como freelancer editando vídeos por algum tempo. Onde pude colocar na prática alguns dos conhecimentos adquiridos ao longo do tempo.</t>
  </si>
  <si>
    <t>No momento me encontro desempregado. Eu já não ando editando vídeos. Eu esperava que dados os meus interesses o caminho que eu estava seguindo era uma boa opção. E realmente foi, mas agora eu percebo que quero tentar algo diferente. Embora goste de usar da criatividade de forma artística, trabalhar com isso de maneira contínua não pareceu a melhor opção para mim. Ainda quero o contato com a arte e a cultura, mas já penso em maneiras diversas de se trabalhar com isso.</t>
  </si>
  <si>
    <t>Eu pretendo trabalhar com a área cultural de uma forma que eu possa ajudar outras pessoas a terem contado com arte e cultura da melhor forma possível, para incentivar o público a ir atrás de novas experiências e estar sempre próximo e conectado ao lado criativo, pensativo e emocional do ser humano. Eu acredito que espaços culturais, como bibliotecas, são lugares ideais para conseguir fazer isso.</t>
  </si>
  <si>
    <t>498.862.778-07</t>
  </si>
  <si>
    <t>GABRIEL ALVES DA SILVA BARROS</t>
  </si>
  <si>
    <t>alvesgabriel7543@gmail.com</t>
  </si>
  <si>
    <t>https://yz2spukd8h-jbrk7pf7uvw.s3.amazonaws.com/2024/06/X0zPPhUXX0dQuHaMIWU4inv61mwomuRkbFNSKvS9h9M%3D.jpg</t>
  </si>
  <si>
    <t>21 anos, 11 meses, 2 dias</t>
  </si>
  <si>
    <t>Não declarou o gênero</t>
  </si>
  <si>
    <t>Vila Mesquita</t>
  </si>
  <si>
    <t>03714-030</t>
  </si>
  <si>
    <t>Rua Miguel Sutil</t>
  </si>
  <si>
    <t>54110570X</t>
  </si>
  <si>
    <t>(11) 98064-4282</t>
  </si>
  <si>
    <t>Vim de uma família grande onde sua maior parte mora no interior da Bahia, resido com minha mãe e tenho 1 irmão menor que exige atenção, cursei o ensino médio, tive minha infância tranquila, gosto de muito escrever e lidar com pessoas, tive pouco contato na infância com eventos, porém no ensino médio tive mais contato com apresentações culturais, morava próximo escola CÉU onde tinha aula de capoeira participava olhando onde aguçou minha curiosidade e vontade de participar de programas como esse.</t>
  </si>
  <si>
    <t>Estou a procura de emprego para auxiliar minha mãe e família, pretendo voltar aos estudos e vir até a cursar uma ETEC esperando o resultado e até futuramente uma faculdade quando já tiver ingressado em um trabalho formal, estudo Ciências Mortuárias em Necropsia. Tenho muita desenvoltura e gosto de lidar com pessoas e ajudando minha irmã que está cursando faculdade</t>
  </si>
  <si>
    <t>Pretendo terminar meu curso de Ciências Mortuárias, pretendo realizar uma faculdade de Psicologia onde a tempos atrás tive que interromper devido a Pandemia, ajudar minha mãe que pretende se aposentar e que não conseguirá ficar quieta então auxiliar a conquistar seus objetivos, ser referencia e ter bons relacionamentos e acredito que estar a frente deste projeto abrirá portas e contribuirá para meu crescimento e desenvolvimento pessoal e agregar no profissional.</t>
  </si>
  <si>
    <t>504.457.498-81</t>
  </si>
  <si>
    <t>Renato Brito Gama</t>
  </si>
  <si>
    <t>renatobritogama@gmail.com</t>
  </si>
  <si>
    <t>https://yz2spukd8h-jbrk7pf7uvw.s3.amazonaws.com/2024/04/L8S9XoaiLjBtoPC8MeSsek3Wxiv8U79nIL2CQRA4cLk%3D.jpg</t>
  </si>
  <si>
    <t>20 anos, 10 meses, 11 dias</t>
  </si>
  <si>
    <t>EM  FORMAÇÃO SUPERIOR</t>
  </si>
  <si>
    <t>Parque Savoy City</t>
  </si>
  <si>
    <t>03570-210</t>
  </si>
  <si>
    <t>Rua Odília Bomfim Melo</t>
  </si>
  <si>
    <t>443</t>
  </si>
  <si>
    <t>501837565</t>
  </si>
  <si>
    <t>(11) 91335-1880</t>
  </si>
  <si>
    <t>RENATOBRITOGAMA@GMAIL.COM</t>
  </si>
  <si>
    <t>LICENCIATURA  EM  HISTÓRIA</t>
  </si>
  <si>
    <t>Eu vim da Zona Leste de São Paulo, moro proximo a Cidade Lider estudei em escola publica durante toda minha vida. Sempre fui uma criança timida e que buscava na leitura, filmes e estudos. Conforme fui crescendo me desenvolvi me tornando uma pessoa extrovertida e madura intelectualmente, com isso explorei meus interesses durante o ensino medio criando laços com professores que passei a admirar e que me ajudaram a buscar minha graduação.</t>
  </si>
  <si>
    <t>Atualmente estou realizando a graduação em licenciatura em Historia na Universidade Federal de São Paulo no 5º semestre. A escolha da minha graduação veio atravez de uma professora de historia no ensino medio que acabou sendo minha inspiração para seguir na area da docencia no campo de ciencias humanas, dentro da faculdade pude explorar mais os estudos de historia ampliando minhas possibilidades</t>
  </si>
  <si>
    <t>Pretendo seguir na area da licenciatura na educação basica, pretendo realizar concurso para buscar uma estabilidade, futuramente realizar um mestrado e doutorado para permanecer no meio academico. Mais tarde com a experiencia em sala de aula buscar um cargo na docencia universitaria na area de historia e permanecer na educação ate o final da minha carreira profissional.</t>
  </si>
  <si>
    <t>494.571.268-90</t>
  </si>
  <si>
    <t>Jonathan Dutra Dantas Da Silva</t>
  </si>
  <si>
    <t>jonathandutra2020@gmail.com</t>
  </si>
  <si>
    <t>https://yz2spukd8h-jbrk7pf7uvw.s3.amazonaws.com/2024/06/jAC6TcI3/9WihD%2Bn35hLstjiQ5DOXrPJ5cfS8QufKgo%3D.jpg</t>
  </si>
  <si>
    <t>24 anos, 2 meses, 8 dias</t>
  </si>
  <si>
    <t>Jardim Luso</t>
  </si>
  <si>
    <t>04421-170</t>
  </si>
  <si>
    <t>Rua Amália</t>
  </si>
  <si>
    <t>394805380</t>
  </si>
  <si>
    <t>(11) 99437-4682</t>
  </si>
  <si>
    <t>https://youtube.com/shorts/LkoAQaBAhQ0?si=D0MJ95XokdKlnkHa</t>
  </si>
  <si>
    <t>481.560.318-90</t>
  </si>
  <si>
    <t>Maria Paula Cocci MuFFATO</t>
  </si>
  <si>
    <t>MARIA PAULA</t>
  </si>
  <si>
    <t>Maria Paula</t>
  </si>
  <si>
    <t>mari0811muffato@gmail.com</t>
  </si>
  <si>
    <t>https://yz2spukd8h-jbrk7pf7uvw.s3.amazonaws.com/2024/05/cZyORDA/EiaeXWYuuDeGvFtKpkVLeTHRxw5cnHhNR0Y%3D.jpg</t>
  </si>
  <si>
    <t>26 anos, 7 meses, 10 dias</t>
  </si>
  <si>
    <t>Jardim Trussardi</t>
  </si>
  <si>
    <t>05518-030</t>
  </si>
  <si>
    <t>Rua Edmundo Gregorian</t>
  </si>
  <si>
    <t>201</t>
  </si>
  <si>
    <t>399515902</t>
  </si>
  <si>
    <t>(11) 99529-1030</t>
  </si>
  <si>
    <t>Artes Visuais</t>
  </si>
  <si>
    <t>Meu nome é Maria Paula, tenho 26 anos, venho de uma família de pais que lutaram muito para proporcionar aos filhos o que não tiveram, tive uma infância muito livre, e sempre fui uma criança mais introspectiva e criativa, tive a oportunidade de estudar em um colégio de pedagogia Waldorf, que me proporcionou muito conhecimento artístico e sensibilidade perante o mundo.  A criatividade nunca me abandonou e segui a desenvolvendo, em cursos, especialmente em espaços culturais.  No ano passado trabalhei no PIAPI, em 3 territórios, casa de cultura do Itaim Paulista e em 2 Vila Reencontro (um serviço de moradia transitória para pessoas e famílias em situação de rua).</t>
  </si>
  <si>
    <t>Atualmente estou como voluntária numa associação de equoterapia, chamada Transformar, voltada ao desenvolvimento de portadores de deficiências e transtornos , onde auxilio o trabalho de fisioterapeutas e outros profissionais em atividades com cavalos para crianças e adultos portadores de deficiências e transtornos.  Também faço parte de um núcleo de capoeira, onde encontrei espaço para continuar meu desenvolvimento criativo de uma maneira mais coletiva.</t>
  </si>
  <si>
    <t>Meu plano mais próximo é dar continuação aos meus estudos de minha formação superior, e encontrar um meio de retornar a sociedade com algo relacionado de tudo que já aprendi e vou aprender, com criança, arte, cultura e animais.   E seria uma grande realização para mim poder trabalhar novamente em um espaço cultural, dessa vez, como Jovem Monitora, e no meu território, que são espaços que já frequentei/frequento muito e que eu conheço  e sei que seria enriquecedor.</t>
  </si>
  <si>
    <t>488.974.658-70</t>
  </si>
  <si>
    <t>MARCOS VINICIUS JOAQUIM RODRIGUES</t>
  </si>
  <si>
    <t>Mya Joaquim</t>
  </si>
  <si>
    <t>myamymusa@gmail.com</t>
  </si>
  <si>
    <t>https://yz2spukd8h-jbrk7pf7uvw.s3.amazonaws.com/2024/06/50lUj56VjgRK/jdsblPD6lF36SfIsA26bEtK/8fAs34%3D.jpg</t>
  </si>
  <si>
    <t>21 anos, 4 meses, 3 dias</t>
  </si>
  <si>
    <t>Bloco F - 510</t>
  </si>
  <si>
    <t>548248977</t>
  </si>
  <si>
    <t>(11) 99438-1877</t>
  </si>
  <si>
    <t>https://www.instagram.com/myamymusa_?igsh=MWN4dHhuMmJxaXNtMw==</t>
  </si>
  <si>
    <t>Design de Interiores</t>
  </si>
  <si>
    <t>Venho de Carapicuíba, mais precisamente do bairro do Ariston, próximo ao cemitério. Tive uma infância periférica, estudando em escola pública minha vida inteira, onde meu ensino médio foi uma cisão onde precisei começar a me locomover a cidade de Barueri para estudar Design de Interiores -ensino esse que me permitiu perceber possibilidades que fugiam da realidade que vivia, para construir uma nova. Venho de espaços que me geraram muitos traumas que definem a forma que lido com o mundo a minha volta e em meu próprio interior e me guio através das experiências que vivi, sejam elas positivas ou não, mas todas elas me afetam e me moldam também. Termino dizendo que sou quem sou por quem fui.</t>
  </si>
  <si>
    <t>Atualmente me encontro na moradia da Universidade de São Paulo, vivendo com auxílios de permanência da própria universidade, mas me encontro desempregada. Agora me encontro cursando Artes Cênicas, sendo essa uma área que me identifico em diversas perspectivas, justamente por conta da sua multiplicidade de áreas de atuação, onde posso expressar meu corpo de diversas formas e a teoria não engessa meu corpo. Onde estou me permite pensar aonde quero ir.</t>
  </si>
  <si>
    <t>Para onde vou é incerto, mas me permito imaginar. Conhecer países da América Latina e do continente Africano com a perspectiva de conhecer culturas que se conectam com as minhas raízes a fim de encontrar maneiras de entrelaçar esses conhecimentos e gerar pontes para que essas culturas para ser passadas adiante, como uma ação de resgate e visibilidade do que é apagado enquanto rastro histórico presente, passado e futuro também. Penso em transmitir conhecimentos, através da arte, para usar a arte educação como pulsão de mudança e arte de forma política também. Mas como alcançar isso e aonde isso irá me levar apenas o tempo dirá.</t>
  </si>
  <si>
    <t>537.126.078-14</t>
  </si>
  <si>
    <t>Lúcia Rosa Da Silva</t>
  </si>
  <si>
    <t>eiluciarosa@gmail.com</t>
  </si>
  <si>
    <t>https://yz2spukd8h-jbrk7pf7uvw.s3.amazonaws.com/2024/05/Y8NuhxA7xFHWm752H3ADJH9Ivz3olMAw0vrsqCwWkkg%3D.jpeg</t>
  </si>
  <si>
    <t>29 anos, 11 meses, 14 dias</t>
  </si>
  <si>
    <t>retornou no recurso da primeira fase (idade)</t>
  </si>
  <si>
    <t>apto 22</t>
  </si>
  <si>
    <t>79</t>
  </si>
  <si>
    <t>698652897</t>
  </si>
  <si>
    <t>(62) 98589-4587</t>
  </si>
  <si>
    <t>https://www.instagram.com/eiluciarosa/</t>
  </si>
  <si>
    <t>Sou uma apaixonada pelas possibilidades de fazer artes no Brasil. Nasci no interior da Bahia, me mudei para São Paulo após uma vida morando em Goiânia para poder estudar e trabalhar com Teatro. Acredito muito na potência em transformar vidas através dos meus trabalhos, no olhar poético em relação ao mundo e tudo que ele nos oferece. Comecei nessa área com 13 anos de idade, no ITEGO em Artes Basileu França onde cursei Iniciação Teatral. Fiz alguns trabalhos com o Teatro Destinatário e Cia Nu Escuro de Produção, Contação de Historias. Logo, fui cursar Licenciatura em Teatro, mas não conclui porque recebi a oportunidade de estudar na SP Escola de Teatro, curso de extensão e Técnico em Direção.</t>
  </si>
  <si>
    <t>Atualmente curso Técnicas de Palco na SP Escola de Teatro. Com as experiências de produções em peças teatrais, senti a necessidade de fazer um curso voltado para as artes do palco ( contrarregra, produção executiva, cenotécnica, adereços...)  além de ter acesso as experiências e vivencias com outros artistas. Cursar Técnicas de Palco é entender de onde começa toda a engrenagem teatral, do palco, de exposições.</t>
  </si>
  <si>
    <t>Através das minhas experiências, estudos e vivências gostaria de trabalhar mais nas áreas teatrais, montagens de exposições  e ter a oportunidade de levar um pouco de conhecimento com oficinas, workshops para outras pessoas. Acredito muito que crescemos, evoluímos com essas trocas mais humanas e artísticas entre pessoas, artistas, trabalhadores em prol das artes. Além de querer ampliar meus olhares poéticos para o mundo que estou inserida.</t>
  </si>
  <si>
    <t>044.546.131-41</t>
  </si>
  <si>
    <t>Adrielly Rodrigues De Queiroz</t>
  </si>
  <si>
    <t>adriellydequeiroz9314@gmail.com</t>
  </si>
  <si>
    <t>https://yz2spukd8h-jbrk7pf7uvw.s3.amazonaws.com/2024/06/p%2BW/F4p8l2TcQa6WfWouq%2Bu5TZp5UKOZMppbK1u6twM%3D.jpg</t>
  </si>
  <si>
    <t>26 anos, 9 meses, 1 dias</t>
  </si>
  <si>
    <t>Jardim Pedra Branca</t>
  </si>
  <si>
    <t>08490-750</t>
  </si>
  <si>
    <t>Rua Malva Branca</t>
  </si>
  <si>
    <t>(11) 99148-9351</t>
  </si>
  <si>
    <t xml:space="preserve">Ciências contábil </t>
  </si>
  <si>
    <t>Eu venho do extremo leste de São Paulo, zona leste Cidade Tiradentes e como uma mulher preta quero desbravar o mundo e descobrir mais sobre minha origem e cultura, por que curiosidade e mente aberta para o novo não me falta. Sei que esse vai ser uns dos caminhos para essa exploração de algo novo para alguém que teve pouco contato culturais culturais</t>
  </si>
  <si>
    <t>Meu nome é Adrielly tenho 26 anos e estou cursando Ciências Contábeis, trabalho em uma Mercado com escala 6x1 o que é muito corrido e cansativo. Quero mudar isso, daqui uns anos estarei formada e sei que tenho um mundo de oportunidades pela frente, mas quero ter bagagens e histórias e repertório para quando chegar em lugares e principalmente valorizar tudo que eu fiz para esta onde com certeza eu estarei sendo uma mulher preta e periférica da zona leste</t>
  </si>
  <si>
    <t>Quero ingressar nesse programa jovem monitor cultural justamente para conhecer outras realidades e culturas. Vou me formar e trabalhar na minha área e gerenciamento conteúdo e repertório para lidar com o mundo aí fora. Quero conhecer gente, conhecer artes, e possivelmente os artistas. O mundo é tão grande e diverso e existe tantas possibilidades e eu só quero explorar tudo isso</t>
  </si>
  <si>
    <t>32895466</t>
  </si>
  <si>
    <t>469.318.558-24</t>
  </si>
  <si>
    <t>João de Araujo Cordeiro</t>
  </si>
  <si>
    <t>João De Araújo Cordeiro</t>
  </si>
  <si>
    <t>joao.araujo922@gmail.com</t>
  </si>
  <si>
    <t>https://yz2spukd8h-jbrk7pf7uvw.s3.amazonaws.com/2024/06/Cyl6xawznCUmQe%2BOrU4tmVM8x3NUaI%2BA/hYs0QogMdo%3D.jpg</t>
  </si>
  <si>
    <t>25 anos, 11 meses, 24 dias</t>
  </si>
  <si>
    <t>08311-010</t>
  </si>
  <si>
    <t>Rua Lucas Fernandes Pinto</t>
  </si>
  <si>
    <t>524783147</t>
  </si>
  <si>
    <t>(11) 91416-1047</t>
  </si>
  <si>
    <t>JOAO.ARAUJO922@GMAIL.COM</t>
  </si>
  <si>
    <t>SIM, SUPERIOR</t>
  </si>
  <si>
    <t>PUBLICIDADE</t>
  </si>
  <si>
    <t>Nasci em São Caetano do Sul, mas vivi a vida inteira no Parque São Rafael, na zona leste de São Paulo. Moro com meus pais e meus dois irmãos mais velhos. Desde criança fui uma pessoa inquieta, com muita imaginação e muitos sonhos. Sempre quis fazer a minha parte para fazer do mundo um lugar melhor. Me formei em publicidade e propaganda com muito esforço, pois é muito difícil para um jovem de baixa renda cursar o ensino superior.</t>
  </si>
  <si>
    <t>Moro no Parque São Rafael, na zona leste de São Paulo, e sinto que a região onde moro carece de cultura e atividades de recreação, que ajudem as pessoas a fugir do estresse que é viver em um grande centro urbano. Por isso eu quero poder proporcionar às pessoas da região uma boa forma de passar o tempo livre, através de atividades culturais que ajudem a viver a vida de forma mais leve.</t>
  </si>
  <si>
    <t>Sou uma pessoa sonhadora, com grandes objetivos para a minha vida e estou sempre em busca de aperfeiçoamento para realizar meus sonhos. No futuro, quero ser uma pessoa realizada e fazer algo que cause impacto positivo nas pessoas. Quero aprender um novo idioma, conhecer pessoas interessantes, viajar, viver experiências incríveis, e aproveitar o meu tempo da melhor forma possível.</t>
  </si>
  <si>
    <t>484.682.288-50</t>
  </si>
  <si>
    <t>Leticia Dos Santos Garcia</t>
  </si>
  <si>
    <t>letciagarcia27@outlook.com</t>
  </si>
  <si>
    <t>https://yz2spukd8h-jbrk7pf7uvw.s3.amazonaws.com/2024/04/TcK1Ap/cGbTemQidBiHj4lOe2%2Bi7KyfQxzBD0a2Z6Xw%3D.jpeg</t>
  </si>
  <si>
    <t>28 anos, 2 meses, 22 dias</t>
  </si>
  <si>
    <t>Jardim donaria</t>
  </si>
  <si>
    <t>02990-337</t>
  </si>
  <si>
    <t>Sao Paulo</t>
  </si>
  <si>
    <t>399498904</t>
  </si>
  <si>
    <t>(11) 99369-9578</t>
  </si>
  <si>
    <t>LETCIAGARCIA27@OUTLOOK.COM</t>
  </si>
  <si>
    <t>https://www.instagram.com/letciagarcia?igsh=YjlvdTRhaW81c212&amp;utm_source=qr</t>
  </si>
  <si>
    <t>CURSANDO - PUBLICIDADE</t>
  </si>
  <si>
    <t>Sou de São Paulo, moro na zona norte Jaraguá.   Por enquanto moro com a minha mãe e irmão, mas em um futuro breve começarei a morar sozinha.  Comecei a faculdade nesse semestre, faço dois tecnologos, Marketing na UNIP e Publicidade no SENAC.  Trabalho com gestão de pessoas, treinamento, qualidade e estudos em uma empresa antifraude de compras online.  Gosto muito de coisas relacionadas a cultura, costumo ir em muitos eventos e agora quero conhecer de dentro como funciona.</t>
  </si>
  <si>
    <t>No momento estou apenas trabalhando e estudando, quero adquirir mais conhecimento, bagagens e experiencias, acredito que o programa ira me inserir nesse meio. Sou uma mulher negra e periferica, quero conhecer cadq vez mais sobre a cultura da “quebrada” e de outras áreas tambem.  No momento me encontro numa fase de amadurecimento em todas as áreas da minha vida.</t>
  </si>
  <si>
    <t>O céu é o limite, a Leticia do futuro está esperando la na frente, ela sabe que um dia chego.  Quero ter experiencias e bagagens, quero conhecer gente e lugares, quero conhecimento e vivencias, porque sei que isso ninguém me tira.  O mundo é gigante, passar a vida dentro de apenas uma bolha é desperdício, pois sei o quão sou grande também, bora viver, bora aprender!</t>
  </si>
  <si>
    <t>441.865.118-70</t>
  </si>
  <si>
    <t>Jayra Julia Oliveira De Souza</t>
  </si>
  <si>
    <t>jayra.julia@unifep.br</t>
  </si>
  <si>
    <t>https://yz2spukd8h-jbrk7pf7uvw.s3.amazonaws.com/2024/06/mJqOm6eLoLTjnhlbflCAOzvXV8zE8FPoUkRmoBjS8QM%3D.jpg</t>
  </si>
  <si>
    <t>23 anos, 1 meses, 7 dias</t>
  </si>
  <si>
    <t>05549-070</t>
  </si>
  <si>
    <t>Rua Vicente Quaresma</t>
  </si>
  <si>
    <t>526714633</t>
  </si>
  <si>
    <t>(11) 98748-2720</t>
  </si>
  <si>
    <t>jayra.julia@unifesp.br</t>
  </si>
  <si>
    <t>https://drive.google.com/file/d/1FCqMhf9VtVO3siOBQ0T_i6iWGcgCvosA/view?usp=drive_link</t>
  </si>
  <si>
    <t>503.920.278-44</t>
  </si>
  <si>
    <t>Carolina Thais Maria Rodrigues Assunção</t>
  </si>
  <si>
    <t>carolina.tmra@gmail.com</t>
  </si>
  <si>
    <t>https://yz2spukd8h-jbrk7pf7uvw.s3.amazonaws.com/2024/05/3RlVV//2HgnVBR8kZDlZ4sSIbnfOeJTyaMBIgdrEsMs%3D.jpeg</t>
  </si>
  <si>
    <t>28 anos, 9 meses, 14 dias</t>
  </si>
  <si>
    <t>Água Fria</t>
  </si>
  <si>
    <t>02334-010</t>
  </si>
  <si>
    <t>Rua Brusque</t>
  </si>
  <si>
    <t>435331000</t>
  </si>
  <si>
    <t>(11) 97538-4653</t>
  </si>
  <si>
    <t>letras</t>
  </si>
  <si>
    <t>Me chamo Carolina, nasci e moro na zona norte de São Paulo, tenho 28 anos, sou uma mulher negra, gorda e bissexual. Atualmente curso letras no Instituto Federal de São Paulo - Pirituba e faço estágio em uma escola. Já atuei de forma voluntária em alguns espaços culturais e nesse processo de trabalhar nesses ambientes, me identifiquei em todos os sentidos, principalmente pelo aspecto da educação não formal e pela questão da realização de projetos voltados à diversidade.</t>
  </si>
  <si>
    <t>Como citei anteriormente, faço estágio em uma escola, mas não me identifico com o modelo de educação presente, porque no percurso da minha vida, aprendi mais com a educação não formal (espaços culturais/museus/bibliotecas), do que com a formal, que está inserida nas escolas, onde ocorrem diversos tipos de opressões. Como mencionei, já trabalhei em espaços culturais e futuramente pretendo retornar para atuar neles, porque me identifico com estes ambientes, justamente por atuarem também de forma política e social, possibilitando o acesso à educação, a cultura e por terem projetos voltados para a inclusão de todos os públicos.</t>
  </si>
  <si>
    <t>Em vista de tudo o que mencionei anteriormente, pretendo atuar nos espaços culturais, principalmente na área do educativo, porque é possível discutir pautas relevantes em um ambiente que não está preso ao modelo da escola. Além disso, também tenho interesse em atuar em bibliotecas, porque são ambientes que promovem diversos eventos (clubes do livro, saraus, discussões), que visam incentivar a participação de todos os públicos. Afinal, estes espaços são nossos e como "minoria", quero fazer parte desse programa para incentivar que pessoas como eu acessem esses espaços.</t>
  </si>
  <si>
    <t>340.441.528-02</t>
  </si>
  <si>
    <t>LARISSA SENNA DA FONSECA</t>
  </si>
  <si>
    <t>Larissa Senna Da Fonseca</t>
  </si>
  <si>
    <t>Eduardo Senna Da Fonseca</t>
  </si>
  <si>
    <t>eduardosenna140379@gnail.com</t>
  </si>
  <si>
    <t>https://yz2spukd8h-jbrk7pf7uvw.s3.amazonaws.com/2024/04/CUK/yBgOi5Z%2BkHWVQI2hNSz7mA%2BtEsBpN5Noe5ttblQ%3D.jpeg</t>
  </si>
  <si>
    <t>27 anos, 3 meses, 4 dias</t>
  </si>
  <si>
    <t>Jardim Paraíso</t>
  </si>
  <si>
    <t>02416-000</t>
  </si>
  <si>
    <t>Rua Professor Valério Giuli</t>
  </si>
  <si>
    <t>386939779</t>
  </si>
  <si>
    <t>(11) 95949-7312</t>
  </si>
  <si>
    <t>eduardosenna140379@gmail.com</t>
  </si>
  <si>
    <t>11-959497312</t>
  </si>
  <si>
    <t>https://www.linkedin.com/in/eduardo-senna-55b708225?utm_source=share&amp;utm_campaign=share_via&amp;utm_content=profile&amp;utm_medium=ios_app</t>
  </si>
  <si>
    <t>designer grafico - tecnico</t>
  </si>
  <si>
    <t>Meu nome é Eduardo Senna  Tenho 27 anos, sou paulista, um homem trans, negro e estou na transição a 05 anos. Sou um homem de estilo próprio, muito carismático, educado, gentil; procuro transmitir minha energia quando chego em algum lugar as outras pessoas.  Gosto de fotografia, música, viajar nos meus tempos livres sou modelo, gosto de trabalhar com as mídias sociais também como: Instagram e Facebook. Eu estou querendo entrar no mundo da moda por e produção musical  Atualmente trabalho como Call Center, na empresa Konecta para o produto VIVO desde de junho de 2023 a.onde atuou como ativo de vendas.Estou cursando inglês ao sábados com duração de 6 meses</t>
  </si>
  <si>
    <t>Estou morando com a minha avó minha tia e os 2 filhos dela é meu irmão: a mais ou menos a 1 ano desde que ocorreu um acidente em minha casa onde ela pegou fogo! Estou a procura de um lugar para alugar com meu irmão pois temos um prazo curto para sair de onde estamos.  minha mãe mora a no litoral de são  Paulo  tenho 03 irmãos, uma menina de 06 anos  e 02 meninos um de 12 anos e outro de 25anos sigo sendo o mais velho dos 03; meu pai mora no litoral de São Paulo – São Vicente a 03anos não somos muito próximos.  Ajudo minha mãe em uma loja on-line no Instagram, divulgando o trabalho dela a onde ela vende artigos femininos e masculinos para cabelo, além disso ela é manicure também.</t>
  </si>
  <si>
    <t>Atualmente, estou focado em desenvolver minhas habilidades e crescer profissionalmente, com o objetivo de me tornar um profissional altamente qualificado e bem-sucedido em minha área de atuação. Para atingir esses objetivos, tenho me dedicado ao aprimoramento contínuo das minhas competências, investindo em cursos de capacitação e buscando oportunidades de crescimento dentro da empresa em que atualmente atuo. Sou uma pessoa determinada, comprometida e que busca sempre superar desafios e alcançar resultados positivos.    Agradeço antecipadamente a oportunidade de me apresentar e de compartilhar um pouco sobre os meus planos e aspirações futuras. Estou animado com as possibilidades que o futuro</t>
  </si>
  <si>
    <t>472.078.798-30</t>
  </si>
  <si>
    <t>Tiago Novais Souza</t>
  </si>
  <si>
    <t>tiagonovais208@gmail.com</t>
  </si>
  <si>
    <t>https://yz2spukd8h-jbrk7pf7uvw.s3.amazonaws.com/2024/04/zR3HAGPXSNiNeUL7vIS/z4SdT/%2BFHMEVvNrw8Dz96TM%3D.jpg</t>
  </si>
  <si>
    <t>19 anos, 10 meses, 2 dias</t>
  </si>
  <si>
    <t>Cidade Continental</t>
  </si>
  <si>
    <t>03243-030</t>
  </si>
  <si>
    <t>Rua Bom Jardim de Minas</t>
  </si>
  <si>
    <t>566084983</t>
  </si>
  <si>
    <t>(11) 98448-4279</t>
  </si>
  <si>
    <t>TIAGONOVAIS208@GMAIL.COM</t>
  </si>
  <si>
    <t>BACHARELADO</t>
  </si>
  <si>
    <t>https://www.instagram.com/thetiene?igsh=ZnF3Y2MzM3Buc2I2</t>
  </si>
  <si>
    <t>CIENCIAS E TECNOLOGIA</t>
  </si>
  <si>
    <t>Eu sou Tiago Novais Souza, e tenho 19 anos.  Nasci no sul da Bahia, em uma pequena cidade chamada Buerarema. Vim com minha mãe para São Paulo aos 2 anos (2006), e desde então moro na Zona Leste de SP. Aqui criei laços de amizade e irmandade, passava a maior parte da infância na rua, brincando, jogando futebol, escutando músicas da periferia, como hip-hop e o funk. A arte sempre esteve presente na minha vida, desde os meus desenhos na creche até minhas poesias no 9° ano do Fundamental. Fundamental esse que me abriu as portas para o Teatro, Literatura e Poesia, além dos esportes. Eu posso dizer que vim de muitos lugares, e a arte é um lar que me acolheu e acolhe até hoje.</t>
  </si>
  <si>
    <t>Atualmente, aos 19 anos, sei que sou artista e quero exercer essa função. Durante a pandemia, estudei na ETEC Getúlio Vargas e cursei Ensino Médio Técnico, e atuo na área de Eletrônica. Dia pós dia escrevo, ouço, assisto e sei que minhas inspirações artísticas estão presentes. Não vou falar que estou no lugar que quero, mas estou me movimentando conforme a música pede, e sei que posso me esforçar mais para conquistar e chegar aonde quero.</t>
  </si>
  <si>
    <t>E para onde eu quero ir? Com minha nota do ENEM, consegui uma bolsa 100% no ProUni e passei na Universidade Federal do ABC, onde irei cursar Bacharelado em Neurociência, e especializar na área da música. Além de me formar nessa área de tantas possibilidades, atuar na área cultural, com estudos tão avançados na Arte terapia, e poder mostrar minha arte de forma mais ampla e com estudos científicos, é um caminho que pretendo e vou correr atrás. Espero superar todas as adversidades e prosseguir com esse intuito, sei que a cultura no Brasil é muito ampla e pouco explorada, mas meu foco é abrir portas para pessoas com necessidade de expressão assim como abriram portas para mim no passado.</t>
  </si>
  <si>
    <t>457.862.788-83</t>
  </si>
  <si>
    <t>Livia Vitoria Dos Santos Barbosa</t>
  </si>
  <si>
    <t>liviavdsb@gmail.com</t>
  </si>
  <si>
    <t>https://yz2spukd8h-jbrk7pf7uvw.s3.amazonaws.com/2024/04/Zwb283Oyv1%2Bnk8jkElume9xVp5s2RAOJGcmhOQBcS%2Bo%3D.jpg</t>
  </si>
  <si>
    <t>22 anos, 0 meses, 24 dias</t>
  </si>
  <si>
    <t>08253-390</t>
  </si>
  <si>
    <t>apt 31A</t>
  </si>
  <si>
    <t>Rua Dom José Botelho</t>
  </si>
  <si>
    <t>557390102</t>
  </si>
  <si>
    <t>(11) 97647-3971</t>
  </si>
  <si>
    <t>LIVIAVBS@GMAIL.COM</t>
  </si>
  <si>
    <t>www.instagram.com/liviavitoriados</t>
  </si>
  <si>
    <t>LICENCIATURA GEOGRAFIA</t>
  </si>
  <si>
    <t>Olá, sou Livia Vitoria, vim da periferia da vila jaraguá, zona noroeste, próximo ao pico do jaraguá e por conta de alguns acontecimentos marcantes na minha vida, me mudei para um sítio da cidade de Bom Jardim, Pernambuco, para ficar mais perto dos meus familiares. Retorno para São Paulo em busca da minha independência e também da oportunidade de trabalho e estudos.</t>
  </si>
  <si>
    <t>Atualmente estou residindo em Itaquera, Zona Leste de São Paulo, estudando Licenciatura em Geografia na Unifesp, fazendo estágio numa escola, onde acompanho alunos com deficiência, auxiliando em sala de aula. E isso tem feito uma diferença muito grande na minha vida, pois aprendo muito a cada dia que estou aqui na cidade, conhecendo outras formas de viver, pessoas diferentes, tem sido muito enriquecedor.</t>
  </si>
  <si>
    <t>Quero poder ir mais longe, sempre aproveitando ao máximo a experiência que estou tendo e também adquirir outras. Mas, pensando a frente, quero poder fazer a diferença na vida das pessoas através da educação e da geografia, pois acredito que a educação tem o poder de transformar a vida e através da geografia, plantar uma sementinha do pensamento crítico acerca do espaço que os estudantes ocupam dentro da sociedade.</t>
  </si>
  <si>
    <t>444.625.608-41</t>
  </si>
  <si>
    <t>LETICIA OLIVEIRA LIMA</t>
  </si>
  <si>
    <t>Letícia Oliveira Lima</t>
  </si>
  <si>
    <t>leticialimaoliveira17@gmail.com</t>
  </si>
  <si>
    <t>https://yz2spukd8h-jbrk7pf7uvw.s3.amazonaws.com/2024/04/6RE9SQtczcNdvxtXx/YmwaU1Qzx5CuJkv7EW2PHFhDc%3D.jpg</t>
  </si>
  <si>
    <t>22 anos, 9 meses, 1 dias</t>
  </si>
  <si>
    <t>Jaraguá</t>
  </si>
  <si>
    <t>02998-020</t>
  </si>
  <si>
    <t>casa 31</t>
  </si>
  <si>
    <t>Avenida Amador Aguiar</t>
  </si>
  <si>
    <t>1232</t>
  </si>
  <si>
    <t>53970264x</t>
  </si>
  <si>
    <t>(11) 96611-0252</t>
  </si>
  <si>
    <t>LETICIALIMAOLIVEIRA17@GMAIL.COM</t>
  </si>
  <si>
    <t xml:space="preserve">CURSANDO - LAZER E TURISMO </t>
  </si>
  <si>
    <t>Nasci em Osasco/SP, cresci no Lauzane Paulista, zona periférica da Zona Norte, e há 15 anos moro no extremo Noroeste da cidade. Por conta disso, sempre estive longe do centro da cidade e dos equipamentos culturais mais conhecidos. Sem referência, não conhecia a movimentação cultural da periferia. Quando adolescente, passei a ter maior contato com esse ,mundo que me abraçou. As músicas, as movimentações,  os shows gratuitos e a imensa variedade de manifestações me apresentou um mundo onde eu me sentia reconhecida. Desde cedo soube que era nesse ecossistema que gostaria de atuar profissionalmente, o que me levou a cursar Lazer e Turismo na Universidade e fazer vários cursos do campo cultural.</t>
  </si>
  <si>
    <t>A região que eu vivo é muito carente de atenção em diversos aspectos, e o cultural é um deles. A movimentação toda feita é quase sempre pelas pessoas, que trazem, estimulam e fortalecem as manifestações culturais aqui. Está longe de ser um polo cultural, mas adoraria ver e estar envolvida no processo de fazer isso acontecer. A quebrada se desloca todo dia pro centro, como se não houvesse cultural aqui. Penso quão interessante seria trazer o centro pra cá, fazer as pessoas se deslocarem pra longe como nós fazemos, por algo que nos interessa e é fortalecido há ônibus, trem e metrô de distância.</t>
  </si>
  <si>
    <t>Movimentar a cultura hoje é o que almejo pessoalmente e profissionalmente. Não sou artista, mas tenho muita sede de cultura e as imensas possibilidades, vivências e experiências possíveis na cidade de São Paulo me fascinam. Sei que esse universo da gestão e produção cultural não é fácil e o corre é dobrado pra quem não cresceu com contatos, então quero estar no Programa Jovem Monitor Cultural por acreditar que é uma porta de entrada para esse sonho.</t>
  </si>
  <si>
    <t>352.499.658-22</t>
  </si>
  <si>
    <t>Julius Vinicius de Carvalho Alves</t>
  </si>
  <si>
    <t>Julius Vinícius De Carvalho Alves</t>
  </si>
  <si>
    <t>juliusvinicius1999@gmail.com</t>
  </si>
  <si>
    <t>https://yz2spukd8h-jbrk7pf7uvw.s3.amazonaws.com/2024/06/DoBgU9CiqEeMDe3BpaVHJKwHOwp2x6S61L63bAmAuXQ%3D.jpg</t>
  </si>
  <si>
    <t>24 anos, 10 meses, 25 dias</t>
  </si>
  <si>
    <t>Parque Paineiras</t>
  </si>
  <si>
    <t>03694-000</t>
  </si>
  <si>
    <t>Avenida Águia de Haia</t>
  </si>
  <si>
    <t>53069895x</t>
  </si>
  <si>
    <t>(11) 96736-0666</t>
  </si>
  <si>
    <t>JULIUSVINICIUS1999@GMAIL.COM</t>
  </si>
  <si>
    <t>www.instagram.com/solemleao</t>
  </si>
  <si>
    <t>SUPERIOR GESTÃO EM POLITICAS PUBLICAS</t>
  </si>
  <si>
    <t>https://youtu.be/eQOb1Gf7EE8?feature=shared</t>
  </si>
  <si>
    <t>435.624.318-80</t>
  </si>
  <si>
    <t>Diego Souza Gama</t>
  </si>
  <si>
    <t>diegosouzagama2@gmail.com</t>
  </si>
  <si>
    <t>https://yz2spukd8h-jbrk7pf7uvw.s3.amazonaws.com/2024/05/qa%2BkpV2OKeDl2GoHNT38umM/ar2%2BoLsCQi/vPVGTTj4%3D.jpeg</t>
  </si>
  <si>
    <t>20 anos, 6 meses, 23 dias</t>
  </si>
  <si>
    <t>Parque Santo Antônio</t>
  </si>
  <si>
    <t>05821-260</t>
  </si>
  <si>
    <t>Rua Alexandre Nevski</t>
  </si>
  <si>
    <t>52494145 - 2/SP</t>
  </si>
  <si>
    <t>(11) 99955-2382</t>
  </si>
  <si>
    <t>https://www.instagram.com/d.iegogama</t>
  </si>
  <si>
    <t>TECNOLOGO EM PRODUCAO AUDIOVISUAL</t>
  </si>
  <si>
    <t>Nasci em São Paulo, na zona sul, passei minha vida inteira morando na periferia, especificamente no bairro do Parque Santo Antônio, estudei minha vida inteira em escola pública. Desde criança fui apaixonado por cultura. Minha paixão pelo audiovisual pela arte e pela musica fez eu participar de atividades da área na Fábrica de Cultura, de artes visuais, audiovisual e cordas.</t>
  </si>
  <si>
    <t>Tenho atualmente 20 anos, ainda resido no Parque Santo Antonio, me encontro fazendo um curso Tecnológico de Produção Audiovisual na FMU FiamFaam devido ao meu amor pelo cinema e de contar histórias que vem desde criança, nesse curso estou produzindo um curta-metragem de documentário como tcc onde estou atuando como diretor de fotografia e uma minissérie como estágio onde estou atuando como diretor de arte, também dirigi um curta-metragem ficcional.</t>
  </si>
  <si>
    <t>Procuro continuar estudando e adquirindo conhecimento na área de produção cultural, preferencialmente no setor de cinema e audiovisual ou de artes, procuro correr atras de oportunidades de emprego pra mostrar minha visão e minha arte . Cogito ainda estudar na área e aprender mais sobre a linguagem do cinema e outras e da literatura para aprimorar meu repertório como contador de histórias. Vou continuar morando no Parque Santo Antonio.</t>
  </si>
  <si>
    <t>424.567.518-76</t>
  </si>
  <si>
    <t>Juliana Araujo Silva</t>
  </si>
  <si>
    <t>amaquinistadotrembala@gmail.com</t>
  </si>
  <si>
    <t>https://yz2spukd8h-jbrk7pf7uvw.s3.amazonaws.com/2024/06/ditLIK6cxyTJfLEZTdvG7qlYLy%2B%2Bld0tj3ciRbhyZpg%3D.jpeg</t>
  </si>
  <si>
    <t>24 anos, 8 meses, 6 dias</t>
  </si>
  <si>
    <t>Jardim Alfredo</t>
  </si>
  <si>
    <t>04909-100</t>
  </si>
  <si>
    <t>Rua Quimili</t>
  </si>
  <si>
    <t>229</t>
  </si>
  <si>
    <t>375052811</t>
  </si>
  <si>
    <t>(11) 95894-0823</t>
  </si>
  <si>
    <t>https://drive.google.com/file/d/11ZhC8CkKTJxPRmSE156NVPUmEvwUllkB/view?usp=sharing</t>
  </si>
  <si>
    <t>476.679.328-59</t>
  </si>
  <si>
    <t>Barbara Stefany Tavares Dos Santos</t>
  </si>
  <si>
    <t>BARBARA TAVARES</t>
  </si>
  <si>
    <t>Barbara Tavares</t>
  </si>
  <si>
    <t>sbarbaratavares@gmail.com</t>
  </si>
  <si>
    <t>https://yz2spukd8h-jbrk7pf7uvw.s3.amazonaws.com/2024/06/PfOV3Wwbgsunol/RF5ISr%2BohDE9O6RU93hartKDi5K8%3D.jpeg</t>
  </si>
  <si>
    <t>27 anos, 7 meses, 13 dias</t>
  </si>
  <si>
    <t>Vila Moinho Velho</t>
  </si>
  <si>
    <t>04285-000</t>
  </si>
  <si>
    <t>321</t>
  </si>
  <si>
    <t>Rua Elba</t>
  </si>
  <si>
    <t>502209367</t>
  </si>
  <si>
    <t>(11) 93434-2895</t>
  </si>
  <si>
    <t>Olá! Espero que estejam bem ao ler esta carta. Sou Barbara, nasci e cresci na periferia de São Paulo, na Cidade Tiradentes. Viver na periferia é desafiador, mas foi nesse cenário que encontrei refúgio e inspiração nos espaços culturais oferecidos pelo estado.  Fiz seis anos de xadrez, participei de campeonatos e me tornei assistente do professor, ensinando outras pessoas. Além disso, participei de oficina de teatro, recreios nas férias, atletismo, eventos e shows. Desde pequena, a cultura foi meu alicerce, moldando meus sonhos e abrindo horizontes.  Agradeço profundamente por cada oportunidade, pois acredito que a cultura pode transformar vidas e criar possibilidades infinitas</t>
  </si>
  <si>
    <t>Atualmente, estou no último ano da faculdade de Serviço Social. Compreender como o capitalismo afeta negativamente nossas vidas, especialmente para nós, pobres, foi crucial para mim. Trabalhando com uma pessoa surda, criei um projeto de curso gratuito de Libras no CCSP, em parceria com a prefeitura e a SMC  Meu primeiro projeto cultural foi realizado sem conhecimento prévio, foi desesperador, pesquisando tudo no Google, desde documentações até a contabilidade. Quero aprender na prática com vocês para usar minha criatividade e contribuir para criar uma sociedade mais justa e acessível para todos.</t>
  </si>
  <si>
    <t>De 01/06/2024 a 05/10/2024, meu primeiro projeto estará no CCSP. Quero muito aprender sobre gestão, administração e produção cultural. A cultura sempre foi parte essencial da minha vida. Pensar na oportunidade de aprender e, no futuro, poder trabalhar para agregar positivamente à nossa sociedade, encantando mais pessoas como eu, é a realização de um sonho.    PJMC representa não apenas um marco pessoal, mas um passo para construir um mundo mais justo e acessível. Sonho em ver nossa cultura transformando vidas, assim como transformou a minha. Espero, com entusiasmo e dedicação, contribuir para essa transformação e inspirar outros a seguirem esse caminho.</t>
  </si>
  <si>
    <t>487.884.868-50</t>
  </si>
  <si>
    <t>Guilherme Rodrigues</t>
  </si>
  <si>
    <t>Guilherme Rodrigues De Souza</t>
  </si>
  <si>
    <t>douglasblunt61@gmal.com</t>
  </si>
  <si>
    <t>https://yz2spukd8h-jbrk7pf7uvw.s3.amazonaws.com/2024/06/gkqIiQfDEzkWwMXE9e5tobnAbTxl8xjlAbwPWWtNfn0%3D.jpg</t>
  </si>
  <si>
    <t>27 anos, 6 meses, 24 dias</t>
  </si>
  <si>
    <t>República</t>
  </si>
  <si>
    <t>01040-000</t>
  </si>
  <si>
    <t>Apt/ocupação</t>
  </si>
  <si>
    <t>Av. ipiranga</t>
  </si>
  <si>
    <t>908</t>
  </si>
  <si>
    <t>369388264</t>
  </si>
  <si>
    <t>(11) 96759-1456</t>
  </si>
  <si>
    <t>douglasblunt61@gmail.com</t>
  </si>
  <si>
    <t>https://www.instagram.com/d.enaro?igsh=MTN1OTUxeXg4dzM2eg==</t>
  </si>
  <si>
    <t>Meu nome é Guilherme, tenho 27 anos e cresci em uma das periferias da cidade de São Paulo, na ZS. Atualmente me encontro no centro da cidade com minha mãe e irmãs na luta por moradia (ocupações). Minha família sempre lutou para sobreviver, enfrentando dificuldades que muitos não conseguem imaginar. Desde pequeno, o som das batidas de rap e funk nas ruas da comunidade mexia comigo. Foi assim que meu sonho de ser produtor musical nasceu.  Mas a vida na periferia é cheia de armadilhas.  Tomei decisões erradas... e infelizmente, fui privado da liberdade. Passei 18 meses na penitenciária, tempo suficiente para refletir sobre meus erros e reafirmar meu desejo de mudar de vida.</t>
  </si>
  <si>
    <t>Agora, estou de volta... Sei que encontrar oportunidades será difícil. Mas não vou desistir.  Meu sonho de ser produtor musical está mais vivo do que nunca. Quero usar minha experiência de vida para transformar a realidade de outros jovens que, como eu, estão em busca de uma chance.  Tenho batalhado para encontrar qualquer trabalho que me permita economizar um pouco e investir em equipamentos de música. Também estou procurando cursos gratuitos ou iniciativas comunitárias que me ajudem a desenvolver minhas habilidades. Cada batida, cada rima que produzo, é um passo mais perto de transformar meu sonho em realidade.</t>
  </si>
  <si>
    <t>Eu acredito que a música pode mudar vidas. Ela mudou a minha. Não importa o quão difícil seja o caminho, estou determinado a fazer minha voz e minhas batidas ecoarem além das fronteiras da minha comunidade. A cada dia, luto para provar que sou mais do que meus erros passados. Sou um jovem cheio de sonhos e pronto para conquistar meu espaço no mundo da música.</t>
  </si>
  <si>
    <t>488.363.358-61</t>
  </si>
  <si>
    <t>LHOREN LOPES ASSIS</t>
  </si>
  <si>
    <t>Lhoren L Assis</t>
  </si>
  <si>
    <t>ALASKA</t>
  </si>
  <si>
    <t>Alaska</t>
  </si>
  <si>
    <t>alhorenassis+sp156@gmail.com</t>
  </si>
  <si>
    <t>https://yz2spukd8h-jbrk7pf7uvw.s3.amazonaws.com/2024/06/dXmlWnHKGzzH1bsvHRd1TGSwFc5kOKh9m7DDC8BbcAQ%3D.jpg</t>
  </si>
  <si>
    <t>24 anos, 0 meses, 23 dias</t>
  </si>
  <si>
    <t>São João Clímaco</t>
  </si>
  <si>
    <t>04240-070</t>
  </si>
  <si>
    <t>Rua João Lanhoso</t>
  </si>
  <si>
    <t>37974386-3</t>
  </si>
  <si>
    <t>(11) 98329-0551</t>
  </si>
  <si>
    <t>https://www.instagram.com/legadosdelhoren</t>
  </si>
  <si>
    <t xml:space="preserve">Produção audiovisual e biotecnologia </t>
  </si>
  <si>
    <t>Sou a Alaska, tenho 24 anos, nascida em São Paulo mas cresci morando em Guarulhos. Concluí o ensino integralmente como bolsista no Colégio Virgo Potens, onde fazia atividades extras de teatro, banda e flauta doce, o que me inseriu no mundo da música e aos 13 anos entrei para o projeto guri perto de casa, onde fiz canto, guitarra e canto coral, hoje em dia toco diversos instrumentos. Me graduei em Produção Audiovisual em 2019 e depois da pandemia iniciei na fábrica de cultura onde fiz circo e violino, e depois viola de arco, uma trilha de curta duração de drones. Cresci num ambiente ruim dentro de casa mas posso dizer que a arte e a cultura me ajudaram muito a sobreviver e passar por tudo.</t>
  </si>
  <si>
    <t>Atualmente moro em SP, curso um técnico em biblioteconomia na ETEC Parque da Juventude, e continuo no circo na Fábrica de Cultura Parque Belém. Tenho transtorno depressivo maior e a fábrica de cultura é algo que considero uma casa e que me salvou principalmente por ser pós pandemia então sigo pegando 3 ônibus para chegar do outro lado de SP. Quero muito conseguir uma vaga na Biblioteca Mário de Andrade, fiquei encantada com ela no curso de biblioteconomia. Tentei participar do PJMC uns anos atrás mas achei que não teria chance por conta do Autismo pois sempre recusam a vagas, mas dessa vez decidi concluir a inscrição e acreditar que vai dar certo, na vez anterior não cheguei a finalizar.</t>
  </si>
  <si>
    <t>Quero um futuro onde eu consiga trabalhar na área de filmagem/fotografia e drones mas no meio cultural. Eu acompanho a rotina de formação do PJMC há muito tempo e realmente tenho vontade de estar vivenciando aquilo. Seria o melhor primeiro emprego que eu poderia ter, após tantos anos tentando. Quero mostrar que pessoas no expectro autista podem ser excelentes profissionais e espero ter uma chance de mostrar que sou capaz. Quero não ter que trocar de área só por dinheiro, mostrar o quanto a cultura é importante na sociedade. Além de estar numa situação financeira muito ruim no momento e quero conseguir ter acompanhamento psicológico e pagar contas e morar num lugar melhor e me alimentar bem.</t>
  </si>
  <si>
    <t>6A020 e 6A05</t>
  </si>
  <si>
    <t>460.710.388-80</t>
  </si>
  <si>
    <t>Luiza Beatriz Masiero De Castro</t>
  </si>
  <si>
    <t>luizabeatrizcastro30@gmail.com</t>
  </si>
  <si>
    <t>https://yz2spukd8h-jbrk7pf7uvw.s3.amazonaws.com/2024/06/dOG7qk3NXdhYiMR/%2BQA6TAf6uIrXm/iu3tROpL3kC1o%3D.jpg</t>
  </si>
  <si>
    <t>22 anos, 8 meses, 19 dias</t>
  </si>
  <si>
    <t>Jardim Brasília</t>
  </si>
  <si>
    <t>05845-250</t>
  </si>
  <si>
    <t>Rua Antônio Duarte Meira</t>
  </si>
  <si>
    <t>44150232822</t>
  </si>
  <si>
    <t>(11) 98129-5442</t>
  </si>
  <si>
    <t>BACHARELADO E LICENCIATURA EM TEATRO</t>
  </si>
  <si>
    <t>https://youtube.com/shorts/UWllfhEA3R0?feature=share</t>
  </si>
  <si>
    <t>441.502.328-22</t>
  </si>
  <si>
    <t>GABRIEL MOREIRA SOARES</t>
  </si>
  <si>
    <t>Gabriel Moreira Soares</t>
  </si>
  <si>
    <t>AMOREYRA MOREIRA</t>
  </si>
  <si>
    <t>Amoreyra Moreira</t>
  </si>
  <si>
    <t>145.***.***-97</t>
  </si>
  <si>
    <t>moreiramoreyra@gmail.com</t>
  </si>
  <si>
    <t>https://yz2spukd8h-jbrk7pf7uvw.s3.amazonaws.com/2024/06/5xIeA8dtjUx9BM5YKpR2VpTf2YgsBSkqdEdu5Nt3Czc%3D.jpg</t>
  </si>
  <si>
    <t>32830827</t>
  </si>
  <si>
    <t>29 anos, 9 meses, 4 dias</t>
  </si>
  <si>
    <t>Vila Ipojuca</t>
  </si>
  <si>
    <t>05055-020</t>
  </si>
  <si>
    <t>Rua Ibiquara</t>
  </si>
  <si>
    <t>112</t>
  </si>
  <si>
    <t>276784303</t>
  </si>
  <si>
    <t>(21) 98192-8010</t>
  </si>
  <si>
    <t>https://www.youtube.com/watch?v=A-fXspJ9Wf0</t>
  </si>
  <si>
    <t>SISTEMA MUNICIPAL DE BIBLIOTECAS - SUPERVISÃO DE BIBLIOTECA + BIBLIOTECA VIVA</t>
  </si>
  <si>
    <t>145.244.667-97</t>
  </si>
  <si>
    <t>Rodrigo Da Silva Santos</t>
  </si>
  <si>
    <t>rqdrigo@hotmail.com</t>
  </si>
  <si>
    <t>https://yz2spukd8h-jbrk7pf7uvw.s3.amazonaws.com/2024/06/QBNSBdysn55y4tNGWs69oIiE9B86aVJBz4FJvhGHerE%3D.jpeg</t>
  </si>
  <si>
    <t>27 anos, 9 meses, 4 dias</t>
  </si>
  <si>
    <t>Cidade Kemel</t>
  </si>
  <si>
    <t>08130-485</t>
  </si>
  <si>
    <t>Avenida Kemel Addas</t>
  </si>
  <si>
    <t>953</t>
  </si>
  <si>
    <t>374799970</t>
  </si>
  <si>
    <t>(11) 94304-8666</t>
  </si>
  <si>
    <t>RQDRIGO@HOTMAIL.COM</t>
  </si>
  <si>
    <t>https://www.instagram.com/blckrod/</t>
  </si>
  <si>
    <t>Tenho 27 anos, Nascido no extremo leste de São Paulo, em Ferraz de Vasconcelos, aos 5 anos me mudei para Itaquera com a minha família , onde vivi até os 19 com a minha mãe, irmão e padastro.   sempre trabalhei em produções industriais  e me formei no inicio da pandemia em Design gráfico graças ao Prouni. Porém nunca trabalhei efetivamente na área, por conta da pandemia e acessos.</t>
  </si>
  <si>
    <t>Atualmente desempregado e em busca de novos caminhos. Estudo algo que sempre quis que é moda na Etec do Brás e onde tenho me desenvolvido bastante artisticamente.</t>
  </si>
  <si>
    <t>Futuramente tenho sonho de trabalhar com arte, moda ou cultura que é algo que sempre me cativou e tentei me direcionar ao longo da vida, ou então abrir minha tão sonhada marca de roupa autoral.</t>
  </si>
  <si>
    <t>456.492.218-12</t>
  </si>
  <si>
    <t>GUILHERME DOS ANJOS VICTOR</t>
  </si>
  <si>
    <t>Artemiz Dos Anjos Victor</t>
  </si>
  <si>
    <t>guianjosvictor0@gmail.com</t>
  </si>
  <si>
    <t>https://yz2spukd8h-jbrk7pf7uvw.s3.amazonaws.com/2024/06/TWV0UoMJjI%2BURtL4rP/RNfr%2BBvTHEZl%2B/CJ%2BkDgT6rc%3D.jpg</t>
  </si>
  <si>
    <t>19 anos, 7 meses, 14 dias</t>
  </si>
  <si>
    <t>nome atualizado</t>
  </si>
  <si>
    <t>Americanópolis</t>
  </si>
  <si>
    <t>04429-150</t>
  </si>
  <si>
    <t>CASA NUMERO 18A</t>
  </si>
  <si>
    <t>Rua Correio Paulistano</t>
  </si>
  <si>
    <t>551794793</t>
  </si>
  <si>
    <t>(11) 91021-1242</t>
  </si>
  <si>
    <t>artemizanjos@gmail.com</t>
  </si>
  <si>
    <t>https://www.instagram.com/art.emiz_?igsh=anB6eWxwbzVrMmdu</t>
  </si>
  <si>
    <t>Olá, sou Artemiz e venho de Americanópolis, bairro da cidade de São Paulo. Realizei meu ensino fundamental no bairro e o ensino médio realizei no Villalva Jr. que fica próximo a estação Conceição. Meus pais sempre me motivaram a estudar sobre o que eu gostava ou sobre as coisas novas que surgiam durante minha trajetória, mesmo depois do divorcio deles, essa motivação continuou e isso eu levo para a vida.</t>
  </si>
  <si>
    <t>Atualmente com dezenove anos trabalho sem registro no restaurante The Grid como Garçom, trabalho recepcionando clientes, realizando e entregando pedidos para os  clientes, limpando áreas exclusivas de funcionários e de clientes e realizando a abertura do estabelecimento. Também estou cursando Técnico em Dança na Etec de Artes, curso esse que se finaliza em dezembro de 2025.</t>
  </si>
  <si>
    <t>Após o termino do Técnico em Dança buscarei me apresentar em eventos públicos ou privados como solista ou backdancer de alguém ao mesmo tempo em que tentarei realizar o curso Técnico de Canto pela Etec de Artes ou realizar algum curso livre de libras ou inglês/espanhol, tanto por interesse pessoal quanto para acrescentar ao meu repertorio. Mas meu foco é dançar ao lado da Pabllo Vittar em algum show dela.</t>
  </si>
  <si>
    <t>545.749.838-76</t>
  </si>
  <si>
    <t>Naiara Moura Da Cunha</t>
  </si>
  <si>
    <t>NAIARA</t>
  </si>
  <si>
    <t>Naiara</t>
  </si>
  <si>
    <t>mnaiara652@gmail.com</t>
  </si>
  <si>
    <t>https://yz2spukd8h-jbrk7pf7uvw.s3.amazonaws.com/2024/05/dhYoYt2wasPbXH5fP8i5icg7e0o/CSok5pH21olgjtA%3D.jpg</t>
  </si>
  <si>
    <t>20 anos, 1 meses, 11 dias</t>
  </si>
  <si>
    <t>Jardim Record</t>
  </si>
  <si>
    <t>03462-110</t>
  </si>
  <si>
    <t>Vila Formosa</t>
  </si>
  <si>
    <t>Rua Walter Imbra dos Santos</t>
  </si>
  <si>
    <t>50.042.241-2</t>
  </si>
  <si>
    <t>(11) 94811-3651</t>
  </si>
  <si>
    <t>MNAIARA652@GMAIL.COM</t>
  </si>
  <si>
    <t>https://www.instagram.com/dixx.naii_mra/</t>
  </si>
  <si>
    <t>Bom, eu nasci em São Paulo mesmo na região da Cidade Tiradentes e morei lá ate meus 8 anos de idade.   Na época era um lugar bem ruim de morar pois não tinha nada por perto, para todos os lugares precisava de ônibus e como eu morava em um apartamento mais humilde    ocorriam muitas coisas desagradáveis como briga de vizinhos, ultilizavam até violencia e já chegou a ocorrer muitos assaltos entre outras coisas.</t>
  </si>
  <si>
    <t>Atualmente moro na Vila Formosa desde os 8 anos de idade, minha vida melhorou bastante depois que me mudei pra cá a qualidade de vida é melhor, tem mais lojas, mais mercados, mais escolas, mais tranquilo bem menos perigoso, desde que eu e minha família nos mudamos pra cá nunca nos ocorreu um assalto e tem bem mais oportunidades para trabalho, é um local de mais fácil acesso.</t>
  </si>
  <si>
    <t>Pretendo morar em um apartamento classe média para alta e minha preferencia é mais no centro da cidade região da Mooca, Belém, Tatuapé ou talvez na penha.    Escolhi esses lugares por ficar mais perto de lojas, mercados, padaria e por ser de fácil acesso também.   Minha maior meta é apartamento própio, carro proprio e tudo que tenho direito acredito que com esse trabalho ajudaria muito na minha meta.</t>
  </si>
  <si>
    <t>241.147.108-41</t>
  </si>
  <si>
    <t>ANA CLARA GAETA HIPOLITO DA SILVA</t>
  </si>
  <si>
    <t>Ana Clara Gaeta Hipolito Da Silva</t>
  </si>
  <si>
    <t>ALEX GAETA HIPOLITO DA SILVA</t>
  </si>
  <si>
    <t>Alex Gaeta Hipolito Da Silva</t>
  </si>
  <si>
    <t>alexgaetasilva2000@gmail.com</t>
  </si>
  <si>
    <t>https://yz2spukd8h-jbrk7pf7uvw.s3.amazonaws.com/2024/04/kyM1NXLaVfpSrfqYBhD6RSUvOn6Aajgu2GGpwmwTzeI%3D.jpg</t>
  </si>
  <si>
    <t>23 anos, 6 meses, 30 dias</t>
  </si>
  <si>
    <t>Parque dos Príncipes</t>
  </si>
  <si>
    <t>05396-440</t>
  </si>
  <si>
    <t>Rua Adriano Silva</t>
  </si>
  <si>
    <t>559</t>
  </si>
  <si>
    <t>16.305.306-3</t>
  </si>
  <si>
    <t>(11) 99164-3149</t>
  </si>
  <si>
    <t>Nasci e morei em São Paulo na maior parte da minha vida, apenas me mudei para o Paraná com objetivo de estudar e me formar em História. Agora que retornei ao meu estado natal, busco oportunidades para colocar em pratica tudo aquilo que estudei durante os quatro anos da graduação. Infelizmente, ainda não havia encontrado alguma vaga que me deixasse com aquele brilho nos olhos, até que achei este edital, me indentifiquei muito com a vaga é era exatamente o que eu estava procurando.</t>
  </si>
  <si>
    <t>Atualmente, trabalho com atendimento ao público e como caixa em uma banca de jornal, gosto muito deste emprego, como adoro falar com pessoas, acaba sendo um trabalho bem leve para mim. Mesmo assim, ainda desejo trabalhar na área em que me formei e explorar outras oportunidades, por isso estou em busca de novas oportunidades que se encaixem neste perfil.</t>
  </si>
  <si>
    <t>Como dito antes, passei quatro anos da minha vida estudando História, que é a minha paixão, por isso, procuro empregos que eu possa explorar este lado, seja na parte de pesquisa, educacional ou cultural. Sou uma pessoa bem jovem, que aprende rápido e muito curioso, procuro algum emprego que me desafie, que me incentive a superar dificuldades e que eu possa contribuir com os meus conhecimentos.</t>
  </si>
  <si>
    <t>510.963.228-62</t>
  </si>
  <si>
    <t>Nathan Soares Caldas</t>
  </si>
  <si>
    <t>nsoarescaldas@gmail.com</t>
  </si>
  <si>
    <t>https://yz2spukd8h-jbrk7pf7uvw.s3.amazonaws.com/2024/06/Z5rx2d0CwFunElnEi2OPr0EpchCX%2BrJjDFk2fJzjdkg%3D.jpeg</t>
  </si>
  <si>
    <t>23 anos, 10 meses, 1 dias</t>
  </si>
  <si>
    <t>08421-521</t>
  </si>
  <si>
    <t>Rua Jaguapeba</t>
  </si>
  <si>
    <t>532002623</t>
  </si>
  <si>
    <t>(11) 96707-8020</t>
  </si>
  <si>
    <t>NSOARESCALDAS@GMAIL.COM</t>
  </si>
  <si>
    <t>sem resposta</t>
  </si>
  <si>
    <t>(confirmar)</t>
  </si>
  <si>
    <t>Tenho 23 anos, nasci no estado da Bahia, Eunápolis, e vim para São Paulo em 2006, com 6 anos de idade, vieram minha mãe e meus irmãos, sou o filho do meio, meu pai veio somente em 2008. A mudança de local sempre foi algo "normal" para mim, dificilmente passei mais de 4 anos morando em uma mesma casa, sempre no exato periodo de 4 anos mudava de endereço.</t>
  </si>
  <si>
    <t>Atualmente estou morando sozinho na Zona leste de São Paulo, acabei perdendo meus pais em uma janela muito curta de tempo e me vi morando sozinho mais 3 gatos, meus irmãos cada um seguiu seu rumo. Trabalho em um callcenter , 6 horas, por dia e faço faculdade EAD de ADS (Análise e Desenvolvimentos de Sistemas). Tenho forte interesse em trabalhos manuais, faço  encadernação artesanal.</t>
  </si>
  <si>
    <t>Me vejo formado na minha área e pretendo seguir uma carreira academica, tenho interesse em lecionar matemática e finalmete ter e saber tocar saxofone e koto. Não estarei mais morando no endereço atual, pretendo morar em uma área mais central, não necessariamente em São Paulo. Não sei dizer muito para onde vou, mas encaro com muita tranquilidade as incertezas</t>
  </si>
  <si>
    <t>426.747.798-10</t>
  </si>
  <si>
    <t>recurso deferido 2ª fase - alteração cadastral e nota da primeira fase com reclassificação (dados trocados com Nata Pereira de Souza)</t>
  </si>
  <si>
    <t>Sabrina Santana Da Silva</t>
  </si>
  <si>
    <t>NÃO POSSUO</t>
  </si>
  <si>
    <t>Não Possuo</t>
  </si>
  <si>
    <t>sabrinasantana054@gmail.com</t>
  </si>
  <si>
    <t>https://yz2spukd8h-jbrk7pf7uvw.s3.amazonaws.com/2024/06/NFEV3uQIAGqcNIV7Ed0XWpLkZREqxVPCouWWC0/9o84%3D.jpg</t>
  </si>
  <si>
    <t>18 anos, 5 meses, 12 dias</t>
  </si>
  <si>
    <t>08226-008</t>
  </si>
  <si>
    <t>Rua Nova Vida</t>
  </si>
  <si>
    <t>1467</t>
  </si>
  <si>
    <t>67083418X</t>
  </si>
  <si>
    <t>(11) 95123-5169</t>
  </si>
  <si>
    <t>SABRINASANTANA054@GMAIL.COM</t>
  </si>
  <si>
    <t>Me chamo Sabrina, sou nasci em São Paulo, na Zona Leste. E quando tinha 04 anos me mudei para Sergipe, onde vive até os 13. Desde cedo, sempre gostei de imaginar cenários, pois era bastante retraída (cenário que mudou assim que entrei no grêmio estudantil da minha escola) e gostava de usar minha criatividade, para brincar sozinha. Em toda minha vida, sempre adorei animais, a principio gatos.</t>
  </si>
  <si>
    <t>Atualmente, moro com meus pais, irmãos e meus 04 gatos. Estou cursando História na Universidade Federal de São Paulo (Unifesp), e buscando um emprego na minha área. Hoje trabalho na empresa Atento, como Especialista em Relacionamento com o Cliente, para que consiga arcar com os valores gastos com passagem, alimentação e materiais da faculdade, porém pretendo sair assim que encontrar algo dentro do meu âmbito de estudos.</t>
  </si>
  <si>
    <t>Futuramente pretendo lecionar, a principio para o Ensino Médio, pois assim como fez os meus professores, gostaria de mostrar aos meus futuros alunos que eles podem alcançar os objetivos deles, por meio da educação, assim como eu. Ademais, também estou disposta a trabalhar com acervo ou arquivologia, que são áreas que gosto bastante, desse modo farei uma  especialização, afim de desenvolver materiais precisos para os novos historiadores.</t>
  </si>
  <si>
    <t>109.375.705-16</t>
  </si>
  <si>
    <t>blluebru@gmail.com</t>
  </si>
  <si>
    <t>https://yz2spukd8h-jbrk7pf7uvw.s3.amazonaws.com/2024/04//yplNE1uckCy2Z8jFxU145FALpGUsNjoIVpxeOVvt9Q%3D.jpeg</t>
  </si>
  <si>
    <t>28 anos, 1 meses, 23 dias</t>
  </si>
  <si>
    <t>04284-050</t>
  </si>
  <si>
    <t>Rua Paolo Coviello</t>
  </si>
  <si>
    <t>523173544</t>
  </si>
  <si>
    <t>(11) 99313-4918</t>
  </si>
  <si>
    <t>Nasci em 1996 no estado de alagoas, na cidade de união dos palmares.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</si>
  <si>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Estou em são paulo, capital desde 2002.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</si>
  <si>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Se tiver sorte, em frente.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</si>
  <si>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455.459.388-69</t>
  </si>
  <si>
    <t>Yan Machado Ruffo</t>
  </si>
  <si>
    <t>yanmruffo@gmail.com</t>
  </si>
  <si>
    <t>https://yz2spukd8h-jbrk7pf7uvw.s3.amazonaws.com/2024/05/jjhmxkkuXhyM%2BTEl64rXMk2G1He2gB7sqbaw9tQfDto%3D.jpg</t>
  </si>
  <si>
    <t>19 anos, 1 meses, 3 dias</t>
  </si>
  <si>
    <t>04051-030</t>
  </si>
  <si>
    <t>Rua Caperuçu</t>
  </si>
  <si>
    <t>85</t>
  </si>
  <si>
    <t>532347742</t>
  </si>
  <si>
    <t>(11) 99317-4058</t>
  </si>
  <si>
    <t>TÉCNICO EM MEIO AMBIENTE, BACHARELADO EM COMUNICAÇÃO E ARTES DO CORPO</t>
  </si>
  <si>
    <t>https://drive.google.com/file/d/1o_qoykA7G707gGa_uawztjqrvUo7DBYx/view?usp=drivesdk</t>
  </si>
  <si>
    <t>415.307.518-37</t>
  </si>
  <si>
    <t>Rafaela Thais Ribeiro Nogueira</t>
  </si>
  <si>
    <t>rafaela_thais1996@hotmail.com</t>
  </si>
  <si>
    <t>https://yz2spukd8h-jbrk7pf7uvw.s3.amazonaws.com/2024/06/t43x%2BT4CYXYgipjnlO%2BdbFYmVk7xs1/kQf%2BzJROaCe4%3D.jpg</t>
  </si>
  <si>
    <t>27 anos, 5 meses, 18 dias</t>
  </si>
  <si>
    <t>Perdizes</t>
  </si>
  <si>
    <t>05018-011</t>
  </si>
  <si>
    <t>PERDIZES</t>
  </si>
  <si>
    <t>Rua Aimberê</t>
  </si>
  <si>
    <t>1267</t>
  </si>
  <si>
    <t>520072704</t>
  </si>
  <si>
    <t>(11) 94031-3887</t>
  </si>
  <si>
    <t>RAFAELA_THAIS1996@HOTMAIL.COM</t>
  </si>
  <si>
    <t>https://www.instagram.com/rafapetrova?igsh=YnN6OXdrZGx2cmdr</t>
  </si>
  <si>
    <t>CURSANDO - DANÇA</t>
  </si>
  <si>
    <t>Meu nome é Rafaela, tenho 27 anos e venho de um lugar que me moldou e me proporcionou as bases para a minha paixão pela arte e cultura. Nasci e cresci no Itaim Paulista, extremo leste de São Paulo, foi lá que vivi experiências que despertaram meu interesse pela arte e também me mostraram o poder transformador que ela possui na sociedade. Na minha infância e adolescência, tive a oportunidade de participar de aulas e oficinas gratuitas de teatro e dança, oferecidas em escolas, centros culturais e igrejas locais. Esses espaços foram refúgios de criatividade e de expressão para mim. E as apresentações, não foram apenas momentos de exibição do que havíamos aprendido, mas também de conexão.</t>
  </si>
  <si>
    <t>Atualmente, estou cursando bacharelado e licenciatura em Dança na Universidade Anhembi Morumbi com bolsa de 100% pelo ProUni. Recentemente, fiz um estágio de observação no CCA Alegria no bairro da Liberdade, uma experiência enriquecedora que me permitiu estar mais próxima da comunidade e vivenciar o impacto da educação, cultura e arte na vida das pessoas. Além disso, estou sempre em busca de novos conhecimentos e habilidades, participando de oficinas, cursos livres e regulares de moda, teatro e dança. Essa busca constante por aprendizado me mantém motivada a contribuir ainda mais para o desenvolvimento cultural e artístico da comunidade.</t>
  </si>
  <si>
    <t>Gostaria de fazer parte do Programa Jovem Monitor Cultural, para elevar meu conhecimento na área cultural e obter a oportunidade de ganhar experiência prática trabalhando com jovens em projetos culturais e educacionais, o que pode ser valioso para minha futura carreira como arte-educadora e artista. Desejo contribuir com a educação e arte na sociedade, especialmente ajudando pessoas que como eu, estão no Transtorno do Espectro Autista. E mostrar que pessoas com TEA podem alcançar seus sonhos e contribuir de forma significativa para a sociedade por meio da arte e poder inspirar pessoas especialmente com TEA a descobrirem seu potencial artístico e a se sentirem parte integrante da comunidade.</t>
  </si>
  <si>
    <t>456.797.248-12</t>
  </si>
  <si>
    <t>Gabriele Miranda Silva</t>
  </si>
  <si>
    <t>gabriele25m.silva@gmail.com</t>
  </si>
  <si>
    <t>https://yz2spukd8h-jbrk7pf7uvw.s3.amazonaws.com/2024/06/ruGRhFiGhULdaxKGa035/qiXPDAwEqUD2gP8GapQPas%3D.jpg</t>
  </si>
  <si>
    <t>24 anos, 4 meses, 30 dias</t>
  </si>
  <si>
    <t>04427-030</t>
  </si>
  <si>
    <t>Rua Domenico Aníbal</t>
  </si>
  <si>
    <t>52.387.162-4</t>
  </si>
  <si>
    <t>(11) 95810-8437</t>
  </si>
  <si>
    <t>https://www.instagram.com/gbz.mi/</t>
  </si>
  <si>
    <t>TECNICO EM ANIMACAO E TECNOLOGO EM PRODUCAO DE AUDIOVISUAL</t>
  </si>
  <si>
    <t>Oi, eu me chamo Gabriele Miranda, sou multi-artista da Zona Sul de São Paulo. Me formei em Produção Audiovisual e Criação e Produção de Animação. Trabalho tanto com ilustração como com música e produção de conteúdo. Eu vim de uma família bem mixigenada, com muitos interesses diferentes, e eu faço parte do recorte mais humilde. Também estou no pedaço mais jovem ( mas nem tanto ) e que sente muita necessidade de se expressar através da criatividade e de lutar contra injustiças.</t>
  </si>
  <si>
    <t>Atualmente, estou num momento de autoconhecimento ( que provavelmente vai durar até o fim da minha vida ) e num processo busca. Tenho muitos sonhos e muito anseio de mudar o mundo e minimamente fazer alguma diferença boa. Eu enxergo o mundo como um lugar bem desnivelado e que eu preciso fazer alguma coisa para melhorar ele para quem estiver chegando.</t>
  </si>
  <si>
    <t>Eu espero ir para um tempo e um lugar onde as coisas sejam menos difíceis, onde as pessoas tenham mais paciência e compreensão com as diversidades. Eu quero contribuir para a criação de espaços onde as pessoas possam ter acesso à informação, cultura, entreternimento e que possamos conversar sobre como podemos reduzir as diferenças sociais e como podemos aproveitar o que nos é oferecido.</t>
  </si>
  <si>
    <t>435.121.248-95</t>
  </si>
  <si>
    <t>GLAUBER RODRIGUES</t>
  </si>
  <si>
    <t>Glauber Rodrigues</t>
  </si>
  <si>
    <t>Gal Rodrigues</t>
  </si>
  <si>
    <t>galrebu@gmail.com</t>
  </si>
  <si>
    <t>https://yz2spukd8h-jbrk7pf7uvw.s3.amazonaws.com/2024/06/SJc1Szwk9bBZk5228RyIg1tEjx/DR7f6/WMZC55NnO0%3D.JPG</t>
  </si>
  <si>
    <t>28 anos, 1 meses, 14 dias</t>
  </si>
  <si>
    <t>01126-010</t>
  </si>
  <si>
    <t>Rua Silva Pinto</t>
  </si>
  <si>
    <t>455145167</t>
  </si>
  <si>
    <t>(11) 96210-5067</t>
  </si>
  <si>
    <t>https://www.instagram.com/contra___contra/</t>
  </si>
  <si>
    <t>LICENCIATURA ARTES VISUAIS</t>
  </si>
  <si>
    <t>Natural de Poá, minha jornada cultural começou em 2012 na oficina "Memórias do Olhar", onde aprendi audiovisual e produzi um curta. Em seguida, participei de oficinas de consciência corporal e teatro no espaço Opereta. Em 2015, ingressei na USP para cursar Letras e atuei no cursinho popular UNEAFRO, mediando debates e curando obras. Em 2016, co-fundei o coletivo queer 501 no CRUSP, acolhendo LGBTQIAP+ e racializados, e iniciei minha pesquisa sobre gênero e sexualidade nas Artes Visuais. De 2017 a 2020, cursei Licenciatura em Artes Visuais na UFPE e fui mediadora cultural no SESC Casa Amarela. Retornei a São Paulo em 2020 devido à pandemia.</t>
  </si>
  <si>
    <t>Recentemente, participei da equipe educativa da 35ª Bienal de São Paulo, onde tive uma experiência enriquecedora pelas questões políticas e sociais abordadas, além do contato com o mercado da arte. Foquei minha pesquisa em gênero e sexualidade e conheci outros arte-educadores com discussões semelhantes, criando um espaço de pesquisa e trocas. Tenho me interessado por diálogos sobre arte-terapia e métodos de cura através das diversas linguagens artísticas, em diálogo com a arte-educação em espaços não convencionais. Atualmente, trabalho como freelancer em bares e restaurantes, criando dinâmicas e mediações para o público nesses ambientes.</t>
  </si>
  <si>
    <t>Tenho grandes ambições de atuar com artes e centros culturais enquanto me especializo em terapia ocupacional, focando em métodos de cura através de linguagens artísticas. Minha paixão é integrar arte e saúde, promovendo bem-estar e desenvolvimento pessoal por meio de atividades culturais e terapêuticas. Desejo criar programas inovadores que utilizem arte como ferramenta de cura, oferecendo suporte a diversas comunidades. Pretendo colaborar com centros culturais para implementar projetos inclusivos, proporcionando um espaço onde a arte e a terapia se encontram para transformar vidas e fortalecer vínculos sociais.</t>
  </si>
  <si>
    <t>437.517.408-05</t>
  </si>
  <si>
    <t>Arthur Nascimento Assad</t>
  </si>
  <si>
    <t>arthur.assad@gmail.com</t>
  </si>
  <si>
    <t>https://yz2spukd8h-jbrk7pf7uvw.s3.amazonaws.com/2024/06/lJfAR1lYfwfU6dvPa1fqXxCy41/6hH3mOWw%2BAQgye48%3D.jpeg</t>
  </si>
  <si>
    <t>21 anos, 3 meses, 7 dias</t>
  </si>
  <si>
    <t>Vila Fachini</t>
  </si>
  <si>
    <t>04334-040</t>
  </si>
  <si>
    <t>Apartamento 33A</t>
  </si>
  <si>
    <t>Avenida Muzambinho</t>
  </si>
  <si>
    <t>57104203X</t>
  </si>
  <si>
    <t>(11) 98159-9799</t>
  </si>
  <si>
    <t>https://www.linkedin.com/in/arthur-assad-73aa80205/</t>
  </si>
  <si>
    <t>https://www.youtube.com/watch?v=WQJ6Me_-xAY</t>
  </si>
  <si>
    <t>525.362.278-04</t>
  </si>
  <si>
    <t>Aurora Cappello Vinci De Moraes</t>
  </si>
  <si>
    <t>auroracvm@usp.br</t>
  </si>
  <si>
    <t>https://yz2spukd8h-jbrk7pf7uvw.s3.amazonaws.com/2024/05/38%2Bq7Tw6Jdw/q1k/V6EUTQ%2BluvINCFlfMBBNumQDNrE%3D.jpeg</t>
  </si>
  <si>
    <t>22 anos, 1 meses, 11 dias</t>
  </si>
  <si>
    <t>Maranhão</t>
  </si>
  <si>
    <t>03073-100</t>
  </si>
  <si>
    <t>Rua Júlio Tamer</t>
  </si>
  <si>
    <t>140768812</t>
  </si>
  <si>
    <t>(41) 99151-2002</t>
  </si>
  <si>
    <t>CVMAURORA@GMAIL.COM</t>
  </si>
  <si>
    <t>https://www.linkedin.com/in/aurora-vinci-657baa1a5/</t>
  </si>
  <si>
    <t>Venho de um espaço de muita liberdade p/ aprender e me desenvolver como pessoa, pois sou filha de pais professores que sempre me apoiaram e criaram um espaço seguro na minha infância/adolescência. Entendo meus privilégios por conta disso, mas sou muito grata pelo que eles me proporcionaram. Foi com eles que me apaixonei por cultura, principalmente brasileira e, sem perceber fui trilhando um caminho que me faria no futuro me interessar por produção cultural. Sou de São Paulo, mas não fui criada na cidade e, agora que estou morando aqui de novo, sinto que a cidade vem me ensinando a juntar minhas referências com as de outras pessoas daqui, construindo e entendendo a cultura e seus espaços.</t>
  </si>
  <si>
    <t>Por mais que eu sempre tenha gostado muito de arte, nunca me entendi como artista e sempre tive dificuldade em entender como me relacionar com ela. Se não me considero artística, nem criadora, como trabalhar com isso? Atualmente, depois de ter feito fotografia no IF durante o EM e estar me formando em Moda esse ano, consegui começar a enxergar maneiras de trabalhar com cultura com as habilidades que eu tenho. A minha paixão por música, por exemplo, pode se juntar a minha facilidade de organização - me proporcionando possibilidades dentro do espaço profissional cultural que não seja necessariamente ser música. Ainda estou um pouco perdida, mas agora entendo a criatividade de outras formas.</t>
  </si>
  <si>
    <t>Sinceramente, não sei. Existem tantas possibilidades que passam na minha cabeça de caminhos profissionais que eu teria interesse e todos me parecem atrativos e também um pouco assustadores. Mas, algo que eu aprendi estando dentro de um coletivo que chama CANIL (@canilvive), é que eu posso ter a liberdade de explorar esses diversos interesses, aprender com os outros, dar plataforma para diferentes expressões artísticas e construir dentro da coletividade o meu futuro. É claro, a realidade bate na porta e nossas responsabilidades dentro do sistema em que vivemos não nos deixa ser tão sonhadores, mas eu espero que pra onde eu esteja indo, eu não esteja sozinha e leve outros comigo.</t>
  </si>
  <si>
    <t>LESTE - 2</t>
  </si>
  <si>
    <t>112.919.999-14</t>
  </si>
  <si>
    <t>Claudio Moises Mutombo Lekadiano</t>
  </si>
  <si>
    <t>clamsoficial@gmail.com</t>
  </si>
  <si>
    <t>https://yz2spukd8h-jbrk7pf7uvw.s3.amazonaws.com/2024/06/JyhF2rzhMusuAqD/xyevfYKaCu4QhYFTQv1ZTP9WOyo%3D.jpg</t>
  </si>
  <si>
    <t>23 anos, 5 meses, 5 dias</t>
  </si>
  <si>
    <t>cursando audio e visual</t>
  </si>
  <si>
    <t>03654-000</t>
  </si>
  <si>
    <t>Rua Almeria</t>
  </si>
  <si>
    <t>485</t>
  </si>
  <si>
    <t>656855113</t>
  </si>
  <si>
    <t>(11) 94998-8682</t>
  </si>
  <si>
    <t>https://www.instagram.com/clams_oficial?igsh=a2ZvemZiM3RweWE2</t>
  </si>
  <si>
    <t>audio e  visual</t>
  </si>
  <si>
    <t>Olá,   Gostaria de me apresentar e compartilhar um pouco sobre minha trajetória e como ela me levou a me candidatar a esse programa de Jovem Monitor Cultural.     Eu me chamo Cláudio Moisés e tenho 23 anos. Falo francês e português. Sou um grande apaixonado por arte e cultura.   Cresci na República Democrática do Congo, em Kinshasa, que fica no continente africano, e uma parte aqui em São Paulo e no Rio de Janeiro, onde nasci, lugares vibrantes e cheios de diversidade cultural. Desde pequeno, fui envolvido em várias atividades culturais na minha comunidade, como teatro e música, pelas quais sou extremamente apaixonado. Essas experiências me ensinaram o valor da cultura e como ela pode unir.</t>
  </si>
  <si>
    <t>Atualmente, estou estudando Audiovisual na Unip Paulista. Durante meu tempo aqui, aprendi muito não só academicamente, mas também sobre como a cultura pode ser um poderoso agente de mudança social. Participei de projetos que me permitiram desenvolver habilidades importantes como comunicação, organização e trabalho em equipe.     Nas horas vagas, ando pelas ruas de São Paulo tirando fotos da cidade, que depois publico no meu Insta. Também faço um pouco de música e amo cantar.</t>
  </si>
  <si>
    <t>Estou muito empolgado com a ideia de trabalhar como Jovem Monitor Cultural. Vejo essa oportunidade como uma maneira de aplicar tudo o que aprendi e de continuar crescendo tanto profissionalmente quanto pessoalmente. Quero ajudar a tornar a cultura mais acessível a todos, organizando eventos e atividades que celebrem nossa diversidade cultural e incentivem a participação comunitária. Tenho um forte desejo de aprender mais e de contribuir ativamente para os objetivos.     Agradeço desde já pela consideração. gratidão.</t>
  </si>
  <si>
    <t>242.677.658-71</t>
  </si>
  <si>
    <t>pedrxsantana@usp.br</t>
  </si>
  <si>
    <t>https://yz2spukd8h-jbrk7pf7uvw.s3.amazonaws.com/2024/06/2r1x%2BbiZLr8IfYYtEYdhmQIxYkP9mgcBDq9NyOp2P4w%3D.jpg</t>
  </si>
  <si>
    <t>21 anos, 1 meses, 28 dias</t>
  </si>
  <si>
    <t>Jardim Olympia</t>
  </si>
  <si>
    <t>05542-052</t>
  </si>
  <si>
    <t>Travessa José Fagunde da Silva</t>
  </si>
  <si>
    <t>1199</t>
  </si>
  <si>
    <t>53971607-8</t>
  </si>
  <si>
    <t>(11) 99493-5479</t>
  </si>
  <si>
    <t>Sou Pedro, venho do Jardim Jaqueline, periferia da zona oeste de São Paulo, cursei meu fundamental em uma escola da região, EMEF VIANNA MOOG e fiz ETEC na GUARACY SILVEIRA, médio e técnico em marketing. Após concluir o ensino médio, passei na federal de Pelotas para cursar jornalismo, fui para ficar lá, mas devido a problemas de suporte financeiro precisei voltar para São Paulo - SP e passei o ano de 2023 fazendo cursinho popular pré-vestibular.</t>
  </si>
  <si>
    <t>Agora em 2024, estou cursando Filosofia na USP e estou finalizando o primeiro semestre, Estou muito feliz por essa conquista, pois se quer imaginei um dia chegar nesse ponto, para alguém que vem de periferia e ocupar esse espaço é algo que me motiva muito a construir e continuar em busca de meus objetivos. Não só objetivos pessoais, mais coletivos também, e com isso melhorar a condição de meus familiares e mudar de certa forma algumas estatísticas que permanecem ano após ano na nossa sociedade.</t>
  </si>
  <si>
    <t>Por meio da filosofia, pretendo me especializar na filosofia da arte, estética e política, adquirindo o máximo de conteúdo e repertório que eu puder para que eu contribua de maneira efetiva como cidadão e pensador. Sempre adorei e adoro a arte, quero muito engrenar também no audiovisual no qual tenho alguns projetos de filmes e de palestras para trazer esperança a pessoas da minha realidade e mostrar que sonhos não precisam ficar apenas na imaginação. Essa oportunidade seria sensacional para o meu crescimento como futuro docente , profissional, artista e cidadão.</t>
  </si>
  <si>
    <t>343.345.518-07</t>
  </si>
  <si>
    <t>andreiamojang@gmail.com</t>
  </si>
  <si>
    <t>https://yz2spukd8h-jbrk7pf7uvw.s3.amazonaws.com/2024/04/kfemOd5oZ55DUbw3vzCPzKlGG8JgYq6qbeLW42/EfNg%3D.jpg</t>
  </si>
  <si>
    <t>Vila Nova Utinga</t>
  </si>
  <si>
    <t>03258-030</t>
  </si>
  <si>
    <t>Rua André da Cunha Fonseca</t>
  </si>
  <si>
    <t>342</t>
  </si>
  <si>
    <t>541042282</t>
  </si>
  <si>
    <t>(11) 2036-2648</t>
  </si>
  <si>
    <t>Olá, muito prazer! Meu nome é Andreia tenho 22 anos, completei o ensino médio enquanto estava cursando legião mirim, meus pais sempre trabalharam muito, então eu sempre fiquei ocupada nas oficinas gratuitas,  moro próxima da favela então tive que me deslocar para longe como foi quando arrumei meu primeiro emprego de jovem aprendiz, em água rasa. Onde moro não tem muita acessibilidade para atividades culturais e sem a passagem ir de bicicleta levaria uma hora e meia para um centro cultural mais próximo</t>
  </si>
  <si>
    <t>Agora pretendo trazer meus pais para o meio cultural que me envolvi, o governo oferece muitas atividades gratuitas e oficinas que seriam ótimas para a saúde como passa tempo,  no momento estou ajudando meus pais a finalizarem o ensino médio online em casa, para eles conseguirem um salário melhor, e sair da casa de aluguel em que vivemos,  finalizando o curso superior quero dar o melhor para eles assim como eles lutaram muito para mim</t>
  </si>
  <si>
    <t>No momento eu moro com meu irmão, estamos dividindo uma casa e sobrevivendo com o bolsa família, de vez enquanto eu faço artesanato para ajudar com a renda de casa e estou me esforçando muito para passar na Fatec e conseguir não me preocupar com uma mensalidade e entre as contas que dividimos em casa, mas meu sonho é dar um futuro melhor para quem eu amo e seria de grande ajuda essa oportunidade pois além de ajudar a manter os gastos com o material didático eu vou conseguir me concentrar nos meus estudos, tirar boas notas para me tornar uma ótima profissional e poder oferecer um futuro melhor a quem sempre me apoiou até aqui.</t>
  </si>
  <si>
    <t>447.936.638-50</t>
  </si>
  <si>
    <t>Mônica Isabela Maia</t>
  </si>
  <si>
    <t>mmonicaisabela@gmail.com</t>
  </si>
  <si>
    <t>https://yz2spukd8h-jbrk7pf7uvw.s3.amazonaws.com/2024/05/VKPYe7s7wsEUmmlmxYPRALlZLl/Kz/q6%2BPfdaFUsPOE%3D.jpeg</t>
  </si>
  <si>
    <t>27 anos, 0 meses, 8 dias</t>
  </si>
  <si>
    <t>04849-050</t>
  </si>
  <si>
    <t>Rua Demas Zitto</t>
  </si>
  <si>
    <t>386650792</t>
  </si>
  <si>
    <t>(11) 95053-2865</t>
  </si>
  <si>
    <t>BACHARELADO EM DESIGN DE MOA</t>
  </si>
  <si>
    <t>Eu nasci em meados de 1997, na Avenida Adolfo Pinheiro, no extinto Hospital São Leopoldo. Sou caçula de 3 irmãos, cresci no extremo Sul de São Paulo.   Desde que me lembro, me interesso por cultura, história e arte. Gostava muito de desenhar e também escrever quando criança. Isso me acompanhou, e conforme eu fui crescendo, outros interesses começaram a aparecer também.  Eu desde muito pequena lia revistas de moda e amava ver videoclipes musicais.   Aos 9 ou 10 anos já pensava em escrever livros, roteiros, letras de música, histórias em quadrinhos, desenvolver animações e até em criar figurinos.</t>
  </si>
  <si>
    <t>Não sei quem eu sou muitas vezes, mas eu estou começando a descobrir de onde eu vim.   Por isso, estou em busca de algo que faça sentido me dedicar. Ainda preciso entender a diferença entre ter um hobby e trabalhar com o que eu gosto.   Resolvi fazer faculdade de Design de Moda, mesmo sem ter me preparado ou pesquisado o mercado, eu decidi arriscar e concluí o curso. Nos anos seguintes, me envolvi em vários projetos, com o objetivo de me tornar parte da economia criativa.   Me encontro em um momento de muita incerteza profissional. Espero conseguir, pela primeira vez, aproveitar a minha vivência e levar para o mercado de trabalho.</t>
  </si>
  <si>
    <t>Recentemente, concluí um curso de monitoria do Memorial Achiropita Orione no bairro do Bixiga. Durante essa formação, eu pude resgatar a vontade de estar em constante movimento e aprendizado.  Foi possível treinar um pouco o meu olhar em relação a estética, cultura, contexto histórico, política, bem como observar as transformações da cidade.  Acredito que esse projeto seja uma excelente oportunidade para iniciar uma nova trajetória profissional. Desejo me especializar em Fotografia, bem como me aprofundar na área da Cultura. Nesse caso, vejo a possibilidade de complementar a minha formação ao participar do PJMC, criando uma ponte entre vivências pessoais e novos conhecimentos.</t>
  </si>
  <si>
    <t>465.169.318-01</t>
  </si>
  <si>
    <t>LAYS OLIVEIRA DA COSTA VENANCIO</t>
  </si>
  <si>
    <t>Lays Oliveira Da Costa Venâncio</t>
  </si>
  <si>
    <t>laysvcio@gmail.com</t>
  </si>
  <si>
    <t>https://yz2spukd8h-jbrk7pf7uvw.s3.amazonaws.com/2024/06/nRi/avwSSlb9dqEKXXAQiuhknd9gvbjfjvPkc1iwH%2BA%3D.jpg</t>
  </si>
  <si>
    <t>26 anos, 7 meses, 20 dias</t>
  </si>
  <si>
    <t>04274-040</t>
  </si>
  <si>
    <t>Casa 05</t>
  </si>
  <si>
    <t>Rua Santa Aurélia</t>
  </si>
  <si>
    <t>278</t>
  </si>
  <si>
    <t>MG - 20.037.910</t>
  </si>
  <si>
    <t>(34) 99995-9899</t>
  </si>
  <si>
    <t>https://www.instagram.com/laysvcio/</t>
  </si>
  <si>
    <t>BACHARELADO EM SERVICO SOCIAL E TECNICO EM INFORMATICA</t>
  </si>
  <si>
    <t>Sou interiorana, mas não daqui. Nasci em Ituiutaba, interior de Minas Gerais, do Triângulo Mineiro - pra ser mais exata. Em resumo: eu vim de muito longe. Cresci em uma área periférica e fui criada por meus avós. Ainda que um lugar extremamente humilde e muitas vezes instável, eu sou completamente apaixonada pela minha cidade e volto à mesma sempre que tenho condições. Minhas raízes guiam meus frutos, e é assim que eu me mantenho de pé.</t>
  </si>
  <si>
    <t>Meu sonho sempre foi me mudar para uma cidade grande, já que infelizmente não tive muitas oportunidades em Ituiutaba. Me mudei para São Paulo, oficialmente em 2023, onde  resido com meu namorado, em um bairro que eu amo: Ipiranga. Por muita sorte, conseguimos uma casinha que cabe no orçamento e que também cabe nós dois e nossa bagagem. Sou completamente apaixonada por esse bairro e por sua história. Amo caminhar aqui no final da tarde e observar o contraste de passado e futuro que o Ipiranga representa</t>
  </si>
  <si>
    <t>Desde pequena, sou completamente apaixonada por cinema. A verdade é que é dificílimo ser artista e morar no interior. Dessa forma, eu vim para São Paulo em busca de conseguir realizar meu sonho: eu quero ser roteirista de cinema/audiovisual. É isso que me impulsiona e, de certa forma, me ajuda a não desistir. Quero estudar cinema e absorver todo o conhecimento possível da área, para dar o meu melhor quando atingir meu objetivo</t>
  </si>
  <si>
    <t>132.984.076-31</t>
  </si>
  <si>
    <t>Vitória Regina Ferreira Martins</t>
  </si>
  <si>
    <t>vitoria.martins@usp.br</t>
  </si>
  <si>
    <t>https://yz2spukd8h-jbrk7pf7uvw.s3.amazonaws.com/2024/06/HdlCVdCjj3XtmazYlQFF%2B7Gliz8Ipmx7BNRjvZAnCdU%3D.jpeg</t>
  </si>
  <si>
    <t>26 anos, 4 meses, 23 dias</t>
  </si>
  <si>
    <t>Jardim londrina</t>
  </si>
  <si>
    <t>05638-110</t>
  </si>
  <si>
    <t>Rua ibiraporã</t>
  </si>
  <si>
    <t>500126689</t>
  </si>
  <si>
    <t>(35) 98843-2177</t>
  </si>
  <si>
    <t>Terapia Ocupacional</t>
  </si>
  <si>
    <t>Meu nome é Vitória, sou do interior do estado de São Paulo. Mudei algumas vezes de curso, fui de medicina veterinária para ciências sociais na Universidade de São Paulo (USP). Tive a oportunidade de estagiar no Sesc Pinheiros como educadora na exposição “Retratistas do Morro” que ocorreu no ano passado e foi de grande valor para a minha formação profissional e pessoal.</t>
  </si>
  <si>
    <t>Depois de várias mudanças no âmbito acadêmico decidi trocar esse ano para o curso de Terapia Ocupacional na mesma universidade. Estou a dois anos em São Paulo e este é o momento mais tranquilo que estou vivendo. Atualmente estou gostando bastante do meu curso e das áreas que ele me proporciona, pois envolve a área cultural, da saúde e das humanidades.</t>
  </si>
  <si>
    <t>Levando o pensamento para o futuro, pretendo me graduar em Terapia Ocupacional e aproveitar o que São Paulo tem de melhor a me oferecer, pois São Paulo tem um investimento cultural alto, coisa que no interior do estado é bem diferente. Pretendo aprender tudo o que puder para poder acrescentar com os conhecimentos da comunidade de onde vi e em que cresci.</t>
  </si>
  <si>
    <t>g60</t>
  </si>
  <si>
    <t>376.784.658-66</t>
  </si>
  <si>
    <t>SABRINA DE SOUZA CAVALCANTE</t>
  </si>
  <si>
    <t>Sabrina De Souza Cavalcante</t>
  </si>
  <si>
    <t>426.***.***-01</t>
  </si>
  <si>
    <t>biehcavalcante@gmail.com</t>
  </si>
  <si>
    <t>https://yz2spukd8h-jbrk7pf7uvw.s3.amazonaws.com/2024/05/KkFWnOCQEvL27/vWWyPGeXyHnxlTBoLozKJC5OOsvvY%3D.jpeg</t>
  </si>
  <si>
    <t>32715426</t>
  </si>
  <si>
    <t>29 anos, 8 meses, 10 dias</t>
  </si>
  <si>
    <t>08141-004</t>
  </si>
  <si>
    <t>41a bloco3</t>
  </si>
  <si>
    <t>Rua Vitória do Espírito Santo</t>
  </si>
  <si>
    <t>476045551</t>
  </si>
  <si>
    <t>(11) 95458-0031</t>
  </si>
  <si>
    <t>BIEHCAVALCANTE@GMAIL.COM</t>
  </si>
  <si>
    <t>https://www.instagram.com/prazer.byzz?igsh=MW1oaGY0MXE4bDdzaw==</t>
  </si>
  <si>
    <t>07563287990</t>
  </si>
  <si>
    <t>Nascida de uma mistura entre uma mãe mineira de origem rural e um pai do Extremo Leste de São Paulo, meu contato com a arte foi limitado, porém seu chamado sempre esteve presente em mim. Desde cedo, descobri minha afinidade com o canto e aos 4 anos já participava de eventos locais. Aos 13, fundei uma banda escolar para alimentar meu sonho de viver da arte. Agora, em 2024, completo 16 anos de carreira profissional, imersa em diversos projetos musicais, seguindo firme no meu caminho artístico.</t>
  </si>
  <si>
    <t>Atualmente, exerço não apenas minha vocação como musicista, mas também atuo como produtora cultural. Meu foco é auxiliar artistas periféricos a acessarem editais que priorizem suas narrativas em eventos regionais, demonstrando que a arte pode ser não apenas um sonho, mas também uma fonte de sustento. Como parte do duo chamado Duplano, apresento-me em bares e eventos na minha região de origem, levando consigo o amor pela arte e o compromisso de ampliar o acesso à cultura. Busco incitar um despertar cultural nas áreas periféricas de São Paulo, frequentemente carentes de oportunidades e informações.</t>
  </si>
  <si>
    <t>Os meus objetivos de vida são fundamentados em proporcionar não apenas sustento para os meus filhos, mas também perseguir os meus sonhos artísticos. Testemunhei ao longo da vida mães renunciarem aos seus próprios sonhos em prol da estabilidade e do sustento dos filhos. O meu objetivo global é ser um exemplo vivo de que é possível encontrar estabilidade financeira e realização pessoal através da arte, seja na música ou em outras formas de expressão artística. Acredito firmemente que o melhor ensinamento é dado através do exemplo, e estou determinada a ensinar ao Ariel e à Serena a nunca desistirem dos seus próprios sonhos.</t>
  </si>
  <si>
    <t>F900 CID10</t>
  </si>
  <si>
    <t>426.030.908-01</t>
  </si>
  <si>
    <t>Thiago Luiz Costa Coelho</t>
  </si>
  <si>
    <t>thiagons.575@gmail.com</t>
  </si>
  <si>
    <t>https://yz2spukd8h-jbrk7pf7uvw.s3.amazonaws.com/2024/06/JWNjZErkNbvr8VdtRA1u5I5832WMH3nql74kCRTWOKg%3D.jpeg</t>
  </si>
  <si>
    <t>19 anos, 1 meses, 13 dias</t>
  </si>
  <si>
    <t>Conjunto Habitacional Turística</t>
  </si>
  <si>
    <t>05164-090</t>
  </si>
  <si>
    <t>Rua Lícia Magna</t>
  </si>
  <si>
    <t>634473207</t>
  </si>
  <si>
    <t>(11) 94530-4361</t>
  </si>
  <si>
    <t>THIAGONS.575@GMAIL.COM</t>
  </si>
  <si>
    <t>https://www.instagram.com/thigas.c/</t>
  </si>
  <si>
    <t>Sou da região noroeste de São Paulo, e quando era mais novo participava do projeto GURI que visava a iniciação musical em coletivo, além de participar de oficinas nas bibliotecas da área. Ainda nessa época entrei no teatro da minha antiga escola onde desenvolvi meus primeiros repertórios artísticos e culturais, que foram estruturantes para a minha formação atual. A partir do meu primeiro ano do ensino médio me mudei para uma escola da rede estadual onde participei ativamente da gestão politica da mesma, representando a comunicação da minha sala com a direção variando de líder e vice-líder durante três anos, além de que no meu ultimo ano fiz parte do grêmio estudantil como diretor cultural.</t>
  </si>
  <si>
    <t>Atualmente ingressei meus estudos no ensino superior em Artes Cênicas na Universidade de São Paulo (USP), na qual buscamos um olhar mais "decolonial" dos estudos cênicos e uma maneira de manter a arte teatral presente na vida cultura da população. Além de permanecer no coletivo de teatro da minha infância, onde desenvolvemos uma maneira de expandir pela região noroeste, mais especificamente no Jaraguá e Pirituba, para levarmos diversos projetos pedagógicos e culturais, sendo as peças nosso foco principal, pois percebemos uma enorme defasagem de interesse pela cultural das pessoas desses distritos, aproveitando meu acesso na instituição para tentar democratizar este conhecimento elitizado.</t>
  </si>
  <si>
    <t>Pretendo adentrar o mundo da arte educação, na qual vou explorar metodologias onde a educação não seja bancaria e dê para extrair todas as potencialidades latentes nos educandos, porém almejo atuar em escolas até ter conhecimento e recursos para construir uma instituição que acolha pessoas da região onde moro, principalmente do público infanto juvenil, para distribuir o acesso da formação de todos os aspectos teatrais desde a iluminação e sonoplastia até formação de possíveis novos arte educadores e atores. Assim fomentando a vontade de adentrar na imensidão da pluralidade cultural que já existe, porém não esta no esta no horizonte do grande público, logo o dando sua visibilidade merecida.</t>
  </si>
  <si>
    <t>529.989.578-03</t>
  </si>
  <si>
    <t>Graziele De Lima</t>
  </si>
  <si>
    <t>graziele.l@outlook.com</t>
  </si>
  <si>
    <t>https://yz2spukd8h-jbrk7pf7uvw.s3.amazonaws.com/2024/06/4bX%2BQPSMcxQeyCqs7oHRLRgSO2nlwmAVkT8MdMiMHIc%3D.jpeg</t>
  </si>
  <si>
    <t>25 anos, 1 meses, 8 dias</t>
  </si>
  <si>
    <t>superior  concluido</t>
  </si>
  <si>
    <t>Jardim Irene</t>
  </si>
  <si>
    <t>08431-800</t>
  </si>
  <si>
    <t>Avenida São Lázaro de Jerusalém</t>
  </si>
  <si>
    <t>545648130</t>
  </si>
  <si>
    <t>(11) 98210-9089</t>
  </si>
  <si>
    <t>organizacao de  eventos</t>
  </si>
  <si>
    <t>Nascida em Guaianases no extremo leste de São Paulo. Conclui meu ensino médio em uma escola pública.Na periferia as oportunidades  são bem escassas, é bem difícil uma menina pobre que cresceu na periferia.Sou uma sonhadora que tudo que faço é em busca dos   meus projetos e realizações. Fiz uma graduação na área de eventos.    Estou em busca dos meus projetos e sonhos, estou sempre realizando cursos extracurriculares; dentro da área de eventos. Estudante de   libras.</t>
  </si>
  <si>
    <t>Prossigo para um alvo e foco, com destino a realizar meus sonhos.No momento realizo apenas free lances. Graças a Deus!  Estou em busca de uma oportunidade, por isso estou aqui, quero essa vaga para agregar ou somar com toda equipe maravilhosa.  Aprendi a sempre ir atrás, correr atrás das suas conquistas. Estou cheia de esperança e expectativas. Seguindo com positividade sempre.</t>
  </si>
  <si>
    <t>Vou para ralização de meus projetos e sonhos. Aguardando em Deus, e meio a tantas lutas diárias, batalhas que as vezes parece insolúveis.  Porém não devemos desistir. Almejo minha realização profissional. Inclusive um dos meus projetos é entrar para o jovem monitor, devido  a área de eventos. E que Deus nos ajude nesse caminho tão árduo. Porém sempre com o coração cheio de fé.</t>
  </si>
  <si>
    <t>479.848.848-89</t>
  </si>
  <si>
    <t>Raul Oliveira Araujo Da Silva</t>
  </si>
  <si>
    <t>raul.slushie@gmail.com</t>
  </si>
  <si>
    <t>https://yz2spukd8h-jbrk7pf7uvw.s3.amazonaws.com/2024/06/qba00cq5Nw6K4smSadCRANsiNSf8pA40sNdOVg1rT1k%3D.jpg</t>
  </si>
  <si>
    <t>25 anos, 1 meses, 13 dias</t>
  </si>
  <si>
    <t>04214-000</t>
  </si>
  <si>
    <t>Rua Labatut</t>
  </si>
  <si>
    <t>645</t>
  </si>
  <si>
    <t>39605304X</t>
  </si>
  <si>
    <t>(19) 99340-2929</t>
  </si>
  <si>
    <t>Vim do interior, do quintal da Vó Dita, onde aprendi a falar, andar e subir em árvore. Sou de Campinas e cresci no meio de sambistas nas festas de família. Entrei no teatro aos 12 anos, em curso gratuito da prefeitura de Valinhos e desde então fui me reconhecendo como agente da cultura. Decidi que seria isso que faria da vida e ingressei em curso superior de Artes Cênicas em Campinas, pela Unicamp. Lá conheci a produção cultural ao fazer parte da equipe de produção dos espetáculos em que atuei, do 20º FEIA - Festival do Instituto de Artes, e do 15º Feverestival - Festival Internacional de Teatro de Campinas. Desde 2020 não atuo nessa área e tenho interesse em fazê-lo profissionalmente.</t>
  </si>
  <si>
    <t>Estou hoje em São Paulo, tentando me firmar na metrópole que não dorme. Tenho dois projetos de teatro, um que dirijo e um que atuo, e nenhum deles me dá o mínimo de estabilidade que eu pensei que poderia ter vindo para essa cidade. Tenho procurado muitas coisas e percebi que ampliar meus conhecimentos profissionais pode ser bem útil para mim. Estou no meio da cidade grande e determinado a não desistir de mim e dos meus sonhos, interessado em me inserir em novos ciclos sociais de trabalho e a somar com a cultura.</t>
  </si>
  <si>
    <t>480.686.428-54</t>
  </si>
  <si>
    <t>Gabriella Carli Mendes</t>
  </si>
  <si>
    <t>gcarlisrs@gmail.com</t>
  </si>
  <si>
    <t>https://yz2spukd8h-jbrk7pf7uvw.s3.amazonaws.com/2024/06/UN6mWF9SV22rvHB3EF%2Bgrhcp0d%2BWKVnKaVGBHO4vpq0%3D.jpeg</t>
  </si>
  <si>
    <t>25 anos, 7 meses, 28 dias</t>
  </si>
  <si>
    <t>Vila São Luis</t>
  </si>
  <si>
    <t>05362-040</t>
  </si>
  <si>
    <t>Rua Frei Inácio da Conceição</t>
  </si>
  <si>
    <t>640</t>
  </si>
  <si>
    <t>MG16725767</t>
  </si>
  <si>
    <t>(35) 98432-4542</t>
  </si>
  <si>
    <t>https://www.instagram.com/gabcacacajj/</t>
  </si>
  <si>
    <t xml:space="preserve">Artes Cênicas </t>
  </si>
  <si>
    <t>De registro sou Gabriella e tenho 25 anos, mas prefiro ser chamada de Gabi e acreditar que ainda estou na casa dos 19 anos. Nasci e cresci numa cidade de pouco mais de 30.000 habitantes no interior de Minas Gerais, Santa Rita do Sapucaí. Perto dos meus 7 anos de idade, conheci o exercício teatral através de festivais de poesia que havia na minha escola, E. E. Dr. Luiz Pinto de Almeida, no qual fui participante assídua até os 14 anos. Contudo, quando formei o nono ano e mudei de escola, fiquei órfã do teatro. Pouco se tinha em oportunidade cultural/artística na minha cidade. Então, em 2018, aprovada no curso de Artes Cênicas da Escola de Comunicação e Artes da USP, me mudei para São Paulo.</t>
  </si>
  <si>
    <t>No último ano, enquanto projeto da graduação de Artes Cênicas, realizei um curta-metragem na minha cidade natal em Minas Gerais, contando com a presença de não atores, integrantes da minha própria família. O set de filmagem era uma cômodo pequeno na periferia da cidade, região onde as pessoas fazem a passagem da zona urbana para a zona rural. Esses passantes não raro paravam na porta do set e entravam, deliberadamente, para espiar o que estava acontecendo. Essa experiência fortaleceu muito em mim a noção de comunidade e a carência de atividades culturais na cidade, visto a curiosidade das pessoas e vontade de conversar sobre o que se passava naquele cômodo.</t>
  </si>
  <si>
    <t>Desde que cheguei em São Paulo, não existe semana que eu não tenha uma agenda cultural, seja com os amigos ou comigo mesma. Me parece espontânea a vontade de fazer parte da roda que elabora a agenda cultural da cidade. Dando os primeiros passos fora da universidade, procuro maneiras de continuar meu movimento artístico, e parece um caminho muito sólido a interação com a comunidade e os espaços culturais. Acredito que nunca se findam os estudos do sujeito introduzido no exercício artístico-cultural. É uma disciplina nunca de fato graduada, em se tratando de uma área cuja relação com o meio atualiza o tempo todo a função. Não sei para onde vou, mas gostaria de ir com o meio.</t>
  </si>
  <si>
    <t>119.689.846-40</t>
  </si>
  <si>
    <t>BARBARA BEATRIZ LOW</t>
  </si>
  <si>
    <t>Bárbara Beatriz Low</t>
  </si>
  <si>
    <t>babelbabelow@gmail.com</t>
  </si>
  <si>
    <t>https://yz2spukd8h-jbrk7pf7uvw.s3.amazonaws.com/2024/06/Z/CF6womMPGpIPD7zmm9Yto6lUfakItuKx63V4wNXdI%3D.jpeg</t>
  </si>
  <si>
    <t>26 anos, 8 meses, 29 dias</t>
  </si>
  <si>
    <t>02472-030</t>
  </si>
  <si>
    <t>Rua Carolina Roque</t>
  </si>
  <si>
    <t>324</t>
  </si>
  <si>
    <t>39889646x</t>
  </si>
  <si>
    <t>(11) 94893-7104</t>
  </si>
  <si>
    <t>design de produto</t>
  </si>
  <si>
    <t>Sou a Bárbara, nascida e criada em São Paulo no bairro Imirim onde moro com meus pais Cecília e Maurício e, minha  irmã Jordana. Minha família é formada pela união cultural onde minha mãe é mineira, frase constante de seus discursos enérgicos e meu pai paulista, mais introspectivo.   Nessa união de culturas, minha infância foi repleta de longas viagens a Visconde do Rio Branco, cidade de mamãe, para visitar meu avô e tias que moram/moravam lá. Eu sou uma junção de gostos musicais, grandemente influenciados por minha mãe, que me apresentou musicas do clube da esquina, Elis Regina, Tim Maia, Mercedes Sosa, Sade,  The Floaters, entre vários outros artistas incríveis de vários locais do mundo.</t>
  </si>
  <si>
    <t>Estou num determinado ponto da minha jornada, onde quero priorizar coisas que farão alcançar meus objetivos de vida, que é estar envolvida com arte e cultura, fazendo dessa a minha maior fonte de renda. Por enquanto a minha renda está vindo do trabalho em varejo numa loja de departamento perto da minha casa, o qual  me ajuda financeiramente, porém não me sinto realizada profissional/emocionalmente. Estou no processo de me desenvolver pessoalmente e de buscar ferramentas auxiliadoras para que isso ocorra tendo isso em vista esse edital com certeza é uma oportunidade enorme de aprender e me inserir nesse ambiente maravilhoso.</t>
  </si>
  <si>
    <t>Me vejo de posse do meu cargo de monitora interagindo com pessoas, fomentando a cultura construindo repertório profissional e cultural e estabelecendo novas conexões interpessoais. me vejo com tempo hábil para exercer as atribuições do meu cargo sem prejuízo dos meus interesses interesses pessoais, como a manutenção do meu curso de violoncelo na Fábrica de Cultura, os exercícios físicos, como pedalar e fazer caminhada, cursos de idiomas dentre ouros</t>
  </si>
  <si>
    <t>476.276.788-38</t>
  </si>
  <si>
    <t>ALLANE RAPHAELLI ROCHA FERREIRA</t>
  </si>
  <si>
    <t>Allane Raphaelli Rocha Ferreira</t>
  </si>
  <si>
    <t>485.***.***-62</t>
  </si>
  <si>
    <t>allaneraphaelli@gmail.com</t>
  </si>
  <si>
    <t>https://yz2spukd8h-jbrk7pf7uvw.s3.amazonaws.com/2024/05/Ks/ehOXrQ6s89wCcXvsQz6QEBXmPybVQ1KhVQlANEs0%3D.jpeg</t>
  </si>
  <si>
    <t>19 anos, 4 meses, 25 dias</t>
  </si>
  <si>
    <t>08473-592</t>
  </si>
  <si>
    <t>Rua Alexandre Davidenko</t>
  </si>
  <si>
    <t>54150955-X</t>
  </si>
  <si>
    <t>(11) 96830-2029</t>
  </si>
  <si>
    <t>farmcia</t>
  </si>
  <si>
    <t>079515996-03</t>
  </si>
  <si>
    <t>Vim de um lar amoroso, simples e humilde, com educação e respeito, fui mãe cedo então também vim do medo e do frio na barriga, vim de sonhos grandes, vim de grandes expectativas, vim de firmar o pé no chão, vim da Cidade Tiradentes e tenho orgulho desse lugar, vim de escolas públicas maravilhosas com professores excepcionais, venho muito grata por todos que me ajudaram a vir.</t>
  </si>
  <si>
    <t>Estou estudando curso técnico em farmácia, estou abrindo minha mente para qual graduação pretendo fazer, a vontade do meu coração, ou as mais recomendadas? concursos ou estudar os dois turnos, pois quero saber muito! mas os pés no chão continuam me sustentando, um emprego facilita a via da educação, e muito, a essa altura do campeonato não da apenas para estudar, e sendo mãe, se dobra o trabalho.</t>
  </si>
  <si>
    <t>Vou realizar tudo que tenho em mente, tudo que fiz até aqui me revelou um lindo caminho, de fé e realizações. o tempo que fiz inglês me ajudou e me ajuda, o curso técnico em farmácia, ainda que não seja o que quero para o resto da vida, expandiu os horizontes de um jeito lindo, conhecimento enriquecedor. tudo isso me levou a ver o que quero no futuro. Quero comunicação, quero interação, quero gerar coisas boas e aue realmente façam a diferença.</t>
  </si>
  <si>
    <t>32745753</t>
  </si>
  <si>
    <t>485.465.258-62</t>
  </si>
  <si>
    <t>Pedro Rocha Pereira Neto</t>
  </si>
  <si>
    <t>pedrorochapn@gmail.com</t>
  </si>
  <si>
    <t>https://yz2spukd8h-jbrk7pf7uvw.s3.amazonaws.com/2024/06/Jqx5VTgDOyL0thqmOaCvsd0J1FuwXfAkGsDPXiNB9Fg%3D.jpg</t>
  </si>
  <si>
    <t>18 anos, 0 meses, 18 dias</t>
  </si>
  <si>
    <t>Catumbi</t>
  </si>
  <si>
    <t>03021-000</t>
  </si>
  <si>
    <t>Rua Catumbi</t>
  </si>
  <si>
    <t>291</t>
  </si>
  <si>
    <t>574442376</t>
  </si>
  <si>
    <t>(11) 97350-0566</t>
  </si>
  <si>
    <t>PEDROROCHAPN@GMAIL.COM</t>
  </si>
  <si>
    <t>https://www.instagram.com/rocha.p3dro_?igsh=MWhoNjA0OWI3c2x0Yg==</t>
  </si>
  <si>
    <t>Sou o Pedro Rocha e tenho 18 anos. Há dois anos e meio moro no Belenzinho, bairro da zona leste de São Paulo. Essa é minha segunda passagem como morador do bairro e tenho aprendido a me relacionar com esse espaço nesses dois momentos. Moro com três mulheres, minha mãe e minha tia, baianas residentes na capital há muitos anos e minha irmã mais velha. Além de morar aqui também estudei e estudo em uma instituição que fica na vizinhança do bairro.</t>
  </si>
  <si>
    <t>Com isso, no momento estou prestes a encerrar o ensino médio e pretendo fazer escolhas para o meu futuro. Sendo assim, vi com bons olhos a oportunidade de me desenvolver através do programa jovem monitor cultural e estreitar laços com a comunidade do meu entorno de uma maneira que permita um diálogo fluído e uma troca de conhecimentos e incitação cultural em uma região marcada pela imigração, comércio e portanto, convergência cultural.</t>
  </si>
  <si>
    <t>Pretendo ter uma boa vida e conseguir escalar alguns degraus. Conseguir constituir uma família e ter uma boa condição é o essencial juntamente com a ideia de me aprimorar no meu campo profissional. Sem dúvida a oportunidade no PJMC seria de grande importância para essa tomada de decisão e conseguir desenvolver campos em mim que ainda precisam de um empurrão. Adoro a ideia de estar em contato com instrumentos culturais diversos como os que posso atuar no PJMC e possivelmente continuar no ramo cultural no futuro.</t>
  </si>
  <si>
    <t>529.037.498-17</t>
  </si>
  <si>
    <t>DIOGO EULIRIO DE SOUZA</t>
  </si>
  <si>
    <t>Diogo Eulirio De Souza</t>
  </si>
  <si>
    <t>DIANA EULIRIO DE SOUZA</t>
  </si>
  <si>
    <t>Diana Eulirio De Souza</t>
  </si>
  <si>
    <t>239.***.***-30</t>
  </si>
  <si>
    <t>euliriodiana32@gmail.com</t>
  </si>
  <si>
    <t>https://yz2spukd8h-jbrk7pf7uvw.s3.amazonaws.com/2024/05/VYZ1EuYbE%2BxglhwgDyu99qUh1o9y76EpfLO1MNbGWjA%3D.jpeg</t>
  </si>
  <si>
    <t>32818305</t>
  </si>
  <si>
    <t>19 anos, 1 meses, 5 dias</t>
  </si>
  <si>
    <t>mulher trans ,sem  formco</t>
  </si>
  <si>
    <t>08475-260</t>
  </si>
  <si>
    <t>Rua Apóstolo Simão Pedro</t>
  </si>
  <si>
    <t>644442797</t>
  </si>
  <si>
    <t>(11) 98701-1445</t>
  </si>
  <si>
    <t>euliriodiana3@gmailcom</t>
  </si>
  <si>
    <t>https://www.instagram.com/diana.eulirio?igsh=ZGR0OTB0aW12bGp2&amp;utm_source=qr</t>
  </si>
  <si>
    <t>21260235639</t>
  </si>
  <si>
    <t>Eu Diana Eulirio vim da cidade tiradentes periferia do extremo leste de São Paulo, vim de uma família humilde onde meus pais faziam o possível e o impossível por mim e pelos meus 4 irmãos. eu vim de uma quebrada que sempre tinha projetos culturais para crianças e adolescentes e com isso eu ja tive as oportunidades de fazer capoeira, teatro e participar de CCA's (centro para crianças e adolescente) eu sempre tive pra mim que esses projetos que eu frequentava quando pequena me ajudou muito a ser quem sou eu hoje, sempre gostei da arte e do palco e olhando meu passado vejo muito do meu presente e do meu futuro também.</t>
  </si>
  <si>
    <t>Atualmente eu estou focando muito na minha vida de modelo, mesmo sabendo o quão difícil é viver da moda sendo modelo independe, tendo que fazer bicos por fora para ajudar a suprir as necessidades de casa, pois são poucos jobs que consigo ou muitas vezes são jobs que não tem cachê.  mas além de tudo isso, desfilar é o que eu quero para minha vida, mesmo sabendo que vai ser difícil creio que estou no caminho certo.</t>
  </si>
  <si>
    <t>Eu vou viver da minha arte, com muita garra e determinação irei desfilar em eventos grandes e fotografar para marcas famosas e conhecidas e assim fazer com que eu e minha família vivam confortavelmente.  eu quero muito dar uma vida de qualidade para neus pais e meus irmãos, e vai ser uma honra ver eles felizes e sem preocupações por causa da minha arte.  Com a minha arte vou crescer como pessoa e crescer como uma grande profissional, provando que todos comentários duvidando de mim estavam completamente errados.</t>
  </si>
  <si>
    <t>239.890.778-30</t>
  </si>
  <si>
    <t>GIOVANNA BARRILI DE OLIVEIRA</t>
  </si>
  <si>
    <t>Giovanna Barrili De Oliveira</t>
  </si>
  <si>
    <t>GIOVANNA BARRILI DE  OLIVEIRA</t>
  </si>
  <si>
    <t>425.***.***-10</t>
  </si>
  <si>
    <t>barriligiovanna@gmail.com</t>
  </si>
  <si>
    <t>https://yz2spukd8h-jbrk7pf7uvw.s3.amazonaws.com/2024/06/IgnS8W8lb5MA%2BsLLqWuKPLLXAdcQpVVHGs3FcsHhOJw%3D.jpeg</t>
  </si>
  <si>
    <t>32915315</t>
  </si>
  <si>
    <t>curso de auxiliar  de  administracao</t>
  </si>
  <si>
    <t>jardim penha</t>
  </si>
  <si>
    <t>03759-000</t>
  </si>
  <si>
    <t>rua candido mota</t>
  </si>
  <si>
    <t>476</t>
  </si>
  <si>
    <t>50.443.293-x</t>
  </si>
  <si>
    <t>(11) 99181-5057</t>
  </si>
  <si>
    <t>gibaarrili2@gmail.com</t>
  </si>
  <si>
    <t>https://www.instagram.com/gibarrili?igsh=Z2ZoMWk1aHluOHJn&amp;utm_source=qr</t>
  </si>
  <si>
    <t>em auxiliar  de  logistica</t>
  </si>
  <si>
    <t>23683406506</t>
  </si>
  <si>
    <t>Nasci e cresci na zona leste de São Paulo, mais especificamente no bairro Cangaíba. Desde que me conheço por gente estou na zona leste, brinquei muito na rua e quando adolescente amava passear e conhecer vários pontos de são paulo, principal as atrações gratuitas, onde podemos encontrar bastante cultura e aprendizado. Boa parte da minha infância e pré-adolescência foi na periferia onde mora até hoje toda minha família e parentes.</t>
  </si>
  <si>
    <t>Hoje, com 20 anos e entrando na vida adulta estou residindo na Ponte rasa, morando hoje somente com a minha mãe. Estou na fase onde quero focar nos estudos, mas não posso abrir mão de ter um auxílio financeiro para ajudar minha mãe. Estou buscando o equilíbrio entre estudos e trabalho para que possa tanto ajudar em casa quanto estudar e me especificar em algo para sempre estar crescendo, afinal, conhecimento nunca é falta de tempo.</t>
  </si>
  <si>
    <t>Onde vou? Toda noite me pergunto isso, e na verdade não tenho certeza, mas sei que, meu futuro será brilhante. Hoje planejo cursar Administração, que é uma área que eu amo. Já fiz alguns cursos e realmente, área de administração foi qual eu mais me identifiquei e pretendo continuar nessa área. No meu futuro, pretendo morar em uma casa melhor e própria, junto com a minha mãe, que é meu pilar e de onde vem minha inspiração de mulher. No futuro quero ter principalmente estabilidade financeira</t>
  </si>
  <si>
    <t>425.646.458-10</t>
  </si>
  <si>
    <t>Danilo Gabriel De Moraes</t>
  </si>
  <si>
    <t>danilomen13@gmail.com</t>
  </si>
  <si>
    <t>https://yz2spukd8h-jbrk7pf7uvw.s3.amazonaws.com/2024/06/wYwBmZhLYQVNSk3scjCQ5J6coik%2B98LSkBzJpuZ33iM%3D.jpg</t>
  </si>
  <si>
    <t>29 anos, 1 meses, 5 dias</t>
  </si>
  <si>
    <t>Jardim das Rosas (Zona Norte)</t>
  </si>
  <si>
    <t>02350-060</t>
  </si>
  <si>
    <t>Rua Carmésia</t>
  </si>
  <si>
    <t>68</t>
  </si>
  <si>
    <t>495948056</t>
  </si>
  <si>
    <t>(11) 98926-4166</t>
  </si>
  <si>
    <t>DANILOMEN13@GMAIL.COM</t>
  </si>
  <si>
    <t>Sula e Eliezer</t>
  </si>
  <si>
    <t>Sou Danilo Gabriel,  nascido em Osasco município da grande SP, hoje resido na ZN próximo ao Jaçana. Preto, aniversário no dia 13 de Maio, uma "coincidência " mais que especial para marcar minha presença no mundo eu diria, morei muitos anos em Carapicuiba,  a infância toda na verdade sempre fui introspectivo porém sempre tive a afeição e a habilidade natural vamos assim dizer para o teatro, no presente momento sou bem decidido com quem sou preto e gay, mas no passado não era bem assim, na atualidade admiro muito a minha evolução.</t>
  </si>
  <si>
    <t>Hoje moro na ZN próximo ao Jaçana,  trabalho em Osasco com telemarketing que infelizmente é o que tem de mais fácil para arrumar por aí, já tive muitas oportunidades mas devida a escolhas e imposições sociais devido minhas condições passaram, mas não deixo a peteca cair e mais do que nunca sei que sou capaz de ser feliz e ter uma boa oportunidade digna como qualquer outra pessoa "normal" que a sociedade aceite.</t>
  </si>
  <si>
    <t>Meu sonho é ter estabilidade, ter meu direito de ir e vir , não ser apenas massa de manobra para o sistema , que nos soca goela abaixo muitas agruras e decepções que em alguns momentos da minha vida pensei que não fosse capaz de superar. Quero viver como uma pessoa normal,  sendo preto e gay, podendo frequentar qualquer lugar, ter minha moradia digna e viver meus dias na terra feliz e com dignidade como todo ser humana de bem merece.</t>
  </si>
  <si>
    <t>375.416.888-60</t>
  </si>
  <si>
    <t>RAMON DIEGO RODRIGUES</t>
  </si>
  <si>
    <t>123.***.***-96</t>
  </si>
  <si>
    <t>novopernambucano@gmail.com</t>
  </si>
  <si>
    <t>https://yz2spukd8h-jbrk7pf7uvw.s3.amazonaws.com/2024/06/lmKrGiObRYTwPgcBKb3igB6T9nDsG8tqp6psx/EKiIs%3D.jpg</t>
  </si>
  <si>
    <t>32916127</t>
  </si>
  <si>
    <t>26 anos, 7 meses, 4 dias</t>
  </si>
  <si>
    <t>Jardim Modelo</t>
  </si>
  <si>
    <t>02238-130</t>
  </si>
  <si>
    <t>Rua Doutor Azevedo Lima</t>
  </si>
  <si>
    <t>9.277 517</t>
  </si>
  <si>
    <t>(11) 91034-0565</t>
  </si>
  <si>
    <t>NOVOPERNANBUCANO@GMAIL.COM</t>
  </si>
  <si>
    <t>https://www.instagram.com/novopernambucano?igsh=MWdiaHh2NW9xNzY5aA==</t>
  </si>
  <si>
    <t>PRODUÇAO CULTURAL</t>
  </si>
  <si>
    <t>066923259-94</t>
  </si>
  <si>
    <t>Sou Ramon Rodriguez, artista pernambucano. Comecei tocando nos metrôs de Recife em 2013 e me estabeleci como artista independente. Participei dos carnavais de 2014 e 2016 e, em 2017, fui vocalista do MetrôSquad no Rec'n'Play, tocando no Rec-Beat em 2018. Mudei-me para São Paulo em 2020, criando "O Novo Pernambucano" e o projeto Não Brancos com Vytórya Terena no ano seguinte em 2021. Especializei-me em Marketing em 2021 e adquiri conhecimento em produção cultural através de um projeto de fomento à Gestão Cultural pela Auí Produções em 2024. Agradeço pela oportunidade e estou à disposição para contribuir com meu trabalho e minha paixão pela arte e pela cultura!✊🏾🌿</t>
  </si>
  <si>
    <t>Atualmente, estou profundamente engajado na cena cultural de São Paulo, onde aplico tudo o que aprendi ao longo da minha trajetória. Através do projeto "Não Brancos" e minha identidade artística "O Novo Pernambucano", busco criar e fazer a diferença na vida das pessoas, abordando questões sociais e étnicas importantes.    Dedico-me a entregar performances autênticas e relevantes, refletindo experiências e vozes diversas. Cada projeto é fruto de um intenso esforço criativo e paixão pela arte. Superando desafios, trabalho diariamente para oferecer uma expressão cultural rica e significativa, comprometido em inspirar, provocar e conectar pessoas.</t>
  </si>
  <si>
    <t>Estou focado em expandir e consolidar minha carreira artística em São Paulo e além. Com a experiência acumulada e a resiliência desenvolvida, busco aprofundar minhas conexões na cena cultural e dar mais voz aos projetos que lidero. Quero participar de eventos de maior visibilidade e impacto, investindo em parcerias estratégicas que fortaleçam minha presença e abram novas portas para minha arte. Com profissionalismo e determinação, procuro oportunidades alinhadas aos meus valores e paixão, acreditando no poder transformador da arte🌿✊🏾</t>
  </si>
  <si>
    <t>123.751.514-96</t>
  </si>
  <si>
    <t>RAFAELA BEZERRA ALCANTARA FARIA</t>
  </si>
  <si>
    <t>Rafaela Bezerra Alcântara Faria</t>
  </si>
  <si>
    <t>RAFAELA BEZERRA ALCÂNTARA FARIA</t>
  </si>
  <si>
    <t>324.***.***-99</t>
  </si>
  <si>
    <t>rafaela_esam@hotmail.com</t>
  </si>
  <si>
    <t>https://yz2spukd8h-jbrk7pf7uvw.s3.amazonaws.com/2024/05/EbsMT43OyCZyYsiCpwFR7pSBLBEAplCmRaYydHsd5q0%3D.jpeg</t>
  </si>
  <si>
    <t>32768010</t>
  </si>
  <si>
    <t>24 anos, 0 meses, 26 dias</t>
  </si>
  <si>
    <t>Jardim Cotinha</t>
  </si>
  <si>
    <t>03883-010</t>
  </si>
  <si>
    <t>Rua Santana de Patos</t>
  </si>
  <si>
    <t>520915896</t>
  </si>
  <si>
    <t>(11) 98539-6751</t>
  </si>
  <si>
    <t>RAFAELA_ESAM@HOTMAIL.COM</t>
  </si>
  <si>
    <t>23749767129</t>
  </si>
  <si>
    <t>Estou escrevendo essa carta com o intuito de me apresentar e expressar meu interesse em contribuir para o programa jovem monitor cultural. Minha trajetória começou exatamente onde estou hoje em dia, em São Paulo, na cidade em que cresci e me desenvolvi, um lugar que moldou minha essência, identidade e valores fundamentais. Uma cidade com pessoas que me ensinaram desde cedo a valorizar a importância dos estudos, trabalho árduo e a importância de se adaptar a novas situações.</t>
  </si>
  <si>
    <t>Formada no ensino médio e com alguns cursos para ajudar no meu desenvolvimento, atualmente estou em busca de iniciar minha carreira. Meu primeiro emprego me auxiliou bastante nessa evolução, foi meu primeiro contato com o mercado de trabalho e com o atendimento ao publico, onde desenvolvi ainda mais minha empatia, paciência e uma comunicação clara. Tive o privilegio de participar de programas do governo que com certeza me ajudaram ainda mais nessa etapa em que estou, de estudar e me desenvolver ainda mais.</t>
  </si>
  <si>
    <t>Meu sonho desde quando tinha 16 anos era estudar educação física, e futuramente quero realizar esse sonho. Estou estudando para o vestibular e quero dar inicio a construção da minha carreira, quero ser uma profissional de excelência e ajudar o próximo. Eu compreendo que desenvolvimento pessoal e profissional é um processo continuo e dinâmico e estou entusiasmada para contribuir com as minhas habilidades no programa e adquirir muitas outras para colocar em pratica no meu presente e futuro.</t>
  </si>
  <si>
    <t>324.424.378-99</t>
  </si>
  <si>
    <t>ANTONIO ALVES DE ALMEIDA JUNIOR</t>
  </si>
  <si>
    <t>Antonio Alves De Almeida Junior</t>
  </si>
  <si>
    <t>456.***.***-66</t>
  </si>
  <si>
    <t>antonioalvesjunior496@gmail.com</t>
  </si>
  <si>
    <t>https://yz2spukd8h-jbrk7pf7uvw.s3.amazonaws.com/2024/04/ipyQcWLmnRFOrA8%2BAo16uA/MgRrEbTbCcMCeE5qx3nU%3D.png</t>
  </si>
  <si>
    <t>32563695</t>
  </si>
  <si>
    <t>26 anos, 5 meses, 9 dias</t>
  </si>
  <si>
    <t>01509-000</t>
  </si>
  <si>
    <t>ap 193</t>
  </si>
  <si>
    <t>Rua José Getúlio</t>
  </si>
  <si>
    <t>193</t>
  </si>
  <si>
    <t>543937495</t>
  </si>
  <si>
    <t>(11) 98119-4984</t>
  </si>
  <si>
    <t>https://www.instagram.com/xuofmountains/</t>
  </si>
  <si>
    <t>TEC PRODUCAO MUSICAL</t>
  </si>
  <si>
    <t>21251514865</t>
  </si>
  <si>
    <t>Nascido em são paulo no ano de 1998, cresci na vila guacuri, proximo a diadema. Estudei no ensino público da região. Já estudei música no projeto Guri no polo CEU Alvarenga. Pelo projeto Guri já fiz parte de um dos grupos infanto-juvenis onde eram selecionado os alunos com melhor desempenho dentro dos polos, no meu caso participei da camerata de violões dos meus 15 anos até meus 17 anos.</t>
  </si>
  <si>
    <t>Atualmente resido no bairro da liberdade com minha companheira, estudo Design Musical via EAD na UniCesumar, onde eu mesmo monto meu cronograma de estudos, o que não me atrapalha para desempenhar outras funções. Atualmente estou desempregado e á procura de uma oportunidade para poder crescer artisticamente e também ajudar nas contas de casa. Faço produções musicais autônomas e autorais.</t>
  </si>
  <si>
    <t>Minha meta artística assim como todos artistas que admiro é ser visto, tenho diversos projetos que pretendo tirar da gaveta e principalmente produzir artistas independentes. Sei bem como funciona o ramo artistico e também sei que existe assim como eu, muita gente talentosa por aí precisando de uma oportunidade de ter sua música gravada e sua voz e expressão ouvida, pretendo ser uma ponte para isso.</t>
  </si>
  <si>
    <t>456.600.308-66</t>
  </si>
  <si>
    <t>KAUA DO NASCIMENTO PERES</t>
  </si>
  <si>
    <t>Kauã Do Nascimento Peres</t>
  </si>
  <si>
    <t>KAUÃ DO NASCIMENTO PERES</t>
  </si>
  <si>
    <t>532.***.***-88</t>
  </si>
  <si>
    <t>jucilenenasc1@gmail.com</t>
  </si>
  <si>
    <t>https://yz2spukd8h-jbrk7pf7uvw.s3.amazonaws.com/2024/04/yO4q9hwbHk4HXsbaGRkcKRS0Q5lLkweGuUTH3jTMs%2Bw%3D.jpg</t>
  </si>
  <si>
    <t>32558839</t>
  </si>
  <si>
    <t>19 anos, 9 meses, 16 dias</t>
  </si>
  <si>
    <t>Jardim Teresa</t>
  </si>
  <si>
    <t>03261-030</t>
  </si>
  <si>
    <t>Rua Manuel Luís Ferraz</t>
  </si>
  <si>
    <t>635895109</t>
  </si>
  <si>
    <t>(11) 91486-1887</t>
  </si>
  <si>
    <t>MYKAEL320@GMAIL.COM</t>
  </si>
  <si>
    <t>11922558440870 NÃO</t>
  </si>
  <si>
    <t>082246656-23</t>
  </si>
  <si>
    <t>Sou Nascido em São Paulo na Zona Leste em um bairro conhecido como Parque São Lucas, tenho 19 anos, acabei o ensino médio  e estou a procura de novos conhecimentos, afim de conhecer e explorar novas áreas e assim encontrar algo q me agrade e que eu possa aperfeiçoar e assim talvez achar a minha vocação e finalmente poder ser bem sucedido  e feliz com a minha vida.</t>
  </si>
  <si>
    <t>Estou em São Paulo Capital na Zona Leste em um bairro chamado de Pq. São Lucas quando vi essa oportunidade de ser um jovem monitor ja me interessei de imediato pois é algo que vai me ajudar bastante e não só  na parte financeira da minha vida mas também na parte intelectual pois vi que posso aprender muito e também posso agregar bastante com vocês com ideias novas, diferentes e sempre tentando revolucionar a especialidade em que eu estiver inserido, mas em fim é  isso.</t>
  </si>
  <si>
    <t>Para onde eu vou, então costumo dizer que vou para aonde a vida me levar mas sempre pensando 2 e se necessário 3 vezes para não ter que errar em fim pretendo ir rumo ao sucesso e quando digo sucesso  eu quuero dizer estar fazendo algo que me complete me satisfa e como gosto de ajudar o próximo,  fazer algo que também possa estar ajudando o próximo em fim espero aprender bastante coisas ai e assim poder melhorar e como eu disse aperfeiçoar tudo que eu for aprender e se possível sempre pensando em formas de melhorar e deixar mais acessível a quem possa ver oque for me ensinado de forma que o que eu aderir eu também  possa agregar em fim se eu for aceito serei eternamente grato.</t>
  </si>
  <si>
    <t>532.105.408-88</t>
  </si>
  <si>
    <t>Caio Menezes Caldas</t>
  </si>
  <si>
    <t>caio_m96@outlook.com</t>
  </si>
  <si>
    <t>https://yz2spukd8h-jbrk7pf7uvw.s3.amazonaws.com/2024/06/3H%2Bf8br%2BNnW5cqAK/RMh/Zr5EihiPi51le51tyyNgPo%3D.jpeg</t>
  </si>
  <si>
    <t>27 anos, 6 meses, 23 dias</t>
  </si>
  <si>
    <t>Guapira</t>
  </si>
  <si>
    <t>02276-000</t>
  </si>
  <si>
    <t>Apt. 11</t>
  </si>
  <si>
    <t>Avenida Antônio César Neto</t>
  </si>
  <si>
    <t>257</t>
  </si>
  <si>
    <t>375192682</t>
  </si>
  <si>
    <t>(11) 98431-4119</t>
  </si>
  <si>
    <t>https://www.instagram.com/ccaldas_____/</t>
  </si>
  <si>
    <t>Me chamo Caio, sou natural de São Paulo, e vivo no bairro do Jaçanã desde sempre. Sou artista formado pelo curso técnico do Teatro Escola Macunaíma, e graduada no curso de Teatro pela universidade Anhembi Morumbi, tendo dupla titulação (Bacharel e Licenciatura). Sou aficcionado nas ferramentas artísticas como mecanismo de transformação social, por isso, acredito que sempre haja máxima necessidade de aprimorar e desenvolver os polos responsáveis por fomentarem a cultura (espaços culturais e leis de incentivo). Sendo assim, atendo a essa inscrição como movimento de fortalecimento dessa minha crença, pensando que essa pode ser uma experiência rica nesse sentido.</t>
  </si>
  <si>
    <t>Atualmente, estou buscando providenciar mais ações na minha vida que me estabilizem nas artes. Trabalho lecionando as matérias de Artes, Socioemocional e Processos Criativos em uma escola regular, porém sinto a necessidade de estar exercendo uma carreira que seja mais artística. No ano de 2023, estive na produção de quatro espetáculos cênicos, tendo a chance de escrever e dirigir o meu primeiro espetáculo (para além de atuar em todos os quatro trabalhos). Nesse ano de 2024, estou com projetos parados, portanto, ainda não tive a chance de apresentar nenhum outro trabalho.</t>
  </si>
  <si>
    <t>Minha maior pretensão é poder concretizar meus projetos teatrais e audiovisuais, assim como enriquecer a cultura brasileira e fortalecer uma formação de público que seja emancipadora. Me encontro de forma muito sincera no artesanato dos palcos e das telas. Recorro ao programa pensando nas oportunidades maiores que o mesmo pode me fornecer, me colocando como profissional dentro dos aparelhos culturais do município, abrindo portas para conhecer outras artísticas da atual cena paulista e enriquecendo minhas perspectivas de produção artística. Toda a ideia do projeto é muitissimo interessante e acredito poder contribuir para um bom desenvolvimento das futuras atividades.</t>
  </si>
  <si>
    <t>323.621.788-03</t>
  </si>
  <si>
    <t>SM</t>
  </si>
  <si>
    <t>ISADORA MATIAS DE MELO</t>
  </si>
  <si>
    <t>Isadora Matias De Melo</t>
  </si>
  <si>
    <t>489.***.***-40</t>
  </si>
  <si>
    <t>isadora-matias@outlook.com</t>
  </si>
  <si>
    <t>https://yz2spukd8h-jbrk7pf7uvw.s3.amazonaws.com/2024/04/98YltYJH41fnoDoAso98ol1AL/pUTtGj/eRxGnNXiR4%3D.jpg</t>
  </si>
  <si>
    <t>32568688</t>
  </si>
  <si>
    <t>21 anos, 3 meses, 4 dias</t>
  </si>
  <si>
    <t>CURSANDO ARTES VISUAIS SUPERIOR</t>
  </si>
  <si>
    <t>08032-327</t>
  </si>
  <si>
    <t>São Paulo</t>
  </si>
  <si>
    <t>Rua Héllio Tavares</t>
  </si>
  <si>
    <t>388261572</t>
  </si>
  <si>
    <t>(11) 99582-3681</t>
  </si>
  <si>
    <t>ISDORA-MATIAS@OUTLOOK.COM</t>
  </si>
  <si>
    <t>https://www.linkedin.com/in/isadora-matias?utm_source=share&amp;utm_campaign=share_via&amp;utm_content=profile&amp;utm_medium=android_app</t>
  </si>
  <si>
    <t>AUDIO VISUAL</t>
  </si>
  <si>
    <t>20779654247</t>
  </si>
  <si>
    <t>Meu nome é Isadora Matias de Melo, tenho 21 anos e resido na Vila Nova Curuçá, localizada na zona leste de São Paulo. Atualmente, sou estudante do curso de Bacharelado em Artes Visuais, no Centro Universitário Belas Artes de São Paulo, onde tenho a honra de ser beneficiária de uma bolsa de estudos.   Concluí o Ensino Médio Técnico em Audiovisual em 2021 pelo Instituto Federal em São Miguel Paulista, onde fui bolsista no projeto "Cine Debate", promovendo o cinema na comunidade local e mediando debates. Além disso, liderei oficinas de stencil e upcycling. Atualmente, sou voluntária em um projeto de pesquisa sobre arte feminista intitulado "WomanHouse: Arte feminista e tecnologia"</t>
  </si>
  <si>
    <t>Desde a infância, minha relação com as artes e a cultura tem sido intrínseca e profundamente enriquecedora. Cresci frequentando a Fábrica de Cultura e as bibliotecas de minha região, onde participei de uma ampla variedade de atividades, incluindo circo, teatro e danças urbanas. Essa experiência foi fundamental para minha formação pessoal e profissional, proporcionando-me uma compreensão abrangente do valor cultural e artístico.</t>
  </si>
  <si>
    <t>Considero que participar do Programa Jovem Monitor Cultural seria uma experiência incrivelmente enriquecedora por várias razões. Em primeiro lugar, teria a oportunidade de desenvolver a formação e a experimentação profissional, estando em contato direto com atuação em diferentes espaços culturais públicos além de  que essa posição também me permitiria desenvolver habilidades de comunicação e trabalho em equipe, além de oferecer a chance de conhecer pessoas diversas, enriquecendo minha experiência profissional e pessoal de maneira significativa.</t>
  </si>
  <si>
    <t>489.789.188-40</t>
  </si>
  <si>
    <t>Guilherme Colla Damiani</t>
  </si>
  <si>
    <t>guicollad@gmail.com</t>
  </si>
  <si>
    <t>https://yz2spukd8h-jbrk7pf7uvw.s3.amazonaws.com/2024/06/JpdJIc2ejzHNUuyYnfIA%2BQ8JZOgW1TffI9UEzxs4YQM%3D.jpg</t>
  </si>
  <si>
    <t>23 anos, 4 meses, 18 dias</t>
  </si>
  <si>
    <t>Jardim Felicidade (Zona Oeste)</t>
  </si>
  <si>
    <t>05143-010</t>
  </si>
  <si>
    <t>Rua Antônio Coelho da Silveira</t>
  </si>
  <si>
    <t>396322591</t>
  </si>
  <si>
    <t>(11) 96437-2935</t>
  </si>
  <si>
    <t>11-964372935</t>
  </si>
  <si>
    <t>ciencias humanas</t>
  </si>
  <si>
    <t>Nasci na zona norte de São Paulo, morei por alguns anos em São Carlos. Coleciono experiências artisticas e culturais que sempre foram a fonte de inspiração pra minha vida, atuo nas áreas da música, artes visuais e audiovisual, por amor, lazer e também como trabalho. Do mesmo jeito que essas atividades me fizeram e me fazem uma pessoa melhor, acredito que atuar para ampliar e democratizar o acesso a arte e mudar a vida das pessoas através disso é uma das minhas metas de vida.</t>
  </si>
  <si>
    <t>Estou cursando licenciatura em ciências humanas e vejo a arte e cultura como maiores aliados da educação e transformação social. Atualmente trabalho como freelancer no ramo de audiovisual e estou fazendo uma oficina sobre escrita de projetos artisticos e culturais pois me interesso muito no ramo de produção cultural e eventos e busco cada vez mais me especializar para ampliar o conhecimento e repertório de ação nessa área.</t>
  </si>
  <si>
    <t>Vou vivendo com foco no que acredito, busco trabalhar nessa área para adiquirir novas experiências no ramo e poder transformar a vida e de outras pessoas através disso. A intenção é contribuir com a expansão do acesso a cultura, e fazer uma cultura plural, que conte narrativas de diferentes pontos de vista. Mostrar que existe uma alternativa que salva vidas e intervir para uma sociedade justa.</t>
  </si>
  <si>
    <t>227.873.588-88</t>
  </si>
  <si>
    <t>MARIA LUIZA DOS ANJOS TITO</t>
  </si>
  <si>
    <t>marialuiza.d.anjos@gmail.com</t>
  </si>
  <si>
    <t>https://yz2spukd8h-jbrk7pf7uvw.s3.amazonaws.com/2024/04/IDXpJT34YbZCEPPbne3UnI%2B2p73LYTFSIipVsw%2BCyxI%3D.jpeg</t>
  </si>
  <si>
    <t>32636009</t>
  </si>
  <si>
    <t>18 anos, 11 meses, 25 dias</t>
  </si>
  <si>
    <t>04375-050</t>
  </si>
  <si>
    <t>Rua Coriolano Durand</t>
  </si>
  <si>
    <t>502678551</t>
  </si>
  <si>
    <t>(11) 95445-7995</t>
  </si>
  <si>
    <t>marialuiza.b.anjos@gmail.com</t>
  </si>
  <si>
    <t>TECNICO EM INFORMATICA</t>
  </si>
  <si>
    <t>22804321850</t>
  </si>
  <si>
    <t>https://youtu.be/B1K1F6GHJfg</t>
  </si>
  <si>
    <t>453.083.458-13</t>
  </si>
  <si>
    <t>MURILO MELLO SALAIBB DE CARVALHO</t>
  </si>
  <si>
    <t>Murilo Mello Salaibb De Carvalho</t>
  </si>
  <si>
    <t>542.***.***-75</t>
  </si>
  <si>
    <t>murilomellosalaibb@gmail.com</t>
  </si>
  <si>
    <t>https://yz2spukd8h-jbrk7pf7uvw.s3.amazonaws.com/2024/06/FDRIWIzBDak5Sm7DPAnxMBuu6cyuvnB/fgK5YMXU%2BvY%3D.jpg</t>
  </si>
  <si>
    <t>32852115</t>
  </si>
  <si>
    <t>NO MOMENTO ESTÁ SEM APARELHO CELULAR POIS FOI ROUBADO</t>
  </si>
  <si>
    <t>02812-290</t>
  </si>
  <si>
    <t>Apto 51A</t>
  </si>
  <si>
    <t>Rua Cristal de Rocha</t>
  </si>
  <si>
    <t>6023131506</t>
  </si>
  <si>
    <t>(11) 91624-9683</t>
  </si>
  <si>
    <t>MURILOMELLOSALAIBB@GMAIL.COM</t>
  </si>
  <si>
    <t>https://www.instagram.com/koortz_tn</t>
  </si>
  <si>
    <t>049671870-30</t>
  </si>
  <si>
    <t>Sou da Brasilândia, zona norte de São paulo, moro com a minha mãe e minhas duas gatas, trabalho na empresa dos correios como jovem aprendiz, na area de ADM, e em conjunto faço curso de ADM no Senai de Pirituba,  gosto do âmbito da cultura e do social, sou alguém q amo me comunicar mas, sou meio tímido e receoso,   tenho um certo "medo" quando o assunto é oratória ou apresentação, mas, como sempre encaro de cabeça, porque amo desafios</t>
  </si>
  <si>
    <t>Atualmente, estudo no cândido gonçalves gomide, estou no 3° ano do ensino médio, e estou trilhando meu caminho na vida profissional, busco sempre aprender com aquilo que gosto, e com isso, amo o lado da cultura, arte e social, são coisas que tenho uma certa admiração e penso muito sobre os 3, ainda mais sobre o social acredito que são coisas e formas que temos e não podemos perder a oportunidade de ver ou trabalhar com isso, já que os três fazem parte do nosso dia a dia e nem percebemos</t>
  </si>
  <si>
    <t>Não tenho uma profissão em mente, ou "algo que me vejo fazendo" eu só quero uma liberdade financeira em algo que eu não me sinta mal com o ambiente ou me sinta valorizado, busco poder aprender e desenvolver meu senso crítico sobre arte cultura e social, não convivi muito com isso, e quando comecei a ver esses lado fui gostando e me interessando, assim, me vi apreciando esses âmbitos</t>
  </si>
  <si>
    <t>542.347.738-75</t>
  </si>
  <si>
    <t>VITORIA MARIA LEAL DOS SANTOS</t>
  </si>
  <si>
    <t>Vitória Maria Leal Dos Santos</t>
  </si>
  <si>
    <t>244.***.***-65</t>
  </si>
  <si>
    <t>vitoriamaria.lealdossantos@gmail.com</t>
  </si>
  <si>
    <t>https://yz2spukd8h-jbrk7pf7uvw.s3.amazonaws.com/2024/06/eAqfdUwOvu/%2BWjhWdmoyTfxwAJmhDvwm/sSCQDh613U%3D.jpeg</t>
  </si>
  <si>
    <t>32856799</t>
  </si>
  <si>
    <t>21 anos, 8 meses, 16 dias</t>
  </si>
  <si>
    <t>54</t>
  </si>
  <si>
    <t>585488459</t>
  </si>
  <si>
    <t>(11) 96649-6766</t>
  </si>
  <si>
    <t>VITORIAMARIA.LEALDOSSANTOS@GMAIL.COM</t>
  </si>
  <si>
    <t>https://www.instagram.com/babicoelhoatriz/</t>
  </si>
  <si>
    <t>INCOMPLETO - VETERINARIA</t>
  </si>
  <si>
    <t>13624465805</t>
  </si>
  <si>
    <t>Sou nascida e criada na comunidade que pertence vila Barbosa, gosto muito de frequentar a biblioteca perto da minha casa, onde amo me conectar com a cultura e com as pessoas que frequentam o espaço.   Tenho interesse em trabalhar e adquirir mais conhecimento cultural, um dia voltar a estudar na faculdade.  Na area de monitora vou ter contato com o publico e auxiliar tudo que for necessario na biblioteca,tenho noçoes basicas de computação que possa ajudar os meus coordenadores.  Será o meu primeiro emprego ,gostaria  e tenho disponibilidade de horario para estar a disposição para trabalhar, quero muito uma oportunidade de trabalhar e assim ajudar a minha familia que passa por dificuldades.</t>
  </si>
  <si>
    <t>Estou morando dentro de uma comunidade da periferia e quero muito melhorar a minha vida  material (financeira).   Sao poucas oportunidades que tenho e necessito de ajuda para sair da minha situaçao financeira que me encontro,atraves do trabalho terei oportunidades boas para sair da situacao onde me encontro.  na comunidade que me encontro,percebo que posso ajudar, incentivar algumas pessoas a ingressar no mundo magico da cultura e que todos podem adquirir conhecimento, independente da classe.  Quandoescrevo classe social , refiro a classe mais carente que me encontro no momento e acredito que posso sair dessa posição se eu tiver ajuda financeira e atraves do trabalho ,posso sair dessa posição .</t>
  </si>
  <si>
    <t>Atraves  desse trabalho   como monitora terei oportunidades para voltar estudar e me dedicar aos meus estudos, quero muito fazer medicina veterinaria e realizar o meu sonho de ser uma boa profissional na area da saúde.  Com  o trabalho terei mais conhecimento e oportunidade de conhecer e relacionar profissionalmente, as oportunidades de fazer um futuro melhor do que vivo no momento.</t>
  </si>
  <si>
    <t>244.519.298-65</t>
  </si>
  <si>
    <t>LUANA MARQUES DE SOUZA</t>
  </si>
  <si>
    <t>Luana Marques De Souza</t>
  </si>
  <si>
    <t>ARUÃ LUNA MARQUES DE SOUZA</t>
  </si>
  <si>
    <t>Aruã Luna Marques De Souza</t>
  </si>
  <si>
    <t>122.***.***-47</t>
  </si>
  <si>
    <t>aruamarques11@gmail.com</t>
  </si>
  <si>
    <t>https://yz2spukd8h-jbrk7pf7uvw.s3.amazonaws.com/2024/06/j%2BOx0IF5nomKOp94Z2IEYH2tL8KPBYNCc/8Gb8q8wHw%3D.jpg</t>
  </si>
  <si>
    <t>32916145</t>
  </si>
  <si>
    <t>24 anos, 11 meses, 7 dias</t>
  </si>
  <si>
    <t>Pinheiros</t>
  </si>
  <si>
    <t>05417-020</t>
  </si>
  <si>
    <t>apartamento 4</t>
  </si>
  <si>
    <t>Rua Simão Álvares</t>
  </si>
  <si>
    <t>372</t>
  </si>
  <si>
    <t>9793984</t>
  </si>
  <si>
    <t>(81) 99284-0650</t>
  </si>
  <si>
    <t>81 99284-0650</t>
  </si>
  <si>
    <t>https://www.instagram.com/_porlacarretera/</t>
  </si>
  <si>
    <t>075125598-01</t>
  </si>
  <si>
    <t>Olá, me chamo Aruã. Sou uma pessoa trans, periférica, autônoma. Criade em Olinda-Pernambuco por uma mãe solo, preta, costureira e cantadora de coco de roda. Com isso tive a sorte de crescer em meio aos movimentos sociais voltado à cultura na comunidade. Coco de roda, frevo, capoeira, cavalo marinho. Cultura popular sempre foi a linguagem que me tirava um pouco da dor que é crescer abandonado pelo poder público, sem acesso. Comecei a trabalhar muito cedo porque tinha que ajudar em casa, mas minha mãe nunca me deixou abandonar os estudos, logo consegui finalizar o ensino médio. Após isso comecei a trabalhar de forma autônoma com costura, dança e fotografia.</t>
  </si>
  <si>
    <t>Atualmente estou morando São-Paulo. Mudei para busca novas oportunidades, me dedicar aos estudos e poder ampliar meu trabalho com a costura e artes têxteis, mas também no intuito de conhecer outras manifestações culturais da região. Moro dividindo casa, meu sustento sai de forma autônoma, trabalhando de freelancer em bar, vendendo meus trabalhos em feiras, enquanto busco movimentos culturais políticos na cidade para fazer parte, me envolvendo coletivamente. Aprendendo nos centros culturais onde frequento, com os mestres e mestras e sempre compartilhando minhas pesquisas e auto vivencias das tradições de cultura popular, periféricas, pretas e indígenas da minha terra.</t>
  </si>
  <si>
    <t>Me visualizo futuramente trabalhando como arte-educador da dança e cultura popular para crianças e adultes em contexto de vulnerabilidade social, ou em equipamentos do governo voltados à preservação de cultura e tradições. Quero conseguir meios de me especializar para solidificar meus trabalhos profissionalmente. Acredito que o Programa Jovem Monitor Cultural possa ser uma ponte para continuar acreditando que é possível fazer da tradição cultural familiar, de periferia um meio de educação democrática nos espaços públicos. Não só me auto realizando como futuro artista-educador, produtor cultual, mas mantendo vivas as memórias das que vieram antes de mim.</t>
  </si>
  <si>
    <t>122.897.834-47</t>
  </si>
  <si>
    <t>ALINE JULIANA DAS CHAGAS SOUSA FERREIRA</t>
  </si>
  <si>
    <t>Aline Juliana Das Chagas Sousa Ferreira</t>
  </si>
  <si>
    <t>ALINE LUCIA DAS CHAGAS SOUSA FERREIRA</t>
  </si>
  <si>
    <t>495.***.***-39</t>
  </si>
  <si>
    <t>aline.j.csf@gmail.com</t>
  </si>
  <si>
    <t>https://yz2spukd8h-jbrk7pf7uvw.s3.amazonaws.com/2024/05/sYNyQqGkeCBBVSW/6F1ZaXpli6IgDnByxnaVn0AXXJQ%3D.png</t>
  </si>
  <si>
    <t>32776906</t>
  </si>
  <si>
    <t>23 anos, 10 meses, 7 dias</t>
  </si>
  <si>
    <t>Jardim Reimberg</t>
  </si>
  <si>
    <t>04845-130</t>
  </si>
  <si>
    <t>Rua Masazo Yoshimoto</t>
  </si>
  <si>
    <t>577847028</t>
  </si>
  <si>
    <t>(11) 95746-6233</t>
  </si>
  <si>
    <t>TECNICO EM DIRECAO DE FOTOGRAFIA</t>
  </si>
  <si>
    <t>Em uma família consideravelmente grande com 4 irmãos, cresci num lar onde os pais sempre almejavam o melhor para os filhos. Meu pai, sempre enfatizando a importância dos estudos, sugeria profissões que "ganham bem" como advocacia e medicina. Por outro lado, nossa mãe nos dava liberdade e apoio para que fizéssemos o que quisermos, desde que gostássemos e não causasse mal a algo ou alguém.  Meu irmão mais velho (primogênito), sempre foi uma base sólida quando se trata a incentivar. Com 14 anos ele me apresentou o projeto Guri, no qual fiz 1 ano e meio de violino. Já com 17 anos, havia me apresentado o Instituto Criar, que pude fazer parte da turma de alunos de direção de fotografia.</t>
  </si>
  <si>
    <t>Com a pandemia, encontrei dificuldade em ingressar no mercado de trabalho no ramo do audiovisual. E com a demanda alta na produção de máscaras, achei um meio de sobreviver durante esse momento de caos através da costura. Oficio que minha mãe ensinou não só a mim, mas a todos meus irmãos, com exceção da mais nova que é especial.   Atualmente continuo atuando na área da costura, ainda no intuito de sobreviver, principalmente após sair das asas de minha mãe para poder "construir" um lar com meu companheiro e nossos gatos.</t>
  </si>
  <si>
    <t>Durante muito tempo tive dificuldades em saber o que queria fazer. Mesmo após passar por experiências que envolvem música e audiovisual, não posso dizer com exatidão pois tenho muitos interesses e ainda estou em busca de resposta. Mas uma certeza que eu tenho é que a cultural é o que me move, me motiva. Saber que as pessoas não tem conhecimento das ferramentas que estão a sua disposição me indigna. Por isso, acredito que minha meta seja ajudar as pessoas para que elas consigam ter acesso e ajudá-las a se desenvolver a partir disso, e com o programa jovem monitor cultural, eu poderia dar os primeiros passos em busca dessa realização.</t>
  </si>
  <si>
    <t>495.113.938-39</t>
  </si>
  <si>
    <t>Gabriel De Araujo Leal Silva</t>
  </si>
  <si>
    <t>leal.araujo@outlook.com</t>
  </si>
  <si>
    <t>https://yz2spukd8h-jbrk7pf7uvw.s3.amazonaws.com/2024/05/rnNMeINBVtEeYVzXZ4IvXyiusP7gk0I8%2BTmg89z8w%2BQ%3D.JPG</t>
  </si>
  <si>
    <t>23 anos, 2 meses, 16 dias</t>
  </si>
  <si>
    <t>Cursando Produção Cultural</t>
  </si>
  <si>
    <t>39582380-8</t>
  </si>
  <si>
    <t>(21) 98050-4001</t>
  </si>
  <si>
    <t>https://www.instagram.com/eugabrieleal/</t>
  </si>
  <si>
    <t>Técnico em Eventos</t>
  </si>
  <si>
    <t>https://drive.google.com/file/d/1FvzvrAQYZ0IxosAPKj5USBeJfQqxRNQZ/view?usp=sharing</t>
  </si>
  <si>
    <t>449.903.008-07</t>
  </si>
  <si>
    <t>NICOLAS SPINOLA LACERDA</t>
  </si>
  <si>
    <t>spinolaspinolaa@gmail.com</t>
  </si>
  <si>
    <t>https://yz2spukd8h-jbrk7pf7uvw.s3.amazonaws.com/2024/05/RXOBdtHpQYmlxinFgFDbUPgtqDUIC9vxVS99mVy3nX0%3D.jpg</t>
  </si>
  <si>
    <t>22 anos, 11 meses, 13 dias</t>
  </si>
  <si>
    <t>NOME DIFERENTE DO QUE CONSTA NO RG (A SABER - NICOLAS SPINOLA LACERDA)</t>
  </si>
  <si>
    <t>Jardim Vergueiro (Sacomã)</t>
  </si>
  <si>
    <t>04166-003</t>
  </si>
  <si>
    <t>81c3</t>
  </si>
  <si>
    <t>Avenida Padre Arlindo Vieira</t>
  </si>
  <si>
    <t>2801</t>
  </si>
  <si>
    <t>569779157</t>
  </si>
  <si>
    <t>(11) 99419-1049</t>
  </si>
  <si>
    <t>https://www.instagram.com/nyx___x_/</t>
  </si>
  <si>
    <t>TECNICO EM MASSOTERAPIA</t>
  </si>
  <si>
    <t>https://drive.google.com/drive/u/1/folders/1xC55_Uo67pP3kfYs0Kdb2XBzQnykWexu</t>
  </si>
  <si>
    <t>498.097.718-94</t>
  </si>
  <si>
    <t>IZABELA SOUZA ANDRADE</t>
  </si>
  <si>
    <t>Izabela Souza Andrade</t>
  </si>
  <si>
    <t>Não Tenho</t>
  </si>
  <si>
    <t>izabela14andrade@gmail.com</t>
  </si>
  <si>
    <t>https://yz2spukd8h-jbrk7pf7uvw.s3.amazonaws.com/2024/05/n9jKE/VxjIo8TQ1m7Dr2ZgXN1%2BvByX6KS%2BUsYoTB1Us%3D.jpeg</t>
  </si>
  <si>
    <t>32819767</t>
  </si>
  <si>
    <t>21 anos, 6 meses, 25 dias</t>
  </si>
  <si>
    <t>Bussocaba</t>
  </si>
  <si>
    <t>06132-340</t>
  </si>
  <si>
    <t>Escola Orlando Geribola</t>
  </si>
  <si>
    <t>Osasco</t>
  </si>
  <si>
    <t>529699138</t>
  </si>
  <si>
    <t>(11) 97079-3813</t>
  </si>
  <si>
    <t>Eu sou a Izabela e vim da zona Oeste de Osasco, nascida e criada em região periférica, artisticamente falando vim e fui para o teatro em 2018,  com o sonho de ser atriz. No bairro vejo violência e repressão diariamente, mas também muita união entre os nossos.  Minha família tem suas paixões nitidamente explícitas, minha mãe com o samba e meu pai com o futebol. Cresci com meus avós por parte de pai, a minha vovó era apaixonada pelo sertanejo raiz e meu avô pelo repente. Vim de um lugar onde quero que minha paixão possa ser uma realidade, que para meus familiares acabou sendo apenas um sonho. Vim de raizes bem simples mas que sempre me ensinaram a fazer tudo com honestidade, dedicação e amor.</t>
  </si>
  <si>
    <t>Agora estou com meu sonho em movimento, com um olhar mais aberto, atenta. Estou finalizando minha formação técnica como atriz e aprendendo que há possibilidades para que eu possa fazer e viver do teatro.  (apesar de não ser fácil e concorrido). Conhecendo muitas pessoas que são diferentes, que são iguais e fazendo bastante trocas. Estou aprendendo com a importância da paciência e persistência. Estou indo mesmo que algumas vezes desanimada, mas seguindo. Aos poucos tentando. Mas algo que aprendi no meu curso é que preciso tentar e que eu vou errar muito com com as tentativas para que dê certo,  talvez uma única vez. Que tenho o aqui e o agora e que é importante focar nele. Então estou errando</t>
  </si>
  <si>
    <t>Vou ou tenho tentado ir para além do meu senso comum, tentando alcançar pessoas pra que elas façam o mesmo. Ainda mais por estar finalizando   uma formação artística (ou apenas começando).  Pois a alienação e comodismo que nos cerca não nos faz nada, não nos gera crescimento, quero pensar grande, ir para onde eu possa aprender mais e mostrar que também aprendemos com amor, com cuidado. Quero ir para um lugar onde fique feliz com minhas escolhas. Através da arma mas poderosa que temos, as conexões com o outro. Onde a troca de olhar seja firme e o toque presente. “O amor é uma arma quente” é uma frase que estou levando para a adulta/artista que sou e me torno a cada dia. me conectar verdadeira.</t>
  </si>
  <si>
    <t>507.600.458-36</t>
  </si>
  <si>
    <t>Ana Beatriz Avantaggiato Oliveira Silva</t>
  </si>
  <si>
    <t>biaabaos@gmail.com</t>
  </si>
  <si>
    <t>https://yz2spukd8h-jbrk7pf7uvw.s3.amazonaws.com/2024/06/FVfsDM4HAotBYSjpCPzhN8cPzNlXk3jPv6hmGJP25WA%3D.jpg</t>
  </si>
  <si>
    <t>23 anos, 9 meses, 2 dias</t>
  </si>
  <si>
    <t>04216-000</t>
  </si>
  <si>
    <t>Rua Mil Oitocentos e Vinte e Dois</t>
  </si>
  <si>
    <t>503573115</t>
  </si>
  <si>
    <t>(11) 99153-5042</t>
  </si>
  <si>
    <t>Jornalimo</t>
  </si>
  <si>
    <t>BIBLIOTECA CHÁCARA DO CASTELO</t>
  </si>
  <si>
    <t>Vim de um casal moralmente estruturado, que aos 43 anos e sem expectativa médica, engravidou em 31 de dezembro de 1999. Gestação normal, sem intercorrências, nasci de um parto cesáreo no dia 16 de setembro de 2000, às 12h45min, no hospital e maternidade São Paulo, localizado na atual Rua Bráulio Gomes, hoje desativado para a construção de um shopping.</t>
  </si>
  <si>
    <t>Estou na capital São Paulo, considerado centro cultural que permite conhecer não só a cultura local, como de outras partes do país e do mundo. Além de estar em contato com diferentes formas de arte, como teatros, exposições, museus e oficinas culturais. Essas experiências enriquecem minha vida e formação psicossocial. A diversidade da gastronomia também é destaque, oferecendo especialidades de todo o mundo, ampliando meus horizontes culturais.</t>
  </si>
  <si>
    <t>Vou para onde devo, sempre utilizando, da melhor forma possível, minha formação acadêmica e capacitação profissional e vivências. Busco me desenvolver diariamente, adaptando assim todo meu aprendizado. Anseio por novas experiências edificantes,que possibilitem galgar minha ascensão em todos os âmbitos. Estou aberta a novas conexões em troca de conhecimentos e ensinamentos.</t>
  </si>
  <si>
    <t>479.979.918-59</t>
  </si>
  <si>
    <t>ERICKSON MELGACO FERRAZ RIBEIRO</t>
  </si>
  <si>
    <t>Erickson Melgaço Ferraz Ribeiro</t>
  </si>
  <si>
    <t>435.***.***-11</t>
  </si>
  <si>
    <t>ericksonmelgacoferrazribeiro1@gmail.com</t>
  </si>
  <si>
    <t>https://yz2spukd8h-jbrk7pf7uvw.s3.amazonaws.com/2024/06/CnNtKIsTXLBWIjlr9o3Zcw2NvSEjMp64EzugKQBLHa0%3D.jpeg</t>
  </si>
  <si>
    <t>32913366</t>
  </si>
  <si>
    <t>29 anos, 9 meses, 9 dias</t>
  </si>
  <si>
    <t>dj programador web nao concluido</t>
  </si>
  <si>
    <t>03817-060</t>
  </si>
  <si>
    <t>Rua Lagoa da Prata</t>
  </si>
  <si>
    <t>142</t>
  </si>
  <si>
    <t>2126158748</t>
  </si>
  <si>
    <t>(11) 92003-0385</t>
  </si>
  <si>
    <t xml:space="preserve">tecnico </t>
  </si>
  <si>
    <t>ti nao concluido</t>
  </si>
  <si>
    <t>6009201519</t>
  </si>
  <si>
    <t>Vim de uma origem humilde e tenho o objetivo de conseguir melhorar minhas condições de vida ajudando minha família. Eu vim de um lugar onde tem necessidade de muita luta para conseguir conquistar algo. Por isso o meu interesse em conseguir uma vaga nesse programa tão importante para a juventude - O Programa Jovem Monitor Culutural da Secretaria Municipal de Cultura</t>
  </si>
  <si>
    <t>Atualmente estou na procura de uma oportunidade de emprego, pois consegui terminar o meu ensino médio em uma escola pública e por isso, estou em busca de novas oportunidades para mim e para a minha família. Por isso o meu interesse em conseguir uma vaga nesse programa tão importante para a juventude - O Programa Jovem Monitor Cultural da Secretaria Municipal de Cultura</t>
  </si>
  <si>
    <t>O lugar que gostaria de ir é vencer na vida. Para isso conto estou em busca de novas oportunidades para mim e para a minha família. Por isso o meu interesse em conseguir uma vaga nesse programa tão importante para a juventude - O Programa Jovem Monitor Cultural da Secretaria Municipal de Cultura. Preciso desse apoio para ter a conquista de conseguir entrar em um curso superior</t>
  </si>
  <si>
    <t>f20 - f70</t>
  </si>
  <si>
    <t>435.046.668-11</t>
  </si>
  <si>
    <t>GLAUCIA DE MORAES SELOTTO</t>
  </si>
  <si>
    <t>Glaucia De Moraes Selotto</t>
  </si>
  <si>
    <t>432.***.***-10</t>
  </si>
  <si>
    <t>glaucia.moraes.s@outlook.com</t>
  </si>
  <si>
    <t>https://yz2spukd8h-jbrk7pf7uvw.s3.amazonaws.com/2024/05/Guo5ffOWl9DfQLCls%2BQ27VEEg3CH5/vTKqihlRRwcD4%3D.jpeg</t>
  </si>
  <si>
    <t>32806971</t>
  </si>
  <si>
    <t>23 anos, 7 meses, 13 dias</t>
  </si>
  <si>
    <t>Chácara Cruzeiro do Sul</t>
  </si>
  <si>
    <t>03732-040</t>
  </si>
  <si>
    <t>Rua Firmiano Cardoso</t>
  </si>
  <si>
    <t>198</t>
  </si>
  <si>
    <t>50444401</t>
  </si>
  <si>
    <t>(11) 96439-4638</t>
  </si>
  <si>
    <t>glauciamoraes.s@outlook.com</t>
  </si>
  <si>
    <t>https://www.instagram.com/lolaaaksjdhf/</t>
  </si>
  <si>
    <t>superior em nutrição e tecnica em direção de arte</t>
  </si>
  <si>
    <t>209.38665.83-3</t>
  </si>
  <si>
    <t>https://youtu.be/wyHho7d8z7E?si=InUARfPRzmnlPPWI</t>
  </si>
  <si>
    <t>432.784.438-10</t>
  </si>
  <si>
    <t>GLENDA KAYLAINE HENRIQUE</t>
  </si>
  <si>
    <t>Glenda Kaylaine Henrique</t>
  </si>
  <si>
    <t>GUÊ HENRIQUE</t>
  </si>
  <si>
    <t>Guê Henrique</t>
  </si>
  <si>
    <t>GUE HENRIQUE</t>
  </si>
  <si>
    <t>372.***.***-64</t>
  </si>
  <si>
    <t>guehenriq@gmail.com</t>
  </si>
  <si>
    <t>https://yz2spukd8h-jbrk7pf7uvw.s3.amazonaws.com/2024/06/GlBmh6JLA2eTkSjHhh3aAQDTWHx6LTIwc/AQveBACao%3D.jpeg</t>
  </si>
  <si>
    <t>32914818</t>
  </si>
  <si>
    <t>21 anos, 0 meses, 23 dias</t>
  </si>
  <si>
    <t>UTILIZANDO NOME SOCIAL DIFERENTE DO DOCUMENTO OFICIAL (A SABER GLENDA KAYLANE HENRIQUE)</t>
  </si>
  <si>
    <t>04176-170</t>
  </si>
  <si>
    <t>Rua Almirante Ari Parreiras</t>
  </si>
  <si>
    <t>39.540.270-7</t>
  </si>
  <si>
    <t>(11) 96203-8705</t>
  </si>
  <si>
    <t>https://www.instagram.com/guehenrique?igsh=cWVsM3BvM3Y4ODI%3D&amp;utm_source=qr</t>
  </si>
  <si>
    <t>22019929863</t>
  </si>
  <si>
    <t>Sou natural de São Paulo, criada nas periferias de São Bernardo do Campo. Com pai músico e mãe artesã, cresci em um ambiente que valoriza e compreende a importância da cultura como um agente de transformação social.   Possuo experiência como aluna-artista de instituições socioculturais que me oportunizaram ter acesso as artes cênicas e como uma jovem preta e periférica, acessar a trânsfuga de classe através da educação pública.</t>
  </si>
  <si>
    <t>Continuo minha formação acadêmica em Teatro no Estúdio de Treinamento Artístico - ETA. Atuo de forma voluntária na ONG Sertão Vivo Instituto Cultural como Diretora Criativa do NExT - Núcleo Experimental de Teatro para a juventude negra do sertão. E, assim como meu pai, me desenvolvi musicalmente, o que hoje me possibilitou estar inserida em projetos e companhias que me permitem explorar a dramaturgia sonora.</t>
  </si>
  <si>
    <t>O principal objetivo é alcançar espaços que corpos como o meu desejam e merecem ir. Encaro o PJMC como oportunidade de me envolver no cenário cultural e trocar com indivíduos para que possamos enriquecer nossa compreensão mútua, sem hierarquia ou imponto algum conhecimento previamente estabelecido. Procurando também formas de descolonizar os pensamentos  e em encontrar outras formas de pensar e dialogar.</t>
  </si>
  <si>
    <t>372.536.658-64</t>
  </si>
  <si>
    <t>CAIO CAVALCANTE VILELA DE JESUS</t>
  </si>
  <si>
    <t>Caio Cavalcante Vilela De Jesus</t>
  </si>
  <si>
    <t>512.***.***-42</t>
  </si>
  <si>
    <t>caiodejesus05@gmail.com</t>
  </si>
  <si>
    <t>https://yz2spukd8h-jbrk7pf7uvw.s3.amazonaws.com/2024/06/0YluCbEaiooHqG7Y%2BWafTcuqHKZXIiXs/cgA0gqTgoo%3D.jpg</t>
  </si>
  <si>
    <t>32913895</t>
  </si>
  <si>
    <t>23 anos, 2 meses, 18 dias</t>
  </si>
  <si>
    <t>superior biologia completo; em formacao gestao de politicas publicas  usp;pos tecnico em gestao de projetos Paula souza  atualmente</t>
  </si>
  <si>
    <t>08295-440</t>
  </si>
  <si>
    <t>Rua Ibipitanga</t>
  </si>
  <si>
    <t>58</t>
  </si>
  <si>
    <t>550695114</t>
  </si>
  <si>
    <t>(11) 98567-4938</t>
  </si>
  <si>
    <t>tecnico e superior</t>
  </si>
  <si>
    <t>www.linkedin.com/in/caio-v-897873178</t>
  </si>
  <si>
    <t>tec adminitracao</t>
  </si>
  <si>
    <t>8255018220</t>
  </si>
  <si>
    <t>Nascido e criado em Itaquera, sempre estudei em escola pública ou participei de programas do governo. Minha formação acadêmica inclui licenciatura em biologia, no qual fui bolsista integral do PROUNI, e um curso técnico em administração na ETEC de Itaquera. Essas experiências moldaram minha trajetória educacional, proporcionando uma base sólida para meu desenvolvimento pessoal e carreira futura. Por isso acho fundamental políticas públicas de educação e formação para o desenvolvimento social.</t>
  </si>
  <si>
    <t>Atualmente sou estudante universitario de Gestão de Políticas Públicas na Universidade de São Paulo (USP), estou no terceiro semestre. Recentemente fui eleito (o segundo mais votado) para Conselheiro Regional Municipal de Meio Ambiente, Desenvolvimento Sustentavel e Culyuta de Paz de São Paulo, na Subprefeitura de Itaquera. Me considero um jovem empenhado e determinado para lutar por justiça social, pensando principalmente em uma persoectiva de um jovem periférico.</t>
  </si>
  <si>
    <t>Pretendo adiquirir mais conhecimento e experiencia pessoal, profissional e educacional, para agregar ao meu desenvolvimento social e pessoal. Ocuparei locais tradicionalmente negados a população periférica, e isso graças ao ensino e oportunidades que o governo me proporcionou, com essas politicas publicas de desenvolvimento social foi capaz eu me capacitar para o mundo profssional e desigual, entendo que essas desigualdade interpassam muitas questões mas estou no caminho, e com o Programa Jovem Monitor estarei próximo de atingir a minha ascensão social, levando comigo toda minha familia e comunidade, isso que me motiva a continuar.</t>
  </si>
  <si>
    <t>512.222.888-42</t>
  </si>
  <si>
    <t>VITORIA MARQUES DE OLIVEIRA</t>
  </si>
  <si>
    <t>Vitória Marques De Oliveira</t>
  </si>
  <si>
    <t>VYTÓRYA TERENA</t>
  </si>
  <si>
    <t>Vytórya Terena</t>
  </si>
  <si>
    <t>VYTORYA MARQUES DE OLIVEIRA</t>
  </si>
  <si>
    <t>329.***.***-06</t>
  </si>
  <si>
    <t>anaobranca@gmail.com</t>
  </si>
  <si>
    <t>https://yz2spukd8h-jbrk7pf7uvw.s3.amazonaws.com/2024/06/oFLl%2BxE9qKdD7yBfxjIQLsqylNhymcUj6q7Di6qGKwQ%3D.jpg</t>
  </si>
  <si>
    <t>32916075</t>
  </si>
  <si>
    <t>27 anos, 8 meses, 26 dias</t>
  </si>
  <si>
    <t>217</t>
  </si>
  <si>
    <t>381199733</t>
  </si>
  <si>
    <t>(11) 95172-8071</t>
  </si>
  <si>
    <t>ANAOBRANCA@GMAIL.COM</t>
  </si>
  <si>
    <t>https://www.instagram.com/naobranca?igsh=anV6N2k3azN1YzBo</t>
  </si>
  <si>
    <t>TEC - PRODUÇAO CULTURAL, MUSICA, INSTRUMENTOS MUSICAIS + GRAD - MUSICOTERAPIA</t>
  </si>
  <si>
    <t>Olá! Meu nome é Vitória Marques de Oliveira, mas adotei o nome Vytórya Terena para resgatar minhas raízes indígenas. Tenho 27 anos e sou apaixonada por música desde os 9 anos. Comecei meus estudos musicais em Guarulhos e participei de projetos como o Pimentinhas, onde aprendi flauta transversal. Aos 15 anos, fui aceita na Escola do Auditório Ibirapuera e me formei em 2018, ano em que também concluí o bacharelado em Musicoterapia pela FMU.   Participei da Orquestra da FMU FIAM-FAAM com bolsa parcial e, em 2018, ingressei na Orquestra Filarmônica de Santo Amaro e na Orquestra Jovem Municipal de Guarulhos. Também integrei a Banda Filarmônica de São Paulo e diversos projetos independentes. Apesa</t>
  </si>
  <si>
    <t>Durante a pandemia de 2020, sem oportunidades na classe artística, comecei a tocar nos metrôs de São Paulo, onde conheci meu companheiro Ramon Rodriguez, também artista de metrô e indígena. Em 2021, comecei a estudar marketing digital, mídias, produção de conteúdo para redes e produção musical. Em 2023, comecei a estudar editais e iniciei com Ramon o projeto Não Brancos, que combina Lo-Fi Hip Hop com MPB, onde toco flauta transversal e Ramon canta clássicos da MPB. Em 2024, fui aceita no projeto Piú da Auí Produções para estudar produção cultural, o que me ajudou a conseguir aprovações em editais para o Projeto Não Brancos.  Atualmente, trabalho em uma aldeia indígena em Guarulhos com o povo</t>
  </si>
  <si>
    <t>Ainda este ano, estou me preparando para produzir conteúdos para minha página no Instagram e para o brechó online que estou construindo. A curadoria de peças já está pronta e os conteúdos estarão no ar em breve.  Este é um projeto de médio prazo. Para o próximo ano, pretendo me envolver mais com a parte cultural, incluindo música, meus shows e a produção do meu brechó. Espero conseguir um trabalho mais estável, como Jovem Monitor Cultural, que me ajudará a planejar e produzir minha carreira de forma mais organizada, fazendo mais contatos e imergindo na arte, especialmente com outros artistas indígenas em contexto urbano.    Meu objetivo é desenvolver meu projeto musical como cantora e flautist</t>
  </si>
  <si>
    <t>329.701.628-06</t>
  </si>
  <si>
    <t>VINICIUS DE NOVAIS PASSOS</t>
  </si>
  <si>
    <t>Vinicius De Novais Passos</t>
  </si>
  <si>
    <t>VIVIANNE DE NOVAIS PASSOS</t>
  </si>
  <si>
    <t>Vivianne De Novais Passos</t>
  </si>
  <si>
    <t>367.***.***-92</t>
  </si>
  <si>
    <t>vivinpassos@usp.br</t>
  </si>
  <si>
    <t>https://yz2spukd8h-jbrk7pf7uvw.s3.amazonaws.com/2024/06/b8Xo1o5OzI%2BwepwFbvZtmVGSwUfXOlR4%2BGUe0AuDHPc%3D.png</t>
  </si>
  <si>
    <t>32916254</t>
  </si>
  <si>
    <t>20 anos, 1 meses, 23 dias</t>
  </si>
  <si>
    <t>05508-060</t>
  </si>
  <si>
    <t>CRUSP, Bloco A</t>
  </si>
  <si>
    <t>Rua do Anfiteatro</t>
  </si>
  <si>
    <t>564095138</t>
  </si>
  <si>
    <t>(11) 93144-6580</t>
  </si>
  <si>
    <t>vivinpassos@icloud.com</t>
  </si>
  <si>
    <t>https://www.instagram.com/vnovaiss/</t>
  </si>
  <si>
    <t>021287597-30</t>
  </si>
  <si>
    <t>Sou Vivianne Passos, travesti e estudante, com 20 anos de idade. Me mudei do interior para a capital há um ano, quando comecei minha graduação em Letras pela Universidade de São Paulo. Desde muito nova, nutro certa facilidade e gosto por ler e escrever, desde poemas até gibis. Além disso, sempre tive uma inclinação à carreira de educadora, sendo essas questões determinantes para a escolha do meu curso.  No meu primeiro ano de faculdade, fui selecionada para um projeto de cultura e extensão da vida no campus, voltado principalmente para o Conjunto Residencial da USP. Tal projeto, estimula a sociabilidade e a inclusão, por meio de noites de sarau, dos alunos que vivem na moradia, assim como eu.</t>
  </si>
  <si>
    <t>No momento, estou completando meu terceiro semestre e sigo como uma das realizadoras das Noites de Sarau do CRUSP, onde buscamos guiar diálogos sobre as mais diversas expressões artísticas dos moradores do conjunto residencial universitário, explorando temas como: noites temáticas de Carnaval, apreciação da literatura de cordel, oficinas de fanzines, apresentações de coletivos SLAM e artistas autorais de Hip-Hop.  Para além dos projetos no meio acadêmico, me dediquei ao audiovisual. Estou finalizando um curso de cinema gratuito, É Nóis na Fita, onde assumi os papeis de assistente de roteiro, compositora e diretora de arte para a produção de um curta-metragem, onde descobri uma paixão.</t>
  </si>
  <si>
    <t>Por fim, tenho muitas expectativas na minha profissão de educadora e espero poder desenvolver cada vez mais a capacidade de fomentar criações artísticas autorais, apoiar o acesso à arte e democratizar a liberdade de expressão que dou tanto valor. Também anseio por continuar explorando as oportunidades e as experiencias únicas que a cidade de São Paulo tem a oferecer, num viés cultural e então, quem sabe, descobrir novas paixões, como o audiovisual e a poesia.</t>
  </si>
  <si>
    <t>367.425.728-92</t>
  </si>
  <si>
    <t>RONATHAN ALVES OLIVEIRA DA SILVA</t>
  </si>
  <si>
    <t>Ronathan Alves Oliveira Da Silva</t>
  </si>
  <si>
    <t>Ron</t>
  </si>
  <si>
    <t>022.***.***-05</t>
  </si>
  <si>
    <t>ronathanalves@gmail.com</t>
  </si>
  <si>
    <t>https://yz2spukd8h-jbrk7pf7uvw.s3.amazonaws.com/2024/06/bhYriQhP//p5jPShePB7qQEPMDcY7BOUL6gxSz5sTSk%3D.jpeg</t>
  </si>
  <si>
    <t>32836589</t>
  </si>
  <si>
    <t>24 anos, 5 meses, 15 dias</t>
  </si>
  <si>
    <t>RON</t>
  </si>
  <si>
    <t>Vila monumento</t>
  </si>
  <si>
    <t>01552-000</t>
  </si>
  <si>
    <t>Av dom pedro</t>
  </si>
  <si>
    <t>566</t>
  </si>
  <si>
    <t>8009320</t>
  </si>
  <si>
    <t>(91) 98536-7930</t>
  </si>
  <si>
    <t>RONATHANALVES@GMAIL.COM</t>
  </si>
  <si>
    <t>https://www.instagram.com/r9nagol?igsh=ZXFxMWpubGVmM3Ju&amp;utm_source=qr</t>
  </si>
  <si>
    <t>LICENCIATURA MATEMÁTICA</t>
  </si>
  <si>
    <t>20750812545</t>
  </si>
  <si>
    <t>https://photos.app.goo.gl/a8mpKyKsPYy8kTKi6</t>
  </si>
  <si>
    <t>SUL - 10</t>
  </si>
  <si>
    <t>022.384.612-05</t>
  </si>
  <si>
    <t>RAFAEL EURIPEDES SILVA EMILIANO</t>
  </si>
  <si>
    <t>Rafael Eurípedes Silva Emiliano</t>
  </si>
  <si>
    <t>RAFAEL EURÍPEDES SILVA EMILIANO</t>
  </si>
  <si>
    <t>047.***.***-86</t>
  </si>
  <si>
    <t>rafael.emiliano_@hotmail.com</t>
  </si>
  <si>
    <t>https://yz2spukd8h-jbrk7pf7uvw.s3.amazonaws.com/2024/04/NyOOfpFTA4o/YP98BoUgj268OraqZrN4IqpZgyyuGmY%3D.JPG</t>
  </si>
  <si>
    <t>32625619</t>
  </si>
  <si>
    <t>26 anos, 7 meses, 18 dias</t>
  </si>
  <si>
    <t>01514-000</t>
  </si>
  <si>
    <t>APTO 1807</t>
  </si>
  <si>
    <t>Rua Glicério</t>
  </si>
  <si>
    <t>301</t>
  </si>
  <si>
    <t>666218900</t>
  </si>
  <si>
    <t>(11) 98103-6484</t>
  </si>
  <si>
    <t>https://www.linkedin.com/in/rafael-emiliano-a506ab11a/</t>
  </si>
  <si>
    <t>Relacões Públicas</t>
  </si>
  <si>
    <t>6505045694</t>
  </si>
  <si>
    <t>Eu venho de uma cidade no interior de Goiás chamada Itumbiara. Me mudo aqui pra São Paulo no final de 2019 e vim em busca de oportunidades de trabalhos, melhoria de vida e realização de sonhos.   Sou filho da Maria Eunice que criou seus dois filhos, Rafael e Débora sozinha, sem apoio de seus pais. Tenho muito orgulho de estar aqui pra conseguir ir atrás dos meus objetivos e conseguir realizar cada um deles.</t>
  </si>
  <si>
    <t>Atualmente não estou trabalhando com carteira assinada, estou fazendo alguns bicos e trabalhando com alguns projetos que aparecem.   Essa oportunidade vai me ajudar muito a realizar o sonho da minha vida. Sou apaixonado por comunicação e acredito que essa oportunidade vai me aproximar ainda mais dos meus objetivos e do que eu realmente gosto de fazer, criar, entregar e realizar.</t>
  </si>
  <si>
    <t>Quero conquistar os meus sonhos e desejo muito estudar Comunicação Social, poder trabalhar com redes sociais, ajudar e compartilhar os meus ensinamentos com outras pessoas. Não gosto de perder tempo e tudo que me comprometo a fazer eu desenvolvo da melhor forma possível.   Acredito no papel transformador por meio da educação e tudo o que ela proporciona na vida das pessoas e é sobre isso, é sobre oportunidades para que eu possa ocupar esses espaços.</t>
  </si>
  <si>
    <t>047.900.631-86</t>
  </si>
  <si>
    <t>Maria Veronica Da Silva Pacheco</t>
  </si>
  <si>
    <t>VERONICA</t>
  </si>
  <si>
    <t>Veronica</t>
  </si>
  <si>
    <t>veronicasilva0775@gmail.com</t>
  </si>
  <si>
    <t>https://yz2spukd8h-jbrk7pf7uvw.s3.amazonaws.com/2024/04/Ph49qFcbvcMxMj1V8dAlAS6Kgc/pB/O9hkpFznNc%2B7Q%3D.jpeg</t>
  </si>
  <si>
    <t>20 anos, 11 meses, 16 dias</t>
  </si>
  <si>
    <t>Jardim lageado</t>
  </si>
  <si>
    <t>08450-660</t>
  </si>
  <si>
    <t>Antônio de Arruda Dantas</t>
  </si>
  <si>
    <t>09</t>
  </si>
  <si>
    <t>594473500</t>
  </si>
  <si>
    <t>(11) 98535-1623</t>
  </si>
  <si>
    <t>VERONICASILVA0775@GMAIL.COM</t>
  </si>
  <si>
    <t>LICENCIATURA</t>
  </si>
  <si>
    <t>Sou Maria Veronica tenho 20 anos de idade, atualmente estou cursando faculdade de pedagogia pela instituição Anhembi Morumbi, infelizmente nunca tive oportunidade de atuar na área porém já tive experiência em trabalhar com crianças sendo babá, participei de concurso público de auxiliar de creche, além disso tenho habilidades em trabalhar com público e conhecimentos em informática básica.</t>
  </si>
  <si>
    <t>Atualmente estou a procura de um emprego na área da educação infantil, em busca de ter essa experiência no meu currículo para obter mais conhecimento. Fiquei muito interessada e empolgada com essa vaga que vi através do site acredito que com ela conseguirei dar início a uma jornada nova tudo, gostaria muito de ter a oportunidade de participar do programa.</t>
  </si>
  <si>
    <t>Gostaria muito dessa oportunidade para dar o meu primeiro passo na carreira como profissional na área da educação infantil, onde vou poder aprender mais, e dividir meus conhecimentos com pessoas mais experiente no assunto,  e estar completamente disposta a receber aprendizagem para se torna uma futura pedagoga que é o meu objetivo para o meu futuro</t>
  </si>
  <si>
    <t>552.077.388-28</t>
  </si>
  <si>
    <t>PEDRO ANTONIO AZEVEDO ABJON</t>
  </si>
  <si>
    <t>Pedro Antonio Azevedo Abjon</t>
  </si>
  <si>
    <t>MISTY ANTONIETA AZEVEDO ABJON</t>
  </si>
  <si>
    <t>Misty Antonieta Azevedo Abjon</t>
  </si>
  <si>
    <t>471.***.***-69</t>
  </si>
  <si>
    <t>kawa11.kawa16@gmail.com</t>
  </si>
  <si>
    <t>https://yz2spukd8h-jbrk7pf7uvw.s3.amazonaws.com/2024/06/wGnsOdaazhFQzRMLUESVXXPIZGjfJBCl3YxZmDTdb6k%3D.jpeg</t>
  </si>
  <si>
    <t>32836415</t>
  </si>
  <si>
    <t>08030-270</t>
  </si>
  <si>
    <t>Rua Inúbia</t>
  </si>
  <si>
    <t>265</t>
  </si>
  <si>
    <t>38779281-8</t>
  </si>
  <si>
    <t>(11) 95362-6911</t>
  </si>
  <si>
    <t>KAWA11.KAWA816@GMAIL.COM</t>
  </si>
  <si>
    <t>Com experiência em organização de eventos, teatro, vivencias artísticas e culturais, uma ótima habilidade comunicativa e facilidade para lidar com o publico acredito que trabalhar em ambientes públicos vá ser benéfico tanto para mim quanto para o estado uma vez que sou uma pessoa proativa, empenhada, empática e que sabe trabalhar bem em equipe. Além é claro de ser uma oportunidade que cumpre uma meta pessoal.</t>
  </si>
  <si>
    <t>Durante minha adolescência até o momento atual desenvolvi habilidades úteis para o funcionalismo público e para o atendimento ao público sendo elas, boa comunicação, facilidade em trabalhar em equipe, experiência com eventos culturas e artísticos, facilidade na organização e administração de arquivos, proatividade e liderança. Me vejo no momento atual procurando por oportunidades e experiências em cargos públicos para futuramente construir uma carreira na área.</t>
  </si>
  <si>
    <t>Agradeço a atenção e abro um espaço pra falar um pouco das minhas metas, a primeira delas envolve construir uma carreira no funcionalismo público em ambientes culturas ou administrativos e a segunda delas que está interligada com a primeira envolve uma paixão pelo teatro e pelo cinema nos quais tenho muita vontade de desenvolver projetos. Busco estabilidade financeira com a primeira meta para fazer funcionar a segunda.</t>
  </si>
  <si>
    <t>471.246.628-69</t>
  </si>
  <si>
    <t>GUSTAVO MORAIS DE LIMA</t>
  </si>
  <si>
    <t>Gustavo Morais De Lima</t>
  </si>
  <si>
    <t>435.***.***-22</t>
  </si>
  <si>
    <t>gustavoqzs.com@gmail.com</t>
  </si>
  <si>
    <t>https://yz2spukd8h-jbrk7pf7uvw.s3.amazonaws.com/2024/05/0bZh3IBIcKwYuGbDGXSpQZ7DFcfsKiYBaV3exMmBjf4%3D.jpg</t>
  </si>
  <si>
    <t>32704772</t>
  </si>
  <si>
    <t>04822-000</t>
  </si>
  <si>
    <t>xasa 4</t>
  </si>
  <si>
    <t>Rua Jequirituba</t>
  </si>
  <si>
    <t>1765</t>
  </si>
  <si>
    <t>50695142-x</t>
  </si>
  <si>
    <t>(11) 98821-8465</t>
  </si>
  <si>
    <t>https://www.instagram.com/gustavu.qzs?igsh=MWlmY2pjZWdmYmJ2Yg%3D%3D&amp;utm_source=qr</t>
  </si>
  <si>
    <t>Me chamo Gustavo, tenho 23 anos, sou um negro, gay e morador do Grajaú. Atualmente trabalho como auxiliar de leitura e pesquisa na  biblioteca da Fábrica de Cultura de Osasco, onde realizo inúmeras atividades e oficinas culturais. Como auxiliar, realizo atendimento ao público, mediação de conflitos, curadoria e organização do acervo, mediação de leitura e contação de histórias, contratação de atividades e produção de eventos dentro da biblioteca.</t>
  </si>
  <si>
    <t>Atualmente sou educador popular e coordenador do cursinho popular Niggaz, da Rede Emancipa. Como coordenador, faço a organização, comunicação e articulação do cursinho com a comunidade.  Realizo oficinas de bordado e costura em escolas e centros culturais de forma gratuita.  Para além da educação não formal e das oficinas, sou fotográfo, onde registro o cotidiano das periferias em que frequento</t>
  </si>
  <si>
    <t>Gostaria de ser um Jovem Monitor Cultural para trabalhar de forma mais ativa no ramo da produção cultural e da arte educação, promovendo atividades e eventos que dialoguem com as realidades vividas pelas periferias. Tenho forte interesse em trabalhar com produção cultural e arte educação em espaços culturais  diversos. Sendo um negro e gay, acredito que acessar esses espaços é romper com as estatísticas que o sistem escreveu para pessoas como eu, isto é, romper com o destino de marginalização que nós é imposto</t>
  </si>
  <si>
    <t>435.815.158-22</t>
  </si>
  <si>
    <t>LUCAS JOHNATAN NEVES FEITOSA</t>
  </si>
  <si>
    <t>Lucas Johnatan Neves Feitosa</t>
  </si>
  <si>
    <t>440.***.***-95</t>
  </si>
  <si>
    <t>ofcmorramedi@gmail.com</t>
  </si>
  <si>
    <t>https://yz2spukd8h-jbrk7pf7uvw.s3.amazonaws.com/2024/04/mMJzI78IV8EAxyhFn6L3keO54ZwaTElL5sAxx4LE8Og%3D.jpg</t>
  </si>
  <si>
    <t>32555833</t>
  </si>
  <si>
    <t>29 anos, 4 meses, 25 dias</t>
  </si>
  <si>
    <t>CURSO TRANCADO, PORÉM PRETENDE RETOMAR</t>
  </si>
  <si>
    <t>Vila da Paz</t>
  </si>
  <si>
    <t>04777-062</t>
  </si>
  <si>
    <t>Rua Rio Sapucaí</t>
  </si>
  <si>
    <t>435947114</t>
  </si>
  <si>
    <t>(11) 91878-1408</t>
  </si>
  <si>
    <t>ofcborramedi@gmail.com</t>
  </si>
  <si>
    <t>https://www.instagram.com/mxrramed/</t>
  </si>
  <si>
    <t>TÉCNICO EM GESTÃO EM MARKETING</t>
  </si>
  <si>
    <t>Nascido e criado na Zona Sul de São Paulo, Piraporinha, trabalho com a arte música e Hip Hop desde meus 15 anos de idade. Atualmente com 28, possuo mais de 6 anos de experiência com a arte e cultura de rua, desde o coletivo @batalhadopsa onde atuei na organização para promoção de eventos culturais, batalhas de rima, flyers, também me apresentei como Mc e produtor cultural onde auxíliei os Mcs a comporem suas músicas e produzirem sua arte.</t>
  </si>
  <si>
    <t>Atualmente sou produtor musical e Mc, possuo na carreira aproximadamente mais de cem mil visualizações somados nas obras, auxilio os mcs a produzirem suas músicas e processo de mentoria desde a maneira de cantar até a liberdade criativa de cada artista e seu desejo de expressar. Realizei mais de dez shows além de participações em eventos culturais .</t>
  </si>
  <si>
    <t>Desejo me tornar monitor da comunidade ativo com a arte e expansão da cultura na nossa comunidade e trazer os sons das ruas para os jovens afim de inspirar eles e criar diversos projetos que contribuam para o desenvolvimento  da comunidade, além de seguir minha carreira de Mc e produtor musical, podendo assim contribuir com todo conhecimento adquirido ao longo da jornada.</t>
  </si>
  <si>
    <t>440.885.048-95</t>
  </si>
  <si>
    <t>MARIA DOS REMEDIOS PAIVA SANTOS</t>
  </si>
  <si>
    <t>Maria Dos Remédios Paiva Santos</t>
  </si>
  <si>
    <t>476.***.***-66</t>
  </si>
  <si>
    <t>mariapaiva.161098@gmail.com</t>
  </si>
  <si>
    <t>https://yz2spukd8h-jbrk7pf7uvw.s3.amazonaws.com/2024/06/5x3Nzz4wsUucn4ZF65iWcc4gntiNG2lsap3aoyHmUmI%3D.jpg</t>
  </si>
  <si>
    <t>32912425</t>
  </si>
  <si>
    <t>25 anos, 8 meses, 2 dias</t>
  </si>
  <si>
    <t>04962-000</t>
  </si>
  <si>
    <t>Avenida dos Funcionários Públicos</t>
  </si>
  <si>
    <t>398414348</t>
  </si>
  <si>
    <t>(11) 97048-4637</t>
  </si>
  <si>
    <t>https://www.instagram.com/eupaivamaria/</t>
  </si>
  <si>
    <t>https://drive.google.com/file/d/1QJN2Q-hQPYMYjm9Ti0H3ijMUzt0h6-5F/view?usp=sharing</t>
  </si>
  <si>
    <t>476.789.058-66</t>
  </si>
  <si>
    <t>KAILANE PEREIRA SANTANA</t>
  </si>
  <si>
    <t>Kailane Pereira Santana</t>
  </si>
  <si>
    <t>523.***.***-80</t>
  </si>
  <si>
    <t>kailanepereirasantana@gmail.com</t>
  </si>
  <si>
    <t>https://yz2spukd8h-jbrk7pf7uvw.s3.amazonaws.com/2024/05/U3xBW9eVWsh5OTqO/a/JI%2B7yYfn0a6SM6jhSkXk79NY%3D.jpg</t>
  </si>
  <si>
    <t>32680229</t>
  </si>
  <si>
    <t>20 anos, 8 meses, 29 dias</t>
  </si>
  <si>
    <t>08235-590</t>
  </si>
  <si>
    <t>Rua Pinheiro do Paraná</t>
  </si>
  <si>
    <t>631332169</t>
  </si>
  <si>
    <t>(11) 99961-8994</t>
  </si>
  <si>
    <t>KAILANE PEREIRA SANTANA@GMAIL.COM</t>
  </si>
  <si>
    <t>https://www.instagram.com/_lane.0?igsh=ZXRjdWZ1Ym40Nmh5</t>
  </si>
  <si>
    <t>https://drive.google.com/file/d/1MyzLSbrceb839W8wTSK74GyLFldtQCDr/view?usp=drivesdk</t>
  </si>
  <si>
    <t>523.633.068-80</t>
  </si>
  <si>
    <t>LUIS HENRIQUE DA SILVA</t>
  </si>
  <si>
    <t>Luis Henrique Da Silva</t>
  </si>
  <si>
    <t>520.***.***-64</t>
  </si>
  <si>
    <t>luhenre56@gmail.com</t>
  </si>
  <si>
    <t>https://yz2spukd8h-jbrk7pf7uvw.s3.amazonaws.com/2024/06/FhCy4iAZuItDPO0bjQN6vuGm4EzKl6d0gtYJbnYQ%2B1Y%3D.jpg</t>
  </si>
  <si>
    <t>32829258</t>
  </si>
  <si>
    <t>21 anos, 11 meses, 15 dias</t>
  </si>
  <si>
    <t>02224-010</t>
  </si>
  <si>
    <t>Avenida Major Roberto dos Santos</t>
  </si>
  <si>
    <t>164</t>
  </si>
  <si>
    <t>621734640</t>
  </si>
  <si>
    <t>(11) 99293-0493</t>
  </si>
  <si>
    <t>LUHENREFOTOGRAFIA@GMAIL.COM</t>
  </si>
  <si>
    <t>https://www.instagram.com/luhenre_art?igsh=MTczZm5qeGFjYjNkeg==</t>
  </si>
  <si>
    <t>INCOMPLETA - RH E COMPLETA - CULTURA POPULAR BRASILEIRA</t>
  </si>
  <si>
    <t>Eu vim do Pq Edu chaves, sou dançarino de danças urbanas e fotógrafo, nasci na comunidade, sempre frequentei e vivêncio projetos nas bibliotecas e fábricas de cultura, venho de um lugar de muita humildade e admiração a pessoas que estão nessa posição de projetos e pessoas dentro da comunidade que sempre promoveram projetos, eu executei muitos voluntariamente e quero ter a oportunidade de me conectar com os jovens e poder agregar de alguma maneira.</t>
  </si>
  <si>
    <t>No atual momento, trabalho como fotógrafo de moda, sou pai e casado, moro com a minha sogra, busco por estabilidade, mas sempre criando projetos e participando para impulsionar a informação dentro do bairro.  Estou sempre buscando melhorar, eu faço fotos de moda a 3 anos e sigo em studios estudando e montando projetos. Tendo muitas dificuldades, mas acredito que um dia chego lá.</t>
  </si>
  <si>
    <t>Pretendo aprender e poder ensinar da melhor maneira as pessoas, pretendo me conectar a pessoas que elevam e agregam aos ideais que permite que possamos evoluir, nisso me levo para esse lado de querer sempre mais, ter oportunidade de ser jovem monitor me trás uma vontade e até possibilidades de poder agregar na vida das pessoas que eu puder ajudar como jovem monitor.</t>
  </si>
  <si>
    <t>520.294.878-64</t>
  </si>
  <si>
    <t>Heloisa Silva Ribeiro</t>
  </si>
  <si>
    <t>HELOISA SILVA RIBEIRO</t>
  </si>
  <si>
    <t>466.***.***-93</t>
  </si>
  <si>
    <t>heloisa.hsr03@gmail.com</t>
  </si>
  <si>
    <t>https://yz2spukd8h-jbrk7pf7uvw.s3.amazonaws.com/2024/06/gT/SWXDvlS43ESgRFN9Ps1f8l4rn5sr8%2BAE8G6ZJOm4%3D.jpg</t>
  </si>
  <si>
    <t>32916185</t>
  </si>
  <si>
    <t>22 anos, 8 meses, 15 dias</t>
  </si>
  <si>
    <t>Jardim Ângela (Zona Sul)</t>
  </si>
  <si>
    <t>04939-010</t>
  </si>
  <si>
    <t>Rua Marcelino Coelho</t>
  </si>
  <si>
    <t>405</t>
  </si>
  <si>
    <t>387242594</t>
  </si>
  <si>
    <t>(11) 93395-9027</t>
  </si>
  <si>
    <t>heloisa.hsl03@gmail.com</t>
  </si>
  <si>
    <t>https://www.instagram.com/helo.sribeiro/</t>
  </si>
  <si>
    <t>Eu sou a Helô Ribeiro (Heloisa Ribeiro), tenho 22 anos e nasci e cresci no bairro do Jardim Ângela, zona sul de São Paulo. Apesar disso, sempre estudei bem longe de casa, no bairro do Morumbi em uma escola particular onde fui bolsista, graças ao trabalho da minha mãe com Serviços Gerais, durante toda a minha formação até o Ensino Médio. Foi durante o primeiro ano do Ensino Fundamental II que comecei a dançar através das aulas extracurriculares de Jazz e desde então não parei mais. Ainda muito nova sempre me interessei por arte de uma maneira geral e frequentava lugares como as casas e fábricas de cultura da minha região, que me possibilitaram o contato direto com artistas, uma inspiração!</t>
  </si>
  <si>
    <t>Atualmente faço parte de uma cia de dança independente, a Quadrela Cia de Dança. Somos um grupo de dança contemporânea e desenvolvemos nossos processos artísticos uma vez por semana dentro do CEU Paraisópolis. Buscamos sempre oportunidades de mostrar nosso trabalho em eventos culturais abertos em centros culturais e similares, sem pensar necessariamente em um retorno financeiro e sim na troca com o público e outros artistas. Além disso, sou percussionista há 02 anos do Bloco Afro É Di Santo, grupo afro responsável pelo maior bloco de Carnaval da zona sul de SP e responsável também pela valorização da autoestima, cultura e identidades negras e membra do Agrupamento do Consulado da Portela SP.</t>
  </si>
  <si>
    <t>Minha meta é trabalhar como arte educadora, mesclando minha vivência com a dança, que foi a responsável por mudar minha perspectiva de/sobre a vida, com a educação. Atualmente estou em busca de formação na área da Pedagogia, algo de grande interesse para mim. Desejo trabalhar em ambientes que tenham a arte e a cultura como foco e que me possibilitem colaborar, bem como aprender constantemente e, principalmente, que me permitam continuar exercendo a minha própria arte! Quero poder mover as pessoas através da arte, mostrando como ela é potente e necessária!  Moro ainda com minha família e almejo alcançar minha independência em breve, o que será um passo importante para minha vida.</t>
  </si>
  <si>
    <t>466.370.728-93</t>
  </si>
  <si>
    <t>LUIZ GUSTAVO PARREIRA</t>
  </si>
  <si>
    <t>Luiz Gustavo Parreira</t>
  </si>
  <si>
    <t>GUSTAVO PARREIRA</t>
  </si>
  <si>
    <t>Gustavo Parreira</t>
  </si>
  <si>
    <t>228.***.***-08</t>
  </si>
  <si>
    <t>contato.gustavoparreira@gmail.com</t>
  </si>
  <si>
    <t>https://yz2spukd8h-jbrk7pf7uvw.s3.amazonaws.com/2024/05/2nvsSR9E30XjkOXjq/qn4%2Bw9U8gxDiicS6aj1bbuZ40%3D.png</t>
  </si>
  <si>
    <t>32783810</t>
  </si>
  <si>
    <t>24 anos, 2 meses, 0 dias</t>
  </si>
  <si>
    <t>USANDO NOME SOCIAL-ARTISTICO DIFERENTE A MENOS DO QUE CONSTA NO DOCUMENTO (A SABER - LUIZ GUSTAVO PARREIRA)</t>
  </si>
  <si>
    <t>04813-210</t>
  </si>
  <si>
    <t>Letra B</t>
  </si>
  <si>
    <t>Rua Antônio Correa da Silva</t>
  </si>
  <si>
    <t>377479524</t>
  </si>
  <si>
    <t>(11) 97304-3894</t>
  </si>
  <si>
    <t>https://www.instagram.com/gustavoparreiraofc?igsh=MXUweTZpdnFhY3AxYQ==</t>
  </si>
  <si>
    <t>TECNICO EM ARTES CENICAS</t>
  </si>
  <si>
    <t>Vim da periferia de São Paulo, sou nascido e fui criado no Grajaú onde iniciei com 8 anos de idade minha trajectória artística, até hoje moro com minha família e me organizo com grupos de teatro e produção artística de lá, meus primeiros cursos foram nas casas de cultura da quebrada o meu lugar é uma potência para a minha criação artística.O teatro como forma de transformação social é uma das coisas mais belas e sensíveis que a vida no Grajaú me trouxe.</t>
  </si>
  <si>
    <t>Me formei no curso técnico em teatro e estou um degrau acima na minha carreira hoje me organizo artisticamente  com grupos das antigas turmas da escola trabalho também como modelo com foco em inclusão e representatividade e tenho co,o principal motor exaltar a sensualidade de corpos PCD, hoje aceito e reconheço a plenitude de Habitar o meu corpo e enxergo nele toda a minha potência artística, conviver nessa sociedade como alguém que se empodera do próprio corpo tem sido um desafio delicioso como pessoa LGBTQIA+ nunca fui tão feliz quanto estou agora.</t>
  </si>
  <si>
    <t>Na jornada da vida ainda vou experimentar e descobrir muita coisa, sobre mim mesmo, sobre o mundo e sobre as diferentes formas de se relacionar e fazer a minha arte, quero conhecer novas pessoas e viajar o mundo expandir meu pensamento e poder ver no futuro os frutos das árvores que estou plantando hoje, tenho certeza que a minha trajectória como artista da quebrada vai inspirar muitas pessoas PCDs que vão ter a referência que eu não tive quando comecei, se a vida só acaba quando termina eu quero viver até o fim</t>
  </si>
  <si>
    <t>CID 10 G801 Paralisia cerebral diplégica espástica</t>
  </si>
  <si>
    <t>228.542.048-08</t>
  </si>
  <si>
    <t>SABRINA BORGES DA COSTA</t>
  </si>
  <si>
    <t>Sabrina Borges Da Costa</t>
  </si>
  <si>
    <t>484.***.***-00</t>
  </si>
  <si>
    <t>sabriborgess@gmail.com</t>
  </si>
  <si>
    <t>https://yz2spukd8h-jbrk7pf7uvw.s3.amazonaws.com/2024/06/PErjZGFvO332RWfNiLdgxOjCvSwGdMsbKKpsc0LiEv4%3D.pdf</t>
  </si>
  <si>
    <t>32831362</t>
  </si>
  <si>
    <t>18 anos, 11 meses, 17 dias</t>
  </si>
  <si>
    <t>Jardim Umuarama</t>
  </si>
  <si>
    <t>05783-160</t>
  </si>
  <si>
    <t>Bloco 1 Apartamento 44</t>
  </si>
  <si>
    <t>Rua Malamir</t>
  </si>
  <si>
    <t>52353381-0</t>
  </si>
  <si>
    <t>(11) 97663-6600</t>
  </si>
  <si>
    <t>sabrinaborgess@gmail.com</t>
  </si>
  <si>
    <t>Desde criança, sempre fui apaixonada pela cultura. Cresci imersa em diferentes formas de expressão artística, desde a música e a dança até a literatura e as artes visuais. No entanto, as opiniões populares e a falta de incentivo ao meu redor muitas vezes me fizeram duvidar de que poderia transformar essa paixão em uma carreira. Apesar disso, nunca deixei de sonhar e de me envolver com a cultura em todas as oportunidades que surgiram.</t>
  </si>
  <si>
    <t>No ano passado, concluí o ensino médio, um marco importante na minha vida. Desde então, estou em uma fase de exploração e descoberta, tentando definir com o que exatamente quero trabalhar dentro do vasto campo da arte. Tenho me dedicado a aprofundar meu conhecimento e habilidades em diferentes áreas culturais, participando de eventos, workshops e cursos que possam me ajudar a encontrar meu caminho. Atualmente, estou em busca de oportunidades que me permitam não só aprender mais, mas também contribuir com minha energia e paixão pela cultura.</t>
  </si>
  <si>
    <t>Meu objetivo é me tornar uma jovem monitora cultural, um passo essencial para consolidar minha carreira na área artística. Quero usar essa oportunidade para ganhar experiência prática, aprender com profissionais experientes e entender melhor os bastidores do mundo cultural. Acredito que, ao trabalhar como monitora, poderei desenvolver habilidades valiosas e criar uma rede de contatos que me ajudará a continuar crescendo profissionalmente.</t>
  </si>
  <si>
    <t>484.778.278-00</t>
  </si>
  <si>
    <t>EMANUEL FABRICIO MENEZES</t>
  </si>
  <si>
    <t>Emanuel Fabricio Menezes</t>
  </si>
  <si>
    <t>486.***.***-48</t>
  </si>
  <si>
    <t>efabricio839@gmail.com</t>
  </si>
  <si>
    <t>https://yz2spukd8h-jbrk7pf7uvw.s3.amazonaws.com/2024/04/q0833CLwoOov/ajZjZnB3GPQLMRW%2BV4vf4kd5tFdIR0%3D.jpg</t>
  </si>
  <si>
    <t>32627546</t>
  </si>
  <si>
    <t>19 anos, 2 meses, 30 dias</t>
  </si>
  <si>
    <t>03977-417</t>
  </si>
  <si>
    <t>Bloco 23</t>
  </si>
  <si>
    <t>Rua Luca Conforti</t>
  </si>
  <si>
    <t>149</t>
  </si>
  <si>
    <t>588720306</t>
  </si>
  <si>
    <t>(11) 94946-5252</t>
  </si>
  <si>
    <t>É com grande entusiasmo que envio minha candidatura para a vaga em aberto. Gostaria de me apresentar e oferecer uma visão sobre minha origem e de onde vim.    Vim de uma família modesta em, onde aprendi desde cedo o valor do trabalho árduo e da dedicação. Morando em um bairro periférico, meus pais me incentivaram a valorizar a educação como um meio de superação e crescimento. Além disso, me envolvi ativamente em atividades extracurriculares que me ajudaram a desenvolver habilidades de liderança, trabalho em equipe e comunicação eficaz.</t>
  </si>
  <si>
    <t>Embora eu não possua experiência profissional formal, estou entusiasmado para embarcar nesta nova jornada e contribuir de forma significativa para o crescimento e sucesso dessa esfera. Ao contemplar o tema "Onde Estou", percebo que essa é a pergunta que está em minha mente ao iniciar uma carreira profissional. Para responder essa pergunta, estou ciente de que preciso me envolver em um ambiente dinâmico, desafiador e com profissionais experientes, o que acredito ser possível nessa função.    Embora eu reconheça que a falta de experiência profissional possa parecer uma desvantagem, estou disposto/a a compensar essa lacuna por meio de minha dedicação, entusiasmo e comprometimento em aprender.</t>
  </si>
  <si>
    <t>Ao pesquisar mais sobre essa vaga e seus princípios, fiquei interessado com a missão, valores e projetos relacionados à esse setor cultural, o que despertou ainda mais meu interesse em fazer parte dessa equipe dinâmica e inovadora. Observo que esse ramo tem uma reputação sólida e é conhecida por seu compromisso com a excelência e a busca por soluções inovadoras. Esses são valores que se alinham perfeitamente aos meus próprios princípios e metas de carreira. Ademais, essa experiência irá fazer eu evoluir como indivíduo e pessoa para eu ser um ser humano mais competente, empatico e prestativo em outros setores e empresas na qual eu possa eventualmente fazer parte.</t>
  </si>
  <si>
    <t>486.610.648-48</t>
  </si>
  <si>
    <t>BRUNA VITORIA GONCALVES</t>
  </si>
  <si>
    <t>Bruna Vitória Gonçalves</t>
  </si>
  <si>
    <t>241.***.***-01</t>
  </si>
  <si>
    <t>brunatovian@gmail.con</t>
  </si>
  <si>
    <t>https://yz2spukd8h-jbrk7pf7uvw.s3.amazonaws.com/2024/06/HNpu6TeOZZ%2BcdRr5oiTAKpT0CGrTeD3/h0AdNzc%2BqtY%3D.jpeg</t>
  </si>
  <si>
    <t>32915289</t>
  </si>
  <si>
    <t>20 anos, 10 meses, 21 dias</t>
  </si>
  <si>
    <t>03823-080</t>
  </si>
  <si>
    <t>Rua Walter Berten</t>
  </si>
  <si>
    <t>62.706.803-0</t>
  </si>
  <si>
    <t>(11) 94880-7660</t>
  </si>
  <si>
    <t>brunatovian@gmail.com</t>
  </si>
  <si>
    <t>Sim, tecnico e cursando superior</t>
  </si>
  <si>
    <t>https://www.instagram.com/brunatovian?igsh=eXl5dXB2em14aTJx</t>
  </si>
  <si>
    <t>Tecnico em dança e cursando superior escola de artes dramatica da usp</t>
  </si>
  <si>
    <t>https://youtu.be/ZyXSMlGzWD8?feature=shared</t>
  </si>
  <si>
    <t>241.022.668-01</t>
  </si>
  <si>
    <t>THAYNA SANTOS GAIA</t>
  </si>
  <si>
    <t>Thayna Santos Gaia</t>
  </si>
  <si>
    <t xml:space="preserve">THAYNA SANTOS GAIA </t>
  </si>
  <si>
    <t>373.***.***-07</t>
  </si>
  <si>
    <t>thaynasantosgaia4@gmail.com</t>
  </si>
  <si>
    <t>https://yz2spukd8h-jbrk7pf7uvw.s3.amazonaws.com/2024/05/FmVGqLSaHy3eiH20UXGTyphj9llvcLZjYi92qP9sVpc%3D.jpg</t>
  </si>
  <si>
    <t>32825762</t>
  </si>
  <si>
    <t>18 anos, 10 meses, 28 dias</t>
  </si>
  <si>
    <t>GENERO  TRANSMASCULINO (NICOLAS SANTOS GAIA), CURSANDO PSICOLOGIA</t>
  </si>
  <si>
    <t>NÃO É ASSUMIDO, NOME SOCIAL É NICOLAS SANTOS GAIA, TEM CIENCIA QUE VAI SER CHAMADO PELO NOME MORTO</t>
  </si>
  <si>
    <t>03805-000</t>
  </si>
  <si>
    <t>Rua Fábio José Bezerra</t>
  </si>
  <si>
    <t>54792055-6</t>
  </si>
  <si>
    <t>(11) 95064-6629</t>
  </si>
  <si>
    <t>NINICOLAS@GMAIL.COM</t>
  </si>
  <si>
    <t>https://www.instagram.com/caosinyu_?igsh=MTA0MWxuZmJhNG85aQ==</t>
  </si>
  <si>
    <t>Vim de um passado um pouco conturbado, porém sempre querendo realizar meus sonhos e tornando tudo o que eu queria em algo possível ( ou quase isso ). Desde criança sou alguém que se esforça e tenta dar o máximo em tudo, onde acabo me cobrando bastante para fazê-lo.   Quando eu era pequena, percebia as pessoas da minha família, pelo menos as pessoas com quem eu convivia, fazendo de tudo para ultrapassar as dificuldades, e fazendo com que aquilo não atrapalhasse, então eu peguei bastante disso para mim, e hoje isso me faz mais forte e mais realizada, ao pensar que tudo que é ruim, um dia passa, só não podemos nos entregar a essas crises.</t>
  </si>
  <si>
    <t>No momento, estou em busca de alcançar meus objetivos, como ter um emprego e fazer uma faculdade, são duas coisas que eu ando buscando seguidamente. Quero ter minha independência financeira, acho que toda pessoa de 18 anos pensa dessa forma, pelo menos eu penso. Então, posso dizer que estou em busca de novas oportunidades, novas chances e novos começos e recomeços. Quero explorar novos horizontes, novos caminhos e ter novas experiências, para que eu possa usufruir disso no futuro, já que no momento, estou tentando me encontrar e alcançar minhas metas, para então, poder criar outras. Em resumo, eu estou em um processo de me descobrir, viver e aprender.</t>
  </si>
  <si>
    <t>Eu pretendo estar com várias das minhas metas já realizadas, trabalhando em algo, estudando e estando bem e em paz comigo mesma. Quero estar mais livre, mais independente, isso já seria o bastante pra mim. Mas, se for pensar mais a fundo, quero realizar meus sonhos, como ter uma casa, viajar pra vários lugares e continuar adquirindo conhecimento e vivendo novas experiências. Sou uma pessoa que pensa muito no futuro, então sempre estou me esforçando para fazer dele o que eu tanto sonho. E algo em mim diz que sou capaz de fazer dar certo.</t>
  </si>
  <si>
    <t>373.879.128-07</t>
  </si>
  <si>
    <t>DAVID GOVE GOMES</t>
  </si>
  <si>
    <t>392.***.***-78</t>
  </si>
  <si>
    <t>dgove97@gmail.com</t>
  </si>
  <si>
    <t>https://yz2spukd8h-jbrk7pf7uvw.s3.amazonaws.com/2024/06/icp%2BWReZ0Sy6mdfVO3aHv%2BNPB9HZnMArNshIOLNGlz0%3D.jpeg</t>
  </si>
  <si>
    <t>32832559</t>
  </si>
  <si>
    <t>26 anos, 10 meses, 15 dias</t>
  </si>
  <si>
    <t>Lauzane Paulista</t>
  </si>
  <si>
    <t>02441-000</t>
  </si>
  <si>
    <t>apt 15</t>
  </si>
  <si>
    <t>Avenida Ultramarino</t>
  </si>
  <si>
    <t>370011016</t>
  </si>
  <si>
    <t>(11) 91323-4359</t>
  </si>
  <si>
    <t xml:space="preserve">tapeceiro </t>
  </si>
  <si>
    <t>https://drive.google.com/file/d/1rDkZzSBvHMmd_mYqNwpL1faeRqFWgehB/view?usp=drivesdk</t>
  </si>
  <si>
    <t>392.094.328-78</t>
  </si>
  <si>
    <t>DENER AUGUSTO DOS SANTOS</t>
  </si>
  <si>
    <t>Dener Augusto Dos Santos</t>
  </si>
  <si>
    <t>479.***.***-27</t>
  </si>
  <si>
    <t>denneraugustodossantos@gmail.com</t>
  </si>
  <si>
    <t>https://yz2spukd8h-jbrk7pf7uvw.s3.amazonaws.com/2024/04/kD/UjRzex%2BF4EZuNWqccoiMiUo46hGPj6HH5%2BJXhkuM%3D.png</t>
  </si>
  <si>
    <t>32638583</t>
  </si>
  <si>
    <t>25 anos, 0 meses, 0 dias</t>
  </si>
  <si>
    <t>Jardim Rio Douro</t>
  </si>
  <si>
    <t>04945-230</t>
  </si>
  <si>
    <t>Rua Forte de Santo Antônio</t>
  </si>
  <si>
    <t>506438648</t>
  </si>
  <si>
    <t>(11) 96204-6593</t>
  </si>
  <si>
    <t>denneraugustodossantoss@gmail.com</t>
  </si>
  <si>
    <t>Olá! Me chamo Dener Augusto dos Santos, sou um jovem procurando oportunidades no ramo cultural, pois sempre me interessei por assuntos relacionados ao mesmo. Sendo direto, sou de uma família simples e gostaria de uma oportunidade para poder crescer e me desenvolver pessoal, profissional e financeiramente, não somente por mim, mas também para ajudar minha família. Espero que possamos nos dar bem nesta jornada.</t>
  </si>
  <si>
    <t>Nestes dias, estou desempregado e procuro uma chance no mercado, apesar de eu já ter sido jovem aprendiz em empresas anteriores. Preciso de um suporte para poder pagar um curso técnico que estou visando há alguns tempos. Além do quê, fiquei muito tempo sem emprego e quero retornar com força neste momento, isso poderá me ajudar e também me ajudará a pagar despesas da família.</t>
  </si>
  <si>
    <t>Quero crescer nesta área pois sempre tive muita aptidão por assuntos envolvendo cultura e produções artísticas no geral. Como faço alguns freelances com produções deste nível para poder me manter, gostaria de poder encontrar algo mais sério e que me gere uma boa renda. Assim, estou concluindo esta carta. Obrigado e agradeço por este projeto existir.</t>
  </si>
  <si>
    <t>479.684.568-27</t>
  </si>
  <si>
    <t>BEATRIZ DE OLIVEIRA FREIRE</t>
  </si>
  <si>
    <t>Beatriz De Oliveira Freire</t>
  </si>
  <si>
    <t>483.***.***-96</t>
  </si>
  <si>
    <t>beatrizfreireds@gmail.com</t>
  </si>
  <si>
    <t>https://yz2spukd8h-jbrk7pf7uvw.s3.amazonaws.com/2024/04/Qrt31MwrtfOlbfrOcnq87KF3ss75mLjKIdHbEVwwNKU%3D.jpg</t>
  </si>
  <si>
    <t>32556811</t>
  </si>
  <si>
    <t>Parque Novo Grajaú</t>
  </si>
  <si>
    <t>04800-000</t>
  </si>
  <si>
    <t>Rua Paineira Reimberg</t>
  </si>
  <si>
    <t>54.565.4014</t>
  </si>
  <si>
    <t>(11) 94523-5674</t>
  </si>
  <si>
    <t>www.instagram.com/imposing.bee</t>
  </si>
  <si>
    <t>JORNALISMO</t>
  </si>
  <si>
    <t>Olá! Sou Beatriz de Oliveira Freire, nasci à 22 anos, em São Miguel Paulista, zona leste de São Paulo, Venho de uma família com muita influência artística, neta de um cantor independente periférico e filha de desenhista e dançarina. Desde muito pequena, busco conhecimento, crescimento e desenvolvimento através da arte e cultura das ruas da cidade de São Paulo.</t>
  </si>
  <si>
    <t>Atualmente resido no Grajaú, bairro do extremo Sul da cidade. Atuo como cantora e colecionadora de discos, especializada no movimento Sound System, levando a cultura e informação sobre a musica Reggae em São Paulo.    Não posso me esquecer de citar que também sou empreendedora, fundei uma loja especializada em peças personalizadas com influência na ilha jamaicana.</t>
  </si>
  <si>
    <t>Pretendo continuar aperfeiçoando meus conhecimentos, promovendo eventos nas periferias da cidade, mover projetos sociais com o intuito de levar informação, cultura, música e entretenimento à pessoas de todas as idades.    Além de tudo, gostaria de concluir o ensino superior, no curso de jornalismo, no qual possuo grande apreço e acredito que possa ajudar a me tornar uma grande pessoa.</t>
  </si>
  <si>
    <t>483.292.228-96</t>
  </si>
  <si>
    <t>PALOMA JANDIRA SANTOS DE CARVALHO</t>
  </si>
  <si>
    <t>Paloma Jandira Santos De Carvalho</t>
  </si>
  <si>
    <t>486.***.***-16</t>
  </si>
  <si>
    <t>patlomajandira@hotmail.com</t>
  </si>
  <si>
    <t>https://yz2spukd8h-jbrk7pf7uvw.s3.amazonaws.com/2024/05/VAT/iI9AJWpTNoBrllDbow2vo/P5J3pFR5h0dbTRgdM%3D.jpeg</t>
  </si>
  <si>
    <t>32742706</t>
  </si>
  <si>
    <t>22 anos, 1 meses, 30 dias</t>
  </si>
  <si>
    <t>08030-440</t>
  </si>
  <si>
    <t>Rua Luciano Guerra</t>
  </si>
  <si>
    <t>549120439</t>
  </si>
  <si>
    <t>(11) 95298-5486</t>
  </si>
  <si>
    <t>PALOMAJSCARVALHO@HOTMAIL.COM</t>
  </si>
  <si>
    <t>TECNICO ASSISTENTE ADMINISTRATIVO</t>
  </si>
  <si>
    <t>vim da zona leste de são Paulo, com uma família de classe media onde sempre buscou o melhor para a família, estudei em escola privada e sempre fui ensinada a crescer na vida, ter perspectiva para um futuro bom, construir família e ser feliz. Desde dos 14 trabalhei em buffet infantil e quando terminei a escola fui ser aprendiz em uma livraria no centro de SP e lá tive diversas experiências pessoal e profissional.</t>
  </si>
  <si>
    <t>Atualmente me encontro reformando uma casa para ter a minha liberdade de viver, trabalho no shopping aos finais de semana, é atendimento ao publico e eu amo o que eu faço. Por ser uma carga pequena e um salario pequeno, me candidato a vários tipos de serviços para poder conquistar a minha independência o mais rápido possível. atualmente trabalho em um shopping aos finais de semana, mas a carga horaria é pequena, além de tudo o salario também, com isso preciso sempre buscar novas experiências de trabalho para alcançar aqui que almejo</t>
  </si>
  <si>
    <t>quero ir a um lugar para chamar de meu, quero construir uma família para cuidar dela e ama-la sempre, quero trabalhar em algo que seja bom pra mim, quem sabe construir uma ong de animais. Quero viajar, ser feliz e estável financeiramente. quero ter meu espaço e daqui alguns anos lembrar de toda a minha adolescência com orgulho pois desde cedo fui em busca da minha liberdade.</t>
  </si>
  <si>
    <t>486.685.778-16</t>
  </si>
  <si>
    <t>KATHARINE GALINDO DA SILVA</t>
  </si>
  <si>
    <t>Katharine Galindo Da Silva</t>
  </si>
  <si>
    <t>543.***.***-80</t>
  </si>
  <si>
    <t>katharinegalindo2002@gmail.com</t>
  </si>
  <si>
    <t>https://yz2spukd8h-jbrk7pf7uvw.s3.amazonaws.com/2024/04/ui1UbCVj7gspgLFCERwd%2Bz6pTiNv82HPP1jfvHEDaJc%3D.jpg</t>
  </si>
  <si>
    <t>32624599</t>
  </si>
  <si>
    <t>19 anos, 2 meses, 13 dias</t>
  </si>
  <si>
    <t>CURSANDO GUIA DE TURISMO INTERNACIONAL</t>
  </si>
  <si>
    <t>03583-130</t>
  </si>
  <si>
    <t>Rua Tachizeiro</t>
  </si>
  <si>
    <t>62.197.816-4</t>
  </si>
  <si>
    <t>(11) 94328-5134</t>
  </si>
  <si>
    <t>KATHARINEGALINDO2002@GMAIL.COM</t>
  </si>
  <si>
    <t>TECNICO EM GUIA DE TURISMO</t>
  </si>
  <si>
    <t>Eu venho de escola pública: Duas EMEF's, onde tive o Ensino Fundamental; E a Etec, onde cursei o Ensino Médio Integrado ao Técnico em Guia de Turismo. Durante o curso de Guia eu tive algumas experiências em locais históricos e culturais, como o bairro Liberdade e as cidades Paranapiacaba e Santos. Também estudei em uma ONG chamada Centro para Juventude (CJ) Juntos IV onde tive aulas de socioeducativo, Windows 10 e Pacote Office que me levara a fazer alguns cursos na Fundação Bradesco como Postura e Imagem Profissional e Pacote Office 2016. Em 2022 me juntei ao movimento escoteiro e, no passado, realizei a prova do ENEM para o curso de Ciências Biológicas na USP, mas infelizmente, não passei.</t>
  </si>
  <si>
    <t>Ainda estou no movimento escoteiro, porém agora, no ramo Pioneiro.  Atualmente estou em busca do primeiro emprego para que possa adquirir experiência e conquistar meus sonhos futuramente. Já sou formada técnica em Guia de Turismo e estou estudando por conta para passar novamente no Vestibulinho da Etec e cursar a especialização "Guia de Turismo Internacional". Dura somente seis meses e eu não terei que adiar a faculdade, então planejo fazer novamente o Enem e a FUVEST para alcançar o que almejo. A minha busca pelo emprego também se dá para que eu possa realizar o curso de comissária de bordo e, talvez, trabalhar com isso em um futuro.</t>
  </si>
  <si>
    <t>Para um futuro próximo, desejo participar de um evento Pioneiro que ocorrerá em Portugal no ano que vem, o MOOT, onde poderei conhecer uma cultura diferente e adquirir mais experiências em de diversos tipos. Sou apaixonada por música, adoro cantar, busco também história e conhecimento sobre a vida e o mundo, portanto, mesmo que tenha uma leve mudança no futuro, sempre seguirei um desses caminhos. Atualmente, quero ser comissária de bordo, mas estou aberta para experimentar outras coisas também.</t>
  </si>
  <si>
    <t>543.176.118-80</t>
  </si>
  <si>
    <t>OTAVIO AUGUSTO MORAES BARDELI</t>
  </si>
  <si>
    <t>Otavio Augusto Moraes Bardeli</t>
  </si>
  <si>
    <t>OTAVIO AUGUSTO</t>
  </si>
  <si>
    <t>Otavio Augusto</t>
  </si>
  <si>
    <t>499.***.***-29</t>
  </si>
  <si>
    <t>ioaugusto4698@gmail.com</t>
  </si>
  <si>
    <t>https://yz2spukd8h-jbrk7pf7uvw.s3.amazonaws.com/2024/06/UQ1u9CIOLnyCSwffO1HJWdDRHRGlr0nYqYqOillIC6M%3D.jpeg</t>
  </si>
  <si>
    <t>32856477</t>
  </si>
  <si>
    <t>26 anos, 0 meses, 14 dias</t>
  </si>
  <si>
    <t>521568018</t>
  </si>
  <si>
    <t>(11) 98461-0278</t>
  </si>
  <si>
    <t>Sou uma pessoa periférica preta, trabalho com cultura desde de 2016 no meio musical e como artista visual. Autonomia foi minha grande aliada nas ruas da favela Vila São José, auto de data desde o início, buscando inspirações como "Niggaz" com o Graffiti - Bombing, ou na Música, com amigos de infância que trabalham com Hip Hop, tendo em vista viver de arte futuramente.</t>
  </si>
  <si>
    <t>A minha maior forma de comunicação é com desenho, mais especificamente o Graffiti. Nas ruas da favela procuro divulgar e produzir eventos, por exemplo: Shows em casas de cultura, eventos de Graffiti em Escolas, Oficinas, Cursos profissionalizantes, cursos grátis, etc... Uso como forma de divulgação os meios de comunicação web, Flyers, Zines, Graffiti como aquele famoso de porta em porta. Para pessoas carentes de cultura o saber é um ato de resistência, saber onde encontrar a cultura e ter pessoas pra expandir essa grade de conhecimento, esse é o motivo principal do meu trabalho.</t>
  </si>
  <si>
    <t>Escolhi o Programa Jovem Munitor Cultural para estar mais próximo das minhas raízes e criações, desenvolver minhas habilidades de ensino e coesão com o Público Alvo, auxiliar na produção de eventos do começo ao fim, obter informações sobre a cena cultural de São Paulo, saber e trabalhar com cultura periférica principalmente em áreas carentes, como projetos social e como forma de empreendimento.</t>
  </si>
  <si>
    <t>499.129.588-29</t>
  </si>
  <si>
    <t>ARIADNE ALFARO RIO</t>
  </si>
  <si>
    <t>Ariadne Alfaro Rio</t>
  </si>
  <si>
    <t>ARI</t>
  </si>
  <si>
    <t>Ari</t>
  </si>
  <si>
    <t>480.***.***-03</t>
  </si>
  <si>
    <t>ariadnerio@hotmail.com</t>
  </si>
  <si>
    <t>https://yz2spukd8h-jbrk7pf7uvw.s3.amazonaws.com/2024/04//Becww%2BuEojzF/DCfjuAecvJEmyoOsvhpWHG4qfEK5g%3D.jpeg</t>
  </si>
  <si>
    <t>32554778</t>
  </si>
  <si>
    <t>24 anos, 4 meses, 10 dias</t>
  </si>
  <si>
    <t>Vila Marieta</t>
  </si>
  <si>
    <t>03617-000</t>
  </si>
  <si>
    <t>Rua Cláudia</t>
  </si>
  <si>
    <t>722</t>
  </si>
  <si>
    <t>577646461</t>
  </si>
  <si>
    <t>(11) 94939-9582</t>
  </si>
  <si>
    <t>https://www.linkedin.com/in/ariadne-alfaro-rio-066940180?utm_source=share&amp;utm_campaign=share_via&amp;utm_content=profile&amp;utm_medium=android_app</t>
  </si>
  <si>
    <t>Sou Ari, vim do bairro da Penha, Zona Leste de São Paulo. Sempre fui muito envolvide com arte, cultura, esportes, e sempre foi uma meta estar inseride no ramo da cultura. Já trabalhei em eventos de vários tipos, o trabalho mais recente artístico foi com Auxiliar de Operações Sonoras com a empresa Carreira Produções Artísticas em peças de teatro na Fábrica de Cultura do Belenzinho.</t>
  </si>
  <si>
    <t>No momento estou desempregade, mas minha última experiência empregada foi como assistente administrativo na sede do Grupo Pão de Açúcar, trabalhei lá por mais de 1 ano, mas sempre me identifiquei com a área cultural. Com a experiência em eventos como Monitore Infantil, aprendi a ter uma boa interação com o público, depois fui para  cargo de Operação de Som e Iluminação na mesma empresa, o que me ajudou muito a entender a importância do entretenimento e desenvolvimento de uma boa comunicação. Sempre gostei de fotografia e com isso, fiz um curso de fundamentos e técnicas básicas em fotografia, fiz trabalhos em eventos festivos, fui voluntárie em uma escola estadual fotografando eventos.</t>
  </si>
  <si>
    <t>Minha meta é estudar Museologia para que eu possa me introduzir as áreas da cultura e arte, sempre foi uma vontade estar dentro desta vivência. Também pretendo estudar educação física para me especializar em esportes, sou atleta de Judô a mais de 10 anos, com os fundamentos do Judô nesta trajetória aprendi muito sobre disciplina, respeito, autocontrole, confiança, sempre ensinar e apoiar quem chega.</t>
  </si>
  <si>
    <t>480.017.578-03</t>
  </si>
  <si>
    <t>GRAZIELLY RIBEIRO DA SILVA</t>
  </si>
  <si>
    <t>Grazielly Ribeiro Da Silva</t>
  </si>
  <si>
    <t>494.***.***-75</t>
  </si>
  <si>
    <t>graziellyribeirodasilva879@gmail.com</t>
  </si>
  <si>
    <t>https://yz2spukd8h-jbrk7pf7uvw.s3.amazonaws.com/2024/04//ytylCHGg2sBSiOjt9XBOv%2BiHOXiEvblyJLYtGwEAXA%3D.jpg</t>
  </si>
  <si>
    <t>32556853</t>
  </si>
  <si>
    <t>04410-005</t>
  </si>
  <si>
    <t>Travessa Cacau Azul</t>
  </si>
  <si>
    <t>608218340</t>
  </si>
  <si>
    <t>(11) 96240-3159</t>
  </si>
  <si>
    <t>https://www.instagram.com/grazyysilvaa?igsh=MWJiNHFjenRuZXE2aA==</t>
  </si>
  <si>
    <t>Meu nome é Grazielly Ribeiro da Silva, e tenho o prazer de me apresentar como uma nativa de São Paulo, capital, originária do vibrante bairro Cidade Ademar. Cresci em um ambiente familiar marcado pela união, respeito e apoio mútuo. Meus pais são a essência desse lar: minha mãe, dedicada dona de casa que nem sempre irradiou amor e cuidado, mesmo sabendo que ela sente nunca foi muito de se expressar, e meu pai, um padeiro trabalhador, cujo esforço diário moldou meu entendimento sobre perseverança e comprometimento. Além disso, compartilhei minha infância e adolescência com dois irmãos, que, com o companheirismo, contribuíram para minha formação e crescimento pessoal.</t>
  </si>
  <si>
    <t>Atualmente, aos 18 anos, após concluir o ensino médio, estou em busca de uma oportunidade de emprego que não apenas me permita contribuir para o meu sustento, mas também financiar meus estudos universitários em Direito. Minha dedicação incansável ao preparo para o Enem reflete meu comprometimento inabalável em alcançar meus objetivos educacionais. Estou determinada a encontrar uma posição que não apenas contribua para uma equipe, mas também me ajude a estruturar minha jornada acadêmica de forma sólida e consistente. Cada desafio enfrentado, cada obstáculo superado, tem fortalecido minha resiliência, minha determinação e minha sede insaciável por conhecimento.</t>
  </si>
  <si>
    <t>Estou ansiosa para aproveitar esta oportunidade para crescer profissionalmente e, ao mesmo tempo, continuar minha jornada educacional em Direito. Tenho plena confiança em minha capacidade de adaptabilidade e aprendizado contínuo, e estou comprometida em trazer meu melhor para qualquer desafio que surgir. Meu objetivo é não apenas contribuir de forma significativa para a equipe, mas também adquirir experiência prática que complemente minha formação acadêmica e me prepare para uma carreira bem-sucedida como advogada. Estou determinada a transformar meus objetivos em realidade e estou entusiasmada com a possibilidade de fazer parte do sucesso desta empresa.</t>
  </si>
  <si>
    <t>494.818.578-75</t>
  </si>
  <si>
    <t>Gabriela Canuto Silva</t>
  </si>
  <si>
    <t>GABRIELA CANUTO SILVA</t>
  </si>
  <si>
    <t>423.***.***-22</t>
  </si>
  <si>
    <t>g.canuto2002@gmail.com</t>
  </si>
  <si>
    <t>https://yz2spukd8h-jbrk7pf7uvw.s3.amazonaws.com/2024/06/njU0RI6EPcYvWhkex4yxstawy6vWma5qCdFrrwlr84g%3D.jpg</t>
  </si>
  <si>
    <t>32833433</t>
  </si>
  <si>
    <t>22 anos, 0 meses, 15 dias</t>
  </si>
  <si>
    <t>Bloco 8 Apto 51</t>
  </si>
  <si>
    <t>685</t>
  </si>
  <si>
    <t>397902153</t>
  </si>
  <si>
    <t>(11) 91135-3885</t>
  </si>
  <si>
    <t>https://www.instagram.com/gabicanutoo?igsh=MWk0dTBiYTI3MG03MQ==</t>
  </si>
  <si>
    <t>Sou nascida e criada na Zona Leste de São Paulo. Quando mais nova, morava em um bairro chamado Vila Curuçá e com 7 anos me mudei para a região que moro agora, Artur Alvim. Moro aqui fazem 15 anos e tive uma infância muito marcante nessa região. Sou apaixonada pelo meu bairro e tenho muitas ideias para projetos culturais nesse lugar, só me falta a formação necessária para por as ideias em prática.   Me encontro na arte desde 2017, comecei tendo aulas de Dança Contemporânea na Fábrica de Cultura Belém. Sempre fui apaixonada pela dança, mas foi quando comecei as aulas de Street Dance que eu realmente achei meu lugar na cultura Hip Hop.</t>
  </si>
  <si>
    <t>Atualmente me encontro desempregada, em busca de trabalhos na área de produção Audiovisual, o curso ao qual sou formada. Porém, faço parte de um coletivo da Zona Leste chamado Passos Periféricos, onde faço a maior parte dos meus trabalhos como artista (dançarina e MC).   Sou multi artista e tenho como foco principal da minha arte a cultura Hip Hop. Nela atuo como grafiteira, dançarina e Mestre de Cerimônia (MC), mas também faço trabalhos como poeta, cantora e compositora.  Dentro do coletivo, temos o ideal de levar nossa arte para as mais diversas periferias de São Paulo, com o intuito de diseminar a cultura Hip Hop e expandir os horizontes.</t>
  </si>
  <si>
    <t>Meu maior sonho é me tornar uma grande produtora cultural, com a casa de cultura do nosso coletivo. Estou em busca desse sonho fazendo conexões, estudando mais sobre minhas artes e buscando espaços que me ofereçam experiências na área. O maior objetivo desse sonho é alcançar pessoas que, em sua maioria, não possuem acesso a lazer, educação, cultura e entretenimento na região em que vive, principalmente crianças e adolescentes que muitas vezes vivem nas ruas, tendo acesso ao crime e as drogas. Buscamos oferecer isso através da arte e cultura Hip Hop, com oficinas e eventos.</t>
  </si>
  <si>
    <t>423.709.528-22</t>
  </si>
  <si>
    <t>VITORIA NASCIMENTO LOPES SILVA</t>
  </si>
  <si>
    <t>Vitoria Nascimento Lopes Silva</t>
  </si>
  <si>
    <t>SILVANA APARECIDA DO NASCIMENTO</t>
  </si>
  <si>
    <t>Silvana Aparecida Do Nascimento</t>
  </si>
  <si>
    <t>VITÓRIA NASCIMENTO LOPES SILVA</t>
  </si>
  <si>
    <t>538.***.***-16</t>
  </si>
  <si>
    <t>vitoriaborn17@gamil.com</t>
  </si>
  <si>
    <t>https://yz2spukd8h-jbrk7pf7uvw.s3.amazonaws.com/2024/05/xpZHGQAKISNGbx6Y%2BMKAdiTpuwBE5BXfNkMEhhDu65M%3D.jpg</t>
  </si>
  <si>
    <t>32722819</t>
  </si>
  <si>
    <t>Jardim Gonzaga</t>
  </si>
  <si>
    <t>03756-020</t>
  </si>
  <si>
    <t>Rua Planalto de Araxá</t>
  </si>
  <si>
    <t>636003851</t>
  </si>
  <si>
    <t>(11) 93260-5680</t>
  </si>
  <si>
    <t>VITORIABORNE@GMAIL.COM</t>
  </si>
  <si>
    <t>https://www.linkedin.com/in/vitoria-nascimento-lopes-216282264?utm_source=share&amp;utm_campaign=share_via&amp;utm_content=profile&amp;utm_medium=android_app</t>
  </si>
  <si>
    <t>JOGOS DIGITAIS</t>
  </si>
  <si>
    <t>Nasci e cresci na zona leste de São Paulo, uma cidade onde a cultura e a valorização do conhecimento sempre foram pilares fundamentais. Sempre estudei em escolas públicas, não tinha muito dinheiro para poder comprar livros, mas perto da minha casa havia uma biblioteca pública, então com a oportunidade ler e sem gastar dinheiro me deixou muito feliz, fui envolvida pela atmosfera acolhedora das bibliotecas locais, onde descobri o poder transformador dos livros.   Essas experiências moldaram minha paixão pela literatura e pelo aprendizado, e eventualmente me levaram a buscar uma carreira em um campo que unisse minha afinidade por livros com minha fascinação pelo mundo da tecnologia.</t>
  </si>
  <si>
    <t>Atualmente, estou cursando Programação de Jogos Digitais, com planos de ingressar no curso de Análise de Desenvolvimento de Software no próximo ano. Eu gostaria de trabalhar na biblioteca pela oportunidade cultural e a possiblidade aprender novas coisa. No entanto, meu amor pela literatura nunca diminuiu; ao contrário, ele cresceu e se transformou em um desejo de compartilhar essa paixão com outros.  Além disso, estou entusiasmada com a perspectiva de contribuir para a missão da Biblioteca de fornecer acesso aberto e recursos de qualidade à comunidade local.</t>
  </si>
  <si>
    <t>Como uma estudante dedicada do curso de Programação de Jogos Digitais, com planos de iniciar o curso de Análise de Desenvolvimento de Software no próximo ano, estou buscando uma oportunidade que me permita combinar meus estudos com experiência prática em um ambiente que valoriza o conhecimento e o aprendizado contínuo.  Pretendo no futuro dá aulas de inglês como trabalho voluntário para crianças. Trabalhar em uma biblioteca seria um experiencia muito gratificante, e decidir me inscrever graças a uma bibliotecária muito gentil que falou que combinaria com o trabalho. Além de me proporcionar uma renda estável enquanto estudo, acredito que essa posição me permitirá desenvolver habilidades.</t>
  </si>
  <si>
    <t>538.782.078-16</t>
  </si>
  <si>
    <t>GABRIEL SILVA LIMA ARAUJO</t>
  </si>
  <si>
    <t>Gabriel Silva Lima Araújo</t>
  </si>
  <si>
    <t>494.***.***-70</t>
  </si>
  <si>
    <t>pluviadzart@gmail.com</t>
  </si>
  <si>
    <t>https://yz2spukd8h-jbrk7pf7uvw.s3.amazonaws.com/2024/05/fhupVR%2Bb7CcC%2Bzoz3%2BorVJu96rq5KJokN1grSRT5EyU%3D.jpg</t>
  </si>
  <si>
    <t>32751812</t>
  </si>
  <si>
    <t>24 anos, 2 meses, 13 dias</t>
  </si>
  <si>
    <t>05798-290</t>
  </si>
  <si>
    <t>Rua Pedro Faber</t>
  </si>
  <si>
    <t>509202123</t>
  </si>
  <si>
    <t>(11) 94893-5180</t>
  </si>
  <si>
    <t>gabriel_a100@yahoo.com</t>
  </si>
  <si>
    <t>https://www.instagram.com/pluvia_dz/</t>
  </si>
  <si>
    <t>Eu nasci e cresci em São Paulo, essa selva de pedra lotada de pessoas com cara fechada, cabeça dura e coração mole.  Moro com minha mãe e irmã mais nova em uma pequena comunidade carinhosamente apelidada de "Fogarel" (o motivo do porquê esse nome é segredo, mas talvez você consiga imaginar), que fica próximo da estação de metrô Capão Redondo. Estive aqui desde sempre.</t>
  </si>
  <si>
    <t>"Onde estou?"... Se essa for uma pergunta mais literal então a resposta é que estou aqui, com minha mãe e irmã, na nossa casa de pedra que outrora fora um barraco de madeira velha, mas descobrimos da pior forma que madeira velha queima bastante. No entanto, como todo bom Silva que não tem nada além do presente fatigante e um futuro incerto, conseguimos nos reerguer.    Mas se for uma pergunta mais filosófica então a resposta é que estou aqui buscando por oportunidades para fazer, ajudar a fazer e consumir arte. Estou aqui escrevendo, desenhando e ao mesmo tempo procurando por formas alternativas de expressar o que sinto em relação a tudo o que vejo.</t>
  </si>
  <si>
    <t>Eu vou para onde estão as pessoas que se parecem com quem eu quero me tornar. E normalmente essas pessoas estão em espaços culturais desenhando, dançando, atuando, pintando, cantando, escrevendo, tocando e inventando modas. É o único destino pra alguém esquisito como eu. É o meu único plano! Então acho que posso resumir isso dizendo que vou estar fazendo arte e contribuindo para a cultura. :)</t>
  </si>
  <si>
    <t>494.747.608-70</t>
  </si>
  <si>
    <t>MATHEUS SILVA DOS SANTOS</t>
  </si>
  <si>
    <t>Matheus Silva Dos Santos</t>
  </si>
  <si>
    <t>matheussilvdossant@gmail.com</t>
  </si>
  <si>
    <t>https://yz2spukd8h-jbrk7pf7uvw.s3.amazonaws.com/2024/04/prtNuHSZYfwEEi0Ek10vnEd0P92pRVCiblsdYJbYplk%3D.jpg</t>
  </si>
  <si>
    <t>32592317</t>
  </si>
  <si>
    <t>22 anos, 4 meses, 28 dias</t>
  </si>
  <si>
    <t>Jardim Célia</t>
  </si>
  <si>
    <t>08191-330</t>
  </si>
  <si>
    <t>AP</t>
  </si>
  <si>
    <t>Rua Capachós</t>
  </si>
  <si>
    <t>280</t>
  </si>
  <si>
    <t>39723294-9</t>
  </si>
  <si>
    <t>(11) 97822-2025</t>
  </si>
  <si>
    <t>MATHEUSSILVADOSSANT@GMAIL.COM</t>
  </si>
  <si>
    <t>https://www.linkedin.com/in/matheus-s-9212a9219?utm_source=share&amp;utm_campaign=share_via&amp;utm_content=profile&amp;utm_medium=android_app</t>
  </si>
  <si>
    <t>Extremo leste de São Paulo, cursei 3, anos em uma ONG chamada Lê Comigo, onde palestravamos sobre a   importância do livros e autonomia.  Fizemos parcerias com órgãos públicos como exemplo   CPTM do estado de São Paulo</t>
  </si>
  <si>
    <t>Cursei e me especializando em segurança   Montando projetos sobre um Studio cultura e poesia   Me encontrando na pedagogia.</t>
  </si>
  <si>
    <t>Aprofundar sobre o protagonismo e entusiasmo de ser um artista   Dedicado e apaixonado pela poesia e a cultura brasileira.  Recriando Studio de Arte e vestuário   Moldando o grafite a sociedade.</t>
  </si>
  <si>
    <t>526.705.228-07</t>
  </si>
  <si>
    <t>GUSTAVO COELHO ROCHA</t>
  </si>
  <si>
    <t>484.***.***-30</t>
  </si>
  <si>
    <t>coelhogustav@gmail.com</t>
  </si>
  <si>
    <t>https://yz2spukd8h-jbrk7pf7uvw.s3.amazonaws.com/2024/06/TkZIb412IHiFUizMCVXyaeq/hi4xeVbkcgquGFia62g%3D.JPG</t>
  </si>
  <si>
    <t>32915945</t>
  </si>
  <si>
    <t>Jardim Vila Carrão</t>
  </si>
  <si>
    <t>08340-480</t>
  </si>
  <si>
    <t>Rua Duarte Correia</t>
  </si>
  <si>
    <t>393233492</t>
  </si>
  <si>
    <t>(11) 99179-5781</t>
  </si>
  <si>
    <t>https://www.instagram.com/coelhogustav/</t>
  </si>
  <si>
    <t>tecnico em teatro</t>
  </si>
  <si>
    <t>Venho da periferia de São Mateus, zona leste de São Paulo, no bairro do Jardim Vila Carrão.  Cresci vendo a comunidade se juntando para trazer melhorias para a qualidade de vida e politicas públicas para a comunidade, por meio de petições e pressões para com a prefeitura e subprefeitura; e crescendo nessa realidade vi os frutos de tantos esforços para a melhoria da comunidade para a educação e cultura, como por exemplo o CEU São Rafael.</t>
  </si>
  <si>
    <t>Me encontro a onde eu vim, na periferia de São Mateus, no bairro do Jardim Vila Carrão. Entretanto com um olhar de mudança, não somente de mudança perante a minha vida pessoal, mas perante também a mudança pela minha comunidade de São Mateus e o da zona leste de São Paulo. Do querer ser a diferença e procurando meios, dispositivos e oportunidades para essa mudança.</t>
  </si>
  <si>
    <t>Quero estar nos espaços de cultura e arte, pois acretido que são nesses espaços que podemos revolucionar de algum modo um sistema que é racista e que está contra nós, pessoas pretas/pardas, pobres, periféricas e LGBTQIAPN+. Revolucionar com a nossa arte e educação, de pegarmos nossas revoltas e de toda comunidade e transformá-las em arte e pela educação transformar as nossas dores em melhorias de póliticas públicas e de melhoria na qualidade de vida. Se nos unirmos, e fazermos com os nossos para os nossos, consiguiremos transformar pelo menos um pouco dessa nossa realidade que já é dão dura conosco desde o berço.</t>
  </si>
  <si>
    <t>484.290.428-30</t>
  </si>
  <si>
    <t>RONALDO DOS SANTOS JUNIOR</t>
  </si>
  <si>
    <t>Ronaldo Dos Santos Junior</t>
  </si>
  <si>
    <t>RONALDO  DOS  SANTOS  JUNIOR</t>
  </si>
  <si>
    <t>440.***.***-98</t>
  </si>
  <si>
    <t>rsantosxd@gmail.com</t>
  </si>
  <si>
    <t>https://yz2spukd8h-jbrk7pf7uvw.s3.amazonaws.com/2024/05/N2ZBpSg518Wr5vqR3hWBVuWlv1Ox%2BKetIf5fmEnS5BA%3D.jpeg</t>
  </si>
  <si>
    <t>32688650</t>
  </si>
  <si>
    <t>28 anos, 10 meses, 1 dias</t>
  </si>
  <si>
    <t>SUPERIOR  DESIGNER  NÃO  C ONCLUIDO</t>
  </si>
  <si>
    <t>ap 44b</t>
  </si>
  <si>
    <t>488800055</t>
  </si>
  <si>
    <t>(11) 94816-6410</t>
  </si>
  <si>
    <t>RSANTOSXD@GMAIL.COM</t>
  </si>
  <si>
    <t>COMUNICAÇÃO VISUAL</t>
  </si>
  <si>
    <t>https://www.youtube.com/watch?v=pYbp3d2oQhc</t>
  </si>
  <si>
    <t>440.595.778-98</t>
  </si>
  <si>
    <t>RAPHAEL FONSECA DA SILVA</t>
  </si>
  <si>
    <t>Raphael Fonseca Da Silva</t>
  </si>
  <si>
    <t>RAPHAEL  FONSECA DA  SILVA</t>
  </si>
  <si>
    <t>414.***.***-40</t>
  </si>
  <si>
    <t>raphafds3@gmail.com</t>
  </si>
  <si>
    <t>https://yz2spukd8h-jbrk7pf7uvw.s3.amazonaws.com/2024/05/jg3YA6Kk3XxC/cspXNhqUKvsGnz1tnjYmURoN6qnYH8%3D.jpg</t>
  </si>
  <si>
    <t>32747828</t>
  </si>
  <si>
    <t>25 anos, 4 meses, 21 dias</t>
  </si>
  <si>
    <t>Vila Santa Clara</t>
  </si>
  <si>
    <t>03282-015</t>
  </si>
  <si>
    <t>Rua Nupeba</t>
  </si>
  <si>
    <t>379820985</t>
  </si>
  <si>
    <t>(11) 98812-3912</t>
  </si>
  <si>
    <t>RAPHAFDS3@GMAIL.COM</t>
  </si>
  <si>
    <t>https://www.instagram.com/fonsec_/</t>
  </si>
  <si>
    <t>https://youtu.be/XgR8LLpqmmU</t>
  </si>
  <si>
    <t>414.198.328-40</t>
  </si>
  <si>
    <t>CINTHIA PIZOLETTO NUNES</t>
  </si>
  <si>
    <t>Cinthia Pizoletto Nunes</t>
  </si>
  <si>
    <t>439.***.***-98</t>
  </si>
  <si>
    <t>cinthiapizoletto@gmail.com</t>
  </si>
  <si>
    <t>https://yz2spukd8h-jbrk7pf7uvw.s3.amazonaws.com/2024/06/E2XDhM%2B8VGPC/O1LjwK6fMHyM%2B66kn00gVOIIwpMCpM%3D.jpg</t>
  </si>
  <si>
    <t>32851139</t>
  </si>
  <si>
    <t>21 anos, 0 meses, 21 dias</t>
  </si>
  <si>
    <t>01319-010</t>
  </si>
  <si>
    <t>Rua Abolição</t>
  </si>
  <si>
    <t>343</t>
  </si>
  <si>
    <t>57019758-2</t>
  </si>
  <si>
    <t>(11) 98236-4405</t>
  </si>
  <si>
    <t>Conheci o teatro ainda quando criança, por volta dos nove anos de idade através da Casa da Solidariedade do Estado de São Paulo. Foi também onde tive meu primeiro contato com outras linguagens artísticas como circo e dança.   Tempos depois conheci a Fábrica de Cultura Parque Belém e ingressei no curso livre de teatro com intuito de continuar os estudos na área. Nesse mesmo período conciliava o trabalho da época e os estudos, e pouco tempo depois ingressei na Etec de Artes de São Paulo.  No momento meu interesse é trabalhar em espaços culturais e conciliar meus estudos e pesquisas artísticas com um emprego que me conecte com a arte e cultura.</t>
  </si>
  <si>
    <t>Atualmente estou em processo de montagem de uma peça que é também o meu TCC do curso técnico em teatro.   Foi a partir da Etec de Artes que conheci espaços culturais localizados próximo a mim e passei a frequenta-los, hoje os tenho em meu repertório com oficinas de dança no centro cultural Oswald Andrade e com meu primeiro contato com a iluminação cênica no Alfredo Volpi. No ano passado estive também no Centro Cultural da Diversidade e na Biblioteca de São Paulo.  Me relaciono com a arte e a cultura dentro do território onde vivo em processos artísticos e momentos de lazer. Também me desloco para outras regiões a fim de ampliar meu conhecimento e descobrir novos territórios.</t>
  </si>
  <si>
    <t>O Programa Jovem Monitor Cultural me aproxima do meu objetivo, tornando possível estudar, pesquisar e me desenvolver enquanto tenho minha primeira experiência trabalhando na cultura.   Por meio do teatro descobri interesse no campo de gestão e produção cultural e planejo trabalhar na área e ser também arte-educadora, ocupando espaços e escolas públicas, com a mesma proposta e semelhante a dos que me descobri artista.</t>
  </si>
  <si>
    <t>439.701.608-98</t>
  </si>
  <si>
    <t>EMERSON MENDES DE FREITAS</t>
  </si>
  <si>
    <t>Emerson Mendes De Freitas</t>
  </si>
  <si>
    <t>491.***.***-08</t>
  </si>
  <si>
    <t>njalves17@gmail.com</t>
  </si>
  <si>
    <t>https://yz2spukd8h-jbrk7pf7uvw.s3.amazonaws.com/2024/04/J60lUKLjL%2BMdMJD5CbZXlnRDtugT97vcIYAdGd20jwU%3D.jpg</t>
  </si>
  <si>
    <t>32552277</t>
  </si>
  <si>
    <t>24 anos, 8 meses, 22 dias</t>
  </si>
  <si>
    <t>sem formacao</t>
  </si>
  <si>
    <t>08032-564</t>
  </si>
  <si>
    <t>Travessa José Pedroso</t>
  </si>
  <si>
    <t>386573517</t>
  </si>
  <si>
    <t>(11) 96357-1737</t>
  </si>
  <si>
    <t>Me chamo Emerson, tenho 24 anos, moro na zona leste de São Paulo com meus pais e meu irmão mais novo. Sempre me interessei pela arte e cultura desde pequeno, quando conheci a cultura hip hop foi quando minha vida mudou, fiquei fascinado pela musica e estilo e com 12 anos escrevi minha primeira letra autoral, daí pra frente continuei fazendo e me aprofundando mais na musica e na cultura.</t>
  </si>
  <si>
    <t>No momento sigo fazendo minhas musicas e tentando mudar minha vida e da minha família através da arte, continuo fazendo rap, escrevendo, gravando e expondo minha arte para as pessoas que se identificam com essa musica periférica na qual mudou minha vida, esse ano ja lancei duas musicas, estão disponíveis em todas as plataformas digitais. Sigo no corre independente.</t>
  </si>
  <si>
    <t>Pretendo lançar um EP com 7 faixas no final desse ano, soltar pelo menos mais 4 musicas antes do projeto, com participações e colaborações, fazer shows, apresentações quero continuar contribuindo para a cultura, mudar a vida das pessoas através da musica, da cultura hip hop, e vejo que é apenas questão de tempo para as coisas virarem, tudo tem seu tempo.</t>
  </si>
  <si>
    <t>491.151.518-08</t>
  </si>
  <si>
    <t>MARIA EDUARDA CORTEZE DE SOUZA PEREIRA</t>
  </si>
  <si>
    <t>Maria Eduarda Corteze De Souza Pereira</t>
  </si>
  <si>
    <t>MADU CORTEZE</t>
  </si>
  <si>
    <t>Madu Corteze</t>
  </si>
  <si>
    <t>159.***.***-56</t>
  </si>
  <si>
    <t>madu.corteze@gmail.com</t>
  </si>
  <si>
    <t>https://yz2spukd8h-jbrk7pf7uvw.s3.amazonaws.com/2024/05/Lw34ImE1lrnecxw1su0vuqVDzyY3NQCDVN78Dyi/xBk%3D.jpg</t>
  </si>
  <si>
    <t>32821950</t>
  </si>
  <si>
    <t>Limão</t>
  </si>
  <si>
    <t>02721-200</t>
  </si>
  <si>
    <t>apto 4</t>
  </si>
  <si>
    <t>Avenida Deputado Emílio Carlos</t>
  </si>
  <si>
    <t>2815</t>
  </si>
  <si>
    <t>597623417</t>
  </si>
  <si>
    <t>(11) 97557-7178</t>
  </si>
  <si>
    <t>MADU.CORTEZE@GMAIL.COM</t>
  </si>
  <si>
    <t>https://www.instagram.com/madu.corteze?igsh=MTgwMHp0dzYxNXFvNA%3D%3D&amp;utm_source=qr</t>
  </si>
  <si>
    <t>COMPLETYO - TURISMO, EVENTO E MARKETING</t>
  </si>
  <si>
    <t>Nascida no rio de janeiro, criada em são gonçalo, vim para são paulo na adolescencia, atualmente moro sozinha em sp, trabalho de forma freelancer como tudo que sei e aprendi: atendimento, garçonete, caixa, bartender, e também com minha arte: tatuagem, pintura, ilustração, filme making, maquiagem, audiovisual e tento criar conteúdo. Eu gosto mesmo de arte, mas atualmente estou trabalhando com oq me de dinheiro pois morar sozinha é muito caro mas algo que se tornou necessário para minha saúde mental.</t>
  </si>
  <si>
    <t>Atualmente eu estou estudando no ccj desenho/roteiro, e audiovisual nas oficinas gratuitas, infelizmente não tenho condições financeiras de para fazer uma faculdade ainda mas estudo de forma autônoma desde sempre, e estou conseguindo alguns trabalhos com assistente de produção, assistente de arte, montagem de equipamentos, tudo isso dentro do meio audiovisual, e estou estudando animação por um curso gratuito da aqua studio, esses são meus meios de enriquecer meu conhecimento além do youtube, documentários, e livros.</t>
  </si>
  <si>
    <t>Eu amo a cultura do meu país e queria retratar isso em meus trabalhos audiovisuais, o Brasil tem um potencial gigante e muitas vezes não é tão explorado ou não tem a visibilidade que merece, eu quero ser uma cineasta e animadora e em meus trabalhos futuros quero levar a cultura do meu país para dentro dessas produções, a realidade daqui, fazer as pessoas enxergarem a beleza que eu vejo através da minha direção e fotografia. Através da minha arte, quero um dia viver do que eu gosto de fazer, e do que eu faço de melhor, arte.</t>
  </si>
  <si>
    <t>159.227.297-56</t>
  </si>
  <si>
    <t>JORGE LUIZ DOS SANTOS VICENTE</t>
  </si>
  <si>
    <t>Jorge Luiz Dos Santos Vicente</t>
  </si>
  <si>
    <t>513.***.***-13</t>
  </si>
  <si>
    <t>jorgeluiz.boog@gmail.com</t>
  </si>
  <si>
    <t>https://yz2spukd8h-jbrk7pf7uvw.s3.amazonaws.com/2024/06/Jgrbm5W3LxV0jIilG5dGIqPzcvFfUbMDsfBvVWg2Dnw%3D.jpg</t>
  </si>
  <si>
    <t>32836295</t>
  </si>
  <si>
    <t>25 anos, 3 meses, 4 dias</t>
  </si>
  <si>
    <t>01536-000</t>
  </si>
  <si>
    <t>Avenida Lacerda Franco</t>
  </si>
  <si>
    <t>50803372X</t>
  </si>
  <si>
    <t>https://www.instagram.com/jorg.e.boo.g/</t>
  </si>
  <si>
    <t>https://drive.google.com/file/d/19At9IgxSkWISZ6z3tsiFUm3r225qP9WV/view?usp=drive_link</t>
  </si>
  <si>
    <t>513.284.098-13</t>
  </si>
  <si>
    <t>DIEGO CAVALCANTE DE OLIVEIRA</t>
  </si>
  <si>
    <t>Diego Cavalcante De Oliveira</t>
  </si>
  <si>
    <t>DIEGO</t>
  </si>
  <si>
    <t>Diego</t>
  </si>
  <si>
    <t>DIEGO CALVATE DE OLIVEIRA</t>
  </si>
  <si>
    <t>483.***.***-12</t>
  </si>
  <si>
    <t>diegocavalcante1240@gmail.com</t>
  </si>
  <si>
    <t>https://yz2spukd8h-jbrk7pf7uvw.s3.amazonaws.com/2024/04/nY5O2bxmNVJ0TMiAMOt8mywntct8mlpjTnxllNddQxI%3D.jpg</t>
  </si>
  <si>
    <t>32625790</t>
  </si>
  <si>
    <t>24 anos, 4 meses, 18 dias</t>
  </si>
  <si>
    <t>Parque Casa de Pedra</t>
  </si>
  <si>
    <t>02323-000</t>
  </si>
  <si>
    <t>Rua Ushikichi kamiya</t>
  </si>
  <si>
    <t>1242</t>
  </si>
  <si>
    <t>55.276.252-0</t>
  </si>
  <si>
    <t>(11) 95721-5974</t>
  </si>
  <si>
    <t>11-957215924</t>
  </si>
  <si>
    <t>https://www.facebook.com/DiegoCavalcante11/</t>
  </si>
  <si>
    <t xml:space="preserve">informática </t>
  </si>
  <si>
    <t>Ola me chamo Diego e vim da periferia de Sao Paulo, terminei o ensino medio e estou em busca de oportunidade trabalhista para adquirir experiencia e melhorar minhas abillidades profissionais e poder somar e evoluir com a empresa que me contratar. trabalho bem em equipe, sou paciente e aprendo tudo com muita rapidez. espero poder ser contratado e corresponder as expectativas da empresa e evoluir junto a éla.</t>
  </si>
  <si>
    <t>Ola me chamo Diego e atualmente estou em Sao Paulo, terminei o ensino medio e estou em busca de oportunidade trabalhista para adquirir experiencia e melhorar minhas abillidades profissionais e poder somar e evoluir com a empresa que me contratar. trabalho bem em equipe, sou paciente e aprendo tudo com muita rapidez. espero poder ser contratado e corresponder as expectativas da empresa e evoluir junto a éla.</t>
  </si>
  <si>
    <t>Ola me chamo Diego, terminei o ensino medio e estou em busca de oportunidade trabalhista para adquirir experiencia e melhorar minhas abillidades profissionais e poder somar e evoluir com a empresa que me contratar. trabalho bem em equipe, sou paciente e aprendo tudo com muita rapidez. espero poder ser contratado e corresponder as expectativas da empresa e evoluir junto a éla. pretendo iniciar uma faculdade de tecnologia assim que possivel.</t>
  </si>
  <si>
    <t>483.243.908-12</t>
  </si>
  <si>
    <t>LETICIA SILVA PEREZ</t>
  </si>
  <si>
    <t>Letícia Silva Perez</t>
  </si>
  <si>
    <t>439.***.***-00</t>
  </si>
  <si>
    <t>leticiaperez136@gmail.com</t>
  </si>
  <si>
    <t>https://yz2spukd8h-jbrk7pf7uvw.s3.amazonaws.com/2024/04/wgDcjxB5/6%2B9Zma3i%2B7R9at3UkkVQ3px6XJnst1sQSw%3D.jpeg</t>
  </si>
  <si>
    <t>32578309</t>
  </si>
  <si>
    <t>19 anos, 0 meses, 16 dias</t>
  </si>
  <si>
    <t>Jardim dos Lagos</t>
  </si>
  <si>
    <t>04771-030</t>
  </si>
  <si>
    <t>Rua Diana de Liz</t>
  </si>
  <si>
    <t>50.576.161-0</t>
  </si>
  <si>
    <t>(11) 95961-8983</t>
  </si>
  <si>
    <t>leticiperez136@gmail.com</t>
  </si>
  <si>
    <t>https://www.instagram.com/pperxz_?utm_source=ig_web_button_share_sheet&amp;igsh=ZDNlZDc0MzIxNw==</t>
  </si>
  <si>
    <t>Me chamo Letícia Silva Perez, tenho 18 anos e moro com meus pais. Eu passei os primeiros sete anos da minha vida no Grajaú, mas por conta do trabalho dos meus pais, a maior parte da minha educação aconteceu em uma escola pública em Moema. Quando completei sete anos, nos mudamos onde continuei na mesma escola até concluir o ensino fundamental. Foi somente no início do ensino médio que finalmente pude estudar perto de casa.  Essa experiência de estudar longe de casa e conviver com pessoas de diferentes classes sociais me proporcionou uma consciência de classe desde muito jovem. Isso também me motivou a buscar formas de mudar minha realidade, sempre priorizando minha felicidade e saúde.</t>
  </si>
  <si>
    <t>Atualmente, ainda resido em Veleiros, pois isso facilitava a locomoção até o trabalho dos meus pais e me proporcionou o conforto de estudar e frequentar cursos próximos de casa. Concluí o ensino médio em 2023 e agora estou em busca de um emprego, pois acho que a oportunidade seria importante para o meu desenvolvimento pessoal, mas também para o ganho de experiência e conseguir, futuramente, entrar em uma faculdade. Acredito que o trabalho também será fundamental para me ajudar a decidir sobre qual curso universitário seguir, pois representará uma nova e enriquecedora experiência que pode abrir novos horizontes para mim.</t>
  </si>
  <si>
    <t>Estou empolgada para encontrar uma oportunidade de trabalho onde possa crescer e aprimorar minhas habilidades. Tenho confiança de que minha busca por desenvolvimento será valiosa para mim e para o programa. Além disso, meu objetivo é buscar uma educação superior para continuar minha jornada de crescimento pessoal e profissional. Estou ansiosa para ingressar na faculdade e estudar algo que me apaixone, para que eu possa exercer minha profissão com dedicação e excelência. Além disso, desejo expandir-me como indivíduo, vivenciar novas experiências e adquirir novas habilidades. Estou determinada a contribuir para a sociedade e agregar valor através do meu crescimento e desenvolvimento contínuos.</t>
  </si>
  <si>
    <t>439.247.898-00</t>
  </si>
  <si>
    <t>VINICIUS FERREIRA SANTOS</t>
  </si>
  <si>
    <t>Vinicius Ferreira Santos</t>
  </si>
  <si>
    <t>VINICIUS FERREIRA  SANTOS</t>
  </si>
  <si>
    <t>469.***.***-44</t>
  </si>
  <si>
    <t>vinicius.ferreira_santos@hotmail.com</t>
  </si>
  <si>
    <t>https://yz2spukd8h-jbrk7pf7uvw.s3.amazonaws.com/2024/06/BteBR8dXXmqsur7jbz3GoZBslONXtFGXGU9ZrQroGKY%3D.jpg</t>
  </si>
  <si>
    <t>32834310</t>
  </si>
  <si>
    <t>26 anos, 7 meses, 21 dias</t>
  </si>
  <si>
    <t>AUTODECLARA  NEGRO</t>
  </si>
  <si>
    <t>Jardim Nordeste</t>
  </si>
  <si>
    <t>03691-000</t>
  </si>
  <si>
    <t>Rua Catende</t>
  </si>
  <si>
    <t>328</t>
  </si>
  <si>
    <t>521071938</t>
  </si>
  <si>
    <t>(11) 91634-4521</t>
  </si>
  <si>
    <t>VNICIUS.FERREIRA_SANTOS@HOTMAIL.COM</t>
  </si>
  <si>
    <t>https://www.facebook.com/Vini.Mr.Weed?mibextid=ZbWKwL</t>
  </si>
  <si>
    <t>PRODUÇÃO DE  AUDIO E VIDEO</t>
  </si>
  <si>
    <t>Eu Vinicius Ferreira Santos, Ferreira da mãe nordestina, Santos do pai paulistano, que por sua vez gostava muito do poeta Vinícius de Moraes e vivia recitando poemas dele para minha mãe, daí vem a inspiração para o meu nome.   Nascido e criado na zona leste de São Paulo, sobrevivente sem sequelas de uma meningite bacteriana que me assolou em plena segunda semana de vida, cresci na cidade mas ainda assim me conectando com a natureza, fazendo parte de um grupo de escoteiros dos 10 aos 17 anos de idade, onde aprendi muitas coisas que carrego pra vida até hoje.</t>
  </si>
  <si>
    <t>No presente estou com 26 anos, moro com minha namorada e trabalhamos com atendimento ao público na carteira de trabalho e tocamos uma vida de artista em segundo plano, eu escrevo poemas e componho letras musicais, enquanto ela tem uma das vozes mais doces que existem cantando no Brasil, e assim vamos tocando nossos projetos, escrevendo e planejando álbuns musicais e visuais, livros e audiolivros com narrativas poéticas, pensamentos filosóficas, apresentações em Slam e Saraus, sempre tentando estar mais envolvidos na arte e cultura, e sempre levando o que acreditamos como mensagem para nossos conterrâneos</t>
  </si>
  <si>
    <t>A vontade maior é conseguir um bom pedaço de terra, seja individual ou coletivo, com nascente, árvores frutíferas e hortaliças, placas de energia solar e composteira, algo bem alto sustentável para não dependermos tanto dos produtos industrializados, um lugar com espaço para arte, que esteja em conexão com a natureza mas ainda assim usufruindo das melhores tecnologias desenvolvidas pelo ser humano, um bom Studio para gravações musicais e audiovisuais, espaço para eventos com caixa de som potente, lugar para workshops e aulas, sempre em prol de uma comunidade menos nociva, mais coletiva e em busca de uma alegria verdadeira.</t>
  </si>
  <si>
    <t>469.305.758-44</t>
  </si>
  <si>
    <t>YAGO ADRIANO SANTOS DE OLIVEIRA</t>
  </si>
  <si>
    <t>505.***.***-16</t>
  </si>
  <si>
    <t>contatoyagoadriano@gmail.com</t>
  </si>
  <si>
    <t>https://yz2spukd8h-jbrk7pf7uvw.s3.amazonaws.com/2024/06/EXUEfntQjWYwQ10yXJ%2BVjlGFxBRcWd9QRhE9x5/anCU%3D.jpeg</t>
  </si>
  <si>
    <t>32835974</t>
  </si>
  <si>
    <t>23 anos, 6 meses, 19 dias</t>
  </si>
  <si>
    <t>04419-160</t>
  </si>
  <si>
    <t>Rua Antônio Agostim</t>
  </si>
  <si>
    <t>557316194</t>
  </si>
  <si>
    <t>(11) 91231-0039</t>
  </si>
  <si>
    <t>https://www.instagram.com/jovemodiovisual/</t>
  </si>
  <si>
    <t>TÉCNICO EM DESIGN DE INTERIORES, TÉCNICO EM PRODUÇÃO AUDIOVISUAL, TÉCNICO EM PROCESSOS FOTOGRÁFICOS</t>
  </si>
  <si>
    <t>https://drive.google.com/file/d/1-60BqZuuOhehUjVqRCmLGzADewEsHsD5/view?usp=drivesdk</t>
  </si>
  <si>
    <t>505.391.428-16</t>
  </si>
  <si>
    <t>OTAVIO ENRIQUE VIEIRA DOS SANTOS</t>
  </si>
  <si>
    <t>Otavio Enrique Vieira Dos Santos</t>
  </si>
  <si>
    <t>OTAVIO</t>
  </si>
  <si>
    <t>Otavio</t>
  </si>
  <si>
    <t>ENRIQUE VIEIRA DOS SANTOS</t>
  </si>
  <si>
    <t>479.***.***-64</t>
  </si>
  <si>
    <t>otavio.vieira1877@gmail.com</t>
  </si>
  <si>
    <t>https://yz2spukd8h-jbrk7pf7uvw.s3.amazonaws.com/2024/05/F04/TQS3el4jTcQUrB55hHyt5dNVQYJR%2BatpwFDh%2BgA%3D.jpg</t>
  </si>
  <si>
    <t>32820862</t>
  </si>
  <si>
    <t>18 anos, 8 meses, 14 dias</t>
  </si>
  <si>
    <t>Parque Vitória</t>
  </si>
  <si>
    <t>02270-070</t>
  </si>
  <si>
    <t>Rua Parambú</t>
  </si>
  <si>
    <t>344</t>
  </si>
  <si>
    <t>563278821</t>
  </si>
  <si>
    <t>(11) 99935-2219</t>
  </si>
  <si>
    <t>OTAVIO.VIEIRA1877@GMAIL.COM</t>
  </si>
  <si>
    <t>https://www.instagram.com/p/CzMq7Q6glTQ/?utm_source=ig_web_copy_link&amp;igsh=MzRlODBiNWFlZA==</t>
  </si>
  <si>
    <t>https://drive.google.com/drive/folders/1-CuHizf6_6badc0zp7X5N75wfVfg4OD8</t>
  </si>
  <si>
    <t>479.212.108-64</t>
  </si>
  <si>
    <t>YURI ARCANJO DE OLIVEIRA MARTINS</t>
  </si>
  <si>
    <t>Yuri Arcanjo De Oliveira Martins</t>
  </si>
  <si>
    <t>481.***.***-47</t>
  </si>
  <si>
    <t>lucymendes2601@gmail.com</t>
  </si>
  <si>
    <t>https://yz2spukd8h-jbrk7pf7uvw.s3.amazonaws.com/2024/05/02f1yeQrx9HuQ7/rnf%2BARjSBPWZD9VbCWOTfLlRSBF4%3D.jpg</t>
  </si>
  <si>
    <t>32766403</t>
  </si>
  <si>
    <t>19 anos, 3 meses, 1 dias</t>
  </si>
  <si>
    <t>02724-030</t>
  </si>
  <si>
    <t>Rua Lavras do Sul</t>
  </si>
  <si>
    <t>52.672.855-3</t>
  </si>
  <si>
    <t>(11) 95894-2816</t>
  </si>
  <si>
    <t>YUDIARCANJO@GMAIL.COM</t>
  </si>
  <si>
    <t>TEC - ELETRONICA, CURSANDO ELETROELETRONICA</t>
  </si>
  <si>
    <t>https://youtu.be/OPETjaNxkGE</t>
  </si>
  <si>
    <t>481.259.348-47</t>
  </si>
  <si>
    <t>RAFAELLA CRISTINA ALVES BALDUINO</t>
  </si>
  <si>
    <t>Rafaella Cristina Alves Balduíno</t>
  </si>
  <si>
    <t>523.***.***-03</t>
  </si>
  <si>
    <t>rafaellacristinaalvesbalduino1@gmail.com</t>
  </si>
  <si>
    <t>https://yz2spukd8h-jbrk7pf7uvw.s3.amazonaws.com/2024/04/6INlPaMsXK2Oe9TT1TWXA/oBdOMx4%2Bt1Dybb2YRjPeI%3D.pdf</t>
  </si>
  <si>
    <t>32570516</t>
  </si>
  <si>
    <t>18 anos, 7 meses, 17 dias</t>
  </si>
  <si>
    <t>Parque Maria Domitila</t>
  </si>
  <si>
    <t>05128-000</t>
  </si>
  <si>
    <t>Apartamento 42, Bloco B</t>
  </si>
  <si>
    <t>Rua Willis Roberto Banks</t>
  </si>
  <si>
    <t>549</t>
  </si>
  <si>
    <t>561533027</t>
  </si>
  <si>
    <t>(11) 97706-2761</t>
  </si>
  <si>
    <t>RAFAELLACRISTINAALVESBALDUINO1@GMAIL.COM</t>
  </si>
  <si>
    <t>https://drive.google.com/file/d/19xoPL5gKWtrBanLcG9PGeePacH3Q26Gu/view?usp=drivesdk</t>
  </si>
  <si>
    <t>523.215.048-03</t>
  </si>
  <si>
    <t>VINICIUS DOS SANTOS CRUZ</t>
  </si>
  <si>
    <t>VINÍCIUS DOS SANTOS CRUZ</t>
  </si>
  <si>
    <t>DANIELLE DOS SANTOS CRUZ</t>
  </si>
  <si>
    <t>568.***.***-07</t>
  </si>
  <si>
    <t>cruzdany2@gmail.com</t>
  </si>
  <si>
    <t>https://yz2spukd8h-jbrk7pf7uvw.s3.amazonaws.com/2024/04/ke108r10mhV/3VKXCCYHvCakJ4oWxzvAR6luucxNC7Q%3D.jpg</t>
  </si>
  <si>
    <t>32554455</t>
  </si>
  <si>
    <t>ESTA INSCRITO COM NOME DA MAE</t>
  </si>
  <si>
    <t>Engenheiro Marsilac</t>
  </si>
  <si>
    <t>04891-415</t>
  </si>
  <si>
    <t>MARSILAC</t>
  </si>
  <si>
    <t>Rua Ana Rosa</t>
  </si>
  <si>
    <t>523516617</t>
  </si>
  <si>
    <t>(11) 94384-3561</t>
  </si>
  <si>
    <t>viniciussantoscruz22@gmail.com</t>
  </si>
  <si>
    <t>Venho de um bairro com pouco espaço de lazer , cultura e esporte ,já atuei em   trabalhos voluntários no CCA marcilac e em cachoeira como monitor e auxiliando na montagem de equipamentos de segurança e supervisão de acidentes ,gosto muito de eventos culturais e esportivos espero uma oportunidade com esse programa ,para desenvolver o que mais gosto de fazer</t>
  </si>
  <si>
    <t>Como disse anteriormente,o bairro de marcilac onde vivo não tem muitas oportunidades de lazer ,moro aqui a 18 anos e tento me envolver ao máximo em todas as oportunidades que apareçam,como trabalhos voluntários no CCA , cachoeiras para poder ficar mais perto dessas atividades, ,mais vejo muitas possibilidades no meu bairro por isso me interesso nessa área cultural</t>
  </si>
  <si>
    <t>Vejo uma oportunidade bacana nesse programa cultural,por gostar muito dessa  área e também trazer novidades para o meu bairro ,espero muito que possa ter a  chance de mostrar um pouco do meu trabalho,sou um pouco tímido mais creio que isso posso resolver,mais sou muito responsável e comprometido,busco uma oportunidade de crescimento profissional e me achar nas minhas escolhas pessoais</t>
  </si>
  <si>
    <t>568.426.548-07</t>
  </si>
  <si>
    <t>CAMILLE LUAR SOARES THOME DA CRUZ</t>
  </si>
  <si>
    <t>Camille Luar Soares Thomé Da Cruz</t>
  </si>
  <si>
    <t>453.***.***-29</t>
  </si>
  <si>
    <t>camilleluar@gmail.com</t>
  </si>
  <si>
    <t>https://yz2spukd8h-jbrk7pf7uvw.s3.amazonaws.com/2024/06/jH7spBiM%2BzTnC76pkEXj%2BDo8OhU8PSmK8kJ%2BZYnKCH0%3D.jpeg</t>
  </si>
  <si>
    <t>32916187</t>
  </si>
  <si>
    <t>29 anos, 6 meses, 15 dias</t>
  </si>
  <si>
    <t>Vila Vera</t>
  </si>
  <si>
    <t>04295-001</t>
  </si>
  <si>
    <t>Avenida Coronel José Pires de Andrade</t>
  </si>
  <si>
    <t>540</t>
  </si>
  <si>
    <t>500533295</t>
  </si>
  <si>
    <t>(11) 91767-7446</t>
  </si>
  <si>
    <t>TECNICO EM ENFERMAGEM</t>
  </si>
  <si>
    <t>https://vimeo.com/960756203</t>
  </si>
  <si>
    <t>453.874.418-29</t>
  </si>
  <si>
    <t>LUCAS FRANCA DA SILVA</t>
  </si>
  <si>
    <t>Lucas França Da Silva</t>
  </si>
  <si>
    <t>LUCAS FRANÇA</t>
  </si>
  <si>
    <t>Lucas França</t>
  </si>
  <si>
    <t>460.***.***-21</t>
  </si>
  <si>
    <t>lucasbatmann@gmail.com</t>
  </si>
  <si>
    <t>https://yz2spukd8h-jbrk7pf7uvw.s3.amazonaws.com/2024/04/J8NdvmtStt9V7aydzCgHQLeZV0fzHf7CaM5fBQq3CrE%3D.jpg</t>
  </si>
  <si>
    <t>32600369</t>
  </si>
  <si>
    <t>19 anos, 3 meses, 0 dias</t>
  </si>
  <si>
    <t>05547-025</t>
  </si>
  <si>
    <t>prédio azul 100b ap 14b</t>
  </si>
  <si>
    <t>Avenida Circular</t>
  </si>
  <si>
    <t>S/N</t>
  </si>
  <si>
    <t>568085231</t>
  </si>
  <si>
    <t>(11) 92017-8660</t>
  </si>
  <si>
    <t>Desenvolvimento de Sistemas</t>
  </si>
  <si>
    <t>Meu nome é Lucas França, tenho 19 anos, moro no Butantã, Zona Oeste de São Paulo. Cresci no Jardim João XXIII, estudei até o sétimo ano na escola publica EMEF Profa. Daisy Amadio Fujiwara, e os próximos eu fiz na  EMEF Profa. Ileusa Caetano Da Silva. Em seguida cursei o ensino médio integral com técnico em desenvolvimento de sistemas na ETEC Uirapuru.</t>
  </si>
  <si>
    <t>Após terminar o Ensino Médio comecei a treinar a arte da tatuagem, comprei um kit completo de iniciante, treinei por alguns meses em peles artificiais para conseguir experiência na área. Concluído cerca de três ou quatro meses de treino eu decidi começar a tatuar pessoas, assim tendo minha primeira cliente na tattoo. Depois de tatuar por um tempo eu resolvi tentar a FUVEST, passei da primeira fase mas falhei na segunda.  Agora estou cursando um curso de marketing digital na casa de cultura Butantã e foi lá que eu encontrei o cartaz desta vaga.</t>
  </si>
  <si>
    <t>Agora eu estou em busca de aprimorar cada vez mais meus talentos artísticos, abrir um estúdio de tatuagem, e com ele conseguir uma boa renda continua e estável. Enquanto eu não atinjo esse objetivo, estou em busca de uma renda fixa, arranjar um emprego é o foco atual, pois preciso de experiencia, e claro de dinheiro para pagar alimentação e as contas de casa.</t>
  </si>
  <si>
    <t>460.354.478-21</t>
  </si>
  <si>
    <t>INARA LIMA DE OLIVEIRA</t>
  </si>
  <si>
    <t>Inara Lima De Oliveira</t>
  </si>
  <si>
    <t>581.***.***-05</t>
  </si>
  <si>
    <t>inara.limaoliver@gmail.com</t>
  </si>
  <si>
    <t>https://yz2spukd8h-jbrk7pf7uvw.s3.amazonaws.com/2024/04//L/a%2B1%2BbuFwzdNTXwPUjCVpCZh1WD1D20q4jDMU4PJ8%3D.png</t>
  </si>
  <si>
    <t>32553551</t>
  </si>
  <si>
    <t>18 anos, 4 meses, 5 dias</t>
  </si>
  <si>
    <t>08032-460</t>
  </si>
  <si>
    <t>691</t>
  </si>
  <si>
    <t>Rua Papa-Piri</t>
  </si>
  <si>
    <t>587966890</t>
  </si>
  <si>
    <t>(11) 95490-5524</t>
  </si>
  <si>
    <t>INARA.LIMAOLIVE@GMAIL.COM</t>
  </si>
  <si>
    <t>CURSANDO TECNICO</t>
  </si>
  <si>
    <t>https://www.instagram.com/pretinha__diix?igsh=eXRqOGdhZzlncDdz</t>
  </si>
  <si>
    <t>NUTRIÇÃO DIETÉTICA</t>
  </si>
  <si>
    <t>Oi, eu sou a Inára Lima vim do Jardim Marília e cresci na região de São Miguel.  Já fiz ballet e capoeira na casa de cultura São Miguel e sempre estive conectada com a cultura de alguma forma.  Desde pequena eu sempre achava legal e Interessante trabalhar nessa área (principalmente por poder lidar com o público). Desde pequena eu sou muito comunicativa então eu acho que independente da vaga que possa conseguir vou me destacar um pouco.</t>
  </si>
  <si>
    <t>Atualmente eu moro na Vila Nova Curuçá e curso nutrição na Etec de Guaianazes e também passei no vestibular pelo ProUni para também me graduar em nutrição porém minha faculdade é EAD o que me ajuda a conseguir um emprego para poder me manter bem e ajudar meus pais com afazeres de casa e etc.  Esse é o meu primeiro emprego e eu tenho muita vontade de aprender coisas novas sou do tipo de pessoa que ama estudar e ama estar  constante evolução.</t>
  </si>
  <si>
    <t>Pretendo lidar com o trabalho de forma excepcional e futuramente penso em fazer Direito já tenho um técnico de serviços jurídicos que fiz junto do 2° e 3° ano do ensino médio e é uma faculdade e profissão que eu também tenho vontade de me graduar, e posso ajudar também no trabalho com um dos meus cursos dando ideias e contribuindo para que tudo se ajeite.</t>
  </si>
  <si>
    <t>581.333.718-05</t>
  </si>
  <si>
    <t>PAULO CEZAR RODRIGUES DA SILVA FILHO</t>
  </si>
  <si>
    <t>Paulo Cezar Rodrigues Da Silva Filho</t>
  </si>
  <si>
    <t>525.***.***-07</t>
  </si>
  <si>
    <t>paulopcr16@gmail.com</t>
  </si>
  <si>
    <t>https://yz2spukd8h-jbrk7pf7uvw.s3.amazonaws.com/2024/04/eLGGgra2gVsdbC0ntiNaQQqn%2BU1Fxlf7idVvt8i1M2w%3D.png</t>
  </si>
  <si>
    <t>32601347</t>
  </si>
  <si>
    <t>20 anos, 3 meses, 27 dias</t>
  </si>
  <si>
    <t>03801-020</t>
  </si>
  <si>
    <t>Rua Fernando Cortez</t>
  </si>
  <si>
    <t>481</t>
  </si>
  <si>
    <t>550665894</t>
  </si>
  <si>
    <t>(11) 93905-1782</t>
  </si>
  <si>
    <t>PAULOPCR16@GMAIL.COM</t>
  </si>
  <si>
    <t>CURSANDO GESTÃO EMPRESARIAL</t>
  </si>
  <si>
    <t>Olá, meu nome é Paulo, tenho 20 anos e moro em Ermelino Matarazzo.   Já colaborei no Instituto Brasileiro de Geografia e Estatística como recenseador, atuando na coleta de dados do Censo Demográfico de 2022. Com isso, obtive experiência com atendimento ao público, assim como em meu último trabalho como estagiário, porém o atendimento era telefônico.   Quando se trata do aspecto cultural, me interesso pelo teatro e pela música, áreas as quais obtive mais contato, mas desejo em um futuro próximo me aprofundar mais na fotografia, pois vejo uma imensa beleza nessa profissão e gostaria de me conectar a esse contexto.</t>
  </si>
  <si>
    <t>O bairro onde moro é tranquilo e com fácil acesso a outras áreas da cidade, além de ter um bom acesso a cultura . Sempre vivi aqui desde que me conheço por gente, e ao longo do tempo fui conhecendo esses acessos.   Próximo a mim, temos o CEU Quinta do Sol, que oferece diversas atividades que vão de exibições de filmes até a apresentações culturais e cursos extracurriculares.   Não só isso,  temos a Ocupação Cultural Mateus Santos , que oferece oficinas, workshops e apresentações ao público.</t>
  </si>
  <si>
    <t>Uma grande razão pela qual gostaria de trabalhar no Programa Jovem Monitor Cultural é acessar novos públicos e levar novos conteúdos e novas culturas de forma gratuita e com boa qualidade.   Acredito que o acesso desses públicos a cultura e os outros aspectos artisticos podem trazer novas pessoas ao mercado de trabalho e outras áreas, e construindo novas aspirações a fim de minimizar a falta de acesso a conteúdos tão relevantes no nossa sociedade.</t>
  </si>
  <si>
    <t>525.267.938-07</t>
  </si>
  <si>
    <t>MATEUS QUEIROZ DE SOUZA</t>
  </si>
  <si>
    <t>Mateus Queiroz De Souza</t>
  </si>
  <si>
    <t>551.***.***-41</t>
  </si>
  <si>
    <t>mateusqueiroz401@gmail.com</t>
  </si>
  <si>
    <t>https://yz2spukd8h-jbrk7pf7uvw.s3.amazonaws.com/2024/06/HFWWjhHbPvWHk4Np8szyzTVwAhIqcGX6gttasDsZ0ZE%3D.jpg</t>
  </si>
  <si>
    <t>32904562</t>
  </si>
  <si>
    <t>19 anos, 4 meses, 15 dias</t>
  </si>
  <si>
    <t>Vila Maria Luisa</t>
  </si>
  <si>
    <t>02754-080</t>
  </si>
  <si>
    <t>Rua Miguel Gustavo</t>
  </si>
  <si>
    <t>423</t>
  </si>
  <si>
    <t>501852074</t>
  </si>
  <si>
    <t>(11) 98032-9506</t>
  </si>
  <si>
    <t>MATEUSQUEIROZ401@GMAIL.COM</t>
  </si>
  <si>
    <t>https://www.instagram.com/mateusvives?igsh=YzhyeHFpaXBoZDM5</t>
  </si>
  <si>
    <t>Olá, sou um cidadão da cidade de São Paulo desde que nasci, adorando a capital Paulista, por sua cultura variada e por atrair diversas pessoas de lugares diferentes, sempre participei de projetos culturais por ter um grande interesse na área, sempre estudei em escolas públicas que me proporcionaram experiências com diferentes projetos, como a cultura do Sudeste, Nordeste ou de matriz africana, eu gostaria de expressar esse conhecimento ou aprimora-lo.</t>
  </si>
  <si>
    <t>Atualmente estou trabalhando e estudando para concursos de nível superior, vivo na região norte de São Paulo eu gostaria de trabalhar com áreas mais focadas no quesito artístico, acreditando que um caminho cultural seja uma ótima possibilidade, uma área que tenho muito interesse é a de biblioteconomia, porque embora seja uma área até certo ponto bastante "objetiva" a espaço para a criação e gestão criativas.</t>
  </si>
  <si>
    <t>Pretendo passar em uma faculdade pública, ingressando no ensino superior em 2025, e se possível ingressar também no projeto de jovem monitor cultural, é uma projeto que pode aprimorar meus conhecimentos na área que pretendo cursar, após a conclusão do  curso de nível superior, pretendo ingressar na área estudada, preferencialmente no setor publico.</t>
  </si>
  <si>
    <t>551.276.798-41</t>
  </si>
  <si>
    <t>AGATHA REINATO PEREIRA</t>
  </si>
  <si>
    <t>Agatha Renato Pereira</t>
  </si>
  <si>
    <t>518.***.***-85</t>
  </si>
  <si>
    <t>reinato79@outlook.com</t>
  </si>
  <si>
    <t>https://yz2spukd8h-jbrk7pf7uvw.s3.amazonaws.com/2024/06/t4ymGSP2fKW%2BYR0DNeg6pT2FenOAdr6NNgz26xFL4po%3D.jpg</t>
  </si>
  <si>
    <t>32916152</t>
  </si>
  <si>
    <t>Parque Cocaia</t>
  </si>
  <si>
    <t>04850-230</t>
  </si>
  <si>
    <t>Rua Doutor Nuno Guerner de Almeida</t>
  </si>
  <si>
    <t>203</t>
  </si>
  <si>
    <t>55306390x</t>
  </si>
  <si>
    <t>(11) 95939-6409</t>
  </si>
  <si>
    <t>Nascida e criada no Grajaú, extremo sul de São Paulo. Cresci em uma casa ancorada por uma mulher, vim dela e dos meus avós, bisavós, tataravós, etc. Que vieram antes dela. É impossivel pra mim falar sobre ponto de partida e não falar sobre minhas raízes familiares tenho muito deles e minha forma de agir, pensar, sempre considera que sou continuidade deles, responsável por tornar cada ancestral imortal.</t>
  </si>
  <si>
    <t>A palavra que define meu lugar atual é redescoberta, me tornei mãe há um ano, e esse é o tipo de coisa que acontece na vida da gente e muda nossa perspectiva sobre todo o resto. Ser mãe acabou com muitas das certezas que eu pensei ter, mas reafirmou algumas dela também. Então, tenho feito o movimento de me apegar no que sei, para à partir disso, escolher um caminho que faça sentido trilhar.</t>
  </si>
  <si>
    <t>Para onde vou é incerto, mas tenho certeza de que é um lugar que explore completamente minhas potencialidades, que esteja alinhado com a pessoa que eu sou, com os meus princípios e prioridades, um lugar onde eu sinta que tenho impacto nas áreas que eu penso como relevantes, um lugar que eu sinta meu brilho no olgo realçado e não ofuscado. Que eu possa ser e fazer aquilo que nasci para ser e realizar.</t>
  </si>
  <si>
    <t>518.629.958-85</t>
  </si>
  <si>
    <t>NICOLE ROCHA DE OLIVEIRA</t>
  </si>
  <si>
    <t>Nicole Rocha De Oliveira</t>
  </si>
  <si>
    <t>036.***.***-18</t>
  </si>
  <si>
    <t>aboutnicole3@gmail.com</t>
  </si>
  <si>
    <t>https://yz2spukd8h-jbrk7pf7uvw.s3.amazonaws.com/2024/05/Gas82vB%2BSqsB%2BbI/c3PLMmaZjLFosAOE2SI%2B3mmseW8%3D.jpeg</t>
  </si>
  <si>
    <t>32825925</t>
  </si>
  <si>
    <t>24 anos, 11 meses, 9 dias</t>
  </si>
  <si>
    <t>04321-001</t>
  </si>
  <si>
    <t>Casa 9a</t>
  </si>
  <si>
    <t>Rua dos buritis</t>
  </si>
  <si>
    <t>748</t>
  </si>
  <si>
    <t>380722197</t>
  </si>
  <si>
    <t>(11) 99403-0316</t>
  </si>
  <si>
    <t>TECNICO EM PAISAGISMO E TECNICO EM DANCA E PERFORMANCE</t>
  </si>
  <si>
    <t>https://drive.google.com/file/d/1X3e5jWRRHHQHoA1N8_j567_MNz4kUO-D/view?usp=drivesdk</t>
  </si>
  <si>
    <t>036.206.765-18</t>
  </si>
  <si>
    <t>GABRIEL OLIVEIRA MARTINS</t>
  </si>
  <si>
    <t>Gabriel Oliveira Martins</t>
  </si>
  <si>
    <t>445.***.***-89</t>
  </si>
  <si>
    <t>g.liveira.martins@gmail.com</t>
  </si>
  <si>
    <t>https://yz2spukd8h-jbrk7pf7uvw.s3.amazonaws.com/2024/04/foZeRT1pC06M%2BaY/UP9sPqrx/HjW4APsWa7QKXAnENY%3D.jpg</t>
  </si>
  <si>
    <t>32637609</t>
  </si>
  <si>
    <t>20 anos, 5 meses, 23 dias</t>
  </si>
  <si>
    <t>Formacão  em Marketing</t>
  </si>
  <si>
    <t>Jardim Norma</t>
  </si>
  <si>
    <t>08240-010</t>
  </si>
  <si>
    <t>Rua Virgínia de Miranda</t>
  </si>
  <si>
    <t>470</t>
  </si>
  <si>
    <t>551658678</t>
  </si>
  <si>
    <t>(12) 98194-1192</t>
  </si>
  <si>
    <t>https://www.instagram.com/bryeul/</t>
  </si>
  <si>
    <t>Nasci na zona sul de São Paulo,  e cresci no Campo Limpo, Santo Antônio do Pinhal e Brotas de Macaúbas na Bahia, Fiz diversas mudanças enquanto crescia e isso me fez ser mais resistente a elas.  Me considero uma pessoa que aprendeu a lidar com as mudanças de forma mais prática, e esse é meu forte. Além desse, a comunicação sempre foi e é minha aliada no meu cotidiano.</t>
  </si>
  <si>
    <t>Atualmente, resido no Taboão da Serra mas pretendo me mudar para itaquera ou a região central, pois estou saindo da casa da minha irmã.     Sobre o meu momento, acredito estar entendendo melhor os meus limites e observando os degraus que irei trilhar para alcançar meus objetivos, que são me estabilizar financeiramente, desenvolver o meu inglês e ser um artista independente.    Trabalho com marketing de conteúdo, com o mercado de influencia, mas anseio por atuar na área de eventos musicais, pois ou apaixonado por isso.</t>
  </si>
  <si>
    <t>Quero atuar numa área que esteja relacionada com algo que amo - a música - e que eu consiga estar 100% imerso. Cheguei a conclusão que o trabalho será o lugar onde passarei mais horas do meu dia então preciso que cada vez mais eu vá para uma área que seja ou que tenha o potencial de se tornar minha paixão.  Por isso, ao ver o JM fiquei tentado a me inscrever, pois sempre conversei com pessoas que já trabalharam no projeto e que hoje estão atuando de acordo com o que sonhavam.</t>
  </si>
  <si>
    <t>445.382.048-89</t>
  </si>
  <si>
    <t>GUILHERME SOUZA ORTELAN</t>
  </si>
  <si>
    <t>Guilherme Souza Ortelan</t>
  </si>
  <si>
    <t>471.***.***-80</t>
  </si>
  <si>
    <t>guirock21@gmail.com</t>
  </si>
  <si>
    <t>https://yz2spukd8h-jbrk7pf7uvw.s3.amazonaws.com/2024/05/f3FEs7ajoJCDucoaxrnSc/hsHwdUlxuuNpKAcNGZofc%3D.jpg</t>
  </si>
  <si>
    <t>32818492</t>
  </si>
  <si>
    <t>24 anos, 8 meses, 25 dias</t>
  </si>
  <si>
    <t>Jardim dos Prados</t>
  </si>
  <si>
    <t>04679-170</t>
  </si>
  <si>
    <t>Rua José Raimundo</t>
  </si>
  <si>
    <t>381888964</t>
  </si>
  <si>
    <t>(11) 99681-6197</t>
  </si>
  <si>
    <t>https://www.instagram.com/guilherme_ortelanfotos?igsh=NzV3NTZkd3BwN2Rv</t>
  </si>
  <si>
    <t>TECNICO EM PROCESSO FOTOGRAFICO</t>
  </si>
  <si>
    <t>Olá, me chamo Guilherme sou da zona sul de São Paulo SP, moro próximo ao shopping Interlagos e perto da Casa de cultura Hip-Hop Sul, fique sabendo desse projeto através de uma amiga do curso e me chamou atenção e fiquei interessado pelo projeto e sou fotógrafo amador e gostaria de fotografar os eventos que acontecem por lá conheço até o dono da Casa de Cultura.</t>
  </si>
  <si>
    <t>Atualmente estou estudando e trabalhando, mas pretendo seguir na minha área de a fotografia, e me surgiu essa oportunidade de fazer oque eu quero por conta que nas Casa de Cultura tem uns eventos de basquete de Hip-Hop ou até mesmo para as crianças além de ter uma pista de skate na praça e acho que pode ter uns campeonatos de skate paraa comunidade.</t>
  </si>
  <si>
    <t>Me vejo como fotógrafo profissional no futuro, e eu começando por meio de projeto pode me ajudar a chegar achegar lá além de  mostrar os artistas na comunidade que a gente tem, como cantor ou até alguém da área de esporte, e também posso ajudar em outros lugares para mostrar que estamos aqui até mesmo mostrar os talentos que a comunidade da zona sul.</t>
  </si>
  <si>
    <t>471.883.548-80</t>
  </si>
  <si>
    <t>LUCAS DELFINO DE SOUZA</t>
  </si>
  <si>
    <t>521.***.***-09</t>
  </si>
  <si>
    <t>fabidelfino1@gmail.com</t>
  </si>
  <si>
    <t>https://yz2spukd8h-jbrk7pf7uvw.s3.amazonaws.com/2024/04/hk08mZrybaSlf%2B3wRGlCEKrVLDYSdtaT%2BiKKymm2URY%3D.jpg</t>
  </si>
  <si>
    <t>32648593</t>
  </si>
  <si>
    <t>19 anos, 1 meses, 2 dias</t>
  </si>
  <si>
    <t>03453-000</t>
  </si>
  <si>
    <t>Avenida Rio das Pedras</t>
  </si>
  <si>
    <t>557046877</t>
  </si>
  <si>
    <t>(11) 96273-9188</t>
  </si>
  <si>
    <t>LUCASJITSU2005@GMAIL.COM</t>
  </si>
  <si>
    <t>ANÁLISE DE DESENVOLVIMENTO DE SISTEMAS</t>
  </si>
  <si>
    <t>Meu nome é Lucas, Nasci e cresci em na Cidade de São Paulo Capital, desde de minha criação ate agora, morei em alguns bairros da Zona Leste sendo o bairro recente Aricanduva onde habito atualmente e frequentei escolas públicas e terminei meu ensino médio próximo da minha residência. Vivi em um ambiente cultural diversificado principalmente na convivência com minha avó paterna que me incentivou a aprender a tocar instrumentos folclóricos no qual me formei e passei a dar aulas  e esse apoio foi fundamental para minha ética e preparo para qualquer empreendimento e minhas habilidades como ser organizado, ser ético, educado, pró ativo e contribuem significativamente para um bom trabalho em equipe</t>
  </si>
  <si>
    <t>em minha jornada pessoal e profissional, percebo que me encontro em um ponto de transição e crescimento significativos. No momento, estou buscando novas oportunidades que me permitam aplicar e expandir as habilidades e conhecimentos. Profissionalmente, me encontro em um estágio onde reconheço a necessidade e a vontade de assumir novos desafios e responsabilidades. Sinto que estou pronto para alçar voos mais altos e explorar novos horizontes em minha carreira. Além disso, estou em um processo contínuo de autoconhecimento e desenvolvimento pessoal, buscando constantemente oportunidades de aprendizado e crescimento. Estou comprometido(a) em aprimorar minhas habilidades.</t>
  </si>
  <si>
    <t>Estou focado(a) em direcionar meus esforços em direção a um conjunto específico de metas e objetivos. Estou comprometido(a) em buscar oportunidades que me permitam continuar crescendo. Meu objetivo principal é aprender e trabalhar estou ansioso para me envolver nesse projeto e ganhar a bolsa que me permita aplicar e expandir meu conhecimento  e pretendo buscar oportunidades de aprendizado contínuo.Em suma, estou determinado a seguir em direção a um futuro repleto de oportunidades de crescimento, desafios estimulantes e realizações gratificantes. Estou ansioso(a) para ver onde essa jornada me levará e estou confiante de que estou preparado para enfrentar os desafios que estão por vir.</t>
  </si>
  <si>
    <t>521.726.778-09</t>
  </si>
  <si>
    <t>DANILO MOREIRA MARTINS DA SILVA</t>
  </si>
  <si>
    <t>Danilo Moreira Martins Da Silva</t>
  </si>
  <si>
    <t>484.***.***-96</t>
  </si>
  <si>
    <t>danilo.ms341@hotmail.com</t>
  </si>
  <si>
    <t>https://yz2spukd8h-jbrk7pf7uvw.s3.amazonaws.com/2024/06/F5Lpp21t%2Big/EFWfVxxodKlCiRwLTes%2BJVhbIKOgOlw%3D.jpeg</t>
  </si>
  <si>
    <t>32833424</t>
  </si>
  <si>
    <t>24 anos, 10 meses, 12 dias</t>
  </si>
  <si>
    <t>05545-190</t>
  </si>
  <si>
    <t>Rua Engenheiro Roberto Frade Monte</t>
  </si>
  <si>
    <t>50764069X</t>
  </si>
  <si>
    <t>(11) 99707-4654</t>
  </si>
  <si>
    <t>Caro Comitê de Seleção,  Dirijo-me a vocês com grande entusiasmo para expressar minha profunda motivação em participar do Programa Jovem Monitor Cultural. Me chamo Danilo Moreira Martins da Silva e atualmente estudo Direito na Faculdade Autônoma de Direito - FADISP-SP, onde estou no segundo semestre da graduação.  E reforço com bastante orgulho que destaco minha condição de bolsista integral do PROUNI, o que tem possibilitado minha jornada acadêmica.    Desde o início de minha jornada acadêmica, tenho buscado superar desafios e me dedicar ao máximo aos meus estudos, obtendo boas notas em todas as disciplinas.  sempre busco participar ativamente das atividades oferecidas pela faculdade.</t>
  </si>
  <si>
    <t>Em 2022, trouxe meu irmão para morar comigo, pois acredito na importância da família e em proporcionar um ambiente de suporte e crescimento mútuo. Minha mãe e minha irmã residem no interior de Minas Gerais, e mantenho contato constante com elas, sempre valorizando os laços familiares.    Atualmente, busco uma oportunidade que me permita ter uma renda enquanto posso me dedicar parcialmente aos meus estudos. O Programa Jovem Monitor Cultural, com sua proposta de incentivar o desenvolvimento de jovens na área cultural, parece ser a oportunidade ideal para conciliar minhas necessidades financeiras com minha paixão pela cultura e minha vontade de aprender e crescer.</t>
  </si>
  <si>
    <t>Acredito que minha experiência de vida, responsabilidade e desejo de contribuir para a cultura em São Paulo me tornam um candidato adequado para o programa. Estou ansioso para compartilhar minhas ideias, aprender com os profissionais da área e ajudar a tornar a cultura mais acessível para todos.  E em paralelo, continuar estudo e medicando no curso de Direito.</t>
  </si>
  <si>
    <t>484.609.578-96</t>
  </si>
  <si>
    <t>GABRYELLE PEREIRA DA SILVA</t>
  </si>
  <si>
    <t>Gabryelle Pereira Da Silva</t>
  </si>
  <si>
    <t>GABRYELLE P SILVA</t>
  </si>
  <si>
    <t>Gabryelle P Silva</t>
  </si>
  <si>
    <t>374.***.***-63</t>
  </si>
  <si>
    <t>gabiecontato@gmail.com</t>
  </si>
  <si>
    <t>https://yz2spukd8h-jbrk7pf7uvw.s3.amazonaws.com/2024/04/gheS7KN2muSrF9xV8ezJtsKN/heL824zzVy66032H8Y%3D.jpg</t>
  </si>
  <si>
    <t>32566230</t>
  </si>
  <si>
    <t>28 anos, 9 meses, 13 dias</t>
  </si>
  <si>
    <t>Parque Nações Unidas</t>
  </si>
  <si>
    <t>02996-220</t>
  </si>
  <si>
    <t>Rua Giorgio Bassani</t>
  </si>
  <si>
    <t>374096880</t>
  </si>
  <si>
    <t>(11) 98505-7184</t>
  </si>
  <si>
    <t>sim-grad</t>
  </si>
  <si>
    <t>https://www.instagram.com/gabieproduz/</t>
  </si>
  <si>
    <t>comunicação social</t>
  </si>
  <si>
    <t>Meu nome é Gabryelle Pereira da Silva, tenho 28 anos e sou moradora do Jaraguá, território localizado na zona noroeste da capital. Sou formada em Comunicação Social e trabalho com audiovisual desde então. No âmbito cultural já fiz parte de dois coletivos no meu território, onde atuei como produtora audiovisual e cultural. Promovendo eventos e atividas artístico-culturais.</t>
  </si>
  <si>
    <t>Atualmente trabalho com fotografia e produção audiovisual, estou atuando em um projeto junto a Unifesp no qual sou responsável pela edição de vídeos os cursos de especialização a distância. E faço trabalhos freelancer na área de comunicação, com foco em criação de conteúdo e social media. Além de ser voluntária na ONG Conexão Favela. E estou planejando um curta-metragem independente.</t>
  </si>
  <si>
    <t>Quero entrar de vez na área cultural. É um desejo bem antigo fazer parte do Programa Jovem Monitor Cultural e essa é minha última oportunidade devido a minha idade. Tenho interesse em participar, pois acredito que é uma oportunidade muito enriquecedora para minha carreira na área da cultura, justamente por ser um programa que está intimamente ligado aos equipamentos de cultura da cidade, locais de muito aprendizado na prática. Sinto falta de atuar em instituições e conhecer os processos por dentro. Vai ser incrível fazer parte do programa.</t>
  </si>
  <si>
    <t>374.896.758-63</t>
  </si>
  <si>
    <t>LEONARDO GUALBERTO DOS SANTOS JUNIOR</t>
  </si>
  <si>
    <t>Leonardo Gualberto Dos Santos Junior</t>
  </si>
  <si>
    <t>474.***.***-65</t>
  </si>
  <si>
    <t>gisiacsilva75@gmail.com</t>
  </si>
  <si>
    <t>https://yz2spukd8h-jbrk7pf7uvw.s3.amazonaws.com/2024/05/HLOLRqW/QZ%2BzMWDS%2BtaywjEMruhOxvTSgkrNmc95EfI%3D.jpeg</t>
  </si>
  <si>
    <t>32824880</t>
  </si>
  <si>
    <t>19 anos, 5 meses, 27 dias</t>
  </si>
  <si>
    <t>Socorro</t>
  </si>
  <si>
    <t>04776-000</t>
  </si>
  <si>
    <t>Apto 510 torre 02</t>
  </si>
  <si>
    <t>Avenida do Rio Bonito</t>
  </si>
  <si>
    <t>59.338.088-5</t>
  </si>
  <si>
    <t>(14) 99809-3392</t>
  </si>
  <si>
    <t>gualbertoleonardo43@gmail.com</t>
  </si>
  <si>
    <t>Nasci e cresce numa cidade pequena do interior, chamada Presidente Alves. Uma cidade na qual, não há oportunidades de politicas publicas para jovens da minha faixa etária. O trabalho da minha cidade, se resume, entre trabalhar no campo ou na prefeitura da cidade. E como eu almejo outras áreas, principalmente na área Cultural, não vejo perspectiva  de aprendizagem ou de formação e atuação nessa área.</t>
  </si>
  <si>
    <t>No momento estou morando na Cidade de São Paulo. Pois vim em busca de aprendizado, cursos profissionalizantes e a oportunidade do primeiro emprego, pois atualmente não trabalho. Estou em busca de cursos de qualificação e aguardando a oportunidade de cursar a faculdade. A Cidade de São Paulo disponibiliza aos jovens diferentes vertentes profissionais. Aqui, vemos o mundo num pequeno território, mas q é gigante quando comparada a outras cidades do nosso Estado.</t>
  </si>
  <si>
    <t>É bonito ver o desenvolvimento que a cidade tem a cada ano e, o plano de políticas públicas ofertado aos jovens da minha idade atraiu a mim e a muitos colegas que buscam crescer e vencer nesta cidade. No momento, meu pensamento é permanecer em São Paulo. O sonho é de que portas se abram futuramente para que eu possa contribuir profissionalmente, socialmente, intelectualmente ou artisticamente para uma cidade/estado/país melhor. Seja aqui em nossa nação ou fora dela.</t>
  </si>
  <si>
    <t>474.601.778-65</t>
  </si>
  <si>
    <t>TAYNARA SILVA SANTOS</t>
  </si>
  <si>
    <t>Taynara Silva Santos</t>
  </si>
  <si>
    <t>069.***.***-17</t>
  </si>
  <si>
    <t>taynara2503@gmail.com</t>
  </si>
  <si>
    <t>https://yz2spukd8h-jbrk7pf7uvw.s3.amazonaws.com/2024/05/Ch91rgj2GZJXVwtAGsSuqA57kr41ogekxfLXok3J1VE%3D.jpg</t>
  </si>
  <si>
    <t>32800150</t>
  </si>
  <si>
    <t>24 anos, 2 meses, 24 dias</t>
  </si>
  <si>
    <t>CURSANDO CIENCIAS SOCIAIS</t>
  </si>
  <si>
    <t>08257-110</t>
  </si>
  <si>
    <t>Rua Neve na Bahia</t>
  </si>
  <si>
    <t>65031832-8</t>
  </si>
  <si>
    <t>(11) 99494-7498</t>
  </si>
  <si>
    <t>TAYNARFA2503@GMAIL.COM</t>
  </si>
  <si>
    <t>CIENCIAS  SOC IAIS</t>
  </si>
  <si>
    <t>Eu sou Taynara Silva, tenho 24 anos, venho do Alto do Coqueirinho, bairro localizado na periferia de Salvador - BA. Por nascer em um Estado muito cultural, eu gosto e procuro estar imersa nas questões socioculturais. Inclusive, sou graduanda em Ciências Sociais pela Universidade Federal de São Paulo muito pela sociologia, embora eu tenha ciência da importância que as outras ciências (antropologia e ciência política) têm na sociedade.</t>
  </si>
  <si>
    <t>Estou em um momento muito importante para a minha vida, que é na metade da graduação, fase final de um estágio em Diversidade e Inclusão no Instituto Moreira Salles e voluntária em um projeto arteterapêutico e cultural, chamado Corpo Vivo que atua na Penitenciária Feminina da Capital. Todos os âmbitos da minha vida me leva para algo em comum, que é lidar com culturas diversas, explorando, estudando e levando-as para quem não tem muito contato.</t>
  </si>
  <si>
    <t>A partir de toda a minha trajetória e entendendo que tenho muito caminho a percorrer, quero seguir imersa na cultura, e ser uma jovem monitora é muito importante para esse meu interesse na formação em produção e gestão cultural.   Com todas essas formações e trabalho voluntário, quero executar minha pesquisa analisando a cultura como ferramenta de ressocialização das pessoas que estiveram reclusas em algum momento da vida, seja na adolescência ou fase adulta.   E onde eu quero chegar, é de fato no lugar de ser uma pessoa referência em cultura popular e métodos socioculturais de ressocialização.</t>
  </si>
  <si>
    <t>069.336.225-17</t>
  </si>
  <si>
    <t>"nota zero na entrevista"</t>
  </si>
  <si>
    <t>ELISABETH PEREIRA GONCALVES</t>
  </si>
  <si>
    <t>Elisabeth Pereira Gonçalves</t>
  </si>
  <si>
    <t>469.***.***-07</t>
  </si>
  <si>
    <t>elisabethpereira281@gmail.com</t>
  </si>
  <si>
    <t>https://yz2spukd8h-jbrk7pf7uvw.s3.amazonaws.com/2024/05/Ptsz8S08fIR/IQVbun9DnVVO8hB7vw0oxamoizuUJXo%3D.jpg</t>
  </si>
  <si>
    <t>32793865</t>
  </si>
  <si>
    <t>26 anos, 11 meses, 2 dias</t>
  </si>
  <si>
    <t>superior em  formacao pedagogia licenciatura</t>
  </si>
  <si>
    <t>08245-300</t>
  </si>
  <si>
    <t>Rua Criúva</t>
  </si>
  <si>
    <t>1181</t>
  </si>
  <si>
    <t>502073950</t>
  </si>
  <si>
    <t>(11) 99023-2588</t>
  </si>
  <si>
    <t>elisabethpereira281@gmailcom</t>
  </si>
  <si>
    <t>estetica e cabeleleira e  varejo</t>
  </si>
  <si>
    <t>Olá, espero que todos estejam bem!  Sou a Elisabeth e tenho 26 anos, venho de uma família de 7 pessoas, 5 irmãos, sendo a mais nova das mulheres.  Cresci numa comunidade da zona leste onde meu pai trabalhava e minha mãe cuidava de nós, éramos muito carentes na época, meu pai chegou a pedir pães na padaria para não ficarmos com fome, ele trabalhou muito tempo em construção civil e posteriormente como vigilante.  Geralmente quando chovia minha casa entrava esgoto e éramos obrigados a arrastar aquela água sem saber se mais tarde choveria e teríamos que limpar novamente.  Desta maneira cresci, terminei o ensino médio e fiz um curso na Obra social Dom Bosco.</t>
  </si>
  <si>
    <t>Minha mãe parou de estudar no 4° ano do ensino fundamental para ajudar a minha avó a sustentar a casa, posteriormente casou e não conseguiu terminar os estudos, meu pai finalizou os estudos eliminando matérias em um programa da época.  Consegui concluir meus estudos na escola pública e coloquei em meu coração que seria a primeira de minha família a romper e fazer uma faculdade para ter condições de ajudar minha família e quem precisasse, hoje estou me graduando em pedagogia, meu esposo me ajuda a pagar as parcelas da faculdade, o percurso não é fácil mas temos conseguido,  após uma breve pesquisa na internet, li a respeito do PJMC e me interessei muito, tem tudo haver com minha área!</t>
  </si>
  <si>
    <t>Através do programa posso romper como sempre quis, será um conhecimento à agregar, o fato de poder impactar pessoas me cativa, quero poder influenciar pessoas, influenciar a sair do comodismo, mostrar que é possível sim quando nos esforçamos, que é possível sair da favela (como eu saí) e fazer a diferença ali.  A Arte, a cultura sempre esteve presente em mim, canto e danço desde criança, a cultura me marcou de tal forma que até hoje tenho lembranças, a arte influencia o desenvolvimento global do indivíduo, quero fazer parte deste propósito, assim contribuindo não somente para o meu desenvolvimento como para o de tantas outras pessoas.</t>
  </si>
  <si>
    <t>469.087.798-07</t>
  </si>
  <si>
    <t>ISABELA PEREIRA DE MORAES</t>
  </si>
  <si>
    <t>IISABELA PEREIRA DE MORAES</t>
  </si>
  <si>
    <t>439.***.***-48</t>
  </si>
  <si>
    <t>belbelpemoraes@gmail.com</t>
  </si>
  <si>
    <t>https://yz2spukd8h-jbrk7pf7uvw.s3.amazonaws.com/2024/04/UeEZuXHJCTAU32OkatruV8sed040eQRgdGwK7uvi1O0%3D.png</t>
  </si>
  <si>
    <t>32555188</t>
  </si>
  <si>
    <t>20 anos, 3 meses, 15 dias</t>
  </si>
  <si>
    <t xml:space="preserve">CURSANDO LICENCIATURA EM  HISTÓRIA </t>
  </si>
  <si>
    <t>08180-120</t>
  </si>
  <si>
    <t>Rua Cordilheira do Araripe</t>
  </si>
  <si>
    <t>553532674</t>
  </si>
  <si>
    <t>(11) 93202-5586</t>
  </si>
  <si>
    <t>ISBELAMORAEXCONTATO@GMAIL.COM</t>
  </si>
  <si>
    <t>https://www.instagram.com/miszabela/</t>
  </si>
  <si>
    <t xml:space="preserve">HISTÓRIA </t>
  </si>
  <si>
    <t>Salve! Eu venho do extremo leste de São Paulo, criada com ajuda dos meus avós e com pais jovens. Cursei toda a minha educação em escolas públicas, sempre buscando consciência de classe e oportunidade para repassar esse ponto de vista por aí. Meus pais por mais que raramente estivessem presentes na minha infância, sempre buscaram ensinar que a gente precisa saber de onde veio pra conseguir mudar. Mas eu não quero mudar a minha realidade. Quero mudar a do extremo leste inteiro, que todo mundo tenha acesso às suas raízes e sonhos, por isso, eu sempre quis ser professora.</t>
  </si>
  <si>
    <t>No momento, eu curso ciências sociais na modalidade EAD, porque era mais barato, cabia no meu orçamento de telemarketing, mas meu sonho sempre foi uma universidade pública, por isso, pretendo fazer o Enem novamente, e quantas vezes forem necessárias para alcançar esse sonho. Eu quero muito ser professora, e me dedico para isso, busco compreender todas as realidades socioculturais e me inserir nelas, buscar as raízes e novos desenvolvimentos e esperanças em cada uma delas.</t>
  </si>
  <si>
    <t>Quero ter contato com a arte, a música e a sociedade, quero aprender com tudo isso e repassar esse conhecimento. Quero viajar o Brasil, enviar por todo o país e aprender com todo mundo. Eu vou para onde o "trampo" de professora me levar, em qualquer lugar que alguém tenha interesse em aprender, eu quero estar lá para ensinar, seja numa escola grande, numa de bairro, numa calçada, quero aprender e ensinar, sempre.</t>
  </si>
  <si>
    <t>439.636.318-48</t>
  </si>
  <si>
    <t>MATHEUS DE SOUZA FONSECA</t>
  </si>
  <si>
    <t>Matheus De Souza Fonseca</t>
  </si>
  <si>
    <t>429.***.***-02</t>
  </si>
  <si>
    <t>matheus.fonseca1004@gmail.com</t>
  </si>
  <si>
    <t>https://yz2spukd8h-jbrk7pf7uvw.s3.amazonaws.com/2024/06/tj0PrBSFjWkSvLX%2B9J2pt4RK/HM2ISDfWwjeBYVT8qQ%3D.jpg</t>
  </si>
  <si>
    <t>32872247</t>
  </si>
  <si>
    <t>08210-060</t>
  </si>
  <si>
    <t>Rua Antônio Soares Lara</t>
  </si>
  <si>
    <t>531852829</t>
  </si>
  <si>
    <t>(11) 97761-5561</t>
  </si>
  <si>
    <t>https://www.instagram.com/matheusfonseca04/</t>
  </si>
  <si>
    <t>LICENCIATURA EM ARTE TEATRO</t>
  </si>
  <si>
    <t>PONTO DE LEITURA DO PARQUE DO CARMO</t>
  </si>
  <si>
    <t>https://youtu.be/WHWXaZ-brK4</t>
  </si>
  <si>
    <t>429.958.998-02</t>
  </si>
  <si>
    <t>PAULA VITORIA AQUINO DOS SANTOS</t>
  </si>
  <si>
    <t>Paula Vitoria Aquino Dos Santos</t>
  </si>
  <si>
    <t>502.***.***-83</t>
  </si>
  <si>
    <t>aquinopaula908@gmail.com</t>
  </si>
  <si>
    <t>https://yz2spukd8h-jbrk7pf7uvw.s3.amazonaws.com/2024/06/27DysnNhp1dCKpUqDU635iKWPvXHJxwiJXlRzyu7q5w%3D.jpeg</t>
  </si>
  <si>
    <t>32916255</t>
  </si>
  <si>
    <t>Vila Progresso (Zona Norte)</t>
  </si>
  <si>
    <t>02978-040</t>
  </si>
  <si>
    <t>Rua Afonso de Carvalho</t>
  </si>
  <si>
    <t>398678728</t>
  </si>
  <si>
    <t>(11) 96116-6051</t>
  </si>
  <si>
    <t>AQUINOPAULA908@GMAIL.COM</t>
  </si>
  <si>
    <t>TEC - SEGURANÇA DO TRABALHO + GRAD - GESTAO PUBLICA</t>
  </si>
  <si>
    <t>Olá, meu nome é Paula Vitória Aquino dos Santos e minha trajetória tem sido repleta de desafios. Desde os 10 anos, moro apenas com meu pai e meus irmãos, um dos quais é especial. Enfrentar esses desafios foi extremamente difícil, mas sinto que conquistei muito. Espero seguir adiante, deixando para trás a fase de dificuldades e abraçando experiências incríveis. Crescer sem a presença de uma mãe não é fácil, mas o ambiente onde cresci me deu a determinação e a força para seguir em frente.</t>
  </si>
  <si>
    <t>Atualmente sou estudante de Gestão Pública pelo Instituto Federal de São Paulo e estagiária na Secretaria Municipal da Fazenda, do municipio de São Paulo. Sou coordenadora do Centro Acadêmico Nilo Peçanha, fazer parte dele é de uma experiência imensuravel, não fazia noção de quanto uma entidade estudantil poderia representar e conquisar, aprendo todos os dias uma nova coisa, e também ensino, tem sido maravilhoso fazer parte disso.</t>
  </si>
  <si>
    <t>No âmbito profissional, busco aprimorar minhas habilidades e expandir meus conhecimentos, visando uma carreira que me permita crescer e contribuir significativamente para a sociedade. Estou entusiasmada com a possibilidade de trabalhar em ambientes inovadores e dinâmicos, onde eu possa aprender constantemente e enfrentar novos desafios.    Culturalmente, estou ansiosa para explorar novas experiências que enriqueçam minha visão de mundo. Desejo me envolver com diferentes comunidades, aprender sobre suas tradições e valores, e, assim, expandir minha compreensão sobre a diversidade cultural. Acredito que essas experiências irão não apenas enriquecer minha vida pessoal, mas também me proporcionar</t>
  </si>
  <si>
    <t>502.634.238-83</t>
  </si>
  <si>
    <t>AMANDA DE QUEIROZ MOURA ALVES</t>
  </si>
  <si>
    <t>Amanda De Queiroz Moura Alves</t>
  </si>
  <si>
    <t>514.***.***-51</t>
  </si>
  <si>
    <t>alves.amandaqm@gmail.com</t>
  </si>
  <si>
    <t>https://yz2spukd8h-jbrk7pf7uvw.s3.amazonaws.com/2024/04/QVS1oFjENcdRrvyw4ZTfxR2TsfDtDpcU/FlCf8A7Xww%3D.jpg</t>
  </si>
  <si>
    <t>32624548</t>
  </si>
  <si>
    <t>19 anos, 3 meses, 21 dias</t>
  </si>
  <si>
    <t>08340-510</t>
  </si>
  <si>
    <t>Rua Pedro Medeiros</t>
  </si>
  <si>
    <t>310</t>
  </si>
  <si>
    <t>502520498</t>
  </si>
  <si>
    <t>(11) 93488-7347</t>
  </si>
  <si>
    <t>Tecnico Juridico</t>
  </si>
  <si>
    <t>https://www.instagram.com/yoadnama/</t>
  </si>
  <si>
    <t>Ciencias  da tecnologia</t>
  </si>
  <si>
    <t>https://drive.google.com/file/d/1j1Rh1PO5x-JwQdUXp8TGAHTaagXLnuOz/view?usp=sharing</t>
  </si>
  <si>
    <t>514.976.188-51</t>
  </si>
  <si>
    <t>DEBORAH PAULA SOUZA</t>
  </si>
  <si>
    <t>Deborah Paula Souza</t>
  </si>
  <si>
    <t>490.***.***-99</t>
  </si>
  <si>
    <t>deborahnefer@gmail.com</t>
  </si>
  <si>
    <t>https://yz2spukd8h-jbrk7pf7uvw.s3.amazonaws.com/2024/05/sg%2BKfpN6Dd%2B4K%2BCGWrYjZ3fwBTwaNI%2BTncljglMkwX4%3D.jpg</t>
  </si>
  <si>
    <t>32720482</t>
  </si>
  <si>
    <t>23 anos, 6 meses, 12 dias</t>
  </si>
  <si>
    <t>curso de Educador Social pelo Senac e assistente de marketing e vendas.</t>
  </si>
  <si>
    <t>Vila Itaim</t>
  </si>
  <si>
    <t>08190-390</t>
  </si>
  <si>
    <t>Rua Ambuá</t>
  </si>
  <si>
    <t>268</t>
  </si>
  <si>
    <t>525182706</t>
  </si>
  <si>
    <t>(11) 98619-4661</t>
  </si>
  <si>
    <t>demorahnefer@gmail.com</t>
  </si>
  <si>
    <t>https://www.instagram.com/debpaula.art?igsh=dDdsd21hbDh4aW1z</t>
  </si>
  <si>
    <t>Ciências Biologicas</t>
  </si>
  <si>
    <t>Meu nome é Deborah, tenho 23 anos e moro atualmente na periferia do Itaim Paulista, onde nasci e também cresci.  Venho de uma família com traços artísticos e culturais, e que marcaram o meu desenvolvimento pessoal.  De algumas das habilidades que desenvolvi em meio familiar, as principais foram artesanato e música.  De maneira autônoma, busquei desenvolver outras habilidades artísticas e culturais, foi onde eu entrei em contato com a dança e a poesia, através das casas de cultura, a arte sempre me ajudou a me entender melhor e  desenvolver inteligência emocional, ainda mais nas fases difíceis da vida.  A arte e a cultura sempre foram ótimas ferramentas para minha auto lapidação.</t>
  </si>
  <si>
    <t>Em questão familiar, sou cuidadora da minha avó em tempo integral. Minha avó é uma senhora de 85 com a saúde frágil e que precisa de auxílio diário.  Em questão profissional, no momento, me encontro desempregada. Até pouco tempo atrás, estava fazendo alguns freelances, porém, estava trabalhando muito(12h por trabalho), em troca de pouco pagamento, além de estar comprometendo diretamente minha saúde física, emocional e mental, sem contar que me encontrava indisponível para os cuidados com a minha avó.  Me vendo nesta situação, eu preferi dedicar meu tempo integral à saúde minha avó e ir em busca de oportunidades que respeitassem minha integridade e disponibilidade de horário.</t>
  </si>
  <si>
    <t>No momento, busco oportunidades que estejam alinhadas com o que sou, uma artista, e uma cuidadora. Quero poder me dedicar ao que gosto, podendo também, contribuir com meu trabalho, sem desrespeito aos meus valores e posicionamentos. Podendo também, desenvolver melhor minhas habilidades artísticas e culturais, além das habilidades com o público.  Busco sempre me desenvolver onde estou, para que eu possa trazer um melhor auxílio e apoio ao público e à minha equipe, como prestadora de serviços.</t>
  </si>
  <si>
    <t>490.356.948-99</t>
  </si>
  <si>
    <t>GABRIEL DOS ANJOS BRIXNER</t>
  </si>
  <si>
    <t>Gabriel Dos Anjos Brixner</t>
  </si>
  <si>
    <t>069.***.***-92</t>
  </si>
  <si>
    <t>gabrielanjos.brixner@gmail.com</t>
  </si>
  <si>
    <t>https://yz2spukd8h-jbrk7pf7uvw.s3.amazonaws.com/2024/06/Xuv2QAdkZuY49U%2BMYOipJpPrP7ejc77SkM2qXAhjHAg%3D.jpeg</t>
  </si>
  <si>
    <t>32836331</t>
  </si>
  <si>
    <t>21 anos, 0 meses, 30 dias</t>
  </si>
  <si>
    <t>Cursando Designer de Midias Digitais</t>
  </si>
  <si>
    <t>50.803.331-7</t>
  </si>
  <si>
    <t>(11) 97572-3704</t>
  </si>
  <si>
    <t>gabrielanjos.brixner@gmil.com</t>
  </si>
  <si>
    <t>https://www.instagram.com/mandacaru.arts?igsh=MXF1b2h1M3NkOG1xMg==</t>
  </si>
  <si>
    <t>Comunicação Visual</t>
  </si>
  <si>
    <t>Meu nome é Gabriel dos Anjos Brixner, sou natural de Guarulhos, mas atualmente moro em São Paulo com meu cunhado, irmã mais velha e meus dois irmãos mais novos. Morei muitos anos com minha família no Piauí, em uma pequena cidade, porém vim para São Paulo morar com meu cunhado e minha irmã em busca de boas oportunidades.  Meus irmãos mais novos moravam no Piauí com minha mãe, porém, após ela falecer eles vieram morar conosco em São Paulo. Meu cunhado provém sozinho tudo o que nós precisamos.</t>
  </si>
  <si>
    <t>Atualmente concluí o ensino médio integrado ao curso técnico de Comunicação Visual pela Etec Tiquatira e estou cursando Design de Mídias Digitais pela Fatec Carapicuíba. Estou em busca de emprego para ajudar com as necessidades em casa. Eventualmente consigo algum trabalho freelancer seja de Design Gráfico, Ilustração ou Tatuagem, que são as áreas das quais tenho muita habilidade e conhecimento, porém, é muito difícil conseguir trabalhos freelancer, e quando consigo, não é bem remunerado. Por essas causas estou à procura de um trabalho no modo CLT</t>
  </si>
  <si>
    <t>Sempre gostei de aprender coisas novas, gosto de estudar áreas de meu interesse. Sou apaixonado por design, ilustração e artes visuais. Quero seguir nessa carreira, pretendo cursar uma pós-graduação e futuramente lecionar na área. Sou muito versátil e gosto de me manter bem informado, principalmente das areas de meu interesse, tendo em vista a área de Comunicação Visual, já realizei trabalhos de ilustração de quadros feitos à mão, pinturas digitais, grafite, design gráfico e tatuagem. Gosto de trabalhar com projetos diferentes pois credito que estar aberto à novas experiências e testar coisas novas me faz crescer profissionalmente, além de me capacitar a lidar com situações de mudança.</t>
  </si>
  <si>
    <t>069.793.613-92</t>
  </si>
  <si>
    <t>DAVID SANTOS DE JESUS</t>
  </si>
  <si>
    <t>David Santos De Jesus</t>
  </si>
  <si>
    <t>NÃO POSSUO NOME SOCIAL</t>
  </si>
  <si>
    <t>Não Possuo Nome Social</t>
  </si>
  <si>
    <t>513.***.***-26</t>
  </si>
  <si>
    <t>david_s333@hotmail.com</t>
  </si>
  <si>
    <t>https://yz2spukd8h-jbrk7pf7uvw.s3.amazonaws.com/2024/04/csbh8XTy/OOs0G8pIAk/g2G/jup7ah83Z3ozubOuczY%3D.jpg</t>
  </si>
  <si>
    <t>32592493</t>
  </si>
  <si>
    <t>24 anos, 10 meses, 30 dias</t>
  </si>
  <si>
    <t>08120-260</t>
  </si>
  <si>
    <t>Avenida Lago Xarais</t>
  </si>
  <si>
    <t>277</t>
  </si>
  <si>
    <t>37357406</t>
  </si>
  <si>
    <t>(11) 95953-8712</t>
  </si>
  <si>
    <t>DAVID_533@HOTMAIL.COM</t>
  </si>
  <si>
    <t>https://www.instagram.com/davidrapptor/?next=%2F</t>
  </si>
  <si>
    <t>Meu nome é David, venho de uma família muito rica em cultura, desde cedo fui introduzido no universo da música como ouvinte, não demorou para que me interessa-se por desenho e tornasse este o meu principal método de expressão, não existem muitas oportunidades para trabalhar com desenho na periferia da zona leste, logo, me dediquei no estudo das artes para conquistar meu espaço, acredito que com apoio do projeto posso me desenvolver melhor.</t>
  </si>
  <si>
    <t>Hoje estou trabalhando em uma garagem de ônibus como auxiliar, apesar de nunca ter conseguido atuar na área da cultura e arte, eu entendo que tenho enorme potencial para isso, claro que toda trajetória começa com primeiro passo e acredito que esse edital possa ser minha oportunidade de conseguir estar além dos cargos que não me trazem nada além de dinheiro.</t>
  </si>
  <si>
    <t>pretendo conquistar meu espaço na área da arte, cultura e educação para que possa por em prática tudo que eu aprendi na universidade, escola, cursos e principalmente tudo que aprendi com minha vivência, tudo que se pode ter aprendido teoricamente, começa ter sentido somente quando se aplica na prática, eu acredito que vou até aonde se pode chegar sendo jovem e sonhador.</t>
  </si>
  <si>
    <t>513.707.978-26</t>
  </si>
  <si>
    <t>LEANDRO DE SA FERREIRA DA SILVA</t>
  </si>
  <si>
    <t>Leandro De Sá Ferreira Da Silva</t>
  </si>
  <si>
    <t>LEANDRO DE SÁ FERREIRA DA SILVA</t>
  </si>
  <si>
    <t>546.***.***-95</t>
  </si>
  <si>
    <t>leandrodesafsilva@gmail.com</t>
  </si>
  <si>
    <t>https://yz2spukd8h-jbrk7pf7uvw.s3.amazonaws.com/2024/04/Wdu2QNRCCAl9xpiTLGI9pHnX8tps26ZpqGySYbzFVeI%3D.jpg</t>
  </si>
  <si>
    <t>32552820</t>
  </si>
  <si>
    <t>19 anos, 4 meses, 24 dias</t>
  </si>
  <si>
    <t>Conjunto Habitacional Santa Etelvina III</t>
  </si>
  <si>
    <t>08485-501</t>
  </si>
  <si>
    <t>Rua Maria Elisa Lacerda</t>
  </si>
  <si>
    <t>588662380</t>
  </si>
  <si>
    <t>(11) 94110-6487</t>
  </si>
  <si>
    <t>LEANDRODESAF5SILVA@GMAIL.COM</t>
  </si>
  <si>
    <t>Nascido em Santo André, criado na Cidade Tiradentes. Desde criança ouvindo diversos tipos de música, fez crescer uma enorme paixão por culturas em si. Um carinho que só aumentou com o tempo. Criado uma parte da vida pela minha vó e a maior parte pelos meus pais, venho trazendo diversas vivências e conceitos que me formaram o que sou hoje. Assim, seguindo um dia após o outro.</t>
  </si>
  <si>
    <t>Atualmente, me encontro com esse amor pela cultura maior do que nunca. Depois que comecei a ir em batalhas de rima, pesquisar sobre e conhecer esse meio, foi algo que só me instigou cada vez mais a buscar entender mais e mais diversos tipos e meios de cultura. Não só batalhas, mas, shows, teatros, e museus, são meios incríveis de se aproximar cada vez mais de muitas culturas que existe no Brasil, e fora dele.</t>
  </si>
  <si>
    <t>Atualmente trabalhando como camelô perto do terminal, e fazendo RH na Unicid, queria ser diferente da maioria que trabalha com o que não gosta para ganhar um salário mínimo, logo no começo da jornada para a vida adulta. Eu pretendo trabalhar com algo que seja, de fato, do meu interesse. Assim iniciando bem minha jornada, rumo a uma vida sensacional!</t>
  </si>
  <si>
    <t>LESTE - 10</t>
  </si>
  <si>
    <t>546.704.438-95</t>
  </si>
  <si>
    <t>FABRICIO FREITAS PACHECO</t>
  </si>
  <si>
    <t>Fabrício Freitas Pacheco</t>
  </si>
  <si>
    <t>FABRÍCIO FREITAS</t>
  </si>
  <si>
    <t>Fabrício Freitas</t>
  </si>
  <si>
    <t>493.***.***-80</t>
  </si>
  <si>
    <t>fabriciojunior72@gmail.com</t>
  </si>
  <si>
    <t>https://yz2spukd8h-jbrk7pf7uvw.s3.amazonaws.com/2024/06/om4a%2Bw0aZ9AOK7kDmogiHnyNPWICXaCGEfW6rrYQuLo%3D.jpeg</t>
  </si>
  <si>
    <t>32890136</t>
  </si>
  <si>
    <t>23 anos, 9 meses, 11 dias</t>
  </si>
  <si>
    <t>Jardim Rosana</t>
  </si>
  <si>
    <t>05795-140</t>
  </si>
  <si>
    <t>Campo Limpo</t>
  </si>
  <si>
    <t>Rua Arnaldo Carvalho Martins</t>
  </si>
  <si>
    <t>532084949</t>
  </si>
  <si>
    <t>(11) 95379-7918</t>
  </si>
  <si>
    <t>https://drive.google.com/drive/folders/1dTB_iSPE5G1c85pxRnGalHtn7lNtQsO2</t>
  </si>
  <si>
    <t>BACHARELADO EM ADMINISTRACAO</t>
  </si>
  <si>
    <t>https://drive.google.com/file/d/1ScEREhIYtdCubcXSOGjMNH0ifmSD6nMf/view?usp=drivesdk</t>
  </si>
  <si>
    <t>493.620.418-80</t>
  </si>
  <si>
    <t>DAVI DOS SANTOS PIRES</t>
  </si>
  <si>
    <t>Davi Dos Santos Pires</t>
  </si>
  <si>
    <t>378.***.***-52</t>
  </si>
  <si>
    <t>davisantospires64@gmail.com</t>
  </si>
  <si>
    <t>https://yz2spukd8h-jbrk7pf7uvw.s3.amazonaws.com/2024/06/BAu9QOz2aJUZ36gfstuT63XWXNCetRKKPyvJdo96oiE%3D.jpeg</t>
  </si>
  <si>
    <t>32845208</t>
  </si>
  <si>
    <t>19 anos, 1 meses, 8 dias</t>
  </si>
  <si>
    <t>04063-110</t>
  </si>
  <si>
    <t>Rua Abricó Natal</t>
  </si>
  <si>
    <t>195</t>
  </si>
  <si>
    <t>398731615</t>
  </si>
  <si>
    <t>(11) 94505-4621</t>
  </si>
  <si>
    <t>https://www.instagram.com/bydavipires?igsh=N2V1NHZtYnI5eWFk</t>
  </si>
  <si>
    <t>Me chamo Davi Santos Pires, tenhe 18 anos moro com minha mãe, Fátima de 48 anos e meu irmão Marco  Antônio de 12 anos no bairro do Graiaú, - periferia no extremo sul de São Paulo. Meu pai, infelizmente faleu  hâ três anos. Sou de uma familia nordestina do interior de Pernambuco, que se mudaram há 25 anos  em busca de uma vida melhor na capital de São Paulo.   Graças ao esforço deles, os seus filhos e até os próprios iniciaram e ou concluíram suas graduacões. Sou desta origem potente, ancestral de luta e meu objetivo maior é poder faze jus a esta trajetória de quem me trouxe até aqui.</t>
  </si>
  <si>
    <t>Concluí o ensino médio em 2023 e este ano iniciei a graduação de Pedagogia na universidade Uninove, atualmente cursando o 1° semestre do curso. Escolhi este curso pois admiro muito essa profissão que lida diretamente com a formação de crianças e jovens.  Sou um jovem preto, periférico e homossexual de 18 anos que está na fase de descobertas em relação as minhas preferências  pessoais, profissonais, opiniões políticas e sociais.  Sinto que estou num momento de observar para aprender e poder ser assim, exemplo para os meus.</t>
  </si>
  <si>
    <t>Pretendo continuar minha formação em Pedagogia e num futuro próximo, fazer parte da formação das crianças e jovens para construção da autoestima intelectual, física, opniões mais diversas e preocupações maiores com o ambiente.   Desejo estar em espaços profisionais onde eu possa colaborar com ideias que sejam valorizadas, mão na massa para a realização do trabalho em conjunto e se tudo der certo, poder fazer parte da construção do trabalho cultural na região que eu resido.</t>
  </si>
  <si>
    <t>378.106.408-52</t>
  </si>
  <si>
    <t>ISABELLA OLIVEIRA ALVES BRANCO</t>
  </si>
  <si>
    <t>Isabella Oliveira Alves Branco</t>
  </si>
  <si>
    <t>487.***.***-73</t>
  </si>
  <si>
    <t>brancoisabellaa@gmail.com</t>
  </si>
  <si>
    <t>https://yz2spukd8h-jbrk7pf7uvw.s3.amazonaws.com/2024/05/0OshQB3H9S4THlRlvfrZWCh0jMUOkUSGF3wV/7UhoB4%3D.jpeg</t>
  </si>
  <si>
    <t>32824661</t>
  </si>
  <si>
    <t>22 anos, 1 meses, 1 dias</t>
  </si>
  <si>
    <t>NÃO CONCLUIU O SUPERIOR</t>
  </si>
  <si>
    <t>Penha</t>
  </si>
  <si>
    <t>03820-220</t>
  </si>
  <si>
    <t>Rua Afrânio</t>
  </si>
  <si>
    <t>136</t>
  </si>
  <si>
    <t>520035161</t>
  </si>
  <si>
    <t>(11) 93428-4677</t>
  </si>
  <si>
    <t>BRANCOSABELLA@GMAIL.COM</t>
  </si>
  <si>
    <t>https://www.instagram.com/bellabrancoo?igsh=M2R5a2xubng1YnI4</t>
  </si>
  <si>
    <t>Me chamo Isabella e estou com 22 anos.   Nasci artista e entusiasta de todas as linguagens da arte e cultura.   Venho de uma família desestruturada mas com muito amor, moro com meu pai cuja obtém minha tutela judicial desde minha infância, ele é meu apoio em tudo.   Além dele moro com mais sete familiares. Desde os quinze anos busco trabalho na minha área mas só obtive experiencias prestando serviço como freelancer em eventos, pesquisas de mercado e recepção.</t>
  </si>
  <si>
    <t>Hoje eu estudo arte de forma autônoma em paralelo ao bacharelado que faço em artes visuais e também cursos na Fábrica de cultura e na Rede Daora.   Busco por vivencias que me ofereçam aprendizados e direcionem os caminhos e carreiras que posso seguir na arte. Participo de diversas oficinas culturais e cursos gratuitos da área, faço voluntariado com atividades para crianças, além de propor recreações e experiências artísticas semanalmente com as crianças do meu convívio.   Me considero artista multifacetada, já que pratico colagem e recorte, desenho, gravuras e pinturas, artesanatos, esculturas de cerâmica, fotografia - vídeo e edição de ambos), maquiagem social, artística e editorial, tatuagem</t>
  </si>
  <si>
    <t>Vou para ambientes onde eu seja um agente agregador e multiplicador, visando a democratização, intercâmbiamento e expansão da cultura e arte por vias públicas como objetivo maior.   Espero alcançar lugares e comunidades com as experiências que obtive até aqui e as que ganharei com o programa jovem aprendiz, que tenho certeza ser o primeiro passo ideal na minha carreira dentro da cultura, arte e programas sociais.</t>
  </si>
  <si>
    <t>487.123.398-73</t>
  </si>
  <si>
    <t>GABRIEL DOS SANTOS DA SILVA</t>
  </si>
  <si>
    <t>Gabriel Dos Santos Da Silva</t>
  </si>
  <si>
    <t>436.***.***-60</t>
  </si>
  <si>
    <t>contatogabriel.s@gmail.com</t>
  </si>
  <si>
    <t>https://yz2spukd8h-jbrk7pf7uvw.s3.amazonaws.com/2024/05/x9QyePs8fV2Y30wMzfuBAXF5IADItgseAHHLXWllOB4%3D.jpg</t>
  </si>
  <si>
    <t>32693508</t>
  </si>
  <si>
    <t>27 anos, 10 meses, 8 dias</t>
  </si>
  <si>
    <t>Formado em  Artes  Visuais</t>
  </si>
  <si>
    <t>Vila Princesa Isabel</t>
  </si>
  <si>
    <t>08410-210</t>
  </si>
  <si>
    <t>Rua Iguatama</t>
  </si>
  <si>
    <t>386490326</t>
  </si>
  <si>
    <t>(11) 99932-0028</t>
  </si>
  <si>
    <t>Artes  Visuais</t>
  </si>
  <si>
    <t>Nascido e criado na Zona Leste, do Sapopemba e atualmente em Guaianases, sempre me interessei pelo movimento cultural da cidade, participei de diversos projetos independentes pela grande São Paulo até focar nos estudos para ingressar na universidade pública. Dois anos de muita luta até entrar na Unesp, campus Bauru, onde pude participar de produções audiovisual e expositivas. Retorno para capital para concluir meus estudos no Instituto de Artes da Unesp, onde começo trabalhar com arte-educação e produção cultural até me formar.</t>
  </si>
  <si>
    <t>Recém-formado, estou atualmente em busca de oportunidades nas áreas de produção cultural, arte-educação e audiovisual. Estou dedicando meu tempo e energia para aprimorar minhas habilidades na fotografia, design gráfico e educação, visando fazer diferença positiva nos espaços em que atuo. Determinado a crescer profissionalmente e a contribuir de forma significativa para projetos e colaborações, estando sempre aberto a novas propostas de desenvolvimento e aprendizado ao longo do caminho.</t>
  </si>
  <si>
    <t>O trabalho na cena cultural da cidade é o que me motiva profundamente. Pretendo seguir estudando e me especializando na área de produção e gestão cultural. Tenho o objetivo de expandir meu foco para áreas fora da região central, compreendendo a dinâmica das comunidades locais para colaborar e desenvolver projetos com agentes locais. Além disso, pretendo aprofundar e dar seguimento aos meus próprios projetos pessoais, buscando sempre contribuir de forma significativa para o enriquecimento cultural e social das comunidades em que estou inserido.</t>
  </si>
  <si>
    <t>436.831.058-60</t>
  </si>
  <si>
    <t>GABRIEL SANTANA NERES</t>
  </si>
  <si>
    <t>Gabriel Santana Neres</t>
  </si>
  <si>
    <t>517.***.***-60</t>
  </si>
  <si>
    <t>gabriel.gsantana10@gmail.com</t>
  </si>
  <si>
    <t>https://yz2spukd8h-jbrk7pf7uvw.s3.amazonaws.com/2024/06/2PeGRB9uCzxj2qsxJlR/fIgJLNFEE20yKxP/Oidvo6s%3D.jpeg</t>
  </si>
  <si>
    <t>32836469</t>
  </si>
  <si>
    <t>19 anos, 1 meses, 24 dias</t>
  </si>
  <si>
    <t>08380-220</t>
  </si>
  <si>
    <t>Rua Confederação dos Tamoios</t>
  </si>
  <si>
    <t>728</t>
  </si>
  <si>
    <t>524688394</t>
  </si>
  <si>
    <t>(11) 91051-3713</t>
  </si>
  <si>
    <t>gabrielgsantana.10@gmail.com</t>
  </si>
  <si>
    <t>Ciências  e Humanidades</t>
  </si>
  <si>
    <t>Eu vim de um lugar onde a minha existência sempre foi questionada, onde eu sempre precisei  diminuir quem sou e fingir ser outra pessoa para que eu pudesse sobreviver nesse local hostil. Por ser péssimo em esconder a minha essência me vi muitas das vezes deslocado, desconfortável e ate mesmo não pertencente de determinados lugares ou pessoas, que jamais tiveram a necessidade de questionar suas existências.</t>
  </si>
  <si>
    <t>Estou sempre em constante aprendizado, descobrindo o mundo, descobrindo à mim mesmo, tentando ser a minha melhor versão, me permitindo errar, me permitindo sonhar, me apaixonando por momentos, pessoas, lugares e vivendo com toda intensidade possível, apesar dos preconceitos e dificuldades que enfrento me mantenho otimista com a vida, pois acredito que ela vale a pena.</t>
  </si>
  <si>
    <t>Espero do fundo do meu coração ir para um lugar onde não precise fingir, onde não tenha medo de ser quem eu sou, onde a minha existência ainda precise ser questionada mas não por preconceitos antigos e sim pelas minhas ações, onde eu não precise mais me esconder e possa finalmente ser livre para traçar meu próprio destino e viver a minha vida como eu quiser.</t>
  </si>
  <si>
    <t>517.001.518-60</t>
  </si>
  <si>
    <t>ARTUR MOREIRA AMARO</t>
  </si>
  <si>
    <t>Artur Moreira Amaro</t>
  </si>
  <si>
    <t>562.***.***-59</t>
  </si>
  <si>
    <t>arturamaro2000@gmail.com</t>
  </si>
  <si>
    <t>https://yz2spukd8h-jbrk7pf7uvw.s3.amazonaws.com/2024/06/Gc4z2uhbF/SEAreQ0k0YkGjrCZ8JoZfjRuNknVLAv/g%3D.jpg</t>
  </si>
  <si>
    <t>32845303</t>
  </si>
  <si>
    <t>19 anos, 10 meses, 7 dias</t>
  </si>
  <si>
    <t>Separar do candidato Danilo Amaro CPF final 49 (irmão)</t>
  </si>
  <si>
    <t>57353715</t>
  </si>
  <si>
    <t>(11) 93405-7451</t>
  </si>
  <si>
    <t>BIBLIOTECA ANNE FRANK</t>
  </si>
  <si>
    <t>meu nome é artur moreira amaro vim de São paulo estudei em escola pública a vida toda tenho 19 anos tenho 2 irmãos trabalho como jovem aprendiz em um mercado.................................................................................................................................................................................................</t>
  </si>
  <si>
    <t>estou em São paulo com 19 anos trabalhando de jovem aprendiz morando com meu irmãos e outros parentes, são várias casas no mesmo quintal......................................................................................................................................................................................................................</t>
  </si>
  <si>
    <t>não sei para onde vou mas espero sempre que minha vida melhore cada vez mais..................................................................................................................................................................................................................................................................................</t>
  </si>
  <si>
    <t>562.607.348-59</t>
  </si>
  <si>
    <t>LORRANA CEREZER GUIMARAES</t>
  </si>
  <si>
    <t>Lorrana Cerezer Guimarães</t>
  </si>
  <si>
    <t>LORRANA CEREZE GUIMARAES</t>
  </si>
  <si>
    <t>448.***.***-16</t>
  </si>
  <si>
    <t>cerezerlorrana@gmail.com</t>
  </si>
  <si>
    <t>https://yz2spukd8h-jbrk7pf7uvw.s3.amazonaws.com/2024/05/Ebg/has2KnI6kw26fOQytouUB0et8ocNN%2BKebP0TEPs%3D.jpg</t>
  </si>
  <si>
    <t>32701695</t>
  </si>
  <si>
    <t>25 anos, 5 meses, 29 dias</t>
  </si>
  <si>
    <t>bloco E apartamento 207</t>
  </si>
  <si>
    <t>38274987x</t>
  </si>
  <si>
    <t>(11) 95492-9769</t>
  </si>
  <si>
    <t>bacharel em ciencias sociais (completo) licenciatura em ciencias sociais (cursando)</t>
  </si>
  <si>
    <t>Prazer, Lorrana. Fui por anos a mais nova integrante de uma família de mulheres. Quatro filhas, uma mãe e uma avó dividiam um lar lá em Jacareí, a uns 100 km de São Paulo, mas que pra mim era a cidade do rio Paraíba. Onde moravam meus amigos, onde fazia as aulas de dança, onde bebia vinho ouvindo as batalhas de rima no pátio dos trilhos. Com 18 anos  peguei o metrô pela primeira rumo ao meu novo lar: um sofá velho em uma casa com muitos outros estudantes da USP. Foi nessa época que passei a elaborar minhas vivências em outros termos. Dois anos no curso de Lazer e Turismo me deram bagagem para refletir sobre os equipamentos, a importância da cultura e as barreiras de acesso.</t>
  </si>
  <si>
    <t>Quatro casas depois, uns seis trabalhos e uma mudança de graduação, hoje estou finalizando a licenciatura em Ciências Sociais. Nesses anos,  me apaixonei pela educação, escolas e projetos me propiciaram o contato com o viés artístico e político das infâncias, que gerou uma Iniciação Científica sobre desenhos das crianças moradoras na moradia da USP. A paixão por dança, que ficou um tempo engavetada, agora encontra espaço em cursos e vivências. No trabalho atual em um escritório de extensão de urbanismo, elaborar práticas e oficinas participativas  em contato com lideranças e coletivos do território da São Remo me fazem conhecer novas histórias; potencialidades e desafios dos espaços urbanos.</t>
  </si>
  <si>
    <t>Usufruir da diversidade de museus, shows, bares, cursos, restaurantes, galerias, arquitetura diversa, são possibilidades que São Paulo oferece, e o encantamento de quem chega na cidade grande permanace. Ainda que um pouco mais apropriada dos caminhos, as intersecções entre arte, cultura, entre o disruptivo, mas também a rotina, são caminhos que ainda quero conhecer melhor. Finalizar um ciclo que me trouxe aqui para São Paulo, a graduação, mas continuar no processo de aprender ensinando com tudo e todes.</t>
  </si>
  <si>
    <t>448.386.998-16</t>
  </si>
  <si>
    <t>GIOVANNA SANTOS LONGOBARDI</t>
  </si>
  <si>
    <t>Giovanna Santos Longobardi</t>
  </si>
  <si>
    <t>466.***.***-09</t>
  </si>
  <si>
    <t>giovannasantoslongobardi@gmail.com</t>
  </si>
  <si>
    <t>https://yz2spukd8h-jbrk7pf7uvw.s3.amazonaws.com/2024/05/RFT0ZxX/R4SoGR7y%2BbpLdbDpV4OTRSN7PbkL46DKs10%3D.jpg</t>
  </si>
  <si>
    <t>32750782</t>
  </si>
  <si>
    <t>23 anos, 5 meses, 7 dias</t>
  </si>
  <si>
    <t>tecnico comunicacao  visual finalizado, producao  cultural para  danca</t>
  </si>
  <si>
    <t>03646-060</t>
  </si>
  <si>
    <t>Apto 8</t>
  </si>
  <si>
    <t>Rua Celina</t>
  </si>
  <si>
    <t>524329503</t>
  </si>
  <si>
    <t>(11) 94714-4788</t>
  </si>
  <si>
    <t>giovannasantoslongobrdi@gmail.com</t>
  </si>
  <si>
    <t>https://www.instagram.com/topgika/</t>
  </si>
  <si>
    <t>comunicacao  social  radio  e tv e internet</t>
  </si>
  <si>
    <t>Sou natural de São Paulo - SP, nascida e criada na Zona Leste. Venho de uma família onde sou a única artista, e desde criança me expresso artisticamente das mais variadas formas. Tenho uma vivência do teatro e do circo que por mais que não sejam tão presentes, ainda reverberam minha corporeidade. Sou técnica em Comunicação Visual pela ETEC José Rocha Mendes e bacharela em Rádio TV e Internet pela Universidade Anhembi Morumbi.  Trabalhei como Estagiária de Comunicação no Instituto Unibanco, Estagiária de Programação Musical na 89 A Rádio Rock e  Auxiliar Administrativa na  Associação de Desenvolvimento Espiritual Reencontro.</t>
  </si>
  <si>
    <t>Tenho 23 anos e moro na Vila Esperança, bairro que mesmo que há pouco tempo, já é especial para mim. Atualmente estudo Produção e Gestão Cultural na São Paulo Escola de Dança, onde também estudo Língua Brasileira de Sinais (LIBRAS). Trabalho como freelancer em Produção Cultural, no momento com algumas bandas além da minha própria, onde desenvolvo meu trabalho artístico enquanto cantora. Faço parte do Coletivo Capivara Filmes e do Coletivo Doca como produtora e agitadora cultural.</t>
  </si>
  <si>
    <t>Tenho interesse em sempre aprimorar meus conhecimentos teóricos e práticos a respeito da cultura e do fazer cultural. Gostaria de estar mais perto da gestão pública de cultura, para entender e viabilizar o acesso da arte para todes enquanto instrumento de transformação social. Quero alçar vôos cada vez maiores como artista criadora e gestora, e adquirir ferramentas para ajudar os grupos e coletivos os quais eu faço parte para que eles se tornem cada vez mais sustentáveis e colaborem para o bem viver de seus fazedores de cultura.</t>
  </si>
  <si>
    <t>466.337.548-09</t>
  </si>
  <si>
    <t>GUSTAVO MUNIZ DOS SANTOS</t>
  </si>
  <si>
    <t>Gustavo Muniz Dos Santos</t>
  </si>
  <si>
    <t>503.***.***-90</t>
  </si>
  <si>
    <t>munizgustavo2612@gmail.com</t>
  </si>
  <si>
    <t>https://yz2spukd8h-jbrk7pf7uvw.s3.amazonaws.com/2024/06/2nkuD5qovntNXOIyHHRtDGTu0E5jz/TbOsKlY45KcwI%3D.jpg</t>
  </si>
  <si>
    <t>32914814</t>
  </si>
  <si>
    <t>21 anos, 5 meses, 23 dias</t>
  </si>
  <si>
    <t>formado em julho de  2024</t>
  </si>
  <si>
    <t>08450-530</t>
  </si>
  <si>
    <t>Rua João Maciel Baião</t>
  </si>
  <si>
    <t>520140795</t>
  </si>
  <si>
    <t>(11) 99143-2766</t>
  </si>
  <si>
    <t>analise e desenvolvimento de sistemas</t>
  </si>
  <si>
    <t>Nascido e criado no Lajeado, na Zona Leste de São Paulo, fui desde cedo imerso em um ambiente rico em arte e cultura. O grafite nas paredes, as rodas de samba, e o projeto Cine Campinho, que ocorria ao lado da minha casa, foram fundamentais na minha formação. Meu professor de literatura no Ensino Fundamental, Felipe, despertou em mim uma paixão pela leitura e pelo teatro. Além disso, meu pai ampliou meu horizonte musical desde cedo, apresentando-me a diversos estilos. Esse contexto moldou minha percepção sobre o poder transformador da arte e da cultura.</t>
  </si>
  <si>
    <t>Escolhi a graduação em Análise e Desenvolvimento de Sistemas influenciado pelos meus pais, que identificaram minha afinidade com computadores e consideraram esse caminho promissor. No entanto, durante o curso, percebi que, embora a tecnologia seja crucial, é a arte que realmente dá sentido à vida. Atualmente, dedico-me a projetos pessoais de poesia, música e escrita criativa, buscando reconectar-me com minhas verdadeiras paixões e explorando como essas expressões podem enriquecer meu percurso pessoal e profissional.</t>
  </si>
  <si>
    <t>Meu objetivo é seguir como artista independente e difundir o impacto positivo que a arte e a cultura podem ter na vida das pessoas. Planejo continuar criando e compartilhando minhas obras, além de reunir e organizar ideias para projetos culturais. Acredito que o Programa Jovem Monitor Cultural será essencial para desenvolver minhas habilidades e expandir minha atuação, permitindo-me contribuir de maneira mais eficaz para a disseminação da cultura e a melhoria da vida comunitária. Estou comprometido em usar minha criatividade e organização para realizar projetos que aproximem e inspirem pessoas.</t>
  </si>
  <si>
    <t>503.548.218-90</t>
  </si>
  <si>
    <t>JULIA SANTOS MACHADO</t>
  </si>
  <si>
    <t>Julia Santos Machado</t>
  </si>
  <si>
    <t>469.***.***-16</t>
  </si>
  <si>
    <t>juliamachadovoz@gmail.com</t>
  </si>
  <si>
    <t>https://yz2spukd8h-jbrk7pf7uvw.s3.amazonaws.com/2024/04/6DrmZHrs8aQnHy7M%2BBpEECArhv4j5Fh9unFHybbwRak%3D.jpg</t>
  </si>
  <si>
    <t>32575809</t>
  </si>
  <si>
    <t>CURSANDO FONOAUDIOLOGIA</t>
  </si>
  <si>
    <t>08142-405</t>
  </si>
  <si>
    <t>Número 10B</t>
  </si>
  <si>
    <t>Rua Mar de Coral</t>
  </si>
  <si>
    <t>50682620X</t>
  </si>
  <si>
    <t>(11) 91339-9370</t>
  </si>
  <si>
    <t>JULIAMACHADOVOZ@GMAIL.COM</t>
  </si>
  <si>
    <t>REGÊNCIAS</t>
  </si>
  <si>
    <t>Nasci na Zona Leste de São Paulo, filha de mãe solo e, desde a infância, meus maiores interesses envolviam arte. Comecei a estudar música aos 14 anos, meu primeiro instrumento foi bateria, depois comecei a estudar violão e depois canto e percebi que a voz é meu instrumento preferido. Estudo canto desde os 15 anos e, aos 18, comecei a dar aulas. Me formei em regência na Etec de Artes e participei ativamente em um coral de uma igreja como corista e treinadora vocal. Junto a este coral cantei em presídios, praças, shoppings, metrôs, casas de reabilitação, casas de repouso e eventos públicos de liberdade religiosa.  Também ministrei oficinas de musicalização e canto para adolescentes em escolas.</t>
  </si>
  <si>
    <t>Atualmente estou me aprofundando no estudo da voz me graduando em Fonoaudiologia na UNICID e continuo dando aulas de canto. Estou cantando como backing vocal de uma cantora que está construindo uma linda carreira (Eluna), e fiz participação em uma das músicas de seu primeiro EP. Estou trabalhando nas minhas próprias músicas e espero lançá-las em breve.</t>
  </si>
  <si>
    <t>Após concluir a minha graduação, pretendo me especializar em voz profissional e atuar como terapeuta e preparadora vocal com foco em voz artística. Também tenho o desejo de ser professora universitária futuramente. Mas meu maior objetivo e sonho é lançar e cantar minhas próprias músicas, algo em que já estou trabalhando atualmente, como mencionado antes.</t>
  </si>
  <si>
    <t>469.142.958-16</t>
  </si>
  <si>
    <t>CHARLES DA SILVA FELICIO JUNIOR</t>
  </si>
  <si>
    <t>Charles Da Silva Felicio Junior</t>
  </si>
  <si>
    <t>581.***.***-93</t>
  </si>
  <si>
    <t>charlesfeliciojr@gmail.com</t>
  </si>
  <si>
    <t>https://yz2spukd8h-jbrk7pf7uvw.s3.amazonaws.com/2024/04/82qbPdkrxMiCakCCr9KzD4yOMbGs6/ftlfACtvZuNeo%3D.jpg</t>
  </si>
  <si>
    <t>32618631</t>
  </si>
  <si>
    <t>18 anos, 11 meses, 7 dias</t>
  </si>
  <si>
    <t>02227-340</t>
  </si>
  <si>
    <t>Rua José Marciano</t>
  </si>
  <si>
    <t>637445752</t>
  </si>
  <si>
    <t>(11) 96979-0077</t>
  </si>
  <si>
    <t>Meu nome é Charles da Silva Felicio Junior e venho da Zona Norte de São Paulo, mais especificamente da periferia do Jardim Brasil. Aos 18 anos , completei o ensino médio na rede pública, o que moldou minha visão de mundo e fortaleceu minha determinação.   Minha jornada até aqui foi marcada pela valorização da educação como ferramenta de transformação, pois atuei como gremista da minha escola e participei de um projeto social que visava a revitalização da biblioteca abandonada da mesma.  Aprendi a enfrentar desafios com resiliência e a buscar oportunidades onde muitos enxergam apenas obstáculos.</t>
  </si>
  <si>
    <t>Atualmente me  encontro em busca de novas oportunidades no mercado de trabalho. Desde jovem nutro o sonho de servir a comunidade como bombeiro militar e também almejo seguir uma carreira a música, compartilhando minha arte e paixão com o mundo.   Embora me encontre desempregado no momento, minha determinação em alcançar esses objetivos é o que me impulsiona a buscar incessantemente a realização desses sonhos. Acredito que minha capacidade de trabalho em equipe, comprometimento e amor pela música são atributos essenciais para desempenhar com excelência as responsabilidades inerentes ao programa jovem monitor de cultura.</t>
  </si>
  <si>
    <t>Estou ciente dos desafios que ambas profissões apresentam, mas estou determinado a superá-los com  coragem, dedicação e empenho. Busco oportunidades que me permitam adquirir conhecimento e experiência, preparando-me para enfrentar as demandas das profissões que almejo.  agradeço sinceramente pela atenção e pela consideração. estou pronto para abraçar essas oportunidades com humildade, compromisso e amor ao próximo.   Atenciosamente,  Charles da Silva Felicio Junior</t>
  </si>
  <si>
    <t>581.229.358-93</t>
  </si>
  <si>
    <t>JENNIFER SALES FERNANDES DE SOUZA</t>
  </si>
  <si>
    <t>Jennifer Sales Fernandes De Souza</t>
  </si>
  <si>
    <t>JENNIFER SALES  FERNANDES DE  SOUZA</t>
  </si>
  <si>
    <t>020.***.***-07</t>
  </si>
  <si>
    <t>jennifersales201@gmail.com</t>
  </si>
  <si>
    <t>https://yz2spukd8h-jbrk7pf7uvw.s3.amazonaws.com/2024/05/hUKd5rAd3wgrBjkOqOvIuajrNzxwug5oM70oZys3kwY%3D.jpg</t>
  </si>
  <si>
    <t>32659253</t>
  </si>
  <si>
    <t>08190-340</t>
  </si>
  <si>
    <t>Rua Manuel Martins de Melo</t>
  </si>
  <si>
    <t>553023809</t>
  </si>
  <si>
    <t>(11) 99596-4522</t>
  </si>
  <si>
    <t>JENIFFERSALES201@GMAIL.COM</t>
  </si>
  <si>
    <t>O programa jovem Monitor Cultural, esta abrindo uma nova  página para mim, e para  meu ator conhecido como mulher negra.</t>
  </si>
  <si>
    <t>Estou  em momento decisivo, na onde não mais permitida erra , e ja faz tempo  estou tentando evoluir como intelectualmente como pessoa e nada melhor que projeto feito para pessoas, como eu.</t>
  </si>
  <si>
    <t>Pra conquistar e me colocar em locais e nunca imaginei como colocar, o meu corpo é meus caracteres.</t>
  </si>
  <si>
    <t>020.506.986-07</t>
  </si>
  <si>
    <t>FIONA SALLES SOARES DE CAMARGO E CAMPOS</t>
  </si>
  <si>
    <t>Fiona Salles Soares De Camargo E Campos</t>
  </si>
  <si>
    <t>FIONA S S C CAMPOS</t>
  </si>
  <si>
    <t>474.***.***-03</t>
  </si>
  <si>
    <t>fionasallescampos@gmail.com</t>
  </si>
  <si>
    <t>https://yz2spukd8h-jbrk7pf7uvw.s3.amazonaws.com/2024/06/uBbrKk0XkTpdp%2B8a5PMRVwPUZ/pzMHQ2WuB7BIpEOVo%3D.jpg</t>
  </si>
  <si>
    <t>32907712</t>
  </si>
  <si>
    <t>Caxingui</t>
  </si>
  <si>
    <t>05515-001</t>
  </si>
  <si>
    <t>Rua José Rubens</t>
  </si>
  <si>
    <t>338</t>
  </si>
  <si>
    <t>38.722.036-7</t>
  </si>
  <si>
    <t>(11) 95339-3548</t>
  </si>
  <si>
    <t>https://www.instagram.com/fiona.salles/</t>
  </si>
  <si>
    <t>Nasci e cresci em São Paulo, na região do Butantã, bairro em que resido até hoje. Vim de uma família pequena onde sempre fui motivada a me relacionar com artes e desenvolver minhas habilidades artísticas. Essa relação foi muito importante para eu mesma me incentivar a seguir o meu sonho de trabalhar com arte e cultura, foi então que ainda na adolescência planejei orientar minha formação educacional na área. Em vista disso, iniciei meus estudos em Produção Cultural, curso no qual já me formei, e hoje sou estudante de Artes Visuais pelo Instituto de Artes da Unesp.</t>
  </si>
  <si>
    <t>Atualmente, me dedico aos estudos em Artes e venho trabalhando na minha formação para que eu possa ingressar profissionalmente na área de arte e cultura do país. Nesse sentido, estou em busca de oportunidades que me permitam aplicar e colocar em prática, bem como expandir e desenvolver meus conhecimentos e habilidades no setor cultural.   Assim, busco por uma oportunidade que me ofereça novos desafios e a possibilidade de contribuir para um projeto que compartilhe dos mesmos valores que eu. Acredito que o Programa Jovem Monitor Cultural é o lugar ideal para isso, devido ao seu compromisso com a formação profissional em gestão cultural para a juventude da cidade, algo que admiro profundamente.</t>
  </si>
  <si>
    <t>Nos próximos anos espero já ter participado de muitos projetos culturais e com eles ter desenvolvido proficiências e competências no setor. Nesse sentido, almejo uma posição em que eu possa continuar trabalhando minhas habilidades e sempre estar aprimorando minha atuação.  No futuro objetivo estar participando de algum trabalho ancorado na melhoria da vida cultural do país, pois quero contribuir para a democratização do acesso à cultura, em programas e projetos que tornem as artes mais acessíveis a diferentes públicos e sempre trabalhar para a valorização desse espaço em nossa sociedade.  Acredito que esta posição de monitor cultural é uma oportunidade perfeita para alcançar esses objetivos.</t>
  </si>
  <si>
    <t>474.820.348-03</t>
  </si>
  <si>
    <t>PAULO ROGERIO ARAUJO BRANDAO</t>
  </si>
  <si>
    <t>Paulo Rogério Araújo Brandão</t>
  </si>
  <si>
    <t>008.***.***-89</t>
  </si>
  <si>
    <t>paulo.roger.brandao@gmail.com</t>
  </si>
  <si>
    <t>https://yz2spukd8h-jbrk7pf7uvw.s3.amazonaws.com/2024/04/uTgyjOFGrpvYZMmIbwgIJncXlzMTzhyauabhKsf/Ocw%3D.jpg</t>
  </si>
  <si>
    <t>32617936</t>
  </si>
  <si>
    <t>27 anos, 4 meses, 24 dias</t>
  </si>
  <si>
    <t>PRECISA SER ANALISADO PELA BANCA DE HETEROIDENTIFICACAO</t>
  </si>
  <si>
    <t>Vila Andrade</t>
  </si>
  <si>
    <t>05724-005</t>
  </si>
  <si>
    <t>Bloco 1 Prédio Florianopolis Ap10D</t>
  </si>
  <si>
    <t>Avenida Giovanni Gronchi</t>
  </si>
  <si>
    <t>6675</t>
  </si>
  <si>
    <t>4677701740</t>
  </si>
  <si>
    <t>(11) 95916-6821</t>
  </si>
  <si>
    <t>paulo.rocha.brandao@gmail.com</t>
  </si>
  <si>
    <t>https://www.facebook.com/paulo.rogerio.562</t>
  </si>
  <si>
    <t>BACHARELADO EM COMUNICACAO SOCIAL</t>
  </si>
  <si>
    <t>Sou Santo André, nascido de um casal vindo de Belém do Pará, moradores e crescidos na mesma rua, quando ficaram cansados da luta na selva de pedra, voltaram para o mesmo local. Assim, me tornei um filho de dois estados, duas culturas e um país diversificado histórico e geograficamente. Tive amizades e inimizades entre parentes de sangue e casamento. Fiz o colégio, a universidade e por fim voltei a São Paulo.</t>
  </si>
  <si>
    <t>Estou onde todos as culturas se encontram entre vivências, opiniões, mentalidade, evolução e regressão. Sejam de cidades próximas até países jamais imaginados. Uma união entre gastronomias,  musicas e histórias em todo espaço e tempo. Seja por trabalho e lazer sempre houve, há e haverá cultura em São Paulo. Aprendizados e experiências para quem quer.</t>
  </si>
  <si>
    <t>Eu vou fazer meu nome ser conhecido pelos eventos culturais em São Paulo e também de outras cidades do Estado e do Brasil. Audiovisual, pinturas em telas, graffite, música, dança, teatro e outras manifestações artísticas. Cada pensamento e visão de mundo receberá sua vez dependendo da demanda de público e também do que preciso ser dito devido a falta de oportunidade.</t>
  </si>
  <si>
    <t>008.280.612-89</t>
  </si>
  <si>
    <t>GUILHERME TORQUATO PONTES</t>
  </si>
  <si>
    <t>Guilherme Torquato Pontes</t>
  </si>
  <si>
    <t>498.***.***-83</t>
  </si>
  <si>
    <t>guilhermetorquato@yahoo.com.br</t>
  </si>
  <si>
    <t>https://yz2spukd8h-jbrk7pf7uvw.s3.amazonaws.com/2024/04/xT7qAGryeLJ%2Bp1y8r3ORDTmdiTkp0nH3r2pqAkEJVs8%3D.jpg</t>
  </si>
  <si>
    <t>32555912</t>
  </si>
  <si>
    <t>23 anos, 11 meses, 26 dias</t>
  </si>
  <si>
    <t>03583-000</t>
  </si>
  <si>
    <t>Rua Firmino Morgado</t>
  </si>
  <si>
    <t>376009901</t>
  </si>
  <si>
    <t>(11) 98726-1551</t>
  </si>
  <si>
    <t>guillhermetorquato@yahoo.com.br</t>
  </si>
  <si>
    <t>https://www.facebook.com/guilhermetorquatopontes.torquato?locale=pt_BR</t>
  </si>
  <si>
    <t>superior em gestão de recursos humanos</t>
  </si>
  <si>
    <t>Sou de Arthur Alvim - Zona leste nascido e criado no bairro jardim brasília, formado em gestão de recursos humanos com experiência de jovem aprendiz administrativo pela Konecta Brasil, curso básico de excel, vivencia com computador e possuo facilidade em manusear o mesmo, inglês intermediário com a experiência em jogos e séries, sempre gostei de assistir seríes, filmes e animações.</t>
  </si>
  <si>
    <t>Estou com 23 anos de idade desempregado a mais de 2 anos já, sou formado pela unicid porém não consegui oportunidade na area, e atualmente ando realizando alguns trabalhos para colegas auxiliando na planilha de influencers, limpando, encaminhamento de emails, e tudo isso remotamente, estou me recuperando de uma lesão no joelho esquerdo, e procurando uma oportunidade de ingressar no mercado de trabalho.</t>
  </si>
  <si>
    <t>Gostaria de me estabilizar em uma empresa e crescer com ela, desfrutar do conhecimento e possuir experiência para ingressar novamente no mercado de trabalho, o trabalho de jovem monitor é uma oportunidade única para crescimento profissional e realizar o sonho da minha família de poder contribuir com auxilio em casa com as contas e principalmente de poder auxiliar minha avó que é sempre minha inspiração e quem me motiva todos os dias mesmo com tantas dificuldades.</t>
  </si>
  <si>
    <t>498.051.458-83</t>
  </si>
  <si>
    <t>MARCOS VINICIUS DOS PASSOS BATISTA</t>
  </si>
  <si>
    <t>Marcos Vinicius Dos Passos Batista</t>
  </si>
  <si>
    <t>O RASTA</t>
  </si>
  <si>
    <t>O Rasta</t>
  </si>
  <si>
    <t>444.***.***-22</t>
  </si>
  <si>
    <t>theviniee@gmail.com</t>
  </si>
  <si>
    <t>https://yz2spukd8h-jbrk7pf7uvw.s3.amazonaws.com/2024/04/83zt4lm6rWnxGU2tX5mrouCY4bok4%2BPAwbgXXQMpXKM%3D.jpg</t>
  </si>
  <si>
    <t>32561679</t>
  </si>
  <si>
    <t>27 anos, 10 meses, 13 dias</t>
  </si>
  <si>
    <t>AUTODELARA PRETO</t>
  </si>
  <si>
    <t>03566-030</t>
  </si>
  <si>
    <t>Rua Brigadeiro Brito Delamare</t>
  </si>
  <si>
    <t>507735729</t>
  </si>
  <si>
    <t>(11) 98619-7303</t>
  </si>
  <si>
    <t>THEVINEE@GMAIL.COM</t>
  </si>
  <si>
    <t>https://www.instagram.com/theviniee/</t>
  </si>
  <si>
    <t>PROD CULTURAL</t>
  </si>
  <si>
    <t>Olá meu nome é Marcos Vinicius,  filho de silvana e willian, Nasci no interior de São Paulo em uma cidade chamada Mogi das Cruzes, até meus 6 anos de idade morei no meio do mato bem no interior mesmo, lembro que a cidade lá chama-se Santa branca, quando fiz 7 anos minha familia se mudou para a cidade de ferraz de vasconcelos, logo em seguida vim para arthur alvim perto de itaquera zona leste.</t>
  </si>
  <si>
    <t>em emeados de 2004 vim morar em arthur alvim na casa da minha tia, moro aqui de favor pois minha familia não tem um terreno ou casa propria, aqui onde moro é muito bom o bairro é tranquilo e eu conheço todos os meus vizinhos, deis de criança eu ficava muito na rua jogando bola com os amigos e brincando de varias coisas, minha infancia foi um tanto divertida,  sempre trabalhei de forma autonoma para ajudar minha mae em casa trabalhei em lava rapido oficina de costura e faço serviços gerais de pedreiro, pintor e eletricista. minha vida mudou em 2016 quando conheci a cultura reggae sound system, me tornei fotografo e trabalho com eventos deis de então</t>
  </si>
  <si>
    <t>deis de 2016 quando me tornei fotografo venho trabalhando com reggae, participei de varios projetos culturais expondo fotos em centros cunturais, trabalhando em eventos em toda cidade de são paulo, sempre faço registros dos eventos tirando fotos do publico e fomentando o evento, em 2021 comecei a estudar sobre produção cultural ja estou no ultimo semestre da faculdade, quero trabalhar em alguma area de atuação de cultura para fomentar projetos e ajudar meus colegas fazedores de cultura</t>
  </si>
  <si>
    <t>444.710.398-22</t>
  </si>
  <si>
    <t>LETICIA MOURA ELIAS</t>
  </si>
  <si>
    <t>Letícia Moura Elias</t>
  </si>
  <si>
    <t>489.***.***-17</t>
  </si>
  <si>
    <t>leticiamouraelias47@gmail.com</t>
  </si>
  <si>
    <t>https://yz2spukd8h-jbrk7pf7uvw.s3.amazonaws.com/2024/05/vA3fCK0p0/vWoe9pC8Z7M4lIaUKBQErwxKK22B6uGkU%3D.jpeg</t>
  </si>
  <si>
    <t>32664103</t>
  </si>
  <si>
    <t>03510-010</t>
  </si>
  <si>
    <t>Rua Capitão José Leite</t>
  </si>
  <si>
    <t>508140778</t>
  </si>
  <si>
    <t>(11) 96369-4613</t>
  </si>
  <si>
    <t>LETICIAMOURAELIAS47@GMAIL.COM</t>
  </si>
  <si>
    <t>LICENCIATURA INGLÊS</t>
  </si>
  <si>
    <t>Me chamo Letícia  e eu vim da zona leste de São Paulo, onde nasci e vivo até hoje. Dentre as minhas vivências de infância e adolescência não poderia deixar de citar a biblioteca e centro cultural da Penha, onde passava horas após a escola conhecendo livros de literatura brasileira. Com isso, decidi que queria estudar mais a fundo nossa literatura e também ter a possibilidade de ensinar sobre ela.</t>
  </si>
  <si>
    <t>Neste momento, posso dizer que estou tecendo meu sonho de adolescência de estudar a língua portuguesa e a literatura brasileira. Estou no último semestre da graduação de licenciatura em Letras. Ao longo da graduação tive a oportunidade de fazer estágio voluntário como corretora de redação na Rede Ubuntu de cursinhos populares, a experiência foi muito e enriquecedora e alimentou ainda mais a minha vontade de ensinar.</t>
  </si>
  <si>
    <t>Para além da educação dentro da escola, acredito muito em uma educação que percorre também centros culturais, bibliotecas e espaços culturais no geral, dito isso, eu pretendo ir e ocupar esses espaços levando educação com a bagagem que tive na graduação e outras especializações futuramente. Acredito muito no potencial desses espaços de ter um processo de aprendizado mais engajado, e consequentemente, acredito que eu poderia contribuir para o programa jovem monitor cultural e que que o programa me agregaria experiências  profissionais enriquecedoras.</t>
  </si>
  <si>
    <t>489.409.888-17</t>
  </si>
  <si>
    <t>GABRIELLE DA SILVA FRANCA</t>
  </si>
  <si>
    <t>Gabrielle Da Silva Franca</t>
  </si>
  <si>
    <t>GABRIELLE DA SILVA</t>
  </si>
  <si>
    <t>528.***.***-41</t>
  </si>
  <si>
    <t>gabifrancasilva13@gmail.com</t>
  </si>
  <si>
    <t>https://yz2spukd8h-jbrk7pf7uvw.s3.amazonaws.com/2024/04/4ANGi4N750xMRTO9M0Y/Eh2rPAH2fYZU8oUurfRsia0%3D.PDF</t>
  </si>
  <si>
    <t>32560334</t>
  </si>
  <si>
    <t>19 anos, 8 meses, 10 dias</t>
  </si>
  <si>
    <t>08072-125</t>
  </si>
  <si>
    <t>Rua Rio Guarapó</t>
  </si>
  <si>
    <t>56.766.882-4</t>
  </si>
  <si>
    <t>(11) 97995-2818</t>
  </si>
  <si>
    <t>GABRIFRANCASILVA13@GMAIL.COM</t>
  </si>
  <si>
    <t>TECNÓLOGO EM RECURSOS HUMANOS</t>
  </si>
  <si>
    <t>Olá meu nome é  Gabrielle tenho 19 anos nasci no extremo leste de São Paulo e fui criada no bairro União de Vila Nova, mais conhecido como pantanal. E lá cresci ,estudei e fiz amizades.  Parte da minha infância passei na casa da minha vó,que também morava lá e foi a melhor parte da minha infância.  Depois estudei em tempo integral até o final do ensino fundamental , já no ensino médio estudei na e e dom Pedro 1 em São miguel.</t>
  </si>
  <si>
    <t>Depois de ter terminado o ensino médio comecei a trabalhar como  aprendiz ADM na empresa Sodimac onde ainda estou trabalhando , também comecei a faculdade de recursos humanos na faculdade cruzeiro do sul é bem cansativo trabalhar e estudar ao mesmo tempo e estou tentando me adaptar e ver se o que eu quero é realmente a área de recursos humanos ou se vou me descobrir em outra.</t>
  </si>
  <si>
    <t>Quero muito terminar a faculdade estar trabalhando e também poder viajar pelo Brasil conhecer lugares novos e um objetivo pra mim é sempre estar em movimento.   Cuidar da minha saúde mental e física,também quero estar morando sozinha ate o final de 2025.por isso seria muito importante conseguir ser jovem monitora cultural,seria uma oportunidade muito  enriquecidora pra mim.</t>
  </si>
  <si>
    <t>LESTE - 5</t>
  </si>
  <si>
    <t>528.174.968-41</t>
  </si>
  <si>
    <t>RODRIGO SILVA COSTA</t>
  </si>
  <si>
    <t>Rodrigo Silva Costa</t>
  </si>
  <si>
    <t>RODRIGO</t>
  </si>
  <si>
    <t>Rodrigo</t>
  </si>
  <si>
    <t>474.***.***-00</t>
  </si>
  <si>
    <t>rodrigosilvacosta85@gmail.com</t>
  </si>
  <si>
    <t>https://yz2spukd8h-jbrk7pf7uvw.s3.amazonaws.com/2024/06/51aYot9nLGy7JVmXBMqL/qYPcU%2BabL3EZz2XkOOSZuY%3D.jpg</t>
  </si>
  <si>
    <t>32916046</t>
  </si>
  <si>
    <t>Vila Francos</t>
  </si>
  <si>
    <t>02880-060</t>
  </si>
  <si>
    <t>paralela à Av Inajar de Souza</t>
  </si>
  <si>
    <t>Rua Marechal Mello Ararigbóia</t>
  </si>
  <si>
    <t>496</t>
  </si>
  <si>
    <t>531791142</t>
  </si>
  <si>
    <t>(11) 96091-1663</t>
  </si>
  <si>
    <t>RODRIGOSILVACOSTA85@GMAIL.COM</t>
  </si>
  <si>
    <t>TEC - ADMINISTRAÇAO - GRAD - DESEGNER GRAFICO</t>
  </si>
  <si>
    <t>Olá, Sou Rodrigo Silva Costa, jovem pertiférico de 26 anos, filho de pais nordestinos, nascido e crescido na zona norte de São Paulo. Seguindo a tradição da família, trabalho na feira desde criança. Nessa função desde sempre, mas buscando aperfeiçoamento para ingressar em outras atividades. Nessa busca, comecei pelo curso técnico de administração e atualmente curso faculdade de desing gráfico.</t>
  </si>
  <si>
    <t>Territorialmentre falando, estou no Brasil, país do terceiro mundo, na busca por uma oportunidade de trabalho na área cultural da cidade. Socialmente, na periferia de São Paulo, visitando alguns equipamentos culturais, onde pretendo entrar em contato de forma mais participativa. Trabalhando junto, aprendendo e ajudando a construir um novo olhar sobre a cultura, principalmente das periferias.</t>
  </si>
  <si>
    <t>A partir da inserção no programa Jovem Monitor, almejo fazer parte dessa área cultural, me inteirando do que acontece dentro desse ambiente para assim me apropriar das várias formas artísticas, buscando nessas manifestações o local ideal para me desenvolver enquanto cidadão. pensando numa educação inclusiva para mim e poder disseminar isso para outras pessoas como eu.</t>
  </si>
  <si>
    <t>CID10-F84</t>
  </si>
  <si>
    <t>474.014.338-00</t>
  </si>
  <si>
    <t>PEDRO HENRIQUE IGLESIAS LUCAS</t>
  </si>
  <si>
    <t>Pedro Henrique Iglesias Lucas</t>
  </si>
  <si>
    <t>415.***.***-05</t>
  </si>
  <si>
    <t>phiglesiaslucas@gmail.com</t>
  </si>
  <si>
    <t>https://yz2spukd8h-jbrk7pf7uvw.s3.amazonaws.com/2024/04/pCZjrSHCGdl8m4wcB7cvU4OGTup2ShE3yJJRIpgX6b4%3D.jpeg</t>
  </si>
  <si>
    <t>32628144</t>
  </si>
  <si>
    <t>23 anos, 1 meses, 3 dias</t>
  </si>
  <si>
    <t>PcD (rever nota)</t>
  </si>
  <si>
    <t>Jardim Ester</t>
  </si>
  <si>
    <t>05372-080</t>
  </si>
  <si>
    <t>131B</t>
  </si>
  <si>
    <t>Rua Pantaleão Brás</t>
  </si>
  <si>
    <t>533455625</t>
  </si>
  <si>
    <t>(11) 94776-3411</t>
  </si>
  <si>
    <t>ehiglesiaslucas@gmail.com</t>
  </si>
  <si>
    <t>Sou Pedro Henrique Iglesias Lucas, tenho formação em História e fiz o curso do Navega Roteiro Cinematográfico com Anna Muylaert. Sempre tive interesse na area da cultura, em bibliotecas, teatros e nas artes em geral. Meu pai é cantor e minha mãe trabalha como professora de na escola publica EMEF CEU BUTANTÃ, já realizei oficinas de HQ em projetos de formação leitora em algumas escolas publicas.</t>
  </si>
  <si>
    <t>Atualmente busco oportunidade de emprego na area da cultura. Acredito que possa contribuir nos mais diversos equipamentos culturais. Realizei recentemente uma viagem para Amsterdam e lá pude acessar diversos museus e exposições, o que me permitiu aprofundar meus conhecimentos. Sou Autista de nivel de suporte um e venho encontrando muita dificuldade em conseguir um emprego por conta do capacitismo, não consigo sequer chegar nas entrevistas de emprego. Espero que com essa oportunidade e possa usar das minhas habilidades e conhecimentos que adquiri com o tempo.</t>
  </si>
  <si>
    <t>Minhas expectativas para meu futuro são de fazer faculdade de cinema e tambem fazer cursos de roteiro, tanto para filmes e series quanto para HQs. Essas são as areas que eu tenho maior interesse em trabalhar e onde eu me vejo no futuro. Quero também ajudar das melhores formas possiveis a causa Autista e acredito que trabalhando nessas areas de culturas e artes isso possa acontecer</t>
  </si>
  <si>
    <t>F84</t>
  </si>
  <si>
    <t>415.029.648-05</t>
  </si>
  <si>
    <t>SUZANNY MARIA DA SILVA</t>
  </si>
  <si>
    <t>Suzanny Maria Da Silva</t>
  </si>
  <si>
    <t>ROSANA MARIA DE SENA</t>
  </si>
  <si>
    <t>Rosana Maria De Sena</t>
  </si>
  <si>
    <t>542.***.***-38</t>
  </si>
  <si>
    <t>suzannysilvaa55@gmail.com</t>
  </si>
  <si>
    <t>https://yz2spukd8h-jbrk7pf7uvw.s3.amazonaws.com/2024/05/6MPNKTXF2KgVT3iC3%2BxVUZmlV7nBn5sT7TAZIapysJA%3D.jpeg</t>
  </si>
  <si>
    <t>32805355</t>
  </si>
  <si>
    <t>NOME ENVIADO PELA MÃE E ATUALIZADO COM NOME DA CANDIDATA</t>
  </si>
  <si>
    <t>Chácara Gaivotas</t>
  </si>
  <si>
    <t>04849-301</t>
  </si>
  <si>
    <t>Rua Charles Rosen</t>
  </si>
  <si>
    <t>546238452</t>
  </si>
  <si>
    <t>(11) 97154-2079</t>
  </si>
  <si>
    <t>SUPERIOR EM ENGENHARIA DE SOFTWARE</t>
  </si>
  <si>
    <t>Meu nome é Suzanny, tenho 18 anos e nasci em São Paulo, na minha infância, sempre fui uma criança criança curiosa, querendo entender como as coisas funcionavam, participei de feiras de ciências na escola, minha família sempre me apoiou muito, onde me ajudou a formar uma base sólida de conhecimentos e habilidades que continuo a desenvolver até hoje.</t>
  </si>
  <si>
    <t>Atualmente, moro com meus pais em São Paulo e estou cursando Engenharia de Software na modalidade EAD. Estou comprometida com meus estudos e dedicando-me intensamente para adquirir as habilidades necessárias para me destacar na área de tecnologia. Além dos estudos, estou sempre buscando aprender novas linguagens de programação e participar de projetos online que me permitem aplicar os conhecimentos teóricos na prática.</t>
  </si>
  <si>
    <t>Durante o ensino médio, tive a oportunidade de participar de feiras de tecnologia e competições de robótica, o que solidificou ainda mais meu interesse pela área de tecnologia, meu objetivo é conquistar minha independência financeira, começando por encontrar um emprego que me permita aplicar o que estou aprendendo e ganhar experiência prática. Com o tempo, planejo comprar meu próprio apartamento e construir uma carreira de sucesso na engenharia de software.</t>
  </si>
  <si>
    <t>542.347.838-38</t>
  </si>
  <si>
    <t># Banco de Dados</t>
  </si>
  <si>
    <t>#bd_normalizado</t>
  </si>
  <si>
    <t>key_pandas</t>
  </si>
  <si>
    <t>colunas_variáveis</t>
  </si>
  <si>
    <t>categorias_variáveis</t>
  </si>
  <si>
    <t>categorias_nível</t>
  </si>
  <si>
    <t>categorias_variáveis_obs</t>
  </si>
  <si>
    <t>tipo</t>
  </si>
  <si>
    <t>tabela</t>
  </si>
  <si>
    <t>tipo estatístico</t>
  </si>
  <si>
    <t>ex:</t>
  </si>
  <si>
    <t>AK</t>
  </si>
  <si>
    <t>AUTORIZAÇAO DE USO DE IMAGEM (SIM)</t>
  </si>
  <si>
    <t>aceite_condições</t>
  </si>
  <si>
    <t>booleana</t>
  </si>
  <si>
    <t>DX</t>
  </si>
  <si>
    <t>Declaro para o fim específico de atender ao edital  do processo seletivo, que pertenço à família de baixa renda. Conforme a Lei 13.841/2004, considera-se como família o núcleo de pessoas formado por, no mínimo, um dos pais ou responsável legal, filhos e/ou dependentes que estejam sob tutela ou guarda, devidamente formalizadas pelo juízo competente, bem como parentes ou outros indivíduos que residam com o grupo sob o mesmo teto e que contribuam economicamente para a sua subsistência.</t>
  </si>
  <si>
    <t>DY</t>
  </si>
  <si>
    <t>Aceito receber e-mails com as ações realizadas pela Supervisão de Formação Cultural, da Secretaria Municipal de Cultura de São Paulo</t>
  </si>
  <si>
    <t>BK</t>
  </si>
  <si>
    <t>dados_cadastrais</t>
  </si>
  <si>
    <t>quali</t>
  </si>
  <si>
    <t>BL</t>
  </si>
  <si>
    <t>E</t>
  </si>
  <si>
    <t>Nome completo</t>
  </si>
  <si>
    <t>F</t>
  </si>
  <si>
    <t>Nome Publicado Inscrição (1ª Fase)</t>
  </si>
  <si>
    <t>BM</t>
  </si>
  <si>
    <t>G</t>
  </si>
  <si>
    <t>Nome social</t>
  </si>
  <si>
    <t>H</t>
  </si>
  <si>
    <t>Nome atualizado 14/08/2024</t>
  </si>
  <si>
    <t>dados_cadastrais_update</t>
  </si>
  <si>
    <t>I</t>
  </si>
  <si>
    <t>id_chave</t>
  </si>
  <si>
    <t>BS</t>
  </si>
  <si>
    <t>J</t>
  </si>
  <si>
    <t>E-mail</t>
  </si>
  <si>
    <t>V</t>
  </si>
  <si>
    <t>K</t>
  </si>
  <si>
    <t>Foto 3/4 (ver especificações da dica</t>
  </si>
  <si>
    <t>link</t>
  </si>
  <si>
    <t>BH</t>
  </si>
  <si>
    <t>L</t>
  </si>
  <si>
    <t>Data de Abertura</t>
  </si>
  <si>
    <t>sp156</t>
  </si>
  <si>
    <t>quanti_date</t>
  </si>
  <si>
    <t>BI</t>
  </si>
  <si>
    <t>M</t>
  </si>
  <si>
    <t>Data de Atualização</t>
  </si>
  <si>
    <t>BJ</t>
  </si>
  <si>
    <t>N</t>
  </si>
  <si>
    <t>Data de Finalização</t>
  </si>
  <si>
    <t>BG</t>
  </si>
  <si>
    <t>O</t>
  </si>
  <si>
    <t>Protocolo da Solicitação</t>
  </si>
  <si>
    <t>EA</t>
  </si>
  <si>
    <t>DUPLICADO</t>
  </si>
  <si>
    <t>tratamento_bd</t>
  </si>
  <si>
    <t>quanti_integer</t>
  </si>
  <si>
    <t>ED</t>
  </si>
  <si>
    <t>Q</t>
  </si>
  <si>
    <t>IDADE ANOS</t>
  </si>
  <si>
    <t>EF</t>
  </si>
  <si>
    <t>R</t>
  </si>
  <si>
    <t>IDADE EM DIAS</t>
  </si>
  <si>
    <t>EE</t>
  </si>
  <si>
    <t>S</t>
  </si>
  <si>
    <t>IDADE FIM DA INSC</t>
  </si>
  <si>
    <t>EC</t>
  </si>
  <si>
    <t>T</t>
  </si>
  <si>
    <t>IDADE REF</t>
  </si>
  <si>
    <t>EB</t>
  </si>
  <si>
    <t>U</t>
  </si>
  <si>
    <t>NOME PUBLICADO</t>
  </si>
  <si>
    <t>CA</t>
  </si>
  <si>
    <t>Nota Filhos</t>
  </si>
  <si>
    <t>avaliação_classificação</t>
  </si>
  <si>
    <t>1ª fase</t>
  </si>
  <si>
    <t>EG</t>
  </si>
  <si>
    <t>W</t>
  </si>
  <si>
    <t>OBS PRIMEIRA FASE</t>
  </si>
  <si>
    <t>AL</t>
  </si>
  <si>
    <t>X</t>
  </si>
  <si>
    <t>OBSERVAÇOES</t>
  </si>
  <si>
    <t>AS</t>
  </si>
  <si>
    <t>Y</t>
  </si>
  <si>
    <t>C1</t>
  </si>
  <si>
    <t xml:space="preserve">1ª fase </t>
  </si>
  <si>
    <t>AT</t>
  </si>
  <si>
    <t>Z</t>
  </si>
  <si>
    <t>C2</t>
  </si>
  <si>
    <t>AU</t>
  </si>
  <si>
    <t>AA</t>
  </si>
  <si>
    <t>AV</t>
  </si>
  <si>
    <t>AB</t>
  </si>
  <si>
    <t>C4</t>
  </si>
  <si>
    <t>AZ</t>
  </si>
  <si>
    <t>AC</t>
  </si>
  <si>
    <t>Ordem</t>
  </si>
  <si>
    <t>AW</t>
  </si>
  <si>
    <t>AD</t>
  </si>
  <si>
    <t>Total</t>
  </si>
  <si>
    <t>AE</t>
  </si>
  <si>
    <t>2) Colaboração</t>
  </si>
  <si>
    <t>2ª fase - 1ª etapa - dinâmica</t>
  </si>
  <si>
    <t>AF</t>
  </si>
  <si>
    <t>4) Comunicação</t>
  </si>
  <si>
    <t>AG</t>
  </si>
  <si>
    <t>5) Engajamento</t>
  </si>
  <si>
    <t>AH</t>
  </si>
  <si>
    <t>3) Estratégia</t>
  </si>
  <si>
    <t>AI</t>
  </si>
  <si>
    <t>1) Liderança</t>
  </si>
  <si>
    <t>dup</t>
  </si>
  <si>
    <t>quanti_float</t>
  </si>
  <si>
    <t>AJ</t>
  </si>
  <si>
    <t>Obs Dinâmicas</t>
  </si>
  <si>
    <t>6) Trabalho sob pressão</t>
  </si>
  <si>
    <t>EQ</t>
  </si>
  <si>
    <t>AM</t>
  </si>
  <si>
    <t>Class Geral</t>
  </si>
  <si>
    <t>2ª fase - 1ª etapa - entrevista</t>
  </si>
  <si>
    <t>EP</t>
  </si>
  <si>
    <t>AN</t>
  </si>
  <si>
    <t>Class/ Micro</t>
  </si>
  <si>
    <t>EJ</t>
  </si>
  <si>
    <t>AO</t>
  </si>
  <si>
    <t>Disponibilidade para atuação nas atividades de rotina dos espaços e/ou departamento da Secretaria Municipal de Cultura (15 pontos)</t>
  </si>
  <si>
    <t>EL</t>
  </si>
  <si>
    <t xml:space="preserve">Iniciativa e abertura para formação e atuação no campo cultural conforme metodologia do Programa  (15 pontos);
</t>
  </si>
  <si>
    <t>EN</t>
  </si>
  <si>
    <t>AQ</t>
  </si>
  <si>
    <t>Nota 2ª Fase</t>
  </si>
  <si>
    <t>EO</t>
  </si>
  <si>
    <t>AR</t>
  </si>
  <si>
    <t>Nota Total</t>
  </si>
  <si>
    <t>EK</t>
  </si>
  <si>
    <t>Relação com a dinâmica cultural de seu território (15 pontos);</t>
  </si>
  <si>
    <t>EM</t>
  </si>
  <si>
    <t>Total Entrevistas (45 pontos)</t>
  </si>
  <si>
    <t>Autodeclaração de cor/raça/etnia</t>
  </si>
  <si>
    <t>Bairro</t>
  </si>
  <si>
    <t>CL</t>
  </si>
  <si>
    <t>CEP</t>
  </si>
  <si>
    <t>CK</t>
  </si>
  <si>
    <t>AX</t>
  </si>
  <si>
    <t>Complemento</t>
  </si>
  <si>
    <t>BP</t>
  </si>
  <si>
    <t>AY</t>
  </si>
  <si>
    <t>Data de nascimento</t>
  </si>
  <si>
    <t>Distrito</t>
  </si>
  <si>
    <t>BA</t>
  </si>
  <si>
    <t>Identidade de gênero</t>
  </si>
  <si>
    <t>CI</t>
  </si>
  <si>
    <t>BB</t>
  </si>
  <si>
    <t>Logradouro</t>
  </si>
  <si>
    <t>CJ</t>
  </si>
  <si>
    <t>BC</t>
  </si>
  <si>
    <t>Número</t>
  </si>
  <si>
    <t>BO</t>
  </si>
  <si>
    <t>BD</t>
  </si>
  <si>
    <t>RG / RNE</t>
  </si>
  <si>
    <t>BT</t>
  </si>
  <si>
    <t>BE</t>
  </si>
  <si>
    <t>Telefone</t>
  </si>
  <si>
    <t>BF</t>
  </si>
  <si>
    <t>Atualização do Endereço de e-mail (14/08/2024)</t>
  </si>
  <si>
    <t>Atualização do número de celular/whatsapp (14/08/2024)</t>
  </si>
  <si>
    <t>DE</t>
  </si>
  <si>
    <t>Está cursando o superior com bolsa do Prouni/Fies?</t>
  </si>
  <si>
    <t>DC</t>
  </si>
  <si>
    <t>Cursou o ensino médio no público ou privado?</t>
  </si>
  <si>
    <t>DK</t>
  </si>
  <si>
    <t>EMIA</t>
  </si>
  <si>
    <t>DD</t>
  </si>
  <si>
    <t>Em caso afirmativo  ensino público ou privado?</t>
  </si>
  <si>
    <t>DG</t>
  </si>
  <si>
    <t>Você está estudando?</t>
  </si>
  <si>
    <t>DL</t>
  </si>
  <si>
    <t>Fábricas de Cultura</t>
  </si>
  <si>
    <t>BU</t>
  </si>
  <si>
    <t>BN</t>
  </si>
  <si>
    <t>Escolha a opção da faixa de renda familiar por pessoa</t>
  </si>
  <si>
    <t>FORMAÇAO ENSINO SUPERIOR OU TECNICO (SIM OU NAO)</t>
  </si>
  <si>
    <t>CZ</t>
  </si>
  <si>
    <t>Identificação do território de residência (IDRGP; C3</t>
  </si>
  <si>
    <t>DA</t>
  </si>
  <si>
    <t>BQ</t>
  </si>
  <si>
    <t>Inserir link que direciona para seu perfil nas redes sociais</t>
  </si>
  <si>
    <t>BR</t>
  </si>
  <si>
    <t>Macrorregião</t>
  </si>
  <si>
    <t>CD</t>
  </si>
  <si>
    <t>DB</t>
  </si>
  <si>
    <t>Qual o maior nível de escolaridade já concluído?</t>
  </si>
  <si>
    <t>CE</t>
  </si>
  <si>
    <t>BV</t>
  </si>
  <si>
    <t>NOME DO CURSO</t>
  </si>
  <si>
    <t>BW</t>
  </si>
  <si>
    <t>Número do Cadastro Único (CADUnico</t>
  </si>
  <si>
    <t>DJ</t>
  </si>
  <si>
    <t>BX</t>
  </si>
  <si>
    <t>Não, nunca participei</t>
  </si>
  <si>
    <t>DM</t>
  </si>
  <si>
    <t>BY</t>
  </si>
  <si>
    <t>Oficinas das bibliotecas</t>
  </si>
  <si>
    <t>DN</t>
  </si>
  <si>
    <t>BZ</t>
  </si>
  <si>
    <t>Oficinas das casas de cultura</t>
  </si>
  <si>
    <t>DO</t>
  </si>
  <si>
    <t>Oficinas dos centros culturais</t>
  </si>
  <si>
    <t>DQ</t>
  </si>
  <si>
    <t>CB</t>
  </si>
  <si>
    <t>Oficinas nos CEUs</t>
  </si>
  <si>
    <t>DP</t>
  </si>
  <si>
    <t>CC</t>
  </si>
  <si>
    <t>Oficinas e formação cultural</t>
  </si>
  <si>
    <t>DW</t>
  </si>
  <si>
    <t>Outros</t>
  </si>
  <si>
    <t>DI</t>
  </si>
  <si>
    <t>Já participou do Programa Jovem Monitor Cultural em edições anteriores? Se sim, quantos meses aproximadamente participou?</t>
  </si>
  <si>
    <t>CF</t>
  </si>
  <si>
    <t>DS</t>
  </si>
  <si>
    <t>CG</t>
  </si>
  <si>
    <t>Piá</t>
  </si>
  <si>
    <t>DT</t>
  </si>
  <si>
    <t>CH</t>
  </si>
  <si>
    <t>Piapi</t>
  </si>
  <si>
    <t>Possui filhos(as</t>
  </si>
  <si>
    <t>DU</t>
  </si>
  <si>
    <t>Projeto Guri</t>
  </si>
  <si>
    <t>DV</t>
  </si>
  <si>
    <t>Rede Daora</t>
  </si>
  <si>
    <t>DF</t>
  </si>
  <si>
    <t>CM</t>
  </si>
  <si>
    <t>Qual sua situação em relação ao trabalho?</t>
  </si>
  <si>
    <t>CN</t>
  </si>
  <si>
    <t>Subprefeitura</t>
  </si>
  <si>
    <t>CO</t>
  </si>
  <si>
    <t>Tipo de deficiência</t>
  </si>
  <si>
    <t>DH</t>
  </si>
  <si>
    <t>CP</t>
  </si>
  <si>
    <t>Qual tipo de formação?</t>
  </si>
  <si>
    <t>DR</t>
  </si>
  <si>
    <t>CQ</t>
  </si>
  <si>
    <t>Vocacional</t>
  </si>
  <si>
    <t>CR</t>
  </si>
  <si>
    <t>Acervos e patrimônio histórico</t>
  </si>
  <si>
    <t>opções_inscrição</t>
  </si>
  <si>
    <t>CS</t>
  </si>
  <si>
    <t>CT</t>
  </si>
  <si>
    <t>Administração e gestão da cultura</t>
  </si>
  <si>
    <t>CU</t>
  </si>
  <si>
    <t>CV</t>
  </si>
  <si>
    <t>Prefere se apresentar por carta ou vídeo?</t>
  </si>
  <si>
    <t>CW</t>
  </si>
  <si>
    <t>Atendimento ao público</t>
  </si>
  <si>
    <t>CX</t>
  </si>
  <si>
    <t>CY</t>
  </si>
  <si>
    <t>Comunicação e redes</t>
  </si>
  <si>
    <t>Deseja concorrer às vagas destinadas a pessoas com deficiência?</t>
  </si>
  <si>
    <t>Deseja concorrer às vagas destinadas a pretos(as</t>
  </si>
  <si>
    <t>1 - Primeiro espaço cultural preferencial</t>
  </si>
  <si>
    <t>Programação e produção de eventos culturais</t>
  </si>
  <si>
    <t>2 - Segundo espaço cultural preferencial</t>
  </si>
  <si>
    <t>3 - Terceiro espaço cultural preferencial</t>
  </si>
  <si>
    <t>CONFIRMAÇÃO DE PRESENÇA NA DINAMICA (P ou F)</t>
  </si>
  <si>
    <t>histórico_seleção</t>
  </si>
  <si>
    <t>Data</t>
  </si>
  <si>
    <t>Dinâmica</t>
  </si>
  <si>
    <t xml:space="preserve">Horário </t>
  </si>
  <si>
    <t>Local</t>
  </si>
  <si>
    <t>Nome do Avaliador</t>
  </si>
  <si>
    <t>Turma</t>
  </si>
  <si>
    <t>Carta Apresentação - De onde vim?</t>
  </si>
  <si>
    <t>2ª fase - 2ª etapa - entrevista</t>
  </si>
  <si>
    <t>Carta Apresentação - Onde estou?</t>
  </si>
  <si>
    <t>Carta Apresentação - Para onde vou?</t>
  </si>
  <si>
    <t>[ENTREVISTA] Data</t>
  </si>
  <si>
    <t>[ENTREVISTA] Horário</t>
  </si>
  <si>
    <t>Inserir link do vídeo de apresentação</t>
  </si>
  <si>
    <t>Reagendamento (Turma)</t>
  </si>
  <si>
    <t>[ENTREVISTA] Sala</t>
  </si>
  <si>
    <t>[ENTREVISTA] Turma (1 a 16)</t>
  </si>
  <si>
    <t>EH</t>
  </si>
  <si>
    <t>EV</t>
  </si>
  <si>
    <t>DZ</t>
  </si>
  <si>
    <t>diversidade</t>
  </si>
  <si>
    <t>ES</t>
  </si>
  <si>
    <t>escolaridade</t>
  </si>
  <si>
    <t>EU</t>
  </si>
  <si>
    <t>filhos</t>
  </si>
  <si>
    <t>ER</t>
  </si>
  <si>
    <t>renda</t>
  </si>
  <si>
    <t>EX</t>
  </si>
  <si>
    <t>dinâmica</t>
  </si>
  <si>
    <t>EW</t>
  </si>
  <si>
    <t>EI</t>
  </si>
  <si>
    <t>entrevista</t>
  </si>
  <si>
    <t>Declaro para o fim específico de atender ao edital do processo seletivo, que sou (informe se preto, pardo ou indígena</t>
  </si>
  <si>
    <t>ET</t>
  </si>
  <si>
    <t>EY</t>
  </si>
  <si>
    <t>idade</t>
  </si>
  <si>
    <t>território</t>
  </si>
  <si>
    <t xml:space="preserve">Protocolo </t>
  </si>
  <si>
    <t>Número com Classificação Internacional de Doenças (CID</t>
  </si>
  <si>
    <t>error</t>
  </si>
  <si>
    <t>EZ</t>
  </si>
  <si>
    <t xml:space="preserve">CPF </t>
  </si>
  <si>
    <t>FA</t>
  </si>
  <si>
    <t>Total 1ª Fase</t>
  </si>
  <si>
    <t>FB</t>
  </si>
  <si>
    <t>Resultado Credenciados</t>
  </si>
  <si>
    <t>FC</t>
  </si>
  <si>
    <t>Obs Resultado Credenciados</t>
  </si>
  <si>
    <t>73. São critérios de desempate, em ordem:</t>
  </si>
  <si>
    <t>nota total</t>
  </si>
  <si>
    <t>métrica</t>
  </si>
  <si>
    <t>a. Maior pontuação obtida no item baixa renda da primeira fase;</t>
  </si>
  <si>
    <t>b. Maior pontuação obtida no item escolaridade da primeira fase;</t>
  </si>
  <si>
    <t>c. Maior pontuação obtida no item território da primeira fase;</t>
  </si>
  <si>
    <t>d. Maior pontuação obtida no item filhos/dependentes da primeira fase</t>
  </si>
  <si>
    <t>e. Maior pontuação obtida no item diversidade de gênero da primeira fase;</t>
  </si>
  <si>
    <t>f. Maior pontuação obtida nas entrevistas da segunda fase;</t>
  </si>
  <si>
    <t>g. Maior pontuação obtida nas dinâmicas da segunda fase;</t>
  </si>
  <si>
    <t>h. Candidatos/as com maior idade (dia/mês/ano);</t>
  </si>
  <si>
    <t>categorica</t>
  </si>
  <si>
    <t>i. Sorteio.</t>
  </si>
  <si>
    <t>74. Será excluído da Seleção o/a candidato/a que:</t>
  </si>
  <si>
    <t>a. fizer, em qualquer documento, declaração falsa ou inexata;</t>
  </si>
  <si>
    <t>b. desrespeitar membro da Comissão de Seleção;</t>
  </si>
  <si>
    <t>c. descumprir quaisquer das instruções contidas no Edital;</t>
  </si>
  <si>
    <t>d. for eliminado em uma das fases da seleção;</t>
  </si>
  <si>
    <t>e. perturbar, de qualquer modo, a ordem dos trabalhos, incorrendo em comportamento indevido;</t>
  </si>
  <si>
    <t>f. zerar em qualquer das etapas</t>
  </si>
  <si>
    <t>zerar nas etapas</t>
  </si>
  <si>
    <t>38. TABELA II - FASES DA SELEÇÃO</t>
  </si>
  <si>
    <t>Pontuação mín. (eliminado se inferior ao valor)</t>
  </si>
  <si>
    <t>30 (obtida na somatória das etapas da segunda fase)</t>
  </si>
  <si>
    <t>Primeira fase = 40 pontos</t>
  </si>
  <si>
    <t>Segunda fase = 60 pontos (15 + 45)</t>
  </si>
  <si>
    <t>Total = 100 pontos</t>
  </si>
  <si>
    <t>Protocolo:</t>
  </si>
  <si>
    <t>Nome:</t>
  </si>
  <si>
    <t>CPF:</t>
  </si>
  <si>
    <t>avc_total_fase1</t>
  </si>
  <si>
    <t>avc_nota_total_fase2_etapa1_entrevista</t>
  </si>
  <si>
    <t>avc_total_entrevistas_fase2_etapa1_entrevista</t>
  </si>
  <si>
    <t>id_chv_cpf_master, id_chv_cpf, dc_upd_nome_atualizado_14082024, hist_sel_turma_dinamica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</si>
</sst>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0.0"/>
    <numFmt numFmtId="166" formatCode="dd/MM/yyyy"/>
    <numFmt numFmtId="167" formatCode="dd/mm"/>
  </numFmts>
  <fonts count="16">
    <font>
      <sz val="10.0"/>
      <color rgb="FF000000"/>
      <name val="Arial"/>
      <scheme val="minor"/>
    </font>
    <font>
      <b/>
      <sz val="8.0"/>
      <color theme="1"/>
      <name val="Roboto"/>
    </font>
    <font>
      <sz val="8.0"/>
      <color theme="1"/>
      <name val="Roboto"/>
    </font>
    <font>
      <sz val="8.0"/>
      <color theme="1"/>
      <name val="Calibri"/>
    </font>
    <font>
      <sz val="8.0"/>
      <color rgb="FF000000"/>
      <name val="Calibri"/>
    </font>
    <font>
      <sz val="8.0"/>
      <color rgb="FFFFFFFF"/>
      <name val="Roboto"/>
    </font>
    <font>
      <b/>
      <sz val="8.0"/>
      <color rgb="FFFFFFFF"/>
      <name val="Roboto"/>
    </font>
    <font>
      <sz val="8.0"/>
      <color rgb="FF434343"/>
      <name val="Roboto"/>
    </font>
    <font>
      <color theme="1"/>
      <name val="Arial"/>
      <scheme val="minor"/>
    </font>
    <font>
      <u/>
      <sz val="8.0"/>
      <color rgb="FF0000FF"/>
      <name val="Roboto"/>
    </font>
    <font>
      <sz val="8.0"/>
      <color rgb="FF000000"/>
      <name val="Roboto"/>
    </font>
    <font>
      <b/>
      <color theme="1"/>
      <name val="Arial"/>
      <scheme val="minor"/>
    </font>
    <font>
      <u/>
      <sz val="8.0"/>
      <color rgb="FF0000FF"/>
      <name val="Roboto"/>
    </font>
    <font>
      <b/>
      <sz val="9.0"/>
      <color theme="1"/>
      <name val="Roboto"/>
    </font>
    <font>
      <b/>
      <sz val="9.0"/>
      <color rgb="FFFFFFFF"/>
      <name val="Roboto"/>
    </font>
    <font>
      <sz val="9.0"/>
      <color theme="1"/>
      <name val="Roboto"/>
    </font>
  </fonts>
  <fills count="16">
    <fill>
      <patternFill patternType="none"/>
    </fill>
    <fill>
      <patternFill patternType="lightGray"/>
    </fill>
    <fill>
      <patternFill patternType="solid">
        <fgColor rgb="FFFCE5CD"/>
        <bgColor rgb="FFFCE5CD"/>
      </patternFill>
    </fill>
    <fill>
      <patternFill patternType="solid">
        <fgColor rgb="FF783F04"/>
        <bgColor rgb="FF783F04"/>
      </patternFill>
    </fill>
    <fill>
      <patternFill patternType="solid">
        <fgColor rgb="FFB45F06"/>
        <bgColor rgb="FFB45F06"/>
      </patternFill>
    </fill>
    <fill>
      <patternFill patternType="solid">
        <fgColor rgb="FFF9CB9C"/>
        <bgColor rgb="FFF9CB9C"/>
      </patternFill>
    </fill>
    <fill>
      <patternFill patternType="solid">
        <fgColor rgb="FFF6B26B"/>
        <bgColor rgb="FFF6B26B"/>
      </patternFill>
    </fill>
    <fill>
      <patternFill patternType="solid">
        <fgColor rgb="FF00FF00"/>
        <bgColor rgb="FF00FF00"/>
      </patternFill>
    </fill>
    <fill>
      <patternFill patternType="solid">
        <fgColor rgb="FF999999"/>
        <bgColor rgb="FF999999"/>
      </patternFill>
    </fill>
    <fill>
      <patternFill patternType="solid">
        <fgColor rgb="FFE69138"/>
        <bgColor rgb="FFE69138"/>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434343"/>
        <bgColor rgb="FF434343"/>
      </patternFill>
    </fill>
    <fill>
      <patternFill patternType="solid">
        <fgColor rgb="FFFF00FF"/>
        <bgColor rgb="FFFF00FF"/>
      </patternFill>
    </fill>
    <fill>
      <patternFill patternType="solid">
        <fgColor rgb="FFEFEFEF"/>
        <bgColor rgb="FFEFEFEF"/>
      </patternFill>
    </fill>
  </fills>
  <borders count="1">
    <border/>
  </borders>
  <cellStyleXfs count="1">
    <xf borderId="0" fillId="0" fontId="0" numFmtId="0" applyAlignment="1" applyFont="1"/>
  </cellStyleXfs>
  <cellXfs count="102">
    <xf borderId="0" fillId="0" fontId="0" numFmtId="0" xfId="0" applyAlignment="1" applyFont="1">
      <alignment readingOrder="0" shrinkToFit="0" vertical="bottom" wrapText="0"/>
    </xf>
    <xf borderId="0" fillId="0" fontId="1" numFmtId="0" xfId="0" applyAlignment="1" applyFont="1">
      <alignment horizontal="center" vertical="bottom"/>
    </xf>
    <xf borderId="0" fillId="0" fontId="1" numFmtId="0" xfId="0" applyAlignment="1" applyFont="1">
      <alignment horizontal="center" vertical="bottom"/>
    </xf>
    <xf borderId="0" fillId="0" fontId="1" numFmtId="164" xfId="0" applyAlignment="1" applyFont="1" applyNumberFormat="1">
      <alignment horizontal="center" vertical="bottom"/>
    </xf>
    <xf borderId="0" fillId="0" fontId="1" numFmtId="0" xfId="0" applyAlignment="1" applyFont="1">
      <alignment horizontal="center" readingOrder="0"/>
    </xf>
    <xf borderId="0" fillId="0" fontId="2" numFmtId="0" xfId="0" applyAlignment="1" applyFont="1">
      <alignment horizontal="left"/>
    </xf>
    <xf borderId="0" fillId="0" fontId="2" numFmtId="0" xfId="0" applyAlignment="1" applyFont="1">
      <alignment horizontal="center"/>
    </xf>
    <xf borderId="0" fillId="0" fontId="2" numFmtId="164" xfId="0" applyAlignment="1" applyFont="1" applyNumberFormat="1">
      <alignment horizontal="center"/>
    </xf>
    <xf borderId="0" fillId="0" fontId="2" numFmtId="3" xfId="0" applyAlignment="1" applyFont="1" applyNumberFormat="1">
      <alignment horizontal="center"/>
    </xf>
    <xf borderId="0" fillId="0" fontId="2" numFmtId="165" xfId="0" applyAlignment="1" applyFont="1" applyNumberFormat="1">
      <alignment horizontal="center"/>
    </xf>
    <xf borderId="0" fillId="0" fontId="2" numFmtId="0" xfId="0" applyAlignment="1" applyFont="1">
      <alignment horizontal="center" readingOrder="0" shrinkToFit="0" vertical="center" wrapText="1"/>
    </xf>
    <xf borderId="0" fillId="2" fontId="2" numFmtId="0" xfId="0" applyAlignment="1" applyFill="1" applyFont="1">
      <alignment horizontal="center" readingOrder="0" shrinkToFit="0" vertical="center" wrapText="1"/>
    </xf>
    <xf borderId="0" fillId="3" fontId="2" numFmtId="0" xfId="0" applyAlignment="1" applyFill="1" applyFont="1">
      <alignment horizontal="center" readingOrder="0" shrinkToFit="0" vertical="center" wrapText="1"/>
    </xf>
    <xf borderId="0" fillId="4" fontId="2" numFmtId="0" xfId="0" applyAlignment="1" applyFill="1" applyFont="1">
      <alignment horizontal="center" readingOrder="0" shrinkToFit="0" vertical="center" wrapText="1"/>
    </xf>
    <xf borderId="0" fillId="5" fontId="2" numFmtId="0" xfId="0" applyAlignment="1" applyFill="1" applyFont="1">
      <alignment horizontal="center" readingOrder="0" shrinkToFit="0" vertical="center" wrapText="1"/>
    </xf>
    <xf borderId="0" fillId="6" fontId="2" numFmtId="0" xfId="0" applyAlignment="1" applyFill="1" applyFont="1">
      <alignment horizontal="center" readingOrder="0" shrinkToFit="0" vertical="center" wrapText="1"/>
    </xf>
    <xf borderId="0" fillId="7" fontId="2" numFmtId="0" xfId="0" applyAlignment="1" applyFill="1" applyFont="1">
      <alignment horizontal="center" readingOrder="0" shrinkToFit="0" vertical="center" wrapText="1"/>
    </xf>
    <xf borderId="0" fillId="8" fontId="2" numFmtId="0" xfId="0" applyAlignment="1" applyFill="1" applyFont="1">
      <alignment horizontal="center" readingOrder="0" shrinkToFit="0" vertical="center" wrapText="1"/>
    </xf>
    <xf borderId="0" fillId="9" fontId="2" numFmtId="0" xfId="0" applyAlignment="1" applyFill="1" applyFont="1">
      <alignment horizontal="center" readingOrder="0" shrinkToFit="0" vertical="center" wrapText="1"/>
    </xf>
    <xf borderId="0" fillId="0" fontId="2" numFmtId="0" xfId="0" applyFont="1"/>
    <xf borderId="0" fillId="0" fontId="2" numFmtId="166" xfId="0" applyFont="1" applyNumberFormat="1"/>
    <xf borderId="0" fillId="0" fontId="2" numFmtId="3" xfId="0" applyFont="1" applyNumberFormat="1"/>
    <xf borderId="0" fillId="0" fontId="2" numFmtId="164" xfId="0" applyFont="1" applyNumberFormat="1"/>
    <xf borderId="0" fillId="0" fontId="2" numFmtId="0" xfId="0" applyAlignment="1" applyFont="1">
      <alignment readingOrder="0"/>
    </xf>
    <xf borderId="0" fillId="0" fontId="2" numFmtId="167" xfId="0" applyFont="1" applyNumberFormat="1"/>
    <xf borderId="0" fillId="0" fontId="2" numFmtId="49" xfId="0" applyFont="1" applyNumberFormat="1"/>
    <xf borderId="0" fillId="0" fontId="2" numFmtId="0" xfId="0" applyAlignment="1" applyFont="1">
      <alignment horizontal="left" readingOrder="0"/>
    </xf>
    <xf borderId="0" fillId="10" fontId="2" numFmtId="0" xfId="0" applyFill="1" applyFont="1"/>
    <xf borderId="0" fillId="10" fontId="2" numFmtId="166" xfId="0" applyFont="1" applyNumberFormat="1"/>
    <xf borderId="0" fillId="10" fontId="2" numFmtId="3" xfId="0" applyFont="1" applyNumberFormat="1"/>
    <xf borderId="0" fillId="10" fontId="2" numFmtId="0" xfId="0" applyAlignment="1" applyFont="1">
      <alignment horizontal="left"/>
    </xf>
    <xf borderId="0" fillId="10" fontId="2" numFmtId="164" xfId="0" applyFont="1" applyNumberFormat="1"/>
    <xf borderId="0" fillId="10" fontId="2" numFmtId="0" xfId="0" applyAlignment="1" applyFont="1">
      <alignment readingOrder="0"/>
    </xf>
    <xf borderId="0" fillId="10" fontId="1" numFmtId="0" xfId="0" applyAlignment="1" applyFont="1">
      <alignment readingOrder="0"/>
    </xf>
    <xf borderId="0" fillId="10" fontId="1" numFmtId="164" xfId="0" applyFont="1" applyNumberFormat="1"/>
    <xf borderId="0" fillId="10" fontId="1" numFmtId="0" xfId="0" applyFont="1"/>
    <xf borderId="0" fillId="10" fontId="2" numFmtId="167" xfId="0" applyFont="1" applyNumberFormat="1"/>
    <xf borderId="0" fillId="10" fontId="2" numFmtId="49" xfId="0" applyFont="1" applyNumberFormat="1"/>
    <xf borderId="0" fillId="10" fontId="2" numFmtId="0" xfId="0" applyAlignment="1" applyFont="1">
      <alignment horizontal="left" readingOrder="0"/>
    </xf>
    <xf borderId="0" fillId="11" fontId="2" numFmtId="0" xfId="0" applyFill="1" applyFont="1"/>
    <xf borderId="0" fillId="12" fontId="2" numFmtId="3" xfId="0" applyAlignment="1" applyFill="1" applyFont="1" applyNumberFormat="1">
      <alignment readingOrder="0"/>
    </xf>
    <xf borderId="0" fillId="7" fontId="2" numFmtId="3" xfId="0" applyAlignment="1" applyFont="1" applyNumberFormat="1">
      <alignment horizontal="left"/>
    </xf>
    <xf borderId="0" fillId="10" fontId="2" numFmtId="165" xfId="0" applyFont="1" applyNumberFormat="1"/>
    <xf borderId="0" fillId="7" fontId="2" numFmtId="0" xfId="0" applyAlignment="1" applyFont="1">
      <alignment horizontal="left" readingOrder="0"/>
    </xf>
    <xf borderId="0" fillId="12" fontId="2" numFmtId="0" xfId="0" applyAlignment="1" applyFont="1">
      <alignment readingOrder="0"/>
    </xf>
    <xf borderId="0" fillId="10" fontId="3" numFmtId="0" xfId="0" applyAlignment="1" applyFont="1">
      <alignment shrinkToFit="0" wrapText="0"/>
    </xf>
    <xf borderId="0" fillId="10" fontId="3" numFmtId="0" xfId="0" applyAlignment="1" applyFont="1">
      <alignment shrinkToFit="0" vertical="center" wrapText="0"/>
    </xf>
    <xf borderId="0" fillId="10" fontId="4" numFmtId="0" xfId="0" applyAlignment="1" applyFont="1">
      <alignment horizontal="left" readingOrder="0" shrinkToFit="0" vertical="center" wrapText="0"/>
    </xf>
    <xf borderId="0" fillId="10" fontId="3" numFmtId="166" xfId="0" applyAlignment="1" applyFont="1" applyNumberFormat="1">
      <alignment shrinkToFit="0" wrapText="0"/>
    </xf>
    <xf borderId="0" fillId="10" fontId="3" numFmtId="0" xfId="0" applyAlignment="1" applyFont="1">
      <alignment horizontal="center" shrinkToFit="0" vertical="center" wrapText="0"/>
    </xf>
    <xf borderId="0" fillId="10" fontId="4" numFmtId="166" xfId="0" applyAlignment="1" applyFont="1" applyNumberFormat="1">
      <alignment horizontal="left" readingOrder="0" shrinkToFit="0" vertical="center" wrapText="0"/>
    </xf>
    <xf borderId="0" fillId="10" fontId="3" numFmtId="3" xfId="0" applyAlignment="1" applyFont="1" applyNumberFormat="1">
      <alignment horizontal="center" shrinkToFit="0" wrapText="0"/>
    </xf>
    <xf borderId="0" fillId="10" fontId="3" numFmtId="0" xfId="0" applyAlignment="1" applyFont="1">
      <alignment horizontal="center" shrinkToFit="0" wrapText="0"/>
    </xf>
    <xf borderId="0" fillId="10" fontId="3" numFmtId="49" xfId="0" applyAlignment="1" applyFont="1" applyNumberFormat="1">
      <alignment horizontal="center" shrinkToFit="0" vertical="center" wrapText="0"/>
    </xf>
    <xf borderId="0" fillId="13" fontId="5" numFmtId="0" xfId="0" applyAlignment="1" applyFill="1" applyFont="1">
      <alignment horizontal="center" readingOrder="0"/>
    </xf>
    <xf borderId="0" fillId="13" fontId="6" numFmtId="0" xfId="0" applyAlignment="1" applyFont="1">
      <alignment horizontal="left" readingOrder="0"/>
    </xf>
    <xf borderId="0" fillId="10" fontId="7" numFmtId="0" xfId="0" applyAlignment="1" applyFont="1">
      <alignment horizontal="left" readingOrder="0"/>
    </xf>
    <xf borderId="0" fillId="10" fontId="7" numFmtId="0" xfId="0" applyAlignment="1" applyFont="1">
      <alignment horizontal="center" readingOrder="0"/>
    </xf>
    <xf borderId="0" fillId="0" fontId="1" numFmtId="0" xfId="0" applyAlignment="1" applyFont="1">
      <alignment horizontal="left"/>
    </xf>
    <xf borderId="0" fillId="0" fontId="2" numFmtId="0" xfId="0" applyAlignment="1" applyFont="1">
      <alignment horizontal="center" readingOrder="0"/>
    </xf>
    <xf borderId="0" fillId="0" fontId="8" numFmtId="0" xfId="0" applyFont="1"/>
    <xf borderId="0" fillId="11" fontId="2" numFmtId="0" xfId="0" applyAlignment="1" applyFont="1">
      <alignment readingOrder="0"/>
    </xf>
    <xf borderId="0" fillId="11" fontId="2" numFmtId="0" xfId="0" applyAlignment="1" applyFont="1">
      <alignment horizontal="center"/>
    </xf>
    <xf borderId="0" fillId="14" fontId="2" numFmtId="0" xfId="0" applyFill="1" applyFont="1"/>
    <xf borderId="0" fillId="14" fontId="2" numFmtId="0" xfId="0" applyAlignment="1" applyFont="1">
      <alignment horizontal="center" readingOrder="0"/>
    </xf>
    <xf borderId="0" fillId="14" fontId="2" numFmtId="0" xfId="0" applyAlignment="1" applyFont="1">
      <alignment readingOrder="0"/>
    </xf>
    <xf borderId="0" fillId="14" fontId="2" numFmtId="0" xfId="0" applyAlignment="1" applyFont="1">
      <alignment horizontal="center"/>
    </xf>
    <xf borderId="0" fillId="14" fontId="2" numFmtId="0" xfId="0" applyAlignment="1" applyFont="1">
      <alignment horizontal="left" readingOrder="0"/>
    </xf>
    <xf borderId="0" fillId="11" fontId="2" numFmtId="0" xfId="0" applyAlignment="1" applyFont="1">
      <alignment horizontal="center" readingOrder="0"/>
    </xf>
    <xf borderId="0" fillId="10" fontId="2" numFmtId="0" xfId="0" applyAlignment="1" applyFont="1">
      <alignment horizontal="center" readingOrder="0"/>
    </xf>
    <xf borderId="0" fillId="10" fontId="2" numFmtId="0" xfId="0" applyAlignment="1" applyFont="1">
      <alignment horizontal="center"/>
    </xf>
    <xf borderId="0" fillId="0" fontId="9" numFmtId="0" xfId="0" applyAlignment="1" applyFont="1">
      <alignment horizontal="center" readingOrder="0"/>
    </xf>
    <xf borderId="0" fillId="0" fontId="2" numFmtId="14" xfId="0" applyFont="1" applyNumberFormat="1"/>
    <xf borderId="0" fillId="0" fontId="2" numFmtId="14" xfId="0" applyAlignment="1" applyFont="1" applyNumberFormat="1">
      <alignment horizontal="center" readingOrder="0"/>
    </xf>
    <xf borderId="0" fillId="0" fontId="2" numFmtId="166" xfId="0" applyAlignment="1" applyFont="1" applyNumberFormat="1">
      <alignment horizontal="center" readingOrder="0"/>
    </xf>
    <xf borderId="0" fillId="0" fontId="2" numFmtId="3" xfId="0" applyAlignment="1" applyFont="1" applyNumberFormat="1">
      <alignment horizontal="center" readingOrder="0"/>
    </xf>
    <xf borderId="0" fillId="0" fontId="8" numFmtId="0" xfId="0" applyAlignment="1" applyFont="1">
      <alignment readingOrder="0"/>
    </xf>
    <xf borderId="0" fillId="13" fontId="5" numFmtId="0" xfId="0" applyAlignment="1" applyFont="1">
      <alignment horizontal="center" readingOrder="0" shrinkToFit="0" vertical="center" wrapText="1"/>
    </xf>
    <xf borderId="0" fillId="0" fontId="2" numFmtId="164" xfId="0" applyAlignment="1" applyFont="1" applyNumberFormat="1">
      <alignment horizontal="center" readingOrder="0"/>
    </xf>
    <xf borderId="0" fillId="0" fontId="2" numFmtId="0" xfId="0" applyAlignment="1" applyFont="1">
      <alignment horizontal="left" readingOrder="0" shrinkToFit="0" vertical="center" wrapText="1"/>
    </xf>
    <xf borderId="0" fillId="0" fontId="2" numFmtId="167" xfId="0" applyAlignment="1" applyFont="1" applyNumberFormat="1">
      <alignment horizontal="center" readingOrder="0"/>
    </xf>
    <xf borderId="0" fillId="0" fontId="2" numFmtId="49" xfId="0" applyAlignment="1" applyFont="1" applyNumberFormat="1">
      <alignment horizontal="center" readingOrder="0"/>
    </xf>
    <xf borderId="0" fillId="0" fontId="10" numFmtId="0" xfId="0" applyAlignment="1" applyFont="1">
      <alignment horizontal="center" readingOrder="0"/>
    </xf>
    <xf borderId="0" fillId="0" fontId="10" numFmtId="0" xfId="0" applyAlignment="1" applyFont="1">
      <alignment horizontal="left" readingOrder="0"/>
    </xf>
    <xf borderId="0" fillId="0" fontId="1" numFmtId="0" xfId="0" applyAlignment="1" applyFont="1">
      <alignment horizontal="left" readingOrder="0"/>
    </xf>
    <xf borderId="0" fillId="0" fontId="11" numFmtId="0" xfId="0" applyAlignment="1" applyFont="1">
      <alignment readingOrder="0"/>
    </xf>
    <xf borderId="0" fillId="15" fontId="2" numFmtId="0" xfId="0" applyAlignment="1" applyFill="1" applyFont="1">
      <alignment horizontal="center" readingOrder="0" shrinkToFit="0" wrapText="0"/>
    </xf>
    <xf borderId="0" fillId="15" fontId="1" numFmtId="0" xfId="0" applyAlignment="1" applyFont="1">
      <alignment horizontal="right" readingOrder="0"/>
    </xf>
    <xf borderId="0" fillId="0" fontId="1" numFmtId="0" xfId="0" applyFont="1"/>
    <xf borderId="0" fillId="15" fontId="2" numFmtId="0" xfId="0" applyAlignment="1" applyFont="1">
      <alignment shrinkToFit="0" wrapText="0"/>
    </xf>
    <xf borderId="0" fillId="13" fontId="5" numFmtId="0" xfId="0" applyAlignment="1" applyFont="1">
      <alignment horizontal="left" readingOrder="0" shrinkToFit="0" wrapText="0"/>
    </xf>
    <xf borderId="0" fillId="0" fontId="12" numFmtId="0" xfId="0" applyAlignment="1" applyFont="1">
      <alignment horizontal="left"/>
    </xf>
    <xf borderId="0" fillId="0" fontId="2" numFmtId="166" xfId="0" applyAlignment="1" applyFont="1" applyNumberFormat="1">
      <alignment horizontal="left"/>
    </xf>
    <xf borderId="0" fillId="0" fontId="2" numFmtId="0" xfId="0" applyAlignment="1" applyFont="1">
      <alignment horizontal="right"/>
    </xf>
    <xf borderId="0" fillId="0" fontId="2" numFmtId="3" xfId="0" applyAlignment="1" applyFont="1" applyNumberFormat="1">
      <alignment horizontal="left"/>
    </xf>
    <xf borderId="0" fillId="0" fontId="2" numFmtId="164" xfId="0" applyAlignment="1" applyFont="1" applyNumberFormat="1">
      <alignment horizontal="left"/>
    </xf>
    <xf borderId="0" fillId="0" fontId="2" numFmtId="167" xfId="0" applyAlignment="1" applyFont="1" applyNumberFormat="1">
      <alignment horizontal="left"/>
    </xf>
    <xf borderId="0" fillId="0" fontId="13" numFmtId="0" xfId="0" applyAlignment="1" applyFont="1">
      <alignment readingOrder="0"/>
    </xf>
    <xf borderId="0" fillId="0" fontId="13" numFmtId="0" xfId="0" applyFont="1"/>
    <xf borderId="0" fillId="13" fontId="14" numFmtId="0" xfId="0" applyFont="1"/>
    <xf borderId="0" fillId="0" fontId="15" numFmtId="0" xfId="0" applyAlignment="1" applyFont="1">
      <alignment shrinkToFit="0" wrapText="0"/>
    </xf>
    <xf borderId="0" fillId="0" fontId="1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yz2spukd8h-jbrk7pf7uvw.s3.amazonaws.com/2024/06/0CcKHuZDIU2x6Bn8wZUsbSO1ucMxdNyuH8r7qjY2e9s%3D.jpg" TargetMode="External"/><Relationship Id="rId2" Type="http://schemas.openxmlformats.org/officeDocument/2006/relationships/hyperlink" Target="https://yz2spukd8h-jbrk7pf7uvw.s3.amazonaws.com/2024/06/0CcKHuZDIU2x6Bn8wZUsbSO1ucMxdNyuH8r7qjY2e9s%3D.jpg"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yz2spukd8h-jbrk7pf7uvw.s3.amazonaws.com/2024/05/aUUS1UmSk6aM6w9Z5voIhLjrbLyS7DhhE/c08slBnrs%3D.jpeg" TargetMode="External"/><Relationship Id="rId2" Type="http://schemas.openxmlformats.org/officeDocument/2006/relationships/hyperlink" Target="https://www.instagram.com/mcda4i20/" TargetMode="External"/><Relationship Id="rId3" Type="http://schemas.openxmlformats.org/officeDocument/2006/relationships/hyperlink" Target="https://yz2spukd8h-jbrk7pf7uvw.s3.amazonaws.com/2024/05/aUUS1UmSk6aM6w9Z5voIhLjrbLyS7DhhE/c08slBnrs%3D.jpeg"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75"/>
    <col customWidth="1" min="2" max="2" width="9.38"/>
    <col customWidth="1" min="3" max="3" width="9.25"/>
    <col customWidth="1" min="4" max="4" width="36.0"/>
    <col customWidth="1" min="5" max="5" width="6.13"/>
    <col customWidth="1" min="6" max="6" width="5.63"/>
    <col customWidth="1" min="7" max="7" width="10.63"/>
    <col customWidth="1" min="8" max="8" width="12.25"/>
    <col customWidth="1" min="9" max="9" width="12.75"/>
    <col customWidth="1" min="10" max="10" width="9.0"/>
    <col customWidth="1" min="11" max="11" width="11.5"/>
    <col customWidth="1" min="12" max="12" width="16.0"/>
  </cols>
  <sheetData>
    <row r="1">
      <c r="A1" s="1" t="s">
        <v>0</v>
      </c>
      <c r="B1" s="2" t="s">
        <v>1</v>
      </c>
      <c r="C1" s="2" t="s">
        <v>2</v>
      </c>
      <c r="D1" s="2" t="s">
        <v>3</v>
      </c>
      <c r="E1" s="2" t="s">
        <v>4</v>
      </c>
      <c r="F1" s="2" t="s">
        <v>5</v>
      </c>
      <c r="G1" s="2" t="s">
        <v>6</v>
      </c>
      <c r="H1" s="2" t="s">
        <v>7</v>
      </c>
      <c r="I1" s="2" t="s">
        <v>8</v>
      </c>
      <c r="J1" s="3" t="s">
        <v>9</v>
      </c>
      <c r="K1" s="2" t="s">
        <v>10</v>
      </c>
      <c r="L1" s="4" t="s">
        <v>11</v>
      </c>
    </row>
    <row r="2">
      <c r="A2" s="5" t="s">
        <v>12</v>
      </c>
      <c r="B2" s="5" t="s">
        <v>13</v>
      </c>
      <c r="C2" s="5" t="s">
        <v>14</v>
      </c>
      <c r="D2" s="5" t="s">
        <v>15</v>
      </c>
      <c r="E2" s="6" t="s">
        <v>16</v>
      </c>
      <c r="F2" s="6" t="s">
        <v>17</v>
      </c>
      <c r="G2" s="6">
        <v>38.0</v>
      </c>
      <c r="H2" s="7">
        <v>15.0</v>
      </c>
      <c r="I2" s="6">
        <v>45.0</v>
      </c>
      <c r="J2" s="6">
        <v>98.0</v>
      </c>
      <c r="K2" s="6">
        <v>1.0</v>
      </c>
      <c r="L2" s="6">
        <v>1.0</v>
      </c>
    </row>
    <row r="3">
      <c r="A3" s="5" t="s">
        <v>18</v>
      </c>
      <c r="B3" s="5" t="s">
        <v>19</v>
      </c>
      <c r="C3" s="5" t="s">
        <v>20</v>
      </c>
      <c r="D3" s="5" t="s">
        <v>21</v>
      </c>
      <c r="E3" s="6" t="s">
        <v>16</v>
      </c>
      <c r="F3" s="6" t="s">
        <v>17</v>
      </c>
      <c r="G3" s="6">
        <v>38.0</v>
      </c>
      <c r="H3" s="7">
        <v>14.25</v>
      </c>
      <c r="I3" s="6">
        <v>45.0</v>
      </c>
      <c r="J3" s="6">
        <v>97.3</v>
      </c>
      <c r="K3" s="6">
        <v>2.0</v>
      </c>
      <c r="L3" s="6">
        <v>1.0</v>
      </c>
    </row>
    <row r="4">
      <c r="A4" s="5" t="s">
        <v>22</v>
      </c>
      <c r="B4" s="5" t="s">
        <v>23</v>
      </c>
      <c r="C4" s="5" t="s">
        <v>24</v>
      </c>
      <c r="D4" s="5" t="s">
        <v>21</v>
      </c>
      <c r="E4" s="6" t="s">
        <v>16</v>
      </c>
      <c r="F4" s="6" t="s">
        <v>16</v>
      </c>
      <c r="G4" s="6">
        <v>38.0</v>
      </c>
      <c r="H4" s="7">
        <v>14.15625</v>
      </c>
      <c r="I4" s="6">
        <v>45.0</v>
      </c>
      <c r="J4" s="6">
        <v>97.2</v>
      </c>
      <c r="K4" s="6">
        <v>3.0</v>
      </c>
      <c r="L4" s="6">
        <v>2.0</v>
      </c>
    </row>
    <row r="5">
      <c r="A5" s="5" t="s">
        <v>25</v>
      </c>
      <c r="B5" s="5" t="s">
        <v>26</v>
      </c>
      <c r="C5" s="5" t="s">
        <v>27</v>
      </c>
      <c r="D5" s="5" t="s">
        <v>21</v>
      </c>
      <c r="E5" s="6" t="s">
        <v>16</v>
      </c>
      <c r="F5" s="6" t="s">
        <v>16</v>
      </c>
      <c r="G5" s="6">
        <v>38.0</v>
      </c>
      <c r="H5" s="7">
        <v>14.043750000000001</v>
      </c>
      <c r="I5" s="6">
        <v>45.0</v>
      </c>
      <c r="J5" s="6">
        <v>97.0</v>
      </c>
      <c r="K5" s="6">
        <v>4.0</v>
      </c>
      <c r="L5" s="6">
        <v>3.0</v>
      </c>
    </row>
    <row r="6">
      <c r="A6" s="5" t="s">
        <v>28</v>
      </c>
      <c r="B6" s="5" t="s">
        <v>29</v>
      </c>
      <c r="C6" s="5" t="s">
        <v>30</v>
      </c>
      <c r="D6" s="5" t="s">
        <v>21</v>
      </c>
      <c r="E6" s="6" t="s">
        <v>16</v>
      </c>
      <c r="F6" s="6" t="s">
        <v>17</v>
      </c>
      <c r="G6" s="6">
        <v>38.0</v>
      </c>
      <c r="H6" s="7">
        <v>13.78125</v>
      </c>
      <c r="I6" s="6">
        <v>45.0</v>
      </c>
      <c r="J6" s="6">
        <v>96.8</v>
      </c>
      <c r="K6" s="6">
        <v>5.0</v>
      </c>
      <c r="L6" s="6">
        <v>4.0</v>
      </c>
    </row>
    <row r="7">
      <c r="A7" s="5" t="s">
        <v>31</v>
      </c>
      <c r="B7" s="5" t="s">
        <v>32</v>
      </c>
      <c r="C7" s="5" t="s">
        <v>33</v>
      </c>
      <c r="D7" s="5" t="s">
        <v>34</v>
      </c>
      <c r="E7" s="6" t="s">
        <v>16</v>
      </c>
      <c r="F7" s="6" t="s">
        <v>17</v>
      </c>
      <c r="G7" s="6">
        <v>38.0</v>
      </c>
      <c r="H7" s="7">
        <v>12.993749999999999</v>
      </c>
      <c r="I7" s="6">
        <v>45.0</v>
      </c>
      <c r="J7" s="6">
        <v>96.0</v>
      </c>
      <c r="K7" s="6">
        <v>6.0</v>
      </c>
      <c r="L7" s="6">
        <v>1.0</v>
      </c>
    </row>
    <row r="8">
      <c r="A8" s="5" t="s">
        <v>35</v>
      </c>
      <c r="B8" s="5" t="s">
        <v>36</v>
      </c>
      <c r="C8" s="5" t="s">
        <v>37</v>
      </c>
      <c r="D8" s="5" t="s">
        <v>38</v>
      </c>
      <c r="E8" s="6" t="s">
        <v>16</v>
      </c>
      <c r="F8" s="6" t="s">
        <v>16</v>
      </c>
      <c r="G8" s="6">
        <v>38.0</v>
      </c>
      <c r="H8" s="7">
        <v>15.0</v>
      </c>
      <c r="I8" s="6">
        <v>43.0</v>
      </c>
      <c r="J8" s="6">
        <v>96.0</v>
      </c>
      <c r="K8" s="6">
        <v>7.0</v>
      </c>
      <c r="L8" s="6">
        <v>1.0</v>
      </c>
    </row>
    <row r="9">
      <c r="A9" s="5" t="s">
        <v>39</v>
      </c>
      <c r="B9" s="5" t="s">
        <v>40</v>
      </c>
      <c r="C9" s="5" t="s">
        <v>41</v>
      </c>
      <c r="D9" s="5" t="s">
        <v>42</v>
      </c>
      <c r="E9" s="6" t="s">
        <v>16</v>
      </c>
      <c r="F9" s="6" t="s">
        <v>17</v>
      </c>
      <c r="G9" s="6">
        <v>37.0</v>
      </c>
      <c r="H9" s="7">
        <v>13.921875</v>
      </c>
      <c r="I9" s="6">
        <v>45.0</v>
      </c>
      <c r="J9" s="6">
        <v>95.9</v>
      </c>
      <c r="K9" s="6">
        <v>8.0</v>
      </c>
      <c r="L9" s="6">
        <v>1.0</v>
      </c>
    </row>
    <row r="10">
      <c r="A10" s="5" t="s">
        <v>43</v>
      </c>
      <c r="B10" s="5" t="s">
        <v>44</v>
      </c>
      <c r="C10" s="5" t="s">
        <v>45</v>
      </c>
      <c r="D10" s="5" t="s">
        <v>21</v>
      </c>
      <c r="E10" s="6" t="s">
        <v>16</v>
      </c>
      <c r="F10" s="6" t="s">
        <v>17</v>
      </c>
      <c r="G10" s="6">
        <v>35.0</v>
      </c>
      <c r="H10" s="7">
        <v>15.0</v>
      </c>
      <c r="I10" s="6">
        <v>45.0</v>
      </c>
      <c r="J10" s="6">
        <v>95.0</v>
      </c>
      <c r="K10" s="6">
        <v>9.0</v>
      </c>
      <c r="L10" s="6">
        <v>5.0</v>
      </c>
    </row>
    <row r="11">
      <c r="A11" s="5" t="s">
        <v>46</v>
      </c>
      <c r="B11" s="5" t="s">
        <v>47</v>
      </c>
      <c r="C11" s="5" t="s">
        <v>48</v>
      </c>
      <c r="D11" s="5" t="s">
        <v>34</v>
      </c>
      <c r="E11" s="6" t="s">
        <v>16</v>
      </c>
      <c r="F11" s="6" t="s">
        <v>17</v>
      </c>
      <c r="G11" s="6">
        <v>35.0</v>
      </c>
      <c r="H11" s="7">
        <v>14.849999999999998</v>
      </c>
      <c r="I11" s="6">
        <v>45.0</v>
      </c>
      <c r="J11" s="6">
        <v>94.9</v>
      </c>
      <c r="K11" s="6">
        <v>10.0</v>
      </c>
      <c r="L11" s="6">
        <v>2.0</v>
      </c>
    </row>
    <row r="12">
      <c r="A12" s="5" t="s">
        <v>49</v>
      </c>
      <c r="B12" s="5" t="s">
        <v>50</v>
      </c>
      <c r="C12" s="5" t="s">
        <v>51</v>
      </c>
      <c r="D12" s="5" t="s">
        <v>52</v>
      </c>
      <c r="E12" s="6" t="s">
        <v>16</v>
      </c>
      <c r="F12" s="6" t="s">
        <v>16</v>
      </c>
      <c r="G12" s="6">
        <v>37.0</v>
      </c>
      <c r="H12" s="7">
        <v>12.84375</v>
      </c>
      <c r="I12" s="6">
        <v>45.0</v>
      </c>
      <c r="J12" s="6">
        <v>94.8</v>
      </c>
      <c r="K12" s="6">
        <v>11.0</v>
      </c>
      <c r="L12" s="6">
        <v>1.0</v>
      </c>
    </row>
    <row r="13">
      <c r="A13" s="5" t="s">
        <v>53</v>
      </c>
      <c r="B13" s="5" t="s">
        <v>54</v>
      </c>
      <c r="C13" s="5" t="s">
        <v>55</v>
      </c>
      <c r="D13" s="5" t="s">
        <v>15</v>
      </c>
      <c r="E13" s="6" t="s">
        <v>16</v>
      </c>
      <c r="F13" s="6" t="s">
        <v>16</v>
      </c>
      <c r="G13" s="6">
        <v>35.0</v>
      </c>
      <c r="H13" s="7">
        <v>14.625</v>
      </c>
      <c r="I13" s="6">
        <v>45.0</v>
      </c>
      <c r="J13" s="6">
        <v>94.6</v>
      </c>
      <c r="K13" s="6">
        <v>12.0</v>
      </c>
      <c r="L13" s="6">
        <v>2.0</v>
      </c>
    </row>
    <row r="14">
      <c r="A14" s="5" t="s">
        <v>56</v>
      </c>
      <c r="B14" s="5" t="s">
        <v>57</v>
      </c>
      <c r="C14" s="5" t="s">
        <v>58</v>
      </c>
      <c r="D14" s="5" t="s">
        <v>59</v>
      </c>
      <c r="E14" s="6" t="s">
        <v>16</v>
      </c>
      <c r="F14" s="6" t="s">
        <v>17</v>
      </c>
      <c r="G14" s="6">
        <v>37.0</v>
      </c>
      <c r="H14" s="7">
        <v>14.390625</v>
      </c>
      <c r="I14" s="6">
        <v>43.0</v>
      </c>
      <c r="J14" s="6">
        <v>94.4</v>
      </c>
      <c r="K14" s="6">
        <v>13.0</v>
      </c>
      <c r="L14" s="6">
        <v>1.0</v>
      </c>
    </row>
    <row r="15">
      <c r="A15" s="5" t="s">
        <v>60</v>
      </c>
      <c r="B15" s="5" t="s">
        <v>61</v>
      </c>
      <c r="C15" s="5" t="s">
        <v>62</v>
      </c>
      <c r="D15" s="5" t="s">
        <v>59</v>
      </c>
      <c r="E15" s="6" t="s">
        <v>16</v>
      </c>
      <c r="F15" s="6" t="s">
        <v>16</v>
      </c>
      <c r="G15" s="6">
        <v>35.0</v>
      </c>
      <c r="H15" s="7">
        <v>14.4375</v>
      </c>
      <c r="I15" s="6">
        <v>45.0</v>
      </c>
      <c r="J15" s="6">
        <v>94.4</v>
      </c>
      <c r="K15" s="6">
        <v>14.0</v>
      </c>
      <c r="L15" s="6">
        <v>2.0</v>
      </c>
    </row>
    <row r="16">
      <c r="A16" s="5" t="s">
        <v>63</v>
      </c>
      <c r="B16" s="5" t="s">
        <v>64</v>
      </c>
      <c r="C16" s="5" t="s">
        <v>65</v>
      </c>
      <c r="D16" s="5" t="s">
        <v>38</v>
      </c>
      <c r="E16" s="6" t="s">
        <v>16</v>
      </c>
      <c r="F16" s="6" t="s">
        <v>17</v>
      </c>
      <c r="G16" s="6">
        <v>36.0</v>
      </c>
      <c r="H16" s="7">
        <v>14.25</v>
      </c>
      <c r="I16" s="6">
        <v>44.0</v>
      </c>
      <c r="J16" s="6">
        <v>94.3</v>
      </c>
      <c r="K16" s="6">
        <v>15.0</v>
      </c>
      <c r="L16" s="6">
        <v>2.0</v>
      </c>
    </row>
    <row r="17">
      <c r="A17" s="5" t="s">
        <v>66</v>
      </c>
      <c r="B17" s="5" t="s">
        <v>67</v>
      </c>
      <c r="C17" s="5" t="s">
        <v>68</v>
      </c>
      <c r="D17" s="5" t="s">
        <v>59</v>
      </c>
      <c r="E17" s="6" t="s">
        <v>16</v>
      </c>
      <c r="F17" s="6" t="s">
        <v>16</v>
      </c>
      <c r="G17" s="6">
        <v>35.0</v>
      </c>
      <c r="H17" s="7">
        <v>14.15625</v>
      </c>
      <c r="I17" s="6">
        <v>45.0</v>
      </c>
      <c r="J17" s="6">
        <v>94.2</v>
      </c>
      <c r="K17" s="6">
        <v>16.0</v>
      </c>
      <c r="L17" s="6">
        <v>3.0</v>
      </c>
    </row>
    <row r="18">
      <c r="A18" s="5" t="s">
        <v>69</v>
      </c>
      <c r="B18" s="5" t="s">
        <v>70</v>
      </c>
      <c r="C18" s="5" t="s">
        <v>71</v>
      </c>
      <c r="D18" s="5" t="s">
        <v>21</v>
      </c>
      <c r="E18" s="6" t="s">
        <v>16</v>
      </c>
      <c r="F18" s="6" t="s">
        <v>17</v>
      </c>
      <c r="G18" s="6">
        <v>35.0</v>
      </c>
      <c r="H18" s="7">
        <v>14.8125</v>
      </c>
      <c r="I18" s="6">
        <v>44.3</v>
      </c>
      <c r="J18" s="6">
        <v>94.1</v>
      </c>
      <c r="K18" s="6">
        <v>17.0</v>
      </c>
      <c r="L18" s="6">
        <v>6.0</v>
      </c>
    </row>
    <row r="19">
      <c r="A19" s="5" t="s">
        <v>72</v>
      </c>
      <c r="B19" s="5" t="s">
        <v>73</v>
      </c>
      <c r="C19" s="5" t="s">
        <v>74</v>
      </c>
      <c r="D19" s="5" t="s">
        <v>75</v>
      </c>
      <c r="E19" s="6" t="s">
        <v>16</v>
      </c>
      <c r="F19" s="6" t="s">
        <v>16</v>
      </c>
      <c r="G19" s="6">
        <v>38.0</v>
      </c>
      <c r="H19" s="7">
        <v>13.012500000000001</v>
      </c>
      <c r="I19" s="6">
        <v>43.0</v>
      </c>
      <c r="J19" s="6">
        <v>94.0</v>
      </c>
      <c r="K19" s="6">
        <v>18.0</v>
      </c>
      <c r="L19" s="6">
        <v>1.0</v>
      </c>
    </row>
    <row r="20">
      <c r="A20" s="5" t="s">
        <v>76</v>
      </c>
      <c r="B20" s="5" t="s">
        <v>77</v>
      </c>
      <c r="C20" s="5" t="s">
        <v>78</v>
      </c>
      <c r="D20" s="5" t="s">
        <v>59</v>
      </c>
      <c r="E20" s="6" t="s">
        <v>16</v>
      </c>
      <c r="F20" s="6" t="s">
        <v>17</v>
      </c>
      <c r="G20" s="6">
        <v>37.0</v>
      </c>
      <c r="H20" s="7">
        <v>11.953125</v>
      </c>
      <c r="I20" s="6">
        <v>45.0</v>
      </c>
      <c r="J20" s="6">
        <v>94.0</v>
      </c>
      <c r="K20" s="6">
        <v>19.0</v>
      </c>
      <c r="L20" s="6">
        <v>4.0</v>
      </c>
    </row>
    <row r="21">
      <c r="A21" s="5" t="s">
        <v>79</v>
      </c>
      <c r="B21" s="5">
        <v>3.2831786E7</v>
      </c>
      <c r="C21" s="5" t="s">
        <v>80</v>
      </c>
      <c r="D21" s="5" t="s">
        <v>38</v>
      </c>
      <c r="E21" s="6" t="s">
        <v>16</v>
      </c>
      <c r="F21" s="6" t="s">
        <v>17</v>
      </c>
      <c r="G21" s="6">
        <v>35.0</v>
      </c>
      <c r="H21" s="7">
        <v>15.0</v>
      </c>
      <c r="I21" s="6">
        <v>44.0</v>
      </c>
      <c r="J21" s="6">
        <v>94.0</v>
      </c>
      <c r="K21" s="6">
        <v>20.0</v>
      </c>
      <c r="L21" s="6">
        <v>3.0</v>
      </c>
    </row>
    <row r="22">
      <c r="A22" s="5" t="s">
        <v>81</v>
      </c>
      <c r="B22" s="5">
        <v>3.2831602E7</v>
      </c>
      <c r="C22" s="5" t="s">
        <v>82</v>
      </c>
      <c r="D22" s="5" t="s">
        <v>38</v>
      </c>
      <c r="E22" s="6" t="s">
        <v>16</v>
      </c>
      <c r="F22" s="6" t="s">
        <v>17</v>
      </c>
      <c r="G22" s="6">
        <v>35.0</v>
      </c>
      <c r="H22" s="7">
        <v>15.0</v>
      </c>
      <c r="I22" s="6">
        <v>44.0</v>
      </c>
      <c r="J22" s="6">
        <v>94.0</v>
      </c>
      <c r="K22" s="6">
        <v>21.0</v>
      </c>
      <c r="L22" s="6">
        <v>4.0</v>
      </c>
    </row>
    <row r="23">
      <c r="A23" s="5" t="s">
        <v>83</v>
      </c>
      <c r="B23" s="5" t="s">
        <v>84</v>
      </c>
      <c r="C23" s="5" t="s">
        <v>85</v>
      </c>
      <c r="D23" s="5" t="s">
        <v>59</v>
      </c>
      <c r="E23" s="6" t="s">
        <v>16</v>
      </c>
      <c r="F23" s="6" t="s">
        <v>16</v>
      </c>
      <c r="G23" s="6">
        <v>35.0</v>
      </c>
      <c r="H23" s="7">
        <v>13.875</v>
      </c>
      <c r="I23" s="6">
        <v>45.0</v>
      </c>
      <c r="J23" s="6">
        <v>93.9</v>
      </c>
      <c r="K23" s="6">
        <v>22.0</v>
      </c>
      <c r="L23" s="6">
        <v>5.0</v>
      </c>
    </row>
    <row r="24">
      <c r="A24" s="5" t="s">
        <v>86</v>
      </c>
      <c r="B24" s="5" t="s">
        <v>87</v>
      </c>
      <c r="C24" s="5" t="s">
        <v>88</v>
      </c>
      <c r="D24" s="5" t="s">
        <v>52</v>
      </c>
      <c r="E24" s="6" t="s">
        <v>16</v>
      </c>
      <c r="F24" s="6" t="s">
        <v>17</v>
      </c>
      <c r="G24" s="6">
        <v>34.0</v>
      </c>
      <c r="H24" s="7">
        <v>14.625</v>
      </c>
      <c r="I24" s="6">
        <v>45.0</v>
      </c>
      <c r="J24" s="6">
        <v>93.6</v>
      </c>
      <c r="K24" s="6">
        <v>23.0</v>
      </c>
      <c r="L24" s="6">
        <v>2.0</v>
      </c>
    </row>
    <row r="25">
      <c r="A25" s="5" t="s">
        <v>89</v>
      </c>
      <c r="B25" s="5" t="s">
        <v>90</v>
      </c>
      <c r="C25" s="5" t="s">
        <v>91</v>
      </c>
      <c r="D25" s="5" t="s">
        <v>59</v>
      </c>
      <c r="E25" s="6" t="s">
        <v>16</v>
      </c>
      <c r="F25" s="6" t="s">
        <v>17</v>
      </c>
      <c r="G25" s="6">
        <v>35.0</v>
      </c>
      <c r="H25" s="7">
        <v>13.35</v>
      </c>
      <c r="I25" s="6">
        <v>45.0</v>
      </c>
      <c r="J25" s="6">
        <v>93.4</v>
      </c>
      <c r="K25" s="6">
        <v>24.0</v>
      </c>
      <c r="L25" s="6">
        <v>6.0</v>
      </c>
    </row>
    <row r="26">
      <c r="A26" s="5" t="s">
        <v>92</v>
      </c>
      <c r="B26" s="5" t="s">
        <v>93</v>
      </c>
      <c r="C26" s="5" t="s">
        <v>94</v>
      </c>
      <c r="D26" s="5" t="s">
        <v>42</v>
      </c>
      <c r="E26" s="6" t="s">
        <v>16</v>
      </c>
      <c r="F26" s="6" t="s">
        <v>17</v>
      </c>
      <c r="G26" s="6">
        <v>34.0</v>
      </c>
      <c r="H26" s="7">
        <v>14.362499999999999</v>
      </c>
      <c r="I26" s="6">
        <v>45.0</v>
      </c>
      <c r="J26" s="6">
        <v>93.4</v>
      </c>
      <c r="K26" s="6">
        <v>25.0</v>
      </c>
      <c r="L26" s="6">
        <v>2.0</v>
      </c>
    </row>
    <row r="27">
      <c r="A27" s="5" t="s">
        <v>95</v>
      </c>
      <c r="B27" s="5" t="s">
        <v>96</v>
      </c>
      <c r="C27" s="5" t="s">
        <v>97</v>
      </c>
      <c r="D27" s="5" t="s">
        <v>52</v>
      </c>
      <c r="E27" s="6" t="s">
        <v>16</v>
      </c>
      <c r="F27" s="6" t="s">
        <v>16</v>
      </c>
      <c r="G27" s="6">
        <v>34.0</v>
      </c>
      <c r="H27" s="7">
        <v>14.25</v>
      </c>
      <c r="I27" s="6">
        <v>45.0</v>
      </c>
      <c r="J27" s="6">
        <v>93.3</v>
      </c>
      <c r="K27" s="6">
        <v>26.0</v>
      </c>
      <c r="L27" s="6">
        <v>3.0</v>
      </c>
    </row>
    <row r="28">
      <c r="A28" s="5" t="s">
        <v>98</v>
      </c>
      <c r="B28" s="5" t="s">
        <v>99</v>
      </c>
      <c r="C28" s="5" t="s">
        <v>100</v>
      </c>
      <c r="D28" s="5" t="s">
        <v>52</v>
      </c>
      <c r="E28" s="6" t="s">
        <v>16</v>
      </c>
      <c r="F28" s="6" t="s">
        <v>17</v>
      </c>
      <c r="G28" s="6">
        <v>34.0</v>
      </c>
      <c r="H28" s="7">
        <v>14.25</v>
      </c>
      <c r="I28" s="6">
        <v>45.0</v>
      </c>
      <c r="J28" s="6">
        <v>93.3</v>
      </c>
      <c r="K28" s="6">
        <v>27.0</v>
      </c>
      <c r="L28" s="6">
        <v>4.0</v>
      </c>
    </row>
    <row r="29">
      <c r="A29" s="5" t="s">
        <v>101</v>
      </c>
      <c r="B29" s="5" t="s">
        <v>102</v>
      </c>
      <c r="C29" s="5" t="s">
        <v>103</v>
      </c>
      <c r="D29" s="5" t="s">
        <v>21</v>
      </c>
      <c r="E29" s="6" t="s">
        <v>16</v>
      </c>
      <c r="F29" s="6" t="s">
        <v>17</v>
      </c>
      <c r="G29" s="6">
        <v>35.0</v>
      </c>
      <c r="H29" s="7">
        <v>13.21875</v>
      </c>
      <c r="I29" s="6">
        <v>45.0</v>
      </c>
      <c r="J29" s="6">
        <v>93.2</v>
      </c>
      <c r="K29" s="6">
        <v>28.0</v>
      </c>
      <c r="L29" s="6">
        <v>7.0</v>
      </c>
    </row>
    <row r="30">
      <c r="A30" s="5" t="s">
        <v>104</v>
      </c>
      <c r="B30" s="5" t="s">
        <v>105</v>
      </c>
      <c r="C30" s="5" t="s">
        <v>106</v>
      </c>
      <c r="D30" s="5" t="s">
        <v>34</v>
      </c>
      <c r="E30" s="6" t="s">
        <v>16</v>
      </c>
      <c r="F30" s="6" t="s">
        <v>16</v>
      </c>
      <c r="G30" s="6">
        <v>35.0</v>
      </c>
      <c r="H30" s="7">
        <v>13.162499999999998</v>
      </c>
      <c r="I30" s="6">
        <v>45.0</v>
      </c>
      <c r="J30" s="6">
        <v>93.2</v>
      </c>
      <c r="K30" s="6">
        <v>29.0</v>
      </c>
      <c r="L30" s="6">
        <v>3.0</v>
      </c>
    </row>
    <row r="31">
      <c r="A31" s="5" t="s">
        <v>107</v>
      </c>
      <c r="B31" s="5" t="s">
        <v>108</v>
      </c>
      <c r="C31" s="5" t="s">
        <v>109</v>
      </c>
      <c r="D31" s="5" t="s">
        <v>15</v>
      </c>
      <c r="E31" s="6" t="s">
        <v>16</v>
      </c>
      <c r="F31" s="6" t="s">
        <v>17</v>
      </c>
      <c r="G31" s="6">
        <v>35.0</v>
      </c>
      <c r="H31" s="7">
        <v>13.125</v>
      </c>
      <c r="I31" s="6">
        <v>45.0</v>
      </c>
      <c r="J31" s="6">
        <v>93.1</v>
      </c>
      <c r="K31" s="6">
        <v>30.0</v>
      </c>
      <c r="L31" s="6">
        <v>3.0</v>
      </c>
    </row>
    <row r="32">
      <c r="A32" s="5" t="s">
        <v>110</v>
      </c>
      <c r="B32" s="5" t="s">
        <v>111</v>
      </c>
      <c r="C32" s="5" t="s">
        <v>112</v>
      </c>
      <c r="D32" s="5" t="s">
        <v>38</v>
      </c>
      <c r="E32" s="6" t="s">
        <v>16</v>
      </c>
      <c r="F32" s="6" t="s">
        <v>16</v>
      </c>
      <c r="G32" s="6">
        <v>35.0</v>
      </c>
      <c r="H32" s="7">
        <v>15.0</v>
      </c>
      <c r="I32" s="6">
        <v>43.0</v>
      </c>
      <c r="J32" s="6">
        <v>93.0</v>
      </c>
      <c r="K32" s="6">
        <v>31.0</v>
      </c>
      <c r="L32" s="6">
        <v>5.0</v>
      </c>
    </row>
    <row r="33">
      <c r="A33" s="5" t="s">
        <v>113</v>
      </c>
      <c r="B33" s="5">
        <v>3.2716773E7</v>
      </c>
      <c r="C33" s="5" t="s">
        <v>114</v>
      </c>
      <c r="D33" s="5" t="s">
        <v>38</v>
      </c>
      <c r="E33" s="6" t="s">
        <v>16</v>
      </c>
      <c r="F33" s="6" t="s">
        <v>16</v>
      </c>
      <c r="G33" s="6">
        <v>33.0</v>
      </c>
      <c r="H33" s="7">
        <v>15.0</v>
      </c>
      <c r="I33" s="6">
        <v>45.0</v>
      </c>
      <c r="J33" s="6">
        <v>93.0</v>
      </c>
      <c r="K33" s="6">
        <v>32.0</v>
      </c>
      <c r="L33" s="6">
        <v>6.0</v>
      </c>
    </row>
    <row r="34">
      <c r="A34" s="5" t="s">
        <v>115</v>
      </c>
      <c r="B34" s="5" t="s">
        <v>116</v>
      </c>
      <c r="C34" s="5" t="s">
        <v>117</v>
      </c>
      <c r="D34" s="5" t="s">
        <v>118</v>
      </c>
      <c r="E34" s="6" t="s">
        <v>16</v>
      </c>
      <c r="F34" s="6" t="s">
        <v>16</v>
      </c>
      <c r="G34" s="6">
        <v>34.0</v>
      </c>
      <c r="H34" s="7">
        <v>14.8125</v>
      </c>
      <c r="I34" s="6">
        <v>44.0</v>
      </c>
      <c r="J34" s="6">
        <v>92.8</v>
      </c>
      <c r="K34" s="6">
        <v>33.0</v>
      </c>
      <c r="L34" s="6">
        <v>1.0</v>
      </c>
    </row>
    <row r="35">
      <c r="A35" s="5" t="s">
        <v>119</v>
      </c>
      <c r="B35" s="5" t="s">
        <v>120</v>
      </c>
      <c r="C35" s="5" t="s">
        <v>121</v>
      </c>
      <c r="D35" s="5" t="s">
        <v>59</v>
      </c>
      <c r="E35" s="6" t="s">
        <v>16</v>
      </c>
      <c r="F35" s="6" t="s">
        <v>17</v>
      </c>
      <c r="G35" s="6">
        <v>35.0</v>
      </c>
      <c r="H35" s="7">
        <v>12.5625</v>
      </c>
      <c r="I35" s="6">
        <v>45.0</v>
      </c>
      <c r="J35" s="6">
        <v>92.6</v>
      </c>
      <c r="K35" s="6">
        <v>34.0</v>
      </c>
      <c r="L35" s="6">
        <v>7.0</v>
      </c>
    </row>
    <row r="36">
      <c r="A36" s="5" t="s">
        <v>122</v>
      </c>
      <c r="B36" s="5" t="s">
        <v>123</v>
      </c>
      <c r="C36" s="5" t="s">
        <v>124</v>
      </c>
      <c r="D36" s="5" t="s">
        <v>15</v>
      </c>
      <c r="E36" s="6" t="s">
        <v>16</v>
      </c>
      <c r="F36" s="6" t="s">
        <v>16</v>
      </c>
      <c r="G36" s="6">
        <v>35.0</v>
      </c>
      <c r="H36" s="7">
        <v>14.4375</v>
      </c>
      <c r="I36" s="6">
        <v>43.0</v>
      </c>
      <c r="J36" s="6">
        <v>92.4</v>
      </c>
      <c r="K36" s="6">
        <v>35.0</v>
      </c>
      <c r="L36" s="6">
        <v>4.0</v>
      </c>
    </row>
    <row r="37">
      <c r="A37" s="5" t="s">
        <v>125</v>
      </c>
      <c r="B37" s="5" t="s">
        <v>126</v>
      </c>
      <c r="C37" s="5" t="s">
        <v>127</v>
      </c>
      <c r="D37" s="5" t="s">
        <v>75</v>
      </c>
      <c r="E37" s="6" t="s">
        <v>16</v>
      </c>
      <c r="F37" s="6" t="s">
        <v>16</v>
      </c>
      <c r="G37" s="6">
        <v>35.0</v>
      </c>
      <c r="H37" s="7">
        <v>13.340625</v>
      </c>
      <c r="I37" s="6">
        <v>44.0</v>
      </c>
      <c r="J37" s="6">
        <v>92.3</v>
      </c>
      <c r="K37" s="6">
        <v>36.0</v>
      </c>
      <c r="L37" s="6">
        <v>2.0</v>
      </c>
    </row>
    <row r="38">
      <c r="A38" s="5" t="s">
        <v>128</v>
      </c>
      <c r="B38" s="5" t="s">
        <v>129</v>
      </c>
      <c r="C38" s="5" t="s">
        <v>130</v>
      </c>
      <c r="D38" s="5" t="s">
        <v>21</v>
      </c>
      <c r="E38" s="6" t="s">
        <v>16</v>
      </c>
      <c r="F38" s="6" t="s">
        <v>17</v>
      </c>
      <c r="G38" s="6">
        <v>35.0</v>
      </c>
      <c r="H38" s="7">
        <v>12.084375000000001</v>
      </c>
      <c r="I38" s="6">
        <v>45.0</v>
      </c>
      <c r="J38" s="6">
        <v>92.1</v>
      </c>
      <c r="K38" s="6">
        <v>37.0</v>
      </c>
      <c r="L38" s="6">
        <v>8.0</v>
      </c>
    </row>
    <row r="39">
      <c r="A39" s="5" t="s">
        <v>131</v>
      </c>
      <c r="B39" s="5" t="s">
        <v>132</v>
      </c>
      <c r="C39" s="5" t="s">
        <v>133</v>
      </c>
      <c r="D39" s="5" t="s">
        <v>21</v>
      </c>
      <c r="E39" s="6" t="s">
        <v>16</v>
      </c>
      <c r="F39" s="6" t="s">
        <v>16</v>
      </c>
      <c r="G39" s="6">
        <v>35.0</v>
      </c>
      <c r="H39" s="7">
        <v>14.34375</v>
      </c>
      <c r="I39" s="6">
        <v>42.8</v>
      </c>
      <c r="J39" s="6">
        <v>92.1</v>
      </c>
      <c r="K39" s="6">
        <v>38.0</v>
      </c>
      <c r="L39" s="6">
        <v>9.0</v>
      </c>
    </row>
    <row r="40">
      <c r="A40" s="5" t="s">
        <v>134</v>
      </c>
      <c r="B40" s="5" t="s">
        <v>135</v>
      </c>
      <c r="C40" s="5" t="s">
        <v>136</v>
      </c>
      <c r="D40" s="5" t="s">
        <v>42</v>
      </c>
      <c r="E40" s="6" t="s">
        <v>16</v>
      </c>
      <c r="F40" s="6" t="s">
        <v>16</v>
      </c>
      <c r="G40" s="6">
        <v>34.0</v>
      </c>
      <c r="H40" s="7">
        <v>13.125</v>
      </c>
      <c r="I40" s="6">
        <v>45.0</v>
      </c>
      <c r="J40" s="6">
        <v>92.1</v>
      </c>
      <c r="K40" s="6">
        <v>39.0</v>
      </c>
      <c r="L40" s="6">
        <v>3.0</v>
      </c>
    </row>
    <row r="41">
      <c r="A41" s="5" t="s">
        <v>137</v>
      </c>
      <c r="B41" s="5" t="s">
        <v>138</v>
      </c>
      <c r="C41" s="5" t="s">
        <v>139</v>
      </c>
      <c r="D41" s="5" t="s">
        <v>38</v>
      </c>
      <c r="E41" s="6" t="s">
        <v>16</v>
      </c>
      <c r="F41" s="6" t="s">
        <v>16</v>
      </c>
      <c r="G41" s="6">
        <v>35.0</v>
      </c>
      <c r="H41" s="7">
        <v>15.0</v>
      </c>
      <c r="I41" s="6">
        <v>42.0</v>
      </c>
      <c r="J41" s="6">
        <v>92.0</v>
      </c>
      <c r="K41" s="6">
        <v>40.0</v>
      </c>
      <c r="L41" s="6">
        <v>7.0</v>
      </c>
    </row>
    <row r="42">
      <c r="A42" s="5" t="s">
        <v>140</v>
      </c>
      <c r="B42" s="5">
        <v>3.283177E7</v>
      </c>
      <c r="C42" s="5" t="s">
        <v>141</v>
      </c>
      <c r="D42" s="5" t="s">
        <v>38</v>
      </c>
      <c r="E42" s="6" t="s">
        <v>16</v>
      </c>
      <c r="F42" s="6" t="s">
        <v>17</v>
      </c>
      <c r="G42" s="6">
        <v>33.0</v>
      </c>
      <c r="H42" s="7">
        <v>15.0</v>
      </c>
      <c r="I42" s="6">
        <v>44.0</v>
      </c>
      <c r="J42" s="6">
        <v>92.0</v>
      </c>
      <c r="K42" s="6">
        <v>41.0</v>
      </c>
      <c r="L42" s="6">
        <v>8.0</v>
      </c>
    </row>
    <row r="43">
      <c r="A43" s="5" t="s">
        <v>142</v>
      </c>
      <c r="B43" s="5" t="s">
        <v>143</v>
      </c>
      <c r="C43" s="5" t="s">
        <v>144</v>
      </c>
      <c r="D43" s="5" t="s">
        <v>34</v>
      </c>
      <c r="E43" s="6" t="s">
        <v>16</v>
      </c>
      <c r="F43" s="6" t="s">
        <v>17</v>
      </c>
      <c r="G43" s="6">
        <v>33.0</v>
      </c>
      <c r="H43" s="7">
        <v>13.8375</v>
      </c>
      <c r="I43" s="6">
        <v>45.0</v>
      </c>
      <c r="J43" s="6">
        <v>91.8</v>
      </c>
      <c r="K43" s="6">
        <v>42.0</v>
      </c>
      <c r="L43" s="6">
        <v>4.0</v>
      </c>
    </row>
    <row r="44">
      <c r="A44" s="5" t="s">
        <v>145</v>
      </c>
      <c r="B44" s="5" t="s">
        <v>146</v>
      </c>
      <c r="C44" s="5" t="s">
        <v>147</v>
      </c>
      <c r="D44" s="5" t="s">
        <v>59</v>
      </c>
      <c r="E44" s="6" t="s">
        <v>16</v>
      </c>
      <c r="F44" s="6" t="s">
        <v>17</v>
      </c>
      <c r="G44" s="6">
        <v>33.0</v>
      </c>
      <c r="H44" s="7">
        <v>13.828125</v>
      </c>
      <c r="I44" s="6">
        <v>45.0</v>
      </c>
      <c r="J44" s="6">
        <v>91.8</v>
      </c>
      <c r="K44" s="6">
        <v>43.0</v>
      </c>
      <c r="L44" s="6">
        <v>8.0</v>
      </c>
    </row>
    <row r="45">
      <c r="A45" s="5" t="s">
        <v>148</v>
      </c>
      <c r="B45" s="5" t="s">
        <v>149</v>
      </c>
      <c r="C45" s="5" t="s">
        <v>150</v>
      </c>
      <c r="D45" s="5" t="s">
        <v>21</v>
      </c>
      <c r="E45" s="6" t="s">
        <v>16</v>
      </c>
      <c r="F45" s="6" t="s">
        <v>17</v>
      </c>
      <c r="G45" s="6">
        <v>33.0</v>
      </c>
      <c r="H45" s="7">
        <v>13.78125</v>
      </c>
      <c r="I45" s="6">
        <v>45.0</v>
      </c>
      <c r="J45" s="6">
        <v>91.8</v>
      </c>
      <c r="K45" s="6">
        <v>44.0</v>
      </c>
      <c r="L45" s="6">
        <v>10.0</v>
      </c>
    </row>
    <row r="46">
      <c r="A46" s="5" t="s">
        <v>151</v>
      </c>
      <c r="B46" s="5">
        <v>3.2604202E7</v>
      </c>
      <c r="C46" s="5" t="s">
        <v>152</v>
      </c>
      <c r="D46" s="5" t="s">
        <v>38</v>
      </c>
      <c r="E46" s="6" t="s">
        <v>16</v>
      </c>
      <c r="F46" s="6" t="s">
        <v>17</v>
      </c>
      <c r="G46" s="6">
        <v>33.0</v>
      </c>
      <c r="H46" s="7">
        <v>13.59375</v>
      </c>
      <c r="I46" s="6">
        <v>45.0</v>
      </c>
      <c r="J46" s="6">
        <v>91.6</v>
      </c>
      <c r="K46" s="6">
        <v>45.0</v>
      </c>
      <c r="L46" s="6">
        <v>9.0</v>
      </c>
    </row>
    <row r="47">
      <c r="A47" s="5" t="s">
        <v>153</v>
      </c>
      <c r="B47" s="5" t="s">
        <v>154</v>
      </c>
      <c r="C47" s="5" t="s">
        <v>155</v>
      </c>
      <c r="D47" s="5" t="s">
        <v>42</v>
      </c>
      <c r="E47" s="6" t="s">
        <v>16</v>
      </c>
      <c r="F47" s="6" t="s">
        <v>17</v>
      </c>
      <c r="G47" s="6">
        <v>37.0</v>
      </c>
      <c r="H47" s="7">
        <v>10.40625</v>
      </c>
      <c r="I47" s="6">
        <v>44.0</v>
      </c>
      <c r="J47" s="6">
        <v>91.4</v>
      </c>
      <c r="K47" s="6">
        <v>46.0</v>
      </c>
      <c r="L47" s="6">
        <v>4.0</v>
      </c>
    </row>
    <row r="48">
      <c r="A48" s="5" t="s">
        <v>156</v>
      </c>
      <c r="B48" s="5" t="s">
        <v>157</v>
      </c>
      <c r="C48" s="5" t="s">
        <v>158</v>
      </c>
      <c r="D48" s="5" t="s">
        <v>34</v>
      </c>
      <c r="E48" s="6" t="s">
        <v>16</v>
      </c>
      <c r="F48" s="6" t="s">
        <v>17</v>
      </c>
      <c r="G48" s="6">
        <v>33.0</v>
      </c>
      <c r="H48" s="7">
        <v>13.36875</v>
      </c>
      <c r="I48" s="6">
        <v>45.0</v>
      </c>
      <c r="J48" s="6">
        <v>91.4</v>
      </c>
      <c r="K48" s="6">
        <v>47.0</v>
      </c>
      <c r="L48" s="6">
        <v>5.0</v>
      </c>
    </row>
    <row r="49">
      <c r="A49" s="5" t="s">
        <v>159</v>
      </c>
      <c r="B49" s="5" t="s">
        <v>160</v>
      </c>
      <c r="C49" s="5" t="s">
        <v>161</v>
      </c>
      <c r="D49" s="5" t="s">
        <v>59</v>
      </c>
      <c r="E49" s="6" t="s">
        <v>16</v>
      </c>
      <c r="F49" s="6" t="s">
        <v>17</v>
      </c>
      <c r="G49" s="6">
        <v>35.0</v>
      </c>
      <c r="H49" s="7">
        <v>11.25</v>
      </c>
      <c r="I49" s="6">
        <v>45.0</v>
      </c>
      <c r="J49" s="6">
        <v>91.3</v>
      </c>
      <c r="K49" s="6">
        <v>48.0</v>
      </c>
      <c r="L49" s="6">
        <v>9.0</v>
      </c>
    </row>
    <row r="50">
      <c r="A50" s="5" t="s">
        <v>162</v>
      </c>
      <c r="B50" s="5" t="s">
        <v>163</v>
      </c>
      <c r="C50" s="5" t="s">
        <v>164</v>
      </c>
      <c r="D50" s="5" t="s">
        <v>15</v>
      </c>
      <c r="E50" s="6" t="s">
        <v>16</v>
      </c>
      <c r="F50" s="6" t="s">
        <v>16</v>
      </c>
      <c r="G50" s="6">
        <v>35.0</v>
      </c>
      <c r="H50" s="7">
        <v>14.25</v>
      </c>
      <c r="I50" s="6">
        <v>42.0</v>
      </c>
      <c r="J50" s="6">
        <v>91.3</v>
      </c>
      <c r="K50" s="6">
        <v>49.0</v>
      </c>
      <c r="L50" s="6">
        <v>5.0</v>
      </c>
    </row>
    <row r="51">
      <c r="A51" s="5" t="s">
        <v>165</v>
      </c>
      <c r="B51" s="5" t="s">
        <v>166</v>
      </c>
      <c r="C51" s="5" t="s">
        <v>167</v>
      </c>
      <c r="D51" s="5" t="s">
        <v>15</v>
      </c>
      <c r="E51" s="6" t="s">
        <v>16</v>
      </c>
      <c r="F51" s="6" t="s">
        <v>17</v>
      </c>
      <c r="G51" s="6">
        <v>32.0</v>
      </c>
      <c r="H51" s="7">
        <v>14.25</v>
      </c>
      <c r="I51" s="6">
        <v>45.0</v>
      </c>
      <c r="J51" s="6">
        <v>91.3</v>
      </c>
      <c r="K51" s="6">
        <v>50.0</v>
      </c>
      <c r="L51" s="6">
        <v>6.0</v>
      </c>
    </row>
    <row r="52">
      <c r="A52" s="5" t="s">
        <v>168</v>
      </c>
      <c r="B52" s="5" t="s">
        <v>169</v>
      </c>
      <c r="C52" s="5" t="s">
        <v>170</v>
      </c>
      <c r="D52" s="5" t="s">
        <v>118</v>
      </c>
      <c r="E52" s="6" t="s">
        <v>16</v>
      </c>
      <c r="F52" s="6" t="s">
        <v>17</v>
      </c>
      <c r="G52" s="6">
        <v>32.0</v>
      </c>
      <c r="H52" s="7">
        <v>13.856250000000001</v>
      </c>
      <c r="I52" s="6">
        <v>45.0</v>
      </c>
      <c r="J52" s="6">
        <v>90.9</v>
      </c>
      <c r="K52" s="6">
        <v>51.0</v>
      </c>
      <c r="L52" s="6">
        <v>2.0</v>
      </c>
    </row>
    <row r="53">
      <c r="A53" s="5" t="s">
        <v>171</v>
      </c>
      <c r="B53" s="5" t="s">
        <v>172</v>
      </c>
      <c r="C53" s="5" t="s">
        <v>173</v>
      </c>
      <c r="D53" s="5" t="s">
        <v>118</v>
      </c>
      <c r="E53" s="6" t="s">
        <v>16</v>
      </c>
      <c r="F53" s="6" t="s">
        <v>16</v>
      </c>
      <c r="G53" s="6">
        <v>34.0</v>
      </c>
      <c r="H53" s="7">
        <v>11.71875</v>
      </c>
      <c r="I53" s="6">
        <v>45.0</v>
      </c>
      <c r="J53" s="6">
        <v>90.7</v>
      </c>
      <c r="K53" s="6">
        <v>52.0</v>
      </c>
      <c r="L53" s="6">
        <v>3.0</v>
      </c>
    </row>
    <row r="54">
      <c r="A54" s="5" t="s">
        <v>174</v>
      </c>
      <c r="B54" s="5" t="s">
        <v>175</v>
      </c>
      <c r="C54" s="5" t="s">
        <v>176</v>
      </c>
      <c r="D54" s="5" t="s">
        <v>177</v>
      </c>
      <c r="E54" s="6" t="s">
        <v>16</v>
      </c>
      <c r="F54" s="6" t="s">
        <v>16</v>
      </c>
      <c r="G54" s="6">
        <v>35.0</v>
      </c>
      <c r="H54" s="7">
        <v>10.640625</v>
      </c>
      <c r="I54" s="6">
        <v>45.0</v>
      </c>
      <c r="J54" s="6">
        <v>90.6</v>
      </c>
      <c r="K54" s="6">
        <v>53.0</v>
      </c>
      <c r="L54" s="6">
        <v>1.0</v>
      </c>
    </row>
    <row r="55">
      <c r="A55" s="5" t="s">
        <v>178</v>
      </c>
      <c r="B55" s="5" t="s">
        <v>179</v>
      </c>
      <c r="C55" s="5" t="s">
        <v>180</v>
      </c>
      <c r="D55" s="5" t="s">
        <v>42</v>
      </c>
      <c r="E55" s="6" t="s">
        <v>16</v>
      </c>
      <c r="F55" s="6" t="s">
        <v>17</v>
      </c>
      <c r="G55" s="6">
        <v>31.0</v>
      </c>
      <c r="H55" s="7">
        <v>14.625</v>
      </c>
      <c r="I55" s="6">
        <v>45.0</v>
      </c>
      <c r="J55" s="6">
        <v>90.6</v>
      </c>
      <c r="K55" s="6">
        <v>54.0</v>
      </c>
      <c r="L55" s="6">
        <v>5.0</v>
      </c>
    </row>
    <row r="56">
      <c r="A56" s="5" t="s">
        <v>181</v>
      </c>
      <c r="B56" s="5" t="s">
        <v>182</v>
      </c>
      <c r="C56" s="5" t="s">
        <v>150</v>
      </c>
      <c r="D56" s="5" t="s">
        <v>38</v>
      </c>
      <c r="E56" s="6" t="s">
        <v>16</v>
      </c>
      <c r="F56" s="6" t="s">
        <v>17</v>
      </c>
      <c r="G56" s="6">
        <v>35.0</v>
      </c>
      <c r="H56" s="7">
        <v>15.0</v>
      </c>
      <c r="I56" s="6">
        <v>40.5</v>
      </c>
      <c r="J56" s="6">
        <v>90.5</v>
      </c>
      <c r="K56" s="6">
        <v>55.0</v>
      </c>
      <c r="L56" s="6">
        <v>10.0</v>
      </c>
    </row>
    <row r="57">
      <c r="A57" s="5" t="s">
        <v>183</v>
      </c>
      <c r="B57" s="5" t="s">
        <v>184</v>
      </c>
      <c r="C57" s="5" t="s">
        <v>185</v>
      </c>
      <c r="D57" s="5" t="s">
        <v>38</v>
      </c>
      <c r="E57" s="6" t="s">
        <v>16</v>
      </c>
      <c r="F57" s="6" t="s">
        <v>17</v>
      </c>
      <c r="G57" s="6">
        <v>33.0</v>
      </c>
      <c r="H57" s="7">
        <v>12.46875</v>
      </c>
      <c r="I57" s="6">
        <v>45.0</v>
      </c>
      <c r="J57" s="6">
        <v>90.5</v>
      </c>
      <c r="K57" s="6">
        <v>56.0</v>
      </c>
      <c r="L57" s="6">
        <v>11.0</v>
      </c>
    </row>
    <row r="58">
      <c r="A58" s="5" t="s">
        <v>186</v>
      </c>
      <c r="B58" s="5" t="s">
        <v>187</v>
      </c>
      <c r="C58" s="5" t="s">
        <v>188</v>
      </c>
      <c r="D58" s="5" t="s">
        <v>15</v>
      </c>
      <c r="E58" s="6" t="s">
        <v>16</v>
      </c>
      <c r="F58" s="6" t="s">
        <v>17</v>
      </c>
      <c r="G58" s="6">
        <v>32.0</v>
      </c>
      <c r="H58" s="7">
        <v>13.5</v>
      </c>
      <c r="I58" s="6">
        <v>45.0</v>
      </c>
      <c r="J58" s="6">
        <v>90.5</v>
      </c>
      <c r="K58" s="6">
        <v>57.0</v>
      </c>
      <c r="L58" s="6">
        <v>7.0</v>
      </c>
    </row>
    <row r="59">
      <c r="A59" s="5" t="s">
        <v>189</v>
      </c>
      <c r="B59" s="5" t="s">
        <v>190</v>
      </c>
      <c r="C59" s="5" t="s">
        <v>191</v>
      </c>
      <c r="D59" s="5" t="s">
        <v>177</v>
      </c>
      <c r="E59" s="6" t="s">
        <v>16</v>
      </c>
      <c r="F59" s="6" t="s">
        <v>16</v>
      </c>
      <c r="G59" s="6">
        <v>35.0</v>
      </c>
      <c r="H59" s="7">
        <v>10.3125</v>
      </c>
      <c r="I59" s="6">
        <v>45.0</v>
      </c>
      <c r="J59" s="6">
        <v>90.3</v>
      </c>
      <c r="K59" s="6">
        <v>58.0</v>
      </c>
      <c r="L59" s="6">
        <v>2.0</v>
      </c>
    </row>
    <row r="60">
      <c r="A60" s="5" t="s">
        <v>192</v>
      </c>
      <c r="B60" s="5" t="s">
        <v>193</v>
      </c>
      <c r="C60" s="5" t="s">
        <v>194</v>
      </c>
      <c r="D60" s="5" t="s">
        <v>34</v>
      </c>
      <c r="E60" s="6" t="s">
        <v>16</v>
      </c>
      <c r="F60" s="6" t="s">
        <v>17</v>
      </c>
      <c r="G60" s="6">
        <v>35.0</v>
      </c>
      <c r="H60" s="7">
        <v>15.0</v>
      </c>
      <c r="I60" s="6">
        <v>40.0</v>
      </c>
      <c r="J60" s="6">
        <v>90.0</v>
      </c>
      <c r="K60" s="6">
        <v>59.0</v>
      </c>
      <c r="L60" s="6">
        <v>6.0</v>
      </c>
    </row>
    <row r="61">
      <c r="A61" s="5" t="s">
        <v>195</v>
      </c>
      <c r="B61" s="5" t="s">
        <v>196</v>
      </c>
      <c r="C61" s="5" t="s">
        <v>197</v>
      </c>
      <c r="D61" s="5" t="s">
        <v>38</v>
      </c>
      <c r="E61" s="6" t="s">
        <v>16</v>
      </c>
      <c r="F61" s="6" t="s">
        <v>17</v>
      </c>
      <c r="G61" s="6">
        <v>33.0</v>
      </c>
      <c r="H61" s="7">
        <v>15.0</v>
      </c>
      <c r="I61" s="6">
        <v>42.0</v>
      </c>
      <c r="J61" s="6">
        <v>90.0</v>
      </c>
      <c r="K61" s="6">
        <v>60.0</v>
      </c>
      <c r="L61" s="6">
        <v>12.0</v>
      </c>
    </row>
    <row r="62">
      <c r="A62" s="5" t="s">
        <v>198</v>
      </c>
      <c r="B62" s="5" t="s">
        <v>199</v>
      </c>
      <c r="C62" s="5" t="s">
        <v>200</v>
      </c>
      <c r="D62" s="5" t="s">
        <v>21</v>
      </c>
      <c r="E62" s="6" t="s">
        <v>16</v>
      </c>
      <c r="F62" s="6" t="s">
        <v>16</v>
      </c>
      <c r="G62" s="6">
        <v>35.0</v>
      </c>
      <c r="H62" s="7">
        <v>13.931250000000002</v>
      </c>
      <c r="I62" s="6">
        <v>41.0</v>
      </c>
      <c r="J62" s="6">
        <v>89.9</v>
      </c>
      <c r="K62" s="6">
        <v>61.0</v>
      </c>
      <c r="L62" s="6">
        <v>11.0</v>
      </c>
    </row>
    <row r="63">
      <c r="A63" s="5" t="s">
        <v>201</v>
      </c>
      <c r="B63" s="5" t="s">
        <v>202</v>
      </c>
      <c r="C63" s="5" t="s">
        <v>203</v>
      </c>
      <c r="D63" s="5" t="s">
        <v>118</v>
      </c>
      <c r="E63" s="6" t="s">
        <v>16</v>
      </c>
      <c r="F63" s="6" t="s">
        <v>17</v>
      </c>
      <c r="G63" s="6">
        <v>36.0</v>
      </c>
      <c r="H63" s="7">
        <v>13.546875</v>
      </c>
      <c r="I63" s="6">
        <v>40.3</v>
      </c>
      <c r="J63" s="6">
        <v>89.9</v>
      </c>
      <c r="K63" s="6">
        <v>62.0</v>
      </c>
      <c r="L63" s="6">
        <v>4.0</v>
      </c>
    </row>
    <row r="64">
      <c r="A64" s="5" t="s">
        <v>204</v>
      </c>
      <c r="B64" s="5" t="s">
        <v>205</v>
      </c>
      <c r="C64" s="5" t="s">
        <v>206</v>
      </c>
      <c r="D64" s="5" t="s">
        <v>177</v>
      </c>
      <c r="E64" s="6" t="s">
        <v>16</v>
      </c>
      <c r="F64" s="6" t="s">
        <v>16</v>
      </c>
      <c r="G64" s="6">
        <v>32.0</v>
      </c>
      <c r="H64" s="7">
        <v>13.875</v>
      </c>
      <c r="I64" s="6">
        <v>44.0</v>
      </c>
      <c r="J64" s="6">
        <v>89.9</v>
      </c>
      <c r="K64" s="6">
        <v>63.0</v>
      </c>
      <c r="L64" s="6">
        <v>3.0</v>
      </c>
    </row>
    <row r="65">
      <c r="A65" s="5" t="s">
        <v>207</v>
      </c>
      <c r="B65" s="5" t="s">
        <v>208</v>
      </c>
      <c r="C65" s="5" t="s">
        <v>209</v>
      </c>
      <c r="D65" s="5" t="s">
        <v>42</v>
      </c>
      <c r="E65" s="6" t="s">
        <v>16</v>
      </c>
      <c r="F65" s="6" t="s">
        <v>16</v>
      </c>
      <c r="G65" s="6">
        <v>34.0</v>
      </c>
      <c r="H65" s="7">
        <v>11.8125</v>
      </c>
      <c r="I65" s="6">
        <v>44.0</v>
      </c>
      <c r="J65" s="6">
        <v>89.8</v>
      </c>
      <c r="K65" s="6">
        <v>64.0</v>
      </c>
      <c r="L65" s="6">
        <v>6.0</v>
      </c>
    </row>
    <row r="66">
      <c r="A66" s="5" t="s">
        <v>210</v>
      </c>
      <c r="B66" s="5" t="s">
        <v>211</v>
      </c>
      <c r="C66" s="5" t="s">
        <v>212</v>
      </c>
      <c r="D66" s="5" t="s">
        <v>34</v>
      </c>
      <c r="E66" s="6" t="s">
        <v>16</v>
      </c>
      <c r="F66" s="6" t="s">
        <v>17</v>
      </c>
      <c r="G66" s="6">
        <v>35.0</v>
      </c>
      <c r="H66" s="7">
        <v>13.6171875</v>
      </c>
      <c r="I66" s="6">
        <v>41.0</v>
      </c>
      <c r="J66" s="6">
        <v>89.6</v>
      </c>
      <c r="K66" s="6">
        <v>65.0</v>
      </c>
      <c r="L66" s="6">
        <v>7.0</v>
      </c>
    </row>
    <row r="67">
      <c r="A67" s="5" t="s">
        <v>213</v>
      </c>
      <c r="B67" s="5" t="s">
        <v>214</v>
      </c>
      <c r="C67" s="5" t="s">
        <v>215</v>
      </c>
      <c r="D67" s="5" t="s">
        <v>118</v>
      </c>
      <c r="E67" s="6" t="s">
        <v>16</v>
      </c>
      <c r="F67" s="6" t="s">
        <v>17</v>
      </c>
      <c r="G67" s="6">
        <v>33.0</v>
      </c>
      <c r="H67" s="7">
        <v>11.625</v>
      </c>
      <c r="I67" s="6">
        <v>45.0</v>
      </c>
      <c r="J67" s="6">
        <v>89.6</v>
      </c>
      <c r="K67" s="6">
        <v>66.0</v>
      </c>
      <c r="L67" s="6">
        <v>5.0</v>
      </c>
    </row>
    <row r="68">
      <c r="A68" s="5" t="s">
        <v>216</v>
      </c>
      <c r="B68" s="5" t="s">
        <v>217</v>
      </c>
      <c r="C68" s="5" t="s">
        <v>218</v>
      </c>
      <c r="D68" s="5" t="s">
        <v>15</v>
      </c>
      <c r="E68" s="6" t="s">
        <v>16</v>
      </c>
      <c r="F68" s="6" t="s">
        <v>16</v>
      </c>
      <c r="G68" s="6">
        <v>33.0</v>
      </c>
      <c r="H68" s="7">
        <v>13.59375</v>
      </c>
      <c r="I68" s="6">
        <v>43.0</v>
      </c>
      <c r="J68" s="6">
        <v>89.6</v>
      </c>
      <c r="K68" s="6">
        <v>67.0</v>
      </c>
      <c r="L68" s="6">
        <v>8.0</v>
      </c>
    </row>
    <row r="69">
      <c r="A69" s="5" t="s">
        <v>219</v>
      </c>
      <c r="B69" s="5" t="s">
        <v>220</v>
      </c>
      <c r="C69" s="5" t="s">
        <v>221</v>
      </c>
      <c r="D69" s="5" t="s">
        <v>222</v>
      </c>
      <c r="E69" s="6" t="s">
        <v>16</v>
      </c>
      <c r="F69" s="6" t="s">
        <v>16</v>
      </c>
      <c r="G69" s="6">
        <v>33.0</v>
      </c>
      <c r="H69" s="7">
        <v>11.34375</v>
      </c>
      <c r="I69" s="6">
        <v>45.0</v>
      </c>
      <c r="J69" s="6">
        <v>89.3</v>
      </c>
      <c r="K69" s="6">
        <v>68.0</v>
      </c>
      <c r="L69" s="6">
        <v>1.0</v>
      </c>
    </row>
    <row r="70">
      <c r="A70" s="5" t="s">
        <v>223</v>
      </c>
      <c r="B70" s="5" t="s">
        <v>224</v>
      </c>
      <c r="C70" s="5" t="s">
        <v>225</v>
      </c>
      <c r="D70" s="5" t="s">
        <v>75</v>
      </c>
      <c r="E70" s="6" t="s">
        <v>16</v>
      </c>
      <c r="F70" s="6" t="s">
        <v>17</v>
      </c>
      <c r="G70" s="6">
        <v>35.0</v>
      </c>
      <c r="H70" s="7">
        <v>14.15625</v>
      </c>
      <c r="I70" s="6">
        <v>40.0</v>
      </c>
      <c r="J70" s="6">
        <v>89.2</v>
      </c>
      <c r="K70" s="6">
        <v>69.0</v>
      </c>
      <c r="L70" s="6">
        <v>3.0</v>
      </c>
    </row>
    <row r="71">
      <c r="A71" s="5" t="s">
        <v>226</v>
      </c>
      <c r="B71" s="5" t="s">
        <v>227</v>
      </c>
      <c r="C71" s="5" t="s">
        <v>228</v>
      </c>
      <c r="D71" s="5" t="s">
        <v>118</v>
      </c>
      <c r="E71" s="6" t="s">
        <v>16</v>
      </c>
      <c r="F71" s="6" t="s">
        <v>16</v>
      </c>
      <c r="G71" s="6">
        <v>34.0</v>
      </c>
      <c r="H71" s="7">
        <v>13.546875</v>
      </c>
      <c r="I71" s="6">
        <v>41.7</v>
      </c>
      <c r="J71" s="6">
        <v>89.2</v>
      </c>
      <c r="K71" s="6">
        <v>70.0</v>
      </c>
      <c r="L71" s="6">
        <v>6.0</v>
      </c>
    </row>
    <row r="72">
      <c r="A72" s="5" t="s">
        <v>229</v>
      </c>
      <c r="B72" s="5" t="s">
        <v>230</v>
      </c>
      <c r="C72" s="5" t="s">
        <v>231</v>
      </c>
      <c r="D72" s="5" t="s">
        <v>177</v>
      </c>
      <c r="E72" s="6" t="s">
        <v>16</v>
      </c>
      <c r="F72" s="6" t="s">
        <v>17</v>
      </c>
      <c r="G72" s="6">
        <v>32.0</v>
      </c>
      <c r="H72" s="7">
        <v>12.218750000000002</v>
      </c>
      <c r="I72" s="6">
        <v>45.0</v>
      </c>
      <c r="J72" s="6">
        <v>89.2</v>
      </c>
      <c r="K72" s="6">
        <v>71.0</v>
      </c>
      <c r="L72" s="6">
        <v>4.0</v>
      </c>
    </row>
    <row r="73">
      <c r="A73" s="5" t="s">
        <v>232</v>
      </c>
      <c r="B73" s="5" t="s">
        <v>233</v>
      </c>
      <c r="C73" s="5" t="s">
        <v>234</v>
      </c>
      <c r="D73" s="5" t="s">
        <v>15</v>
      </c>
      <c r="E73" s="6" t="s">
        <v>16</v>
      </c>
      <c r="F73" s="6" t="s">
        <v>16</v>
      </c>
      <c r="G73" s="6">
        <v>32.0</v>
      </c>
      <c r="H73" s="7">
        <v>14.625</v>
      </c>
      <c r="I73" s="6">
        <v>42.5</v>
      </c>
      <c r="J73" s="6">
        <v>89.1</v>
      </c>
      <c r="K73" s="6">
        <v>72.0</v>
      </c>
      <c r="L73" s="6">
        <v>9.0</v>
      </c>
    </row>
    <row r="74">
      <c r="A74" s="5" t="s">
        <v>235</v>
      </c>
      <c r="B74" s="5" t="s">
        <v>236</v>
      </c>
      <c r="C74" s="5" t="s">
        <v>237</v>
      </c>
      <c r="D74" s="5" t="s">
        <v>118</v>
      </c>
      <c r="E74" s="6" t="s">
        <v>16</v>
      </c>
      <c r="F74" s="6" t="s">
        <v>16</v>
      </c>
      <c r="G74" s="6">
        <v>31.0</v>
      </c>
      <c r="H74" s="7">
        <v>12.862499999999999</v>
      </c>
      <c r="I74" s="6">
        <v>45.0</v>
      </c>
      <c r="J74" s="6">
        <v>88.9</v>
      </c>
      <c r="K74" s="6">
        <v>73.0</v>
      </c>
      <c r="L74" s="6">
        <v>7.0</v>
      </c>
    </row>
    <row r="75">
      <c r="A75" s="5" t="s">
        <v>238</v>
      </c>
      <c r="B75" s="5" t="s">
        <v>239</v>
      </c>
      <c r="C75" s="5" t="s">
        <v>240</v>
      </c>
      <c r="D75" s="5" t="s">
        <v>52</v>
      </c>
      <c r="E75" s="6" t="s">
        <v>16</v>
      </c>
      <c r="F75" s="6" t="s">
        <v>17</v>
      </c>
      <c r="G75" s="6">
        <v>34.0</v>
      </c>
      <c r="H75" s="7">
        <v>13.59375</v>
      </c>
      <c r="I75" s="6">
        <v>41.0</v>
      </c>
      <c r="J75" s="6">
        <v>88.6</v>
      </c>
      <c r="K75" s="6">
        <v>74.0</v>
      </c>
      <c r="L75" s="6">
        <v>5.0</v>
      </c>
    </row>
    <row r="76">
      <c r="A76" s="5" t="s">
        <v>241</v>
      </c>
      <c r="B76" s="5" t="s">
        <v>242</v>
      </c>
      <c r="C76" s="5" t="s">
        <v>243</v>
      </c>
      <c r="D76" s="5" t="s">
        <v>52</v>
      </c>
      <c r="E76" s="6" t="s">
        <v>16</v>
      </c>
      <c r="F76" s="6" t="s">
        <v>16</v>
      </c>
      <c r="G76" s="6">
        <v>34.0</v>
      </c>
      <c r="H76" s="7">
        <v>12.46875</v>
      </c>
      <c r="I76" s="6">
        <v>42.0</v>
      </c>
      <c r="J76" s="6">
        <v>88.5</v>
      </c>
      <c r="K76" s="6">
        <v>75.0</v>
      </c>
      <c r="L76" s="6">
        <v>6.0</v>
      </c>
    </row>
    <row r="77">
      <c r="A77" s="5" t="s">
        <v>244</v>
      </c>
      <c r="B77" s="5" t="s">
        <v>245</v>
      </c>
      <c r="C77" s="5" t="s">
        <v>246</v>
      </c>
      <c r="D77" s="5" t="s">
        <v>75</v>
      </c>
      <c r="E77" s="6" t="s">
        <v>16</v>
      </c>
      <c r="F77" s="6" t="s">
        <v>17</v>
      </c>
      <c r="G77" s="6">
        <v>35.0</v>
      </c>
      <c r="H77" s="7">
        <v>13.36875</v>
      </c>
      <c r="I77" s="6">
        <v>40.0</v>
      </c>
      <c r="J77" s="6">
        <v>88.4</v>
      </c>
      <c r="K77" s="6">
        <v>76.0</v>
      </c>
      <c r="L77" s="6">
        <v>4.0</v>
      </c>
    </row>
    <row r="78">
      <c r="A78" s="5" t="s">
        <v>247</v>
      </c>
      <c r="B78" s="5" t="s">
        <v>248</v>
      </c>
      <c r="C78" s="5" t="s">
        <v>249</v>
      </c>
      <c r="D78" s="5" t="s">
        <v>38</v>
      </c>
      <c r="E78" s="6" t="s">
        <v>16</v>
      </c>
      <c r="F78" s="6" t="s">
        <v>17</v>
      </c>
      <c r="G78" s="6">
        <v>36.0</v>
      </c>
      <c r="H78" s="7">
        <v>11.25</v>
      </c>
      <c r="I78" s="6">
        <v>41.0</v>
      </c>
      <c r="J78" s="6">
        <v>88.3</v>
      </c>
      <c r="K78" s="6">
        <v>77.0</v>
      </c>
      <c r="L78" s="6">
        <v>13.0</v>
      </c>
    </row>
    <row r="79">
      <c r="A79" s="5" t="s">
        <v>250</v>
      </c>
      <c r="B79" s="5" t="s">
        <v>251</v>
      </c>
      <c r="C79" s="5" t="s">
        <v>252</v>
      </c>
      <c r="D79" s="5" t="s">
        <v>38</v>
      </c>
      <c r="E79" s="6" t="s">
        <v>16</v>
      </c>
      <c r="F79" s="6" t="s">
        <v>17</v>
      </c>
      <c r="G79" s="6">
        <v>33.0</v>
      </c>
      <c r="H79" s="7">
        <v>13.21875</v>
      </c>
      <c r="I79" s="6">
        <v>42.0</v>
      </c>
      <c r="J79" s="6">
        <v>88.2</v>
      </c>
      <c r="K79" s="6">
        <v>78.0</v>
      </c>
      <c r="L79" s="6">
        <v>14.0</v>
      </c>
    </row>
    <row r="80">
      <c r="A80" s="5" t="s">
        <v>253</v>
      </c>
      <c r="B80" s="5" t="s">
        <v>254</v>
      </c>
      <c r="C80" s="5" t="s">
        <v>255</v>
      </c>
      <c r="D80" s="5" t="s">
        <v>15</v>
      </c>
      <c r="E80" s="6" t="s">
        <v>16</v>
      </c>
      <c r="F80" s="6" t="s">
        <v>17</v>
      </c>
      <c r="G80" s="6">
        <v>35.0</v>
      </c>
      <c r="H80" s="7">
        <v>10.96875</v>
      </c>
      <c r="I80" s="6">
        <v>42.0</v>
      </c>
      <c r="J80" s="6">
        <v>88.0</v>
      </c>
      <c r="K80" s="6">
        <v>79.0</v>
      </c>
      <c r="L80" s="6">
        <v>10.0</v>
      </c>
    </row>
    <row r="81">
      <c r="A81" s="5" t="s">
        <v>256</v>
      </c>
      <c r="B81" s="5" t="s">
        <v>257</v>
      </c>
      <c r="C81" s="5" t="s">
        <v>258</v>
      </c>
      <c r="D81" s="5" t="s">
        <v>15</v>
      </c>
      <c r="E81" s="6" t="s">
        <v>16</v>
      </c>
      <c r="F81" s="6" t="s">
        <v>17</v>
      </c>
      <c r="G81" s="6">
        <v>32.0</v>
      </c>
      <c r="H81" s="7">
        <v>15.0</v>
      </c>
      <c r="I81" s="6">
        <v>41.0</v>
      </c>
      <c r="J81" s="6">
        <v>88.0</v>
      </c>
      <c r="K81" s="6">
        <v>80.0</v>
      </c>
      <c r="L81" s="6">
        <v>11.0</v>
      </c>
    </row>
    <row r="82">
      <c r="A82" s="5" t="s">
        <v>259</v>
      </c>
      <c r="B82" s="5" t="s">
        <v>260</v>
      </c>
      <c r="C82" s="5" t="s">
        <v>261</v>
      </c>
      <c r="D82" s="5" t="s">
        <v>34</v>
      </c>
      <c r="E82" s="6" t="s">
        <v>16</v>
      </c>
      <c r="F82" s="6" t="s">
        <v>16</v>
      </c>
      <c r="G82" s="6">
        <v>30.0</v>
      </c>
      <c r="H82" s="7">
        <v>13.012500000000001</v>
      </c>
      <c r="I82" s="6">
        <v>45.0</v>
      </c>
      <c r="J82" s="6">
        <v>88.0</v>
      </c>
      <c r="K82" s="6">
        <v>81.0</v>
      </c>
      <c r="L82" s="6">
        <v>8.0</v>
      </c>
    </row>
    <row r="83">
      <c r="A83" s="5" t="s">
        <v>262</v>
      </c>
      <c r="B83" s="5" t="s">
        <v>263</v>
      </c>
      <c r="C83" s="5" t="s">
        <v>264</v>
      </c>
      <c r="D83" s="5" t="s">
        <v>38</v>
      </c>
      <c r="E83" s="6" t="s">
        <v>16</v>
      </c>
      <c r="F83" s="6" t="s">
        <v>16</v>
      </c>
      <c r="G83" s="6">
        <v>30.0</v>
      </c>
      <c r="H83" s="7">
        <v>15.0</v>
      </c>
      <c r="I83" s="6">
        <v>43.0</v>
      </c>
      <c r="J83" s="6">
        <v>88.0</v>
      </c>
      <c r="K83" s="6">
        <v>82.0</v>
      </c>
      <c r="L83" s="6">
        <v>15.0</v>
      </c>
    </row>
    <row r="84">
      <c r="A84" s="5" t="s">
        <v>265</v>
      </c>
      <c r="B84" s="5" t="s">
        <v>266</v>
      </c>
      <c r="C84" s="5" t="s">
        <v>267</v>
      </c>
      <c r="D84" s="5" t="s">
        <v>268</v>
      </c>
      <c r="E84" s="6" t="s">
        <v>16</v>
      </c>
      <c r="F84" s="6" t="s">
        <v>16</v>
      </c>
      <c r="G84" s="6">
        <v>33.0</v>
      </c>
      <c r="H84" s="7">
        <v>12.75</v>
      </c>
      <c r="I84" s="6">
        <v>42.0</v>
      </c>
      <c r="J84" s="6">
        <v>87.8</v>
      </c>
      <c r="K84" s="6">
        <v>83.0</v>
      </c>
      <c r="L84" s="6">
        <v>1.0</v>
      </c>
    </row>
    <row r="85">
      <c r="A85" s="5" t="s">
        <v>269</v>
      </c>
      <c r="B85" s="5" t="s">
        <v>270</v>
      </c>
      <c r="C85" s="5" t="s">
        <v>271</v>
      </c>
      <c r="D85" s="5" t="s">
        <v>21</v>
      </c>
      <c r="E85" s="6" t="s">
        <v>16</v>
      </c>
      <c r="F85" s="6" t="s">
        <v>16</v>
      </c>
      <c r="G85" s="6">
        <v>33.0</v>
      </c>
      <c r="H85" s="7">
        <v>9.75</v>
      </c>
      <c r="I85" s="6">
        <v>45.0</v>
      </c>
      <c r="J85" s="6">
        <v>87.8</v>
      </c>
      <c r="K85" s="6">
        <v>84.0</v>
      </c>
      <c r="L85" s="6">
        <v>12.0</v>
      </c>
    </row>
    <row r="86">
      <c r="A86" s="5" t="s">
        <v>272</v>
      </c>
      <c r="B86" s="5" t="s">
        <v>273</v>
      </c>
      <c r="C86" s="5" t="s">
        <v>274</v>
      </c>
      <c r="D86" s="5" t="s">
        <v>38</v>
      </c>
      <c r="E86" s="6" t="s">
        <v>16</v>
      </c>
      <c r="F86" s="6" t="s">
        <v>17</v>
      </c>
      <c r="G86" s="6">
        <v>35.0</v>
      </c>
      <c r="H86" s="7">
        <v>13.5</v>
      </c>
      <c r="I86" s="6">
        <v>39.0</v>
      </c>
      <c r="J86" s="6">
        <v>87.5</v>
      </c>
      <c r="K86" s="6">
        <v>85.0</v>
      </c>
      <c r="L86" s="6">
        <v>16.0</v>
      </c>
    </row>
    <row r="87">
      <c r="A87" s="5" t="s">
        <v>275</v>
      </c>
      <c r="B87" s="5" t="s">
        <v>276</v>
      </c>
      <c r="C87" s="5" t="s">
        <v>277</v>
      </c>
      <c r="D87" s="5" t="s">
        <v>118</v>
      </c>
      <c r="E87" s="6" t="s">
        <v>16</v>
      </c>
      <c r="F87" s="6" t="s">
        <v>16</v>
      </c>
      <c r="G87" s="6">
        <v>29.0</v>
      </c>
      <c r="H87" s="7">
        <v>14.4375</v>
      </c>
      <c r="I87" s="6">
        <v>44.0</v>
      </c>
      <c r="J87" s="6">
        <v>87.4</v>
      </c>
      <c r="K87" s="6">
        <v>86.0</v>
      </c>
      <c r="L87" s="6">
        <v>8.0</v>
      </c>
    </row>
    <row r="88">
      <c r="A88" s="5" t="s">
        <v>278</v>
      </c>
      <c r="B88" s="5" t="s">
        <v>279</v>
      </c>
      <c r="C88" s="5" t="s">
        <v>280</v>
      </c>
      <c r="D88" s="5" t="s">
        <v>222</v>
      </c>
      <c r="E88" s="6" t="s">
        <v>16</v>
      </c>
      <c r="F88" s="6" t="s">
        <v>17</v>
      </c>
      <c r="G88" s="6">
        <v>28.0</v>
      </c>
      <c r="H88" s="7">
        <v>14.15625</v>
      </c>
      <c r="I88" s="6">
        <v>45.0</v>
      </c>
      <c r="J88" s="6">
        <v>87.2</v>
      </c>
      <c r="K88" s="6">
        <v>87.0</v>
      </c>
      <c r="L88" s="6">
        <v>2.0</v>
      </c>
    </row>
    <row r="89">
      <c r="A89" s="5" t="s">
        <v>281</v>
      </c>
      <c r="B89" s="5" t="s">
        <v>282</v>
      </c>
      <c r="C89" s="5" t="s">
        <v>283</v>
      </c>
      <c r="D89" s="5" t="s">
        <v>118</v>
      </c>
      <c r="E89" s="6" t="s">
        <v>17</v>
      </c>
      <c r="F89" s="6" t="s">
        <v>16</v>
      </c>
      <c r="G89" s="6">
        <v>34.0</v>
      </c>
      <c r="H89" s="7">
        <v>13.078125</v>
      </c>
      <c r="I89" s="6">
        <v>40.0</v>
      </c>
      <c r="J89" s="6">
        <v>87.1</v>
      </c>
      <c r="K89" s="6">
        <v>88.0</v>
      </c>
      <c r="L89" s="6">
        <v>9.0</v>
      </c>
    </row>
    <row r="90">
      <c r="A90" s="5" t="s">
        <v>284</v>
      </c>
      <c r="B90" s="5" t="s">
        <v>285</v>
      </c>
      <c r="C90" s="5" t="s">
        <v>286</v>
      </c>
      <c r="D90" s="5" t="s">
        <v>222</v>
      </c>
      <c r="E90" s="6" t="s">
        <v>16</v>
      </c>
      <c r="F90" s="6" t="s">
        <v>17</v>
      </c>
      <c r="G90" s="6">
        <v>28.0</v>
      </c>
      <c r="H90" s="7">
        <v>14.0625</v>
      </c>
      <c r="I90" s="6">
        <v>45.0</v>
      </c>
      <c r="J90" s="6">
        <v>87.1</v>
      </c>
      <c r="K90" s="6">
        <v>89.0</v>
      </c>
      <c r="L90" s="6">
        <v>3.0</v>
      </c>
    </row>
    <row r="91">
      <c r="A91" s="5" t="s">
        <v>287</v>
      </c>
      <c r="B91" s="5" t="s">
        <v>288</v>
      </c>
      <c r="C91" s="5" t="s">
        <v>289</v>
      </c>
      <c r="D91" s="5" t="s">
        <v>118</v>
      </c>
      <c r="E91" s="6" t="s">
        <v>16</v>
      </c>
      <c r="F91" s="6" t="s">
        <v>17</v>
      </c>
      <c r="G91" s="6">
        <v>29.0</v>
      </c>
      <c r="H91" s="7">
        <v>13.03125</v>
      </c>
      <c r="I91" s="6">
        <v>45.0</v>
      </c>
      <c r="J91" s="6">
        <v>87.0</v>
      </c>
      <c r="K91" s="6">
        <v>90.0</v>
      </c>
      <c r="L91" s="6">
        <v>10.0</v>
      </c>
    </row>
    <row r="92">
      <c r="A92" s="5" t="s">
        <v>290</v>
      </c>
      <c r="B92" s="5" t="s">
        <v>291</v>
      </c>
      <c r="C92" s="5" t="s">
        <v>292</v>
      </c>
      <c r="D92" s="5" t="s">
        <v>268</v>
      </c>
      <c r="E92" s="6" t="s">
        <v>16</v>
      </c>
      <c r="F92" s="6" t="s">
        <v>17</v>
      </c>
      <c r="G92" s="6">
        <v>33.0</v>
      </c>
      <c r="H92" s="7">
        <v>8.71875</v>
      </c>
      <c r="I92" s="6">
        <v>45.0</v>
      </c>
      <c r="J92" s="6">
        <v>86.7</v>
      </c>
      <c r="K92" s="6">
        <v>91.0</v>
      </c>
      <c r="L92" s="6">
        <v>2.0</v>
      </c>
    </row>
    <row r="93">
      <c r="A93" s="5" t="s">
        <v>293</v>
      </c>
      <c r="B93" s="5" t="s">
        <v>294</v>
      </c>
      <c r="C93" s="5" t="s">
        <v>295</v>
      </c>
      <c r="D93" s="5" t="s">
        <v>177</v>
      </c>
      <c r="E93" s="6" t="s">
        <v>16</v>
      </c>
      <c r="F93" s="6" t="s">
        <v>17</v>
      </c>
      <c r="G93" s="6">
        <v>28.0</v>
      </c>
      <c r="H93" s="7">
        <v>13.6875</v>
      </c>
      <c r="I93" s="6">
        <v>45.0</v>
      </c>
      <c r="J93" s="6">
        <v>86.7</v>
      </c>
      <c r="K93" s="6">
        <v>92.0</v>
      </c>
      <c r="L93" s="6">
        <v>5.0</v>
      </c>
    </row>
    <row r="94">
      <c r="A94" s="5" t="s">
        <v>296</v>
      </c>
      <c r="B94" s="5" t="s">
        <v>297</v>
      </c>
      <c r="C94" s="5" t="s">
        <v>298</v>
      </c>
      <c r="D94" s="5" t="s">
        <v>21</v>
      </c>
      <c r="E94" s="6" t="s">
        <v>16</v>
      </c>
      <c r="F94" s="6" t="s">
        <v>17</v>
      </c>
      <c r="G94" s="6">
        <v>35.0</v>
      </c>
      <c r="H94" s="7">
        <v>10.63125</v>
      </c>
      <c r="I94" s="6">
        <v>41.0</v>
      </c>
      <c r="J94" s="6">
        <v>86.6</v>
      </c>
      <c r="K94" s="6">
        <v>93.0</v>
      </c>
      <c r="L94" s="6">
        <v>13.0</v>
      </c>
    </row>
    <row r="95">
      <c r="A95" s="5" t="s">
        <v>299</v>
      </c>
      <c r="B95" s="5" t="s">
        <v>300</v>
      </c>
      <c r="C95" s="5" t="s">
        <v>301</v>
      </c>
      <c r="D95" s="5" t="s">
        <v>75</v>
      </c>
      <c r="E95" s="6" t="s">
        <v>16</v>
      </c>
      <c r="F95" s="6" t="s">
        <v>17</v>
      </c>
      <c r="G95" s="6">
        <v>28.0</v>
      </c>
      <c r="H95" s="7">
        <v>13.481250000000001</v>
      </c>
      <c r="I95" s="6">
        <v>45.0</v>
      </c>
      <c r="J95" s="6">
        <v>86.5</v>
      </c>
      <c r="K95" s="6">
        <v>94.0</v>
      </c>
      <c r="L95" s="6">
        <v>5.0</v>
      </c>
    </row>
    <row r="96">
      <c r="A96" s="5" t="s">
        <v>302</v>
      </c>
      <c r="B96" s="5" t="s">
        <v>303</v>
      </c>
      <c r="C96" s="5" t="s">
        <v>304</v>
      </c>
      <c r="D96" s="5" t="s">
        <v>21</v>
      </c>
      <c r="E96" s="6" t="s">
        <v>16</v>
      </c>
      <c r="F96" s="6" t="s">
        <v>17</v>
      </c>
      <c r="G96" s="6">
        <v>30.0</v>
      </c>
      <c r="H96" s="7">
        <v>11.334375</v>
      </c>
      <c r="I96" s="6">
        <v>45.0</v>
      </c>
      <c r="J96" s="6">
        <v>86.3</v>
      </c>
      <c r="K96" s="6">
        <v>95.0</v>
      </c>
      <c r="L96" s="6">
        <v>14.0</v>
      </c>
    </row>
    <row r="97">
      <c r="A97" s="5" t="s">
        <v>305</v>
      </c>
      <c r="B97" s="5" t="s">
        <v>306</v>
      </c>
      <c r="C97" s="5" t="s">
        <v>307</v>
      </c>
      <c r="D97" s="5" t="s">
        <v>268</v>
      </c>
      <c r="E97" s="6" t="s">
        <v>16</v>
      </c>
      <c r="F97" s="6" t="s">
        <v>17</v>
      </c>
      <c r="G97" s="6">
        <v>28.0</v>
      </c>
      <c r="H97" s="7">
        <v>13.125</v>
      </c>
      <c r="I97" s="6">
        <v>45.0</v>
      </c>
      <c r="J97" s="6">
        <v>86.1</v>
      </c>
      <c r="K97" s="6">
        <v>96.0</v>
      </c>
      <c r="L97" s="6">
        <v>3.0</v>
      </c>
    </row>
    <row r="98">
      <c r="A98" s="5" t="s">
        <v>308</v>
      </c>
      <c r="B98" s="5" t="s">
        <v>309</v>
      </c>
      <c r="C98" s="5" t="s">
        <v>167</v>
      </c>
      <c r="D98" s="5" t="s">
        <v>38</v>
      </c>
      <c r="E98" s="6" t="s">
        <v>16</v>
      </c>
      <c r="F98" s="6" t="s">
        <v>17</v>
      </c>
      <c r="G98" s="6">
        <v>36.0</v>
      </c>
      <c r="H98" s="7">
        <v>15.0</v>
      </c>
      <c r="I98" s="6">
        <v>35.0</v>
      </c>
      <c r="J98" s="6">
        <v>86.0</v>
      </c>
      <c r="K98" s="6">
        <v>97.0</v>
      </c>
      <c r="L98" s="6">
        <v>17.0</v>
      </c>
    </row>
    <row r="99">
      <c r="A99" s="5" t="s">
        <v>310</v>
      </c>
      <c r="B99" s="5" t="s">
        <v>311</v>
      </c>
      <c r="C99" s="5" t="s">
        <v>312</v>
      </c>
      <c r="D99" s="5" t="s">
        <v>15</v>
      </c>
      <c r="E99" s="6" t="s">
        <v>16</v>
      </c>
      <c r="F99" s="6" t="s">
        <v>16</v>
      </c>
      <c r="G99" s="6">
        <v>32.0</v>
      </c>
      <c r="H99" s="7">
        <v>12.0</v>
      </c>
      <c r="I99" s="6">
        <v>42.0</v>
      </c>
      <c r="J99" s="6">
        <v>86.0</v>
      </c>
      <c r="K99" s="6">
        <v>98.0</v>
      </c>
      <c r="L99" s="6">
        <v>12.0</v>
      </c>
    </row>
    <row r="100">
      <c r="A100" s="5" t="s">
        <v>313</v>
      </c>
      <c r="B100" s="5">
        <v>3.2915871E7</v>
      </c>
      <c r="C100" s="5" t="s">
        <v>314</v>
      </c>
      <c r="D100" s="5" t="s">
        <v>38</v>
      </c>
      <c r="E100" s="6" t="s">
        <v>16</v>
      </c>
      <c r="F100" s="6" t="s">
        <v>17</v>
      </c>
      <c r="G100" s="6">
        <v>35.0</v>
      </c>
      <c r="H100" s="7">
        <v>10.59375</v>
      </c>
      <c r="I100" s="6">
        <v>40.0</v>
      </c>
      <c r="J100" s="6">
        <v>85.6</v>
      </c>
      <c r="K100" s="6">
        <v>99.0</v>
      </c>
      <c r="L100" s="6">
        <v>18.0</v>
      </c>
    </row>
    <row r="101">
      <c r="A101" s="5" t="s">
        <v>315</v>
      </c>
      <c r="B101" s="5" t="s">
        <v>316</v>
      </c>
      <c r="C101" s="5" t="s">
        <v>317</v>
      </c>
      <c r="D101" s="5" t="s">
        <v>75</v>
      </c>
      <c r="E101" s="6" t="s">
        <v>16</v>
      </c>
      <c r="F101" s="6" t="s">
        <v>17</v>
      </c>
      <c r="G101" s="6">
        <v>30.0</v>
      </c>
      <c r="H101" s="7">
        <v>10.584375</v>
      </c>
      <c r="I101" s="6">
        <v>45.0</v>
      </c>
      <c r="J101" s="6">
        <v>85.6</v>
      </c>
      <c r="K101" s="6">
        <v>100.0</v>
      </c>
      <c r="L101" s="6">
        <v>6.0</v>
      </c>
    </row>
    <row r="102">
      <c r="A102" s="5" t="s">
        <v>318</v>
      </c>
      <c r="B102" s="5" t="s">
        <v>319</v>
      </c>
      <c r="C102" s="5" t="s">
        <v>320</v>
      </c>
      <c r="D102" s="5" t="s">
        <v>34</v>
      </c>
      <c r="E102" s="6" t="s">
        <v>16</v>
      </c>
      <c r="F102" s="6" t="s">
        <v>17</v>
      </c>
      <c r="G102" s="6">
        <v>32.0</v>
      </c>
      <c r="H102" s="7">
        <v>13.44375</v>
      </c>
      <c r="I102" s="6">
        <v>40.0</v>
      </c>
      <c r="J102" s="6">
        <v>85.4</v>
      </c>
      <c r="K102" s="6">
        <v>101.0</v>
      </c>
      <c r="L102" s="6">
        <v>9.0</v>
      </c>
    </row>
    <row r="103">
      <c r="A103" s="5" t="s">
        <v>321</v>
      </c>
      <c r="B103" s="5" t="s">
        <v>322</v>
      </c>
      <c r="C103" s="5" t="s">
        <v>323</v>
      </c>
      <c r="D103" s="5" t="s">
        <v>118</v>
      </c>
      <c r="E103" s="6" t="s">
        <v>16</v>
      </c>
      <c r="F103" s="6" t="s">
        <v>17</v>
      </c>
      <c r="G103" s="6">
        <v>31.0</v>
      </c>
      <c r="H103" s="7">
        <v>10.734375</v>
      </c>
      <c r="I103" s="6">
        <v>43.7</v>
      </c>
      <c r="J103" s="6">
        <v>85.4</v>
      </c>
      <c r="K103" s="6">
        <v>102.0</v>
      </c>
      <c r="L103" s="6">
        <v>11.0</v>
      </c>
    </row>
    <row r="104">
      <c r="A104" s="5" t="s">
        <v>324</v>
      </c>
      <c r="B104" s="5" t="s">
        <v>325</v>
      </c>
      <c r="C104" s="5" t="s">
        <v>326</v>
      </c>
      <c r="D104" s="5" t="s">
        <v>118</v>
      </c>
      <c r="E104" s="6" t="s">
        <v>16</v>
      </c>
      <c r="F104" s="6" t="s">
        <v>17</v>
      </c>
      <c r="G104" s="6">
        <v>34.0</v>
      </c>
      <c r="H104" s="7">
        <v>12.984375</v>
      </c>
      <c r="I104" s="6">
        <v>38.3</v>
      </c>
      <c r="J104" s="6">
        <v>85.3</v>
      </c>
      <c r="K104" s="6">
        <v>103.0</v>
      </c>
      <c r="L104" s="6">
        <v>12.0</v>
      </c>
    </row>
    <row r="105">
      <c r="A105" s="5" t="s">
        <v>327</v>
      </c>
      <c r="B105" s="5" t="s">
        <v>328</v>
      </c>
      <c r="C105" s="5" t="s">
        <v>48</v>
      </c>
      <c r="D105" s="5" t="s">
        <v>59</v>
      </c>
      <c r="E105" s="6" t="s">
        <v>16</v>
      </c>
      <c r="F105" s="6" t="s">
        <v>17</v>
      </c>
      <c r="G105" s="6">
        <v>30.0</v>
      </c>
      <c r="H105" s="7">
        <v>12.168750000000001</v>
      </c>
      <c r="I105" s="6">
        <v>43.0</v>
      </c>
      <c r="J105" s="6">
        <v>85.2</v>
      </c>
      <c r="K105" s="6">
        <v>104.0</v>
      </c>
      <c r="L105" s="6">
        <v>10.0</v>
      </c>
    </row>
    <row r="106">
      <c r="A106" s="5" t="s">
        <v>329</v>
      </c>
      <c r="B106" s="5" t="s">
        <v>330</v>
      </c>
      <c r="C106" s="5" t="s">
        <v>331</v>
      </c>
      <c r="D106" s="5" t="s">
        <v>34</v>
      </c>
      <c r="E106" s="6" t="s">
        <v>16</v>
      </c>
      <c r="F106" s="6" t="s">
        <v>16</v>
      </c>
      <c r="G106" s="6">
        <v>32.0</v>
      </c>
      <c r="H106" s="7">
        <v>13.0546875</v>
      </c>
      <c r="I106" s="6">
        <v>40.0</v>
      </c>
      <c r="J106" s="6">
        <v>85.1</v>
      </c>
      <c r="K106" s="6">
        <v>105.0</v>
      </c>
      <c r="L106" s="6">
        <v>10.0</v>
      </c>
    </row>
    <row r="107">
      <c r="A107" s="5" t="s">
        <v>332</v>
      </c>
      <c r="B107" s="5" t="s">
        <v>333</v>
      </c>
      <c r="C107" s="5" t="s">
        <v>334</v>
      </c>
      <c r="D107" s="5" t="s">
        <v>34</v>
      </c>
      <c r="E107" s="6" t="s">
        <v>16</v>
      </c>
      <c r="F107" s="6" t="s">
        <v>16</v>
      </c>
      <c r="G107" s="6">
        <v>25.0</v>
      </c>
      <c r="H107" s="7">
        <v>14.699999999999998</v>
      </c>
      <c r="I107" s="6">
        <v>45.0</v>
      </c>
      <c r="J107" s="6">
        <v>84.7</v>
      </c>
      <c r="K107" s="6">
        <v>106.0</v>
      </c>
      <c r="L107" s="6">
        <v>11.0</v>
      </c>
    </row>
    <row r="108">
      <c r="A108" s="5" t="s">
        <v>335</v>
      </c>
      <c r="B108" s="5" t="s">
        <v>336</v>
      </c>
      <c r="C108" s="5" t="s">
        <v>337</v>
      </c>
      <c r="D108" s="5" t="s">
        <v>42</v>
      </c>
      <c r="E108" s="6" t="s">
        <v>16</v>
      </c>
      <c r="F108" s="6" t="s">
        <v>16</v>
      </c>
      <c r="G108" s="6">
        <v>34.0</v>
      </c>
      <c r="H108" s="7">
        <v>14.625</v>
      </c>
      <c r="I108" s="6">
        <v>36.0</v>
      </c>
      <c r="J108" s="6">
        <v>84.6</v>
      </c>
      <c r="K108" s="6">
        <v>107.0</v>
      </c>
      <c r="L108" s="6">
        <v>7.0</v>
      </c>
    </row>
    <row r="109">
      <c r="A109" s="5" t="s">
        <v>338</v>
      </c>
      <c r="B109" s="5" t="s">
        <v>339</v>
      </c>
      <c r="C109" s="5" t="s">
        <v>340</v>
      </c>
      <c r="D109" s="5" t="s">
        <v>59</v>
      </c>
      <c r="E109" s="6" t="s">
        <v>16</v>
      </c>
      <c r="F109" s="6" t="s">
        <v>16</v>
      </c>
      <c r="G109" s="6">
        <v>25.0</v>
      </c>
      <c r="H109" s="7">
        <v>14.296875</v>
      </c>
      <c r="I109" s="6">
        <v>45.0</v>
      </c>
      <c r="J109" s="6">
        <v>84.3</v>
      </c>
      <c r="K109" s="6">
        <v>108.0</v>
      </c>
      <c r="L109" s="6">
        <v>11.0</v>
      </c>
    </row>
    <row r="110">
      <c r="A110" s="5" t="s">
        <v>341</v>
      </c>
      <c r="B110" s="5" t="s">
        <v>342</v>
      </c>
      <c r="C110" s="5" t="s">
        <v>343</v>
      </c>
      <c r="D110" s="5" t="s">
        <v>15</v>
      </c>
      <c r="E110" s="6" t="s">
        <v>16</v>
      </c>
      <c r="F110" s="6" t="s">
        <v>17</v>
      </c>
      <c r="G110" s="6">
        <v>25.0</v>
      </c>
      <c r="H110" s="7">
        <v>14.25</v>
      </c>
      <c r="I110" s="6">
        <v>45.0</v>
      </c>
      <c r="J110" s="6">
        <v>84.3</v>
      </c>
      <c r="K110" s="6">
        <v>109.0</v>
      </c>
      <c r="L110" s="6">
        <v>13.0</v>
      </c>
    </row>
    <row r="111">
      <c r="A111" s="5" t="s">
        <v>344</v>
      </c>
      <c r="B111" s="5" t="s">
        <v>345</v>
      </c>
      <c r="C111" s="5" t="s">
        <v>346</v>
      </c>
      <c r="D111" s="5" t="s">
        <v>52</v>
      </c>
      <c r="E111" s="6" t="s">
        <v>16</v>
      </c>
      <c r="F111" s="6" t="s">
        <v>17</v>
      </c>
      <c r="G111" s="6">
        <v>34.0</v>
      </c>
      <c r="H111" s="7">
        <v>15.0</v>
      </c>
      <c r="I111" s="6">
        <v>35.0</v>
      </c>
      <c r="J111" s="6">
        <v>84.0</v>
      </c>
      <c r="K111" s="6">
        <v>110.0</v>
      </c>
      <c r="L111" s="6">
        <v>7.0</v>
      </c>
    </row>
    <row r="112">
      <c r="A112" s="5" t="s">
        <v>347</v>
      </c>
      <c r="B112" s="5" t="s">
        <v>348</v>
      </c>
      <c r="C112" s="5" t="s">
        <v>349</v>
      </c>
      <c r="D112" s="5" t="s">
        <v>21</v>
      </c>
      <c r="E112" s="6" t="s">
        <v>16</v>
      </c>
      <c r="F112" s="6" t="s">
        <v>17</v>
      </c>
      <c r="G112" s="6">
        <v>25.0</v>
      </c>
      <c r="H112" s="7">
        <v>14.024999999999999</v>
      </c>
      <c r="I112" s="6">
        <v>45.0</v>
      </c>
      <c r="J112" s="6">
        <v>84.0</v>
      </c>
      <c r="K112" s="6">
        <v>111.0</v>
      </c>
      <c r="L112" s="6">
        <v>15.0</v>
      </c>
    </row>
    <row r="113">
      <c r="A113" s="5" t="s">
        <v>350</v>
      </c>
      <c r="B113" s="5" t="s">
        <v>351</v>
      </c>
      <c r="C113" s="5" t="s">
        <v>352</v>
      </c>
      <c r="D113" s="5" t="s">
        <v>52</v>
      </c>
      <c r="E113" s="6" t="s">
        <v>16</v>
      </c>
      <c r="F113" s="6" t="s">
        <v>16</v>
      </c>
      <c r="G113" s="6">
        <v>24.0</v>
      </c>
      <c r="H113" s="7">
        <v>15.0</v>
      </c>
      <c r="I113" s="6">
        <v>45.0</v>
      </c>
      <c r="J113" s="6">
        <v>84.0</v>
      </c>
      <c r="K113" s="6">
        <v>112.0</v>
      </c>
      <c r="L113" s="6">
        <v>8.0</v>
      </c>
    </row>
    <row r="114">
      <c r="A114" s="5" t="s">
        <v>353</v>
      </c>
      <c r="B114" s="5" t="s">
        <v>354</v>
      </c>
      <c r="C114" s="5" t="s">
        <v>355</v>
      </c>
      <c r="D114" s="5" t="s">
        <v>21</v>
      </c>
      <c r="E114" s="6" t="s">
        <v>16</v>
      </c>
      <c r="F114" s="6" t="s">
        <v>17</v>
      </c>
      <c r="G114" s="6">
        <v>25.0</v>
      </c>
      <c r="H114" s="7">
        <v>13.8375</v>
      </c>
      <c r="I114" s="6">
        <v>45.0</v>
      </c>
      <c r="J114" s="6">
        <v>83.8</v>
      </c>
      <c r="K114" s="6">
        <v>113.0</v>
      </c>
      <c r="L114" s="6">
        <v>16.0</v>
      </c>
    </row>
    <row r="115">
      <c r="A115" s="5" t="s">
        <v>356</v>
      </c>
      <c r="B115" s="5" t="s">
        <v>357</v>
      </c>
      <c r="C115" s="5" t="s">
        <v>358</v>
      </c>
      <c r="D115" s="5" t="s">
        <v>75</v>
      </c>
      <c r="E115" s="6" t="s">
        <v>16</v>
      </c>
      <c r="F115" s="6" t="s">
        <v>17</v>
      </c>
      <c r="G115" s="6">
        <v>35.0</v>
      </c>
      <c r="H115" s="7">
        <v>10.743749999999999</v>
      </c>
      <c r="I115" s="6">
        <v>38.0</v>
      </c>
      <c r="J115" s="6">
        <v>83.7</v>
      </c>
      <c r="K115" s="6">
        <v>114.0</v>
      </c>
      <c r="L115" s="6">
        <v>7.0</v>
      </c>
    </row>
    <row r="116">
      <c r="A116" s="5" t="s">
        <v>359</v>
      </c>
      <c r="B116" s="5" t="s">
        <v>360</v>
      </c>
      <c r="C116" s="5" t="s">
        <v>361</v>
      </c>
      <c r="D116" s="5" t="s">
        <v>38</v>
      </c>
      <c r="E116" s="6" t="s">
        <v>16</v>
      </c>
      <c r="F116" s="6" t="s">
        <v>16</v>
      </c>
      <c r="G116" s="6">
        <v>28.0</v>
      </c>
      <c r="H116" s="7">
        <v>14.625</v>
      </c>
      <c r="I116" s="6">
        <v>41.0</v>
      </c>
      <c r="J116" s="6">
        <v>83.6</v>
      </c>
      <c r="K116" s="6">
        <v>115.0</v>
      </c>
      <c r="L116" s="6">
        <v>19.0</v>
      </c>
    </row>
    <row r="117">
      <c r="A117" s="5" t="s">
        <v>362</v>
      </c>
      <c r="B117" s="5" t="s">
        <v>363</v>
      </c>
      <c r="C117" s="5" t="s">
        <v>364</v>
      </c>
      <c r="D117" s="5" t="s">
        <v>222</v>
      </c>
      <c r="E117" s="6" t="s">
        <v>16</v>
      </c>
      <c r="F117" s="6" t="s">
        <v>17</v>
      </c>
      <c r="G117" s="6">
        <v>26.0</v>
      </c>
      <c r="H117" s="7">
        <v>14.625</v>
      </c>
      <c r="I117" s="6">
        <v>43.0</v>
      </c>
      <c r="J117" s="6">
        <v>83.6</v>
      </c>
      <c r="K117" s="6">
        <v>116.0</v>
      </c>
      <c r="L117" s="6">
        <v>4.0</v>
      </c>
    </row>
    <row r="118">
      <c r="A118" s="5" t="s">
        <v>365</v>
      </c>
      <c r="B118" s="5" t="s">
        <v>366</v>
      </c>
      <c r="C118" s="5" t="s">
        <v>367</v>
      </c>
      <c r="D118" s="5" t="s">
        <v>222</v>
      </c>
      <c r="E118" s="6" t="s">
        <v>16</v>
      </c>
      <c r="F118" s="6" t="s">
        <v>17</v>
      </c>
      <c r="G118" s="6">
        <v>32.0</v>
      </c>
      <c r="H118" s="7">
        <v>11.53125</v>
      </c>
      <c r="I118" s="6">
        <v>40.0</v>
      </c>
      <c r="J118" s="6">
        <v>83.5</v>
      </c>
      <c r="K118" s="6">
        <v>117.0</v>
      </c>
      <c r="L118" s="6">
        <v>5.0</v>
      </c>
    </row>
    <row r="119">
      <c r="A119" s="5" t="s">
        <v>368</v>
      </c>
      <c r="B119" s="5" t="s">
        <v>369</v>
      </c>
      <c r="C119" s="5" t="s">
        <v>370</v>
      </c>
      <c r="D119" s="5" t="s">
        <v>222</v>
      </c>
      <c r="E119" s="6" t="s">
        <v>16</v>
      </c>
      <c r="F119" s="6" t="s">
        <v>17</v>
      </c>
      <c r="G119" s="6">
        <v>33.0</v>
      </c>
      <c r="H119" s="7">
        <v>13.125</v>
      </c>
      <c r="I119" s="6">
        <v>37.0</v>
      </c>
      <c r="J119" s="6">
        <v>83.1</v>
      </c>
      <c r="K119" s="6">
        <v>118.0</v>
      </c>
      <c r="L119" s="6">
        <v>6.0</v>
      </c>
    </row>
    <row r="120">
      <c r="A120" s="5" t="s">
        <v>371</v>
      </c>
      <c r="B120" s="5" t="s">
        <v>372</v>
      </c>
      <c r="C120" s="5" t="s">
        <v>373</v>
      </c>
      <c r="D120" s="5" t="s">
        <v>42</v>
      </c>
      <c r="E120" s="6" t="s">
        <v>16</v>
      </c>
      <c r="F120" s="6" t="s">
        <v>17</v>
      </c>
      <c r="G120" s="6">
        <v>31.0</v>
      </c>
      <c r="H120" s="7">
        <v>12.0</v>
      </c>
      <c r="I120" s="6">
        <v>40.0</v>
      </c>
      <c r="J120" s="6">
        <v>83.0</v>
      </c>
      <c r="K120" s="6">
        <v>119.0</v>
      </c>
      <c r="L120" s="6">
        <v>8.0</v>
      </c>
    </row>
    <row r="121">
      <c r="A121" s="5" t="s">
        <v>374</v>
      </c>
      <c r="B121" s="5" t="s">
        <v>375</v>
      </c>
      <c r="C121" s="5" t="s">
        <v>376</v>
      </c>
      <c r="D121" s="5" t="s">
        <v>52</v>
      </c>
      <c r="E121" s="6" t="s">
        <v>16</v>
      </c>
      <c r="F121" s="6" t="s">
        <v>16</v>
      </c>
      <c r="G121" s="6">
        <v>27.0</v>
      </c>
      <c r="H121" s="7">
        <v>12.0</v>
      </c>
      <c r="I121" s="6">
        <v>44.0</v>
      </c>
      <c r="J121" s="6">
        <v>83.0</v>
      </c>
      <c r="K121" s="6">
        <v>120.0</v>
      </c>
      <c r="L121" s="6">
        <v>9.0</v>
      </c>
    </row>
    <row r="122">
      <c r="A122" s="5" t="s">
        <v>377</v>
      </c>
      <c r="B122" s="5" t="s">
        <v>378</v>
      </c>
      <c r="C122" s="5" t="s">
        <v>379</v>
      </c>
      <c r="D122" s="5" t="s">
        <v>222</v>
      </c>
      <c r="E122" s="6" t="s">
        <v>16</v>
      </c>
      <c r="F122" s="6" t="s">
        <v>16</v>
      </c>
      <c r="G122" s="6">
        <v>23.0</v>
      </c>
      <c r="H122" s="7">
        <v>15.0</v>
      </c>
      <c r="I122" s="6">
        <v>45.0</v>
      </c>
      <c r="J122" s="6">
        <v>83.0</v>
      </c>
      <c r="K122" s="6">
        <v>121.0</v>
      </c>
      <c r="L122" s="6">
        <v>7.0</v>
      </c>
    </row>
    <row r="123">
      <c r="A123" s="5" t="s">
        <v>380</v>
      </c>
      <c r="B123" s="5">
        <v>3.2916049E7</v>
      </c>
      <c r="C123" s="5" t="s">
        <v>381</v>
      </c>
      <c r="D123" s="5" t="s">
        <v>38</v>
      </c>
      <c r="E123" s="6" t="s">
        <v>16</v>
      </c>
      <c r="F123" s="6" t="s">
        <v>17</v>
      </c>
      <c r="G123" s="6">
        <v>23.0</v>
      </c>
      <c r="H123" s="7">
        <v>15.0</v>
      </c>
      <c r="I123" s="6">
        <v>45.0</v>
      </c>
      <c r="J123" s="6">
        <v>83.0</v>
      </c>
      <c r="K123" s="6">
        <v>122.0</v>
      </c>
      <c r="L123" s="6">
        <v>20.0</v>
      </c>
    </row>
    <row r="124">
      <c r="A124" s="5" t="s">
        <v>382</v>
      </c>
      <c r="B124" s="5" t="s">
        <v>383</v>
      </c>
      <c r="C124" s="5" t="s">
        <v>384</v>
      </c>
      <c r="D124" s="5" t="s">
        <v>118</v>
      </c>
      <c r="E124" s="6" t="s">
        <v>16</v>
      </c>
      <c r="F124" s="6" t="s">
        <v>16</v>
      </c>
      <c r="G124" s="6">
        <v>24.0</v>
      </c>
      <c r="H124" s="7">
        <v>15.0</v>
      </c>
      <c r="I124" s="6">
        <v>44.0</v>
      </c>
      <c r="J124" s="6">
        <v>83.0</v>
      </c>
      <c r="K124" s="6">
        <v>123.0</v>
      </c>
      <c r="L124" s="6">
        <v>13.0</v>
      </c>
    </row>
    <row r="125">
      <c r="A125" s="5" t="s">
        <v>385</v>
      </c>
      <c r="B125" s="5" t="s">
        <v>386</v>
      </c>
      <c r="C125" s="5" t="s">
        <v>387</v>
      </c>
      <c r="D125" s="5" t="s">
        <v>21</v>
      </c>
      <c r="E125" s="6" t="s">
        <v>16</v>
      </c>
      <c r="F125" s="6" t="s">
        <v>16</v>
      </c>
      <c r="G125" s="6">
        <v>35.0</v>
      </c>
      <c r="H125" s="7">
        <v>12.918750000000001</v>
      </c>
      <c r="I125" s="6">
        <v>35.0</v>
      </c>
      <c r="J125" s="6">
        <v>82.9</v>
      </c>
      <c r="K125" s="6">
        <v>124.0</v>
      </c>
      <c r="L125" s="6">
        <v>17.0</v>
      </c>
    </row>
    <row r="126">
      <c r="A126" s="5" t="s">
        <v>388</v>
      </c>
      <c r="B126" s="5" t="s">
        <v>389</v>
      </c>
      <c r="C126" s="5" t="s">
        <v>390</v>
      </c>
      <c r="D126" s="5" t="s">
        <v>268</v>
      </c>
      <c r="E126" s="6" t="s">
        <v>16</v>
      </c>
      <c r="F126" s="6" t="s">
        <v>17</v>
      </c>
      <c r="G126" s="6">
        <v>23.0</v>
      </c>
      <c r="H126" s="7">
        <v>14.8125</v>
      </c>
      <c r="I126" s="6">
        <v>45.0</v>
      </c>
      <c r="J126" s="6">
        <v>82.8</v>
      </c>
      <c r="K126" s="6">
        <v>125.0</v>
      </c>
      <c r="L126" s="6">
        <v>4.0</v>
      </c>
    </row>
    <row r="127">
      <c r="A127" s="5" t="s">
        <v>391</v>
      </c>
      <c r="B127" s="5" t="s">
        <v>392</v>
      </c>
      <c r="C127" s="5" t="s">
        <v>393</v>
      </c>
      <c r="D127" s="5" t="s">
        <v>268</v>
      </c>
      <c r="E127" s="6" t="s">
        <v>16</v>
      </c>
      <c r="F127" s="6" t="s">
        <v>17</v>
      </c>
      <c r="G127" s="6">
        <v>23.0</v>
      </c>
      <c r="H127" s="7">
        <v>14.625</v>
      </c>
      <c r="I127" s="6">
        <v>45.0</v>
      </c>
      <c r="J127" s="6">
        <v>82.6</v>
      </c>
      <c r="K127" s="6">
        <v>126.0</v>
      </c>
      <c r="L127" s="6">
        <v>5.0</v>
      </c>
    </row>
    <row r="128">
      <c r="A128" s="5" t="s">
        <v>394</v>
      </c>
      <c r="B128" s="5" t="s">
        <v>395</v>
      </c>
      <c r="C128" s="5" t="s">
        <v>396</v>
      </c>
      <c r="D128" s="5" t="s">
        <v>268</v>
      </c>
      <c r="E128" s="6" t="s">
        <v>16</v>
      </c>
      <c r="F128" s="6" t="s">
        <v>17</v>
      </c>
      <c r="G128" s="6">
        <v>23.0</v>
      </c>
      <c r="H128" s="7">
        <v>14.4375</v>
      </c>
      <c r="I128" s="6">
        <v>45.0</v>
      </c>
      <c r="J128" s="6">
        <v>82.4</v>
      </c>
      <c r="K128" s="6">
        <v>127.0</v>
      </c>
      <c r="L128" s="6">
        <v>6.0</v>
      </c>
    </row>
    <row r="129">
      <c r="A129" s="5" t="s">
        <v>397</v>
      </c>
      <c r="B129" s="5" t="s">
        <v>398</v>
      </c>
      <c r="C129" s="5" t="s">
        <v>399</v>
      </c>
      <c r="D129" s="5" t="s">
        <v>118</v>
      </c>
      <c r="E129" s="6" t="s">
        <v>16</v>
      </c>
      <c r="F129" s="6" t="s">
        <v>16</v>
      </c>
      <c r="G129" s="6">
        <v>26.0</v>
      </c>
      <c r="H129" s="7">
        <v>14.25</v>
      </c>
      <c r="I129" s="6">
        <v>42.0</v>
      </c>
      <c r="J129" s="6">
        <v>82.3</v>
      </c>
      <c r="K129" s="6">
        <v>128.0</v>
      </c>
      <c r="L129" s="6">
        <v>14.0</v>
      </c>
    </row>
    <row r="130">
      <c r="A130" s="5" t="s">
        <v>400</v>
      </c>
      <c r="B130" s="5" t="s">
        <v>401</v>
      </c>
      <c r="C130" s="5" t="s">
        <v>402</v>
      </c>
      <c r="D130" s="5" t="s">
        <v>52</v>
      </c>
      <c r="E130" s="6" t="s">
        <v>16</v>
      </c>
      <c r="F130" s="6" t="s">
        <v>16</v>
      </c>
      <c r="G130" s="6">
        <v>23.0</v>
      </c>
      <c r="H130" s="7">
        <v>14.25</v>
      </c>
      <c r="I130" s="6">
        <v>45.0</v>
      </c>
      <c r="J130" s="6">
        <v>82.3</v>
      </c>
      <c r="K130" s="6">
        <v>129.0</v>
      </c>
      <c r="L130" s="6">
        <v>10.0</v>
      </c>
    </row>
    <row r="131">
      <c r="A131" s="5" t="s">
        <v>403</v>
      </c>
      <c r="B131" s="5" t="s">
        <v>404</v>
      </c>
      <c r="C131" s="5" t="s">
        <v>405</v>
      </c>
      <c r="D131" s="5" t="s">
        <v>75</v>
      </c>
      <c r="E131" s="6" t="s">
        <v>16</v>
      </c>
      <c r="F131" s="6" t="s">
        <v>16</v>
      </c>
      <c r="G131" s="6">
        <v>25.0</v>
      </c>
      <c r="H131" s="7">
        <v>12.075000000000001</v>
      </c>
      <c r="I131" s="6">
        <v>45.0</v>
      </c>
      <c r="J131" s="6">
        <v>82.1</v>
      </c>
      <c r="K131" s="6">
        <v>130.0</v>
      </c>
      <c r="L131" s="6">
        <v>8.0</v>
      </c>
    </row>
    <row r="132">
      <c r="A132" s="5" t="s">
        <v>406</v>
      </c>
      <c r="B132" s="5" t="s">
        <v>407</v>
      </c>
      <c r="C132" s="5" t="s">
        <v>408</v>
      </c>
      <c r="D132" s="5" t="s">
        <v>21</v>
      </c>
      <c r="E132" s="6" t="s">
        <v>16</v>
      </c>
      <c r="F132" s="6" t="s">
        <v>16</v>
      </c>
      <c r="G132" s="6">
        <v>25.0</v>
      </c>
      <c r="H132" s="7">
        <v>13.546875</v>
      </c>
      <c r="I132" s="6">
        <v>43.5</v>
      </c>
      <c r="J132" s="6">
        <v>82.0</v>
      </c>
      <c r="K132" s="6">
        <v>131.0</v>
      </c>
      <c r="L132" s="6">
        <v>18.0</v>
      </c>
    </row>
    <row r="133">
      <c r="A133" s="5" t="s">
        <v>409</v>
      </c>
      <c r="B133" s="5" t="s">
        <v>410</v>
      </c>
      <c r="C133" s="5" t="s">
        <v>411</v>
      </c>
      <c r="D133" s="5" t="s">
        <v>52</v>
      </c>
      <c r="E133" s="6" t="s">
        <v>16</v>
      </c>
      <c r="F133" s="6" t="s">
        <v>17</v>
      </c>
      <c r="G133" s="6">
        <v>24.0</v>
      </c>
      <c r="H133" s="7">
        <v>15.0</v>
      </c>
      <c r="I133" s="6">
        <v>43.0</v>
      </c>
      <c r="J133" s="6">
        <v>82.0</v>
      </c>
      <c r="K133" s="6">
        <v>132.0</v>
      </c>
      <c r="L133" s="6">
        <v>11.0</v>
      </c>
    </row>
    <row r="134">
      <c r="A134" s="5" t="s">
        <v>412</v>
      </c>
      <c r="B134" s="5" t="s">
        <v>413</v>
      </c>
      <c r="C134" s="5" t="s">
        <v>414</v>
      </c>
      <c r="D134" s="5" t="s">
        <v>34</v>
      </c>
      <c r="E134" s="6" t="s">
        <v>16</v>
      </c>
      <c r="F134" s="6" t="s">
        <v>16</v>
      </c>
      <c r="G134" s="6">
        <v>23.0</v>
      </c>
      <c r="H134" s="7">
        <v>13.856250000000001</v>
      </c>
      <c r="I134" s="6">
        <v>45.0</v>
      </c>
      <c r="J134" s="6">
        <v>81.9</v>
      </c>
      <c r="K134" s="6">
        <v>133.0</v>
      </c>
      <c r="L134" s="6">
        <v>12.0</v>
      </c>
    </row>
    <row r="135">
      <c r="A135" s="5" t="s">
        <v>415</v>
      </c>
      <c r="B135" s="5" t="s">
        <v>416</v>
      </c>
      <c r="C135" s="5" t="s">
        <v>417</v>
      </c>
      <c r="D135" s="5" t="s">
        <v>118</v>
      </c>
      <c r="E135" s="6" t="s">
        <v>16</v>
      </c>
      <c r="F135" s="6" t="s">
        <v>17</v>
      </c>
      <c r="G135" s="6">
        <v>31.0</v>
      </c>
      <c r="H135" s="7">
        <v>13.171875</v>
      </c>
      <c r="I135" s="6">
        <v>37.7</v>
      </c>
      <c r="J135" s="6">
        <v>81.8</v>
      </c>
      <c r="K135" s="6">
        <v>134.0</v>
      </c>
      <c r="L135" s="6">
        <v>15.0</v>
      </c>
    </row>
    <row r="136">
      <c r="A136" s="5" t="s">
        <v>418</v>
      </c>
      <c r="B136" s="5" t="s">
        <v>419</v>
      </c>
      <c r="C136" s="5" t="s">
        <v>420</v>
      </c>
      <c r="D136" s="5" t="s">
        <v>75</v>
      </c>
      <c r="E136" s="6" t="s">
        <v>16</v>
      </c>
      <c r="F136" s="6" t="s">
        <v>17</v>
      </c>
      <c r="G136" s="6">
        <v>28.0</v>
      </c>
      <c r="H136" s="7">
        <v>13.8375</v>
      </c>
      <c r="I136" s="6">
        <v>40.0</v>
      </c>
      <c r="J136" s="6">
        <v>81.8</v>
      </c>
      <c r="K136" s="6">
        <v>135.0</v>
      </c>
      <c r="L136" s="6">
        <v>9.0</v>
      </c>
    </row>
    <row r="137">
      <c r="A137" s="5" t="s">
        <v>421</v>
      </c>
      <c r="B137" s="5" t="s">
        <v>422</v>
      </c>
      <c r="C137" s="5" t="s">
        <v>423</v>
      </c>
      <c r="D137" s="5" t="s">
        <v>38</v>
      </c>
      <c r="E137" s="6" t="s">
        <v>16</v>
      </c>
      <c r="F137" s="6" t="s">
        <v>17</v>
      </c>
      <c r="G137" s="6">
        <v>25.0</v>
      </c>
      <c r="H137" s="7">
        <v>14.625</v>
      </c>
      <c r="I137" s="6">
        <v>42.0</v>
      </c>
      <c r="J137" s="6">
        <v>81.6</v>
      </c>
      <c r="K137" s="6">
        <v>136.0</v>
      </c>
      <c r="L137" s="6">
        <v>21.0</v>
      </c>
    </row>
    <row r="138">
      <c r="A138" s="5" t="s">
        <v>424</v>
      </c>
      <c r="B138" s="5" t="s">
        <v>425</v>
      </c>
      <c r="C138" s="5" t="s">
        <v>426</v>
      </c>
      <c r="D138" s="5" t="s">
        <v>15</v>
      </c>
      <c r="E138" s="6" t="s">
        <v>16</v>
      </c>
      <c r="F138" s="6" t="s">
        <v>16</v>
      </c>
      <c r="G138" s="6">
        <v>22.0</v>
      </c>
      <c r="H138" s="7">
        <v>14.625</v>
      </c>
      <c r="I138" s="6">
        <v>45.0</v>
      </c>
      <c r="J138" s="6">
        <v>81.6</v>
      </c>
      <c r="K138" s="6">
        <v>137.0</v>
      </c>
      <c r="L138" s="6">
        <v>14.0</v>
      </c>
    </row>
    <row r="139">
      <c r="A139" s="5" t="s">
        <v>427</v>
      </c>
      <c r="B139" s="5" t="s">
        <v>428</v>
      </c>
      <c r="C139" s="5" t="s">
        <v>429</v>
      </c>
      <c r="D139" s="5" t="s">
        <v>52</v>
      </c>
      <c r="E139" s="6" t="s">
        <v>16</v>
      </c>
      <c r="F139" s="6" t="s">
        <v>17</v>
      </c>
      <c r="G139" s="6">
        <v>24.0</v>
      </c>
      <c r="H139" s="7">
        <v>14.25</v>
      </c>
      <c r="I139" s="6">
        <v>43.0</v>
      </c>
      <c r="J139" s="6">
        <v>81.3</v>
      </c>
      <c r="K139" s="6">
        <v>138.0</v>
      </c>
      <c r="L139" s="6">
        <v>12.0</v>
      </c>
    </row>
    <row r="140">
      <c r="A140" s="5" t="s">
        <v>430</v>
      </c>
      <c r="B140" s="5" t="s">
        <v>431</v>
      </c>
      <c r="C140" s="5" t="s">
        <v>432</v>
      </c>
      <c r="D140" s="5" t="s">
        <v>59</v>
      </c>
      <c r="E140" s="6" t="s">
        <v>16</v>
      </c>
      <c r="F140" s="6" t="s">
        <v>17</v>
      </c>
      <c r="G140" s="6">
        <v>23.0</v>
      </c>
      <c r="H140" s="7">
        <v>15.0</v>
      </c>
      <c r="I140" s="6">
        <v>43.0</v>
      </c>
      <c r="J140" s="6">
        <v>81.0</v>
      </c>
      <c r="K140" s="6">
        <v>139.0</v>
      </c>
      <c r="L140" s="6">
        <v>12.0</v>
      </c>
    </row>
    <row r="141">
      <c r="A141" s="5" t="s">
        <v>433</v>
      </c>
      <c r="B141" s="5" t="s">
        <v>434</v>
      </c>
      <c r="C141" s="5" t="s">
        <v>435</v>
      </c>
      <c r="D141" s="5" t="s">
        <v>75</v>
      </c>
      <c r="E141" s="6" t="s">
        <v>16</v>
      </c>
      <c r="F141" s="6" t="s">
        <v>17</v>
      </c>
      <c r="G141" s="6">
        <v>34.0</v>
      </c>
      <c r="H141" s="7">
        <v>8.906250000000002</v>
      </c>
      <c r="I141" s="6">
        <v>38.0</v>
      </c>
      <c r="J141" s="6">
        <v>80.9</v>
      </c>
      <c r="K141" s="6">
        <v>140.0</v>
      </c>
      <c r="L141" s="6">
        <v>10.0</v>
      </c>
    </row>
    <row r="142">
      <c r="A142" s="5" t="s">
        <v>436</v>
      </c>
      <c r="B142" s="5" t="s">
        <v>437</v>
      </c>
      <c r="C142" s="5" t="s">
        <v>438</v>
      </c>
      <c r="D142" s="5" t="s">
        <v>59</v>
      </c>
      <c r="E142" s="6" t="s">
        <v>16</v>
      </c>
      <c r="F142" s="6" t="s">
        <v>17</v>
      </c>
      <c r="G142" s="6">
        <v>33.0</v>
      </c>
      <c r="H142" s="7">
        <v>8.859375</v>
      </c>
      <c r="I142" s="6">
        <v>39.0</v>
      </c>
      <c r="J142" s="6">
        <v>80.9</v>
      </c>
      <c r="K142" s="6">
        <v>141.0</v>
      </c>
      <c r="L142" s="6">
        <v>13.0</v>
      </c>
    </row>
    <row r="143">
      <c r="A143" s="5" t="s">
        <v>439</v>
      </c>
      <c r="B143" s="5" t="s">
        <v>440</v>
      </c>
      <c r="C143" s="5" t="s">
        <v>441</v>
      </c>
      <c r="D143" s="5" t="s">
        <v>34</v>
      </c>
      <c r="E143" s="6" t="s">
        <v>16</v>
      </c>
      <c r="F143" s="6" t="s">
        <v>16</v>
      </c>
      <c r="G143" s="6">
        <v>23.0</v>
      </c>
      <c r="H143" s="7">
        <v>12.9375</v>
      </c>
      <c r="I143" s="6">
        <v>45.0</v>
      </c>
      <c r="J143" s="6">
        <v>80.9</v>
      </c>
      <c r="K143" s="6">
        <v>142.0</v>
      </c>
      <c r="L143" s="6">
        <v>13.0</v>
      </c>
    </row>
    <row r="144">
      <c r="A144" s="5" t="s">
        <v>442</v>
      </c>
      <c r="B144" s="5" t="s">
        <v>443</v>
      </c>
      <c r="C144" s="5" t="s">
        <v>444</v>
      </c>
      <c r="D144" s="5" t="s">
        <v>38</v>
      </c>
      <c r="E144" s="6" t="s">
        <v>16</v>
      </c>
      <c r="F144" s="6" t="s">
        <v>16</v>
      </c>
      <c r="G144" s="6">
        <v>28.0</v>
      </c>
      <c r="H144" s="7">
        <v>13.78125</v>
      </c>
      <c r="I144" s="6">
        <v>39.0</v>
      </c>
      <c r="J144" s="6">
        <v>80.8</v>
      </c>
      <c r="K144" s="6">
        <v>143.0</v>
      </c>
      <c r="L144" s="6">
        <v>22.0</v>
      </c>
    </row>
    <row r="145">
      <c r="A145" s="5" t="s">
        <v>445</v>
      </c>
      <c r="B145" s="5" t="s">
        <v>446</v>
      </c>
      <c r="C145" s="5" t="s">
        <v>447</v>
      </c>
      <c r="D145" s="5" t="s">
        <v>177</v>
      </c>
      <c r="E145" s="6" t="s">
        <v>16</v>
      </c>
      <c r="F145" s="6" t="s">
        <v>16</v>
      </c>
      <c r="G145" s="6">
        <v>22.0</v>
      </c>
      <c r="H145" s="7">
        <v>13.78125</v>
      </c>
      <c r="I145" s="6">
        <v>45.0</v>
      </c>
      <c r="J145" s="6">
        <v>80.8</v>
      </c>
      <c r="K145" s="6">
        <v>144.0</v>
      </c>
      <c r="L145" s="6">
        <v>6.0</v>
      </c>
    </row>
    <row r="146">
      <c r="A146" s="5" t="s">
        <v>448</v>
      </c>
      <c r="B146" s="5" t="s">
        <v>449</v>
      </c>
      <c r="C146" s="5" t="s">
        <v>450</v>
      </c>
      <c r="D146" s="5" t="s">
        <v>42</v>
      </c>
      <c r="E146" s="6" t="s">
        <v>17</v>
      </c>
      <c r="F146" s="6" t="s">
        <v>17</v>
      </c>
      <c r="G146" s="6">
        <v>27.0</v>
      </c>
      <c r="H146" s="7">
        <v>11.53125</v>
      </c>
      <c r="I146" s="6">
        <v>42.0</v>
      </c>
      <c r="J146" s="6">
        <v>80.5</v>
      </c>
      <c r="K146" s="6">
        <v>145.0</v>
      </c>
      <c r="L146" s="6">
        <v>9.0</v>
      </c>
    </row>
    <row r="147">
      <c r="A147" s="5" t="s">
        <v>451</v>
      </c>
      <c r="B147" s="5" t="s">
        <v>452</v>
      </c>
      <c r="C147" s="5" t="s">
        <v>453</v>
      </c>
      <c r="D147" s="5" t="s">
        <v>38</v>
      </c>
      <c r="E147" s="6" t="s">
        <v>16</v>
      </c>
      <c r="F147" s="6" t="s">
        <v>17</v>
      </c>
      <c r="G147" s="6">
        <v>23.0</v>
      </c>
      <c r="H147" s="7">
        <v>15.0</v>
      </c>
      <c r="I147" s="6">
        <v>42.5</v>
      </c>
      <c r="J147" s="6">
        <v>80.5</v>
      </c>
      <c r="K147" s="6">
        <v>146.0</v>
      </c>
      <c r="L147" s="6">
        <v>23.0</v>
      </c>
    </row>
    <row r="148">
      <c r="A148" s="5" t="s">
        <v>454</v>
      </c>
      <c r="B148" s="5" t="s">
        <v>455</v>
      </c>
      <c r="C148" s="5" t="s">
        <v>456</v>
      </c>
      <c r="D148" s="5" t="s">
        <v>42</v>
      </c>
      <c r="E148" s="6" t="s">
        <v>16</v>
      </c>
      <c r="F148" s="6" t="s">
        <v>17</v>
      </c>
      <c r="G148" s="6">
        <v>34.0</v>
      </c>
      <c r="H148" s="7">
        <v>11.25</v>
      </c>
      <c r="I148" s="6">
        <v>35.0</v>
      </c>
      <c r="J148" s="6">
        <v>80.3</v>
      </c>
      <c r="K148" s="6">
        <v>147.0</v>
      </c>
      <c r="L148" s="6">
        <v>10.0</v>
      </c>
    </row>
    <row r="149">
      <c r="A149" s="5" t="s">
        <v>457</v>
      </c>
      <c r="B149" s="5" t="s">
        <v>458</v>
      </c>
      <c r="C149" s="5" t="s">
        <v>459</v>
      </c>
      <c r="D149" s="5" t="s">
        <v>34</v>
      </c>
      <c r="E149" s="6" t="s">
        <v>16</v>
      </c>
      <c r="F149" s="6" t="s">
        <v>16</v>
      </c>
      <c r="G149" s="6">
        <v>33.0</v>
      </c>
      <c r="H149" s="7">
        <v>14.2125</v>
      </c>
      <c r="I149" s="6">
        <v>33.0</v>
      </c>
      <c r="J149" s="6">
        <v>80.2</v>
      </c>
      <c r="K149" s="6">
        <v>148.0</v>
      </c>
      <c r="L149" s="6">
        <v>14.0</v>
      </c>
    </row>
    <row r="150">
      <c r="A150" s="5" t="s">
        <v>460</v>
      </c>
      <c r="B150" s="5" t="s">
        <v>461</v>
      </c>
      <c r="C150" s="5" t="s">
        <v>334</v>
      </c>
      <c r="D150" s="5" t="s">
        <v>268</v>
      </c>
      <c r="E150" s="6" t="s">
        <v>16</v>
      </c>
      <c r="F150" s="6" t="s">
        <v>17</v>
      </c>
      <c r="G150" s="6">
        <v>28.0</v>
      </c>
      <c r="H150" s="7">
        <v>13.21875</v>
      </c>
      <c r="I150" s="6">
        <v>39.0</v>
      </c>
      <c r="J150" s="6">
        <v>80.2</v>
      </c>
      <c r="K150" s="6">
        <v>149.0</v>
      </c>
      <c r="L150" s="6">
        <v>7.0</v>
      </c>
    </row>
    <row r="151">
      <c r="A151" s="5" t="s">
        <v>462</v>
      </c>
      <c r="B151" s="5" t="s">
        <v>463</v>
      </c>
      <c r="C151" s="5" t="s">
        <v>464</v>
      </c>
      <c r="D151" s="5" t="s">
        <v>21</v>
      </c>
      <c r="E151" s="6" t="s">
        <v>16</v>
      </c>
      <c r="F151" s="6" t="s">
        <v>17</v>
      </c>
      <c r="G151" s="6">
        <v>25.0</v>
      </c>
      <c r="H151" s="7">
        <v>10.171875</v>
      </c>
      <c r="I151" s="6">
        <v>45.0</v>
      </c>
      <c r="J151" s="6">
        <v>80.2</v>
      </c>
      <c r="K151" s="6">
        <v>150.0</v>
      </c>
      <c r="L151" s="6">
        <v>19.0</v>
      </c>
    </row>
    <row r="152">
      <c r="A152" s="5" t="s">
        <v>465</v>
      </c>
      <c r="B152" s="5" t="s">
        <v>466</v>
      </c>
      <c r="C152" s="5" t="s">
        <v>467</v>
      </c>
      <c r="D152" s="5" t="s">
        <v>268</v>
      </c>
      <c r="E152" s="6" t="s">
        <v>16</v>
      </c>
      <c r="F152" s="6" t="s">
        <v>16</v>
      </c>
      <c r="G152" s="6">
        <v>28.0</v>
      </c>
      <c r="H152" s="7">
        <v>12.09375</v>
      </c>
      <c r="I152" s="6">
        <v>40.0</v>
      </c>
      <c r="J152" s="6">
        <v>80.1</v>
      </c>
      <c r="K152" s="6">
        <v>151.0</v>
      </c>
      <c r="L152" s="6">
        <v>8.0</v>
      </c>
    </row>
    <row r="153">
      <c r="A153" s="5" t="s">
        <v>468</v>
      </c>
      <c r="B153" s="5" t="s">
        <v>469</v>
      </c>
      <c r="C153" s="5" t="s">
        <v>470</v>
      </c>
      <c r="D153" s="5" t="s">
        <v>268</v>
      </c>
      <c r="E153" s="6" t="s">
        <v>16</v>
      </c>
      <c r="F153" s="6" t="s">
        <v>17</v>
      </c>
      <c r="G153" s="6">
        <v>26.0</v>
      </c>
      <c r="H153" s="7">
        <v>11.859375</v>
      </c>
      <c r="I153" s="6">
        <v>42.0</v>
      </c>
      <c r="J153" s="6">
        <v>79.9</v>
      </c>
      <c r="K153" s="6">
        <v>152.0</v>
      </c>
      <c r="L153" s="6">
        <v>9.0</v>
      </c>
    </row>
    <row r="154">
      <c r="A154" s="5" t="s">
        <v>471</v>
      </c>
      <c r="B154" s="5" t="s">
        <v>472</v>
      </c>
      <c r="C154" s="5" t="s">
        <v>473</v>
      </c>
      <c r="D154" s="5" t="s">
        <v>15</v>
      </c>
      <c r="E154" s="6" t="s">
        <v>16</v>
      </c>
      <c r="F154" s="6" t="s">
        <v>17</v>
      </c>
      <c r="G154" s="6">
        <v>32.0</v>
      </c>
      <c r="H154" s="7">
        <v>9.84375</v>
      </c>
      <c r="I154" s="6">
        <v>38.0</v>
      </c>
      <c r="J154" s="6">
        <v>79.8</v>
      </c>
      <c r="K154" s="6">
        <v>153.0</v>
      </c>
      <c r="L154" s="6">
        <v>15.0</v>
      </c>
    </row>
    <row r="155">
      <c r="A155" s="5" t="s">
        <v>474</v>
      </c>
      <c r="B155" s="5" t="s">
        <v>475</v>
      </c>
      <c r="C155" s="5" t="s">
        <v>476</v>
      </c>
      <c r="D155" s="5" t="s">
        <v>268</v>
      </c>
      <c r="E155" s="6" t="s">
        <v>16</v>
      </c>
      <c r="F155" s="6" t="s">
        <v>16</v>
      </c>
      <c r="G155" s="6">
        <v>28.0</v>
      </c>
      <c r="H155" s="7">
        <v>9.78125</v>
      </c>
      <c r="I155" s="6">
        <v>42.0</v>
      </c>
      <c r="J155" s="6">
        <v>79.8</v>
      </c>
      <c r="K155" s="6">
        <v>154.0</v>
      </c>
      <c r="L155" s="6">
        <v>10.0</v>
      </c>
    </row>
    <row r="156">
      <c r="A156" s="5" t="s">
        <v>477</v>
      </c>
      <c r="B156" s="5" t="s">
        <v>478</v>
      </c>
      <c r="C156" s="5" t="s">
        <v>479</v>
      </c>
      <c r="D156" s="5" t="s">
        <v>268</v>
      </c>
      <c r="E156" s="6" t="s">
        <v>16</v>
      </c>
      <c r="F156" s="6" t="s">
        <v>17</v>
      </c>
      <c r="G156" s="6">
        <v>23.0</v>
      </c>
      <c r="H156" s="7">
        <v>14.8125</v>
      </c>
      <c r="I156" s="6">
        <v>42.0</v>
      </c>
      <c r="J156" s="6">
        <v>79.8</v>
      </c>
      <c r="K156" s="6">
        <v>155.0</v>
      </c>
      <c r="L156" s="6">
        <v>11.0</v>
      </c>
    </row>
    <row r="157">
      <c r="A157" s="5" t="s">
        <v>480</v>
      </c>
      <c r="B157" s="5" t="s">
        <v>481</v>
      </c>
      <c r="C157" s="5" t="s">
        <v>482</v>
      </c>
      <c r="D157" s="5" t="s">
        <v>42</v>
      </c>
      <c r="E157" s="6" t="s">
        <v>16</v>
      </c>
      <c r="F157" s="6" t="s">
        <v>17</v>
      </c>
      <c r="G157" s="6">
        <v>22.0</v>
      </c>
      <c r="H157" s="7">
        <v>12.75</v>
      </c>
      <c r="I157" s="6">
        <v>45.0</v>
      </c>
      <c r="J157" s="6">
        <v>79.8</v>
      </c>
      <c r="K157" s="6">
        <v>156.0</v>
      </c>
      <c r="L157" s="6">
        <v>11.0</v>
      </c>
    </row>
    <row r="158">
      <c r="A158" s="5" t="s">
        <v>483</v>
      </c>
      <c r="B158" s="5" t="s">
        <v>484</v>
      </c>
      <c r="C158" s="5" t="s">
        <v>485</v>
      </c>
      <c r="D158" s="5" t="s">
        <v>34</v>
      </c>
      <c r="E158" s="6" t="s">
        <v>16</v>
      </c>
      <c r="F158" s="6" t="s">
        <v>16</v>
      </c>
      <c r="G158" s="6">
        <v>21.0</v>
      </c>
      <c r="H158" s="7">
        <v>13.59375</v>
      </c>
      <c r="I158" s="6">
        <v>45.0</v>
      </c>
      <c r="J158" s="6">
        <v>79.6</v>
      </c>
      <c r="K158" s="6">
        <v>157.0</v>
      </c>
      <c r="L158" s="6">
        <v>15.0</v>
      </c>
    </row>
    <row r="159">
      <c r="A159" s="5" t="s">
        <v>486</v>
      </c>
      <c r="B159" s="5" t="s">
        <v>487</v>
      </c>
      <c r="C159" s="5" t="s">
        <v>488</v>
      </c>
      <c r="D159" s="5" t="s">
        <v>75</v>
      </c>
      <c r="E159" s="6" t="s">
        <v>16</v>
      </c>
      <c r="F159" s="6" t="s">
        <v>17</v>
      </c>
      <c r="G159" s="6">
        <v>24.0</v>
      </c>
      <c r="H159" s="7">
        <v>10.5</v>
      </c>
      <c r="I159" s="6">
        <v>45.0</v>
      </c>
      <c r="J159" s="6">
        <v>79.5</v>
      </c>
      <c r="K159" s="6">
        <v>158.0</v>
      </c>
      <c r="L159" s="6">
        <v>11.0</v>
      </c>
    </row>
    <row r="160">
      <c r="A160" s="5" t="s">
        <v>489</v>
      </c>
      <c r="B160" s="5" t="s">
        <v>490</v>
      </c>
      <c r="C160" s="5" t="s">
        <v>491</v>
      </c>
      <c r="D160" s="5" t="s">
        <v>42</v>
      </c>
      <c r="E160" s="6" t="s">
        <v>16</v>
      </c>
      <c r="F160" s="6" t="s">
        <v>16</v>
      </c>
      <c r="G160" s="6">
        <v>22.0</v>
      </c>
      <c r="H160" s="7">
        <v>12.50625</v>
      </c>
      <c r="I160" s="6">
        <v>45.0</v>
      </c>
      <c r="J160" s="6">
        <v>79.5</v>
      </c>
      <c r="K160" s="6">
        <v>159.0</v>
      </c>
      <c r="L160" s="6">
        <v>12.0</v>
      </c>
    </row>
    <row r="161">
      <c r="A161" s="5" t="s">
        <v>492</v>
      </c>
      <c r="B161" s="5" t="s">
        <v>493</v>
      </c>
      <c r="C161" s="5" t="s">
        <v>494</v>
      </c>
      <c r="D161" s="5" t="s">
        <v>21</v>
      </c>
      <c r="E161" s="6" t="s">
        <v>16</v>
      </c>
      <c r="F161" s="6" t="s">
        <v>17</v>
      </c>
      <c r="G161" s="6">
        <v>21.0</v>
      </c>
      <c r="H161" s="7">
        <v>13.5</v>
      </c>
      <c r="I161" s="6">
        <v>45.0</v>
      </c>
      <c r="J161" s="6">
        <v>79.5</v>
      </c>
      <c r="K161" s="6">
        <v>160.0</v>
      </c>
      <c r="L161" s="6">
        <v>20.0</v>
      </c>
    </row>
    <row r="162">
      <c r="A162" s="5" t="s">
        <v>495</v>
      </c>
      <c r="B162" s="5" t="s">
        <v>496</v>
      </c>
      <c r="C162" s="5" t="s">
        <v>497</v>
      </c>
      <c r="D162" s="5" t="s">
        <v>222</v>
      </c>
      <c r="E162" s="6" t="s">
        <v>16</v>
      </c>
      <c r="F162" s="6" t="s">
        <v>16</v>
      </c>
      <c r="G162" s="6">
        <v>22.0</v>
      </c>
      <c r="H162" s="7">
        <v>12.1875</v>
      </c>
      <c r="I162" s="6">
        <v>45.0</v>
      </c>
      <c r="J162" s="6">
        <v>79.2</v>
      </c>
      <c r="K162" s="6">
        <v>161.0</v>
      </c>
      <c r="L162" s="6">
        <v>8.0</v>
      </c>
    </row>
    <row r="163">
      <c r="A163" s="5" t="s">
        <v>498</v>
      </c>
      <c r="B163" s="5" t="s">
        <v>499</v>
      </c>
      <c r="C163" s="5" t="s">
        <v>500</v>
      </c>
      <c r="D163" s="5" t="s">
        <v>268</v>
      </c>
      <c r="E163" s="6" t="s">
        <v>16</v>
      </c>
      <c r="F163" s="6" t="s">
        <v>16</v>
      </c>
      <c r="G163" s="6">
        <v>23.0</v>
      </c>
      <c r="H163" s="7">
        <v>14.109375</v>
      </c>
      <c r="I163" s="6">
        <v>42.0</v>
      </c>
      <c r="J163" s="6">
        <v>79.1</v>
      </c>
      <c r="K163" s="6">
        <v>162.0</v>
      </c>
      <c r="L163" s="6">
        <v>12.0</v>
      </c>
    </row>
    <row r="164">
      <c r="A164" s="5" t="s">
        <v>501</v>
      </c>
      <c r="B164" s="5" t="s">
        <v>502</v>
      </c>
      <c r="C164" s="5" t="s">
        <v>503</v>
      </c>
      <c r="D164" s="5" t="s">
        <v>118</v>
      </c>
      <c r="E164" s="6" t="s">
        <v>16</v>
      </c>
      <c r="F164" s="6" t="s">
        <v>17</v>
      </c>
      <c r="G164" s="6">
        <v>24.0</v>
      </c>
      <c r="H164" s="7">
        <v>11.765625</v>
      </c>
      <c r="I164" s="6">
        <v>43.0</v>
      </c>
      <c r="J164" s="6">
        <v>78.8</v>
      </c>
      <c r="K164" s="6">
        <v>163.0</v>
      </c>
      <c r="L164" s="6">
        <v>16.0</v>
      </c>
    </row>
    <row r="165">
      <c r="A165" s="5" t="s">
        <v>504</v>
      </c>
      <c r="B165" s="5" t="s">
        <v>505</v>
      </c>
      <c r="C165" s="5" t="s">
        <v>506</v>
      </c>
      <c r="D165" s="5" t="s">
        <v>15</v>
      </c>
      <c r="E165" s="6" t="s">
        <v>16</v>
      </c>
      <c r="F165" s="6" t="s">
        <v>16</v>
      </c>
      <c r="G165" s="6">
        <v>22.0</v>
      </c>
      <c r="H165" s="7">
        <v>15.0</v>
      </c>
      <c r="I165" s="6">
        <v>41.5</v>
      </c>
      <c r="J165" s="6">
        <v>78.5</v>
      </c>
      <c r="K165" s="6">
        <v>164.0</v>
      </c>
      <c r="L165" s="6">
        <v>16.0</v>
      </c>
    </row>
    <row r="166">
      <c r="A166" s="5" t="s">
        <v>507</v>
      </c>
      <c r="B166" s="5" t="s">
        <v>508</v>
      </c>
      <c r="C166" s="5" t="s">
        <v>509</v>
      </c>
      <c r="D166" s="5" t="s">
        <v>268</v>
      </c>
      <c r="E166" s="6" t="s">
        <v>16</v>
      </c>
      <c r="F166" s="6" t="s">
        <v>17</v>
      </c>
      <c r="G166" s="6">
        <v>23.0</v>
      </c>
      <c r="H166" s="7">
        <v>12.796875</v>
      </c>
      <c r="I166" s="6">
        <v>42.0</v>
      </c>
      <c r="J166" s="6">
        <v>77.8</v>
      </c>
      <c r="K166" s="6">
        <v>165.0</v>
      </c>
      <c r="L166" s="6">
        <v>13.0</v>
      </c>
    </row>
    <row r="167">
      <c r="A167" s="5" t="s">
        <v>510</v>
      </c>
      <c r="B167" s="5" t="s">
        <v>511</v>
      </c>
      <c r="C167" s="5" t="s">
        <v>512</v>
      </c>
      <c r="D167" s="5" t="s">
        <v>268</v>
      </c>
      <c r="E167" s="6" t="s">
        <v>16</v>
      </c>
      <c r="F167" s="6" t="s">
        <v>17</v>
      </c>
      <c r="G167" s="6">
        <v>23.0</v>
      </c>
      <c r="H167" s="7">
        <v>9.609375</v>
      </c>
      <c r="I167" s="6">
        <v>45.0</v>
      </c>
      <c r="J167" s="6">
        <v>77.6</v>
      </c>
      <c r="K167" s="6">
        <v>166.0</v>
      </c>
      <c r="L167" s="6">
        <v>14.0</v>
      </c>
    </row>
    <row r="168">
      <c r="A168" s="5" t="s">
        <v>513</v>
      </c>
      <c r="B168" s="5" t="s">
        <v>514</v>
      </c>
      <c r="C168" s="5" t="s">
        <v>515</v>
      </c>
      <c r="D168" s="5" t="s">
        <v>15</v>
      </c>
      <c r="E168" s="6" t="s">
        <v>16</v>
      </c>
      <c r="F168" s="6" t="s">
        <v>16</v>
      </c>
      <c r="G168" s="6">
        <v>22.0</v>
      </c>
      <c r="H168" s="7">
        <v>12.46875</v>
      </c>
      <c r="I168" s="6">
        <v>43.0</v>
      </c>
      <c r="J168" s="6">
        <v>77.5</v>
      </c>
      <c r="K168" s="6">
        <v>167.0</v>
      </c>
      <c r="L168" s="6">
        <v>17.0</v>
      </c>
    </row>
    <row r="169">
      <c r="A169" s="5" t="s">
        <v>516</v>
      </c>
      <c r="B169" s="5" t="s">
        <v>517</v>
      </c>
      <c r="C169" s="5" t="s">
        <v>518</v>
      </c>
      <c r="D169" s="5" t="s">
        <v>15</v>
      </c>
      <c r="E169" s="6" t="s">
        <v>16</v>
      </c>
      <c r="F169" s="6" t="s">
        <v>17</v>
      </c>
      <c r="G169" s="6">
        <v>17.0</v>
      </c>
      <c r="H169" s="7">
        <v>15.0</v>
      </c>
      <c r="I169" s="6">
        <v>45.0</v>
      </c>
      <c r="J169" s="6">
        <v>77.0</v>
      </c>
      <c r="K169" s="6">
        <v>168.0</v>
      </c>
      <c r="L169" s="6">
        <v>18.0</v>
      </c>
    </row>
    <row r="170">
      <c r="A170" s="5" t="s">
        <v>519</v>
      </c>
      <c r="B170" s="5" t="s">
        <v>520</v>
      </c>
      <c r="C170" s="5" t="s">
        <v>521</v>
      </c>
      <c r="D170" s="5" t="s">
        <v>42</v>
      </c>
      <c r="E170" s="6" t="s">
        <v>16</v>
      </c>
      <c r="F170" s="6" t="s">
        <v>17</v>
      </c>
      <c r="G170" s="6">
        <v>22.0</v>
      </c>
      <c r="H170" s="7">
        <v>13.903125000000001</v>
      </c>
      <c r="I170" s="6">
        <v>41.0</v>
      </c>
      <c r="J170" s="6">
        <v>76.9</v>
      </c>
      <c r="K170" s="6">
        <v>169.0</v>
      </c>
      <c r="L170" s="6">
        <v>13.0</v>
      </c>
    </row>
    <row r="171">
      <c r="A171" s="5" t="s">
        <v>522</v>
      </c>
      <c r="B171" s="5" t="s">
        <v>523</v>
      </c>
      <c r="C171" s="5" t="s">
        <v>524</v>
      </c>
      <c r="D171" s="5" t="s">
        <v>34</v>
      </c>
      <c r="E171" s="6" t="s">
        <v>16</v>
      </c>
      <c r="F171" s="6" t="s">
        <v>17</v>
      </c>
      <c r="G171" s="6">
        <v>21.0</v>
      </c>
      <c r="H171" s="7">
        <v>10.89375</v>
      </c>
      <c r="I171" s="6">
        <v>45.0</v>
      </c>
      <c r="J171" s="6">
        <v>76.9</v>
      </c>
      <c r="K171" s="6">
        <v>170.0</v>
      </c>
      <c r="L171" s="6">
        <v>16.0</v>
      </c>
    </row>
    <row r="172">
      <c r="A172" s="5" t="s">
        <v>525</v>
      </c>
      <c r="B172" s="5" t="s">
        <v>526</v>
      </c>
      <c r="C172" s="5" t="s">
        <v>527</v>
      </c>
      <c r="D172" s="5" t="s">
        <v>222</v>
      </c>
      <c r="E172" s="6" t="s">
        <v>16</v>
      </c>
      <c r="F172" s="6" t="s">
        <v>17</v>
      </c>
      <c r="G172" s="6">
        <v>22.0</v>
      </c>
      <c r="H172" s="7">
        <v>12.84375</v>
      </c>
      <c r="I172" s="6">
        <v>42.0</v>
      </c>
      <c r="J172" s="6">
        <v>76.8</v>
      </c>
      <c r="K172" s="6">
        <v>171.0</v>
      </c>
      <c r="L172" s="6">
        <v>9.0</v>
      </c>
    </row>
    <row r="173">
      <c r="A173" s="5" t="s">
        <v>528</v>
      </c>
      <c r="B173" s="5" t="s">
        <v>529</v>
      </c>
      <c r="C173" s="5" t="s">
        <v>530</v>
      </c>
      <c r="D173" s="5" t="s">
        <v>75</v>
      </c>
      <c r="E173" s="6" t="s">
        <v>16</v>
      </c>
      <c r="F173" s="6" t="s">
        <v>16</v>
      </c>
      <c r="G173" s="6">
        <v>18.0</v>
      </c>
      <c r="H173" s="7">
        <v>13.668750000000001</v>
      </c>
      <c r="I173" s="6">
        <v>45.0</v>
      </c>
      <c r="J173" s="6">
        <v>76.7</v>
      </c>
      <c r="K173" s="6">
        <v>172.0</v>
      </c>
      <c r="L173" s="6">
        <v>12.0</v>
      </c>
    </row>
    <row r="174">
      <c r="A174" s="5" t="s">
        <v>531</v>
      </c>
      <c r="B174" s="5" t="s">
        <v>532</v>
      </c>
      <c r="C174" s="5" t="s">
        <v>533</v>
      </c>
      <c r="D174" s="5" t="s">
        <v>222</v>
      </c>
      <c r="E174" s="6" t="s">
        <v>16</v>
      </c>
      <c r="F174" s="6" t="s">
        <v>16</v>
      </c>
      <c r="G174" s="6">
        <v>23.0</v>
      </c>
      <c r="H174" s="7">
        <v>13.5</v>
      </c>
      <c r="I174" s="6">
        <v>40.0</v>
      </c>
      <c r="J174" s="6">
        <v>76.5</v>
      </c>
      <c r="K174" s="6">
        <v>173.0</v>
      </c>
      <c r="L174" s="6">
        <v>10.0</v>
      </c>
    </row>
    <row r="175">
      <c r="A175" s="5" t="s">
        <v>534</v>
      </c>
      <c r="B175" s="5" t="s">
        <v>535</v>
      </c>
      <c r="C175" s="5" t="s">
        <v>536</v>
      </c>
      <c r="D175" s="5" t="s">
        <v>21</v>
      </c>
      <c r="E175" s="6" t="s">
        <v>16</v>
      </c>
      <c r="F175" s="6" t="s">
        <v>17</v>
      </c>
      <c r="G175" s="6">
        <v>18.0</v>
      </c>
      <c r="H175" s="7">
        <v>13.424999999999999</v>
      </c>
      <c r="I175" s="6">
        <v>45.0</v>
      </c>
      <c r="J175" s="6">
        <v>76.4</v>
      </c>
      <c r="K175" s="6">
        <v>174.0</v>
      </c>
      <c r="L175" s="6">
        <v>21.0</v>
      </c>
    </row>
    <row r="176">
      <c r="A176" s="5" t="s">
        <v>537</v>
      </c>
      <c r="B176" s="5" t="s">
        <v>538</v>
      </c>
      <c r="C176" s="5" t="s">
        <v>539</v>
      </c>
      <c r="D176" s="5" t="s">
        <v>118</v>
      </c>
      <c r="E176" s="6" t="s">
        <v>16</v>
      </c>
      <c r="F176" s="6" t="s">
        <v>16</v>
      </c>
      <c r="G176" s="6">
        <v>21.0</v>
      </c>
      <c r="H176" s="7">
        <v>12.984375</v>
      </c>
      <c r="I176" s="6">
        <v>42.0</v>
      </c>
      <c r="J176" s="6">
        <v>76.0</v>
      </c>
      <c r="K176" s="6">
        <v>175.0</v>
      </c>
      <c r="L176" s="6">
        <v>17.0</v>
      </c>
    </row>
    <row r="177">
      <c r="A177" s="5" t="s">
        <v>540</v>
      </c>
      <c r="B177" s="5" t="s">
        <v>541</v>
      </c>
      <c r="C177" s="5" t="s">
        <v>542</v>
      </c>
      <c r="D177" s="5" t="s">
        <v>75</v>
      </c>
      <c r="E177" s="6" t="s">
        <v>16</v>
      </c>
      <c r="F177" s="6" t="s">
        <v>17</v>
      </c>
      <c r="G177" s="6">
        <v>18.0</v>
      </c>
      <c r="H177" s="7">
        <v>13.875</v>
      </c>
      <c r="I177" s="6">
        <v>44.0</v>
      </c>
      <c r="J177" s="6">
        <v>75.9</v>
      </c>
      <c r="K177" s="6">
        <v>176.0</v>
      </c>
      <c r="L177" s="6">
        <v>13.0</v>
      </c>
    </row>
    <row r="178">
      <c r="A178" s="5" t="s">
        <v>543</v>
      </c>
      <c r="B178" s="5" t="s">
        <v>544</v>
      </c>
      <c r="C178" s="5" t="s">
        <v>545</v>
      </c>
      <c r="D178" s="5" t="s">
        <v>118</v>
      </c>
      <c r="E178" s="6" t="s">
        <v>16</v>
      </c>
      <c r="F178" s="6" t="s">
        <v>16</v>
      </c>
      <c r="G178" s="6">
        <v>17.0</v>
      </c>
      <c r="H178" s="7">
        <v>13.9125</v>
      </c>
      <c r="I178" s="6">
        <v>45.0</v>
      </c>
      <c r="J178" s="6">
        <v>75.9</v>
      </c>
      <c r="K178" s="6">
        <v>177.0</v>
      </c>
      <c r="L178" s="6">
        <v>18.0</v>
      </c>
    </row>
    <row r="179">
      <c r="A179" s="5" t="s">
        <v>546</v>
      </c>
      <c r="B179" s="5" t="s">
        <v>547</v>
      </c>
      <c r="C179" s="5" t="s">
        <v>548</v>
      </c>
      <c r="D179" s="5" t="s">
        <v>34</v>
      </c>
      <c r="E179" s="6" t="s">
        <v>16</v>
      </c>
      <c r="F179" s="6" t="s">
        <v>17</v>
      </c>
      <c r="G179" s="6">
        <v>16.0</v>
      </c>
      <c r="H179" s="7">
        <v>14.924999999999999</v>
      </c>
      <c r="I179" s="6">
        <v>45.0</v>
      </c>
      <c r="J179" s="6">
        <v>75.9</v>
      </c>
      <c r="K179" s="6">
        <v>178.0</v>
      </c>
      <c r="L179" s="6">
        <v>17.0</v>
      </c>
    </row>
    <row r="180">
      <c r="A180" s="5" t="s">
        <v>549</v>
      </c>
      <c r="B180" s="5" t="s">
        <v>550</v>
      </c>
      <c r="C180" s="5" t="s">
        <v>551</v>
      </c>
      <c r="D180" s="5" t="s">
        <v>118</v>
      </c>
      <c r="E180" s="6" t="s">
        <v>16</v>
      </c>
      <c r="F180" s="6" t="s">
        <v>17</v>
      </c>
      <c r="G180" s="6">
        <v>24.0</v>
      </c>
      <c r="H180" s="7">
        <v>15.0</v>
      </c>
      <c r="I180" s="6">
        <v>36.7</v>
      </c>
      <c r="J180" s="6">
        <v>75.7</v>
      </c>
      <c r="K180" s="6">
        <v>179.0</v>
      </c>
      <c r="L180" s="6">
        <v>19.0</v>
      </c>
    </row>
    <row r="181">
      <c r="A181" s="5" t="s">
        <v>552</v>
      </c>
      <c r="B181" s="5" t="s">
        <v>553</v>
      </c>
      <c r="C181" s="5" t="s">
        <v>554</v>
      </c>
      <c r="D181" s="5" t="s">
        <v>15</v>
      </c>
      <c r="E181" s="6" t="s">
        <v>16</v>
      </c>
      <c r="F181" s="6" t="s">
        <v>16</v>
      </c>
      <c r="G181" s="6">
        <v>32.0</v>
      </c>
      <c r="H181" s="7">
        <v>11.625</v>
      </c>
      <c r="I181" s="6">
        <v>32.0</v>
      </c>
      <c r="J181" s="6">
        <v>75.6</v>
      </c>
      <c r="K181" s="6">
        <v>180.0</v>
      </c>
      <c r="L181" s="6">
        <v>19.0</v>
      </c>
    </row>
    <row r="182">
      <c r="A182" s="5" t="s">
        <v>555</v>
      </c>
      <c r="B182" s="5" t="s">
        <v>556</v>
      </c>
      <c r="C182" s="5" t="s">
        <v>557</v>
      </c>
      <c r="D182" s="5" t="s">
        <v>222</v>
      </c>
      <c r="E182" s="6" t="s">
        <v>16</v>
      </c>
      <c r="F182" s="6" t="s">
        <v>17</v>
      </c>
      <c r="G182" s="6">
        <v>16.0</v>
      </c>
      <c r="H182" s="7">
        <v>15.0</v>
      </c>
      <c r="I182" s="6">
        <v>44.5</v>
      </c>
      <c r="J182" s="6">
        <v>75.5</v>
      </c>
      <c r="K182" s="6">
        <v>181.0</v>
      </c>
      <c r="L182" s="6">
        <v>11.0</v>
      </c>
    </row>
    <row r="183">
      <c r="A183" s="5" t="s">
        <v>558</v>
      </c>
      <c r="B183" s="5" t="s">
        <v>559</v>
      </c>
      <c r="C183" s="5" t="s">
        <v>560</v>
      </c>
      <c r="D183" s="5" t="s">
        <v>75</v>
      </c>
      <c r="E183" s="6" t="s">
        <v>16</v>
      </c>
      <c r="F183" s="6" t="s">
        <v>16</v>
      </c>
      <c r="G183" s="6">
        <v>18.0</v>
      </c>
      <c r="H183" s="7">
        <v>12.421875</v>
      </c>
      <c r="I183" s="6">
        <v>45.0</v>
      </c>
      <c r="J183" s="6">
        <v>75.4</v>
      </c>
      <c r="K183" s="6">
        <v>182.0</v>
      </c>
      <c r="L183" s="6">
        <v>14.0</v>
      </c>
    </row>
    <row r="184">
      <c r="A184" s="5" t="s">
        <v>561</v>
      </c>
      <c r="B184" s="5" t="s">
        <v>562</v>
      </c>
      <c r="C184" s="5" t="s">
        <v>563</v>
      </c>
      <c r="D184" s="5" t="s">
        <v>15</v>
      </c>
      <c r="E184" s="6" t="s">
        <v>16</v>
      </c>
      <c r="F184" s="6" t="s">
        <v>16</v>
      </c>
      <c r="G184" s="6">
        <v>18.0</v>
      </c>
      <c r="H184" s="7">
        <v>14.25</v>
      </c>
      <c r="I184" s="6">
        <v>43.0</v>
      </c>
      <c r="J184" s="6">
        <v>75.3</v>
      </c>
      <c r="K184" s="6">
        <v>183.0</v>
      </c>
      <c r="L184" s="6">
        <v>20.0</v>
      </c>
    </row>
    <row r="185">
      <c r="A185" s="5" t="s">
        <v>564</v>
      </c>
      <c r="B185" s="5" t="s">
        <v>565</v>
      </c>
      <c r="C185" s="5" t="s">
        <v>566</v>
      </c>
      <c r="D185" s="5" t="s">
        <v>42</v>
      </c>
      <c r="E185" s="6" t="s">
        <v>16</v>
      </c>
      <c r="F185" s="6" t="s">
        <v>16</v>
      </c>
      <c r="G185" s="6">
        <v>22.0</v>
      </c>
      <c r="H185" s="7">
        <v>12.1875</v>
      </c>
      <c r="I185" s="6">
        <v>41.0</v>
      </c>
      <c r="J185" s="6">
        <v>75.2</v>
      </c>
      <c r="K185" s="6">
        <v>184.0</v>
      </c>
      <c r="L185" s="6">
        <v>14.0</v>
      </c>
    </row>
    <row r="186">
      <c r="A186" s="5" t="s">
        <v>567</v>
      </c>
      <c r="B186" s="5" t="s">
        <v>568</v>
      </c>
      <c r="C186" s="5" t="s">
        <v>569</v>
      </c>
      <c r="D186" s="5" t="s">
        <v>59</v>
      </c>
      <c r="E186" s="6" t="s">
        <v>16</v>
      </c>
      <c r="F186" s="6" t="s">
        <v>17</v>
      </c>
      <c r="G186" s="6">
        <v>18.0</v>
      </c>
      <c r="H186" s="7">
        <v>12.234375</v>
      </c>
      <c r="I186" s="6">
        <v>45.0</v>
      </c>
      <c r="J186" s="6">
        <v>75.2</v>
      </c>
      <c r="K186" s="6">
        <v>185.0</v>
      </c>
      <c r="L186" s="6">
        <v>14.0</v>
      </c>
    </row>
    <row r="187">
      <c r="A187" s="5" t="s">
        <v>570</v>
      </c>
      <c r="B187" s="5">
        <v>3.2896339E7</v>
      </c>
      <c r="C187" s="5" t="s">
        <v>571</v>
      </c>
      <c r="D187" s="5" t="s">
        <v>38</v>
      </c>
      <c r="E187" s="6" t="s">
        <v>16</v>
      </c>
      <c r="F187" s="6" t="s">
        <v>17</v>
      </c>
      <c r="G187" s="6">
        <v>23.0</v>
      </c>
      <c r="H187" s="7">
        <v>11.0625</v>
      </c>
      <c r="I187" s="6">
        <v>41.0</v>
      </c>
      <c r="J187" s="6">
        <v>75.1</v>
      </c>
      <c r="K187" s="6">
        <v>186.0</v>
      </c>
      <c r="L187" s="6">
        <v>24.0</v>
      </c>
    </row>
    <row r="188">
      <c r="A188" s="5" t="s">
        <v>572</v>
      </c>
      <c r="B188" s="5" t="s">
        <v>573</v>
      </c>
      <c r="C188" s="5" t="s">
        <v>574</v>
      </c>
      <c r="D188" s="5" t="s">
        <v>38</v>
      </c>
      <c r="E188" s="6" t="s">
        <v>16</v>
      </c>
      <c r="F188" s="6" t="s">
        <v>17</v>
      </c>
      <c r="G188" s="6">
        <v>15.0</v>
      </c>
      <c r="H188" s="7">
        <v>15.0</v>
      </c>
      <c r="I188" s="6">
        <v>45.0</v>
      </c>
      <c r="J188" s="6">
        <v>75.0</v>
      </c>
      <c r="K188" s="6">
        <v>187.0</v>
      </c>
      <c r="L188" s="6">
        <v>25.0</v>
      </c>
    </row>
    <row r="189">
      <c r="A189" s="5" t="s">
        <v>575</v>
      </c>
      <c r="B189" s="5" t="s">
        <v>576</v>
      </c>
      <c r="C189" s="5" t="s">
        <v>577</v>
      </c>
      <c r="D189" s="5" t="s">
        <v>15</v>
      </c>
      <c r="E189" s="6" t="s">
        <v>16</v>
      </c>
      <c r="F189" s="6" t="s">
        <v>16</v>
      </c>
      <c r="G189" s="6">
        <v>15.0</v>
      </c>
      <c r="H189" s="7">
        <v>15.0</v>
      </c>
      <c r="I189" s="6">
        <v>45.0</v>
      </c>
      <c r="J189" s="6">
        <v>75.0</v>
      </c>
      <c r="K189" s="6">
        <v>188.0</v>
      </c>
      <c r="L189" s="6">
        <v>21.0</v>
      </c>
    </row>
    <row r="190">
      <c r="A190" s="5" t="s">
        <v>578</v>
      </c>
      <c r="B190" s="5" t="s">
        <v>579</v>
      </c>
      <c r="C190" s="5" t="s">
        <v>580</v>
      </c>
      <c r="D190" s="5" t="s">
        <v>21</v>
      </c>
      <c r="E190" s="6" t="s">
        <v>16</v>
      </c>
      <c r="F190" s="6" t="s">
        <v>16</v>
      </c>
      <c r="G190" s="6">
        <v>15.0</v>
      </c>
      <c r="H190" s="7">
        <v>15.0</v>
      </c>
      <c r="I190" s="6">
        <v>45.0</v>
      </c>
      <c r="J190" s="6">
        <v>75.0</v>
      </c>
      <c r="K190" s="6">
        <v>189.0</v>
      </c>
      <c r="L190" s="6">
        <v>22.0</v>
      </c>
    </row>
    <row r="191">
      <c r="A191" s="5" t="s">
        <v>581</v>
      </c>
      <c r="B191" s="5" t="s">
        <v>582</v>
      </c>
      <c r="C191" s="5" t="s">
        <v>583</v>
      </c>
      <c r="D191" s="5" t="s">
        <v>75</v>
      </c>
      <c r="E191" s="6" t="s">
        <v>16</v>
      </c>
      <c r="F191" s="6" t="s">
        <v>17</v>
      </c>
      <c r="G191" s="6">
        <v>15.0</v>
      </c>
      <c r="H191" s="7">
        <v>15.0</v>
      </c>
      <c r="I191" s="6">
        <v>45.0</v>
      </c>
      <c r="J191" s="6">
        <v>75.0</v>
      </c>
      <c r="K191" s="6">
        <v>190.0</v>
      </c>
      <c r="L191" s="6">
        <v>15.0</v>
      </c>
    </row>
    <row r="192">
      <c r="A192" s="5" t="s">
        <v>584</v>
      </c>
      <c r="B192" s="5" t="s">
        <v>585</v>
      </c>
      <c r="C192" s="5" t="s">
        <v>586</v>
      </c>
      <c r="D192" s="5" t="s">
        <v>21</v>
      </c>
      <c r="E192" s="6" t="s">
        <v>16</v>
      </c>
      <c r="F192" s="6" t="s">
        <v>17</v>
      </c>
      <c r="G192" s="6">
        <v>15.0</v>
      </c>
      <c r="H192" s="7">
        <v>15.0</v>
      </c>
      <c r="I192" s="6">
        <v>45.0</v>
      </c>
      <c r="J192" s="6">
        <v>75.0</v>
      </c>
      <c r="K192" s="6">
        <v>191.0</v>
      </c>
      <c r="L192" s="6">
        <v>23.0</v>
      </c>
    </row>
    <row r="193">
      <c r="A193" s="5" t="s">
        <v>587</v>
      </c>
      <c r="B193" s="5" t="s">
        <v>588</v>
      </c>
      <c r="C193" s="5" t="s">
        <v>589</v>
      </c>
      <c r="D193" s="5" t="s">
        <v>42</v>
      </c>
      <c r="E193" s="6" t="s">
        <v>16</v>
      </c>
      <c r="F193" s="6" t="s">
        <v>16</v>
      </c>
      <c r="G193" s="6">
        <v>15.0</v>
      </c>
      <c r="H193" s="7">
        <v>15.0</v>
      </c>
      <c r="I193" s="6">
        <v>45.0</v>
      </c>
      <c r="J193" s="7">
        <v>75.0</v>
      </c>
      <c r="K193" s="6">
        <v>192.0</v>
      </c>
      <c r="L193" s="6">
        <v>15.0</v>
      </c>
    </row>
    <row r="194">
      <c r="A194" s="5" t="s">
        <v>590</v>
      </c>
      <c r="B194" s="5" t="s">
        <v>591</v>
      </c>
      <c r="C194" s="5" t="s">
        <v>592</v>
      </c>
      <c r="D194" s="5" t="s">
        <v>59</v>
      </c>
      <c r="E194" s="6" t="s">
        <v>16</v>
      </c>
      <c r="F194" s="6" t="s">
        <v>17</v>
      </c>
      <c r="G194" s="6">
        <v>15.0</v>
      </c>
      <c r="H194" s="7">
        <v>14.8125</v>
      </c>
      <c r="I194" s="6">
        <v>45.0</v>
      </c>
      <c r="J194" s="6">
        <v>74.8</v>
      </c>
      <c r="K194" s="6">
        <v>193.0</v>
      </c>
      <c r="L194" s="6">
        <v>15.0</v>
      </c>
    </row>
    <row r="195">
      <c r="A195" s="5" t="s">
        <v>593</v>
      </c>
      <c r="B195" s="5" t="s">
        <v>594</v>
      </c>
      <c r="C195" s="5" t="s">
        <v>595</v>
      </c>
      <c r="D195" s="5" t="s">
        <v>34</v>
      </c>
      <c r="E195" s="6" t="s">
        <v>16</v>
      </c>
      <c r="F195" s="6" t="s">
        <v>17</v>
      </c>
      <c r="G195" s="6">
        <v>28.0</v>
      </c>
      <c r="H195" s="7">
        <v>12.674999999999999</v>
      </c>
      <c r="I195" s="6">
        <v>34.0</v>
      </c>
      <c r="J195" s="6">
        <v>74.7</v>
      </c>
      <c r="K195" s="6">
        <v>194.0</v>
      </c>
      <c r="L195" s="6">
        <v>18.0</v>
      </c>
    </row>
    <row r="196">
      <c r="A196" s="5" t="s">
        <v>596</v>
      </c>
      <c r="B196" s="5" t="s">
        <v>597</v>
      </c>
      <c r="C196" s="5" t="s">
        <v>598</v>
      </c>
      <c r="D196" s="5" t="s">
        <v>75</v>
      </c>
      <c r="E196" s="6" t="s">
        <v>16</v>
      </c>
      <c r="F196" s="6" t="s">
        <v>17</v>
      </c>
      <c r="G196" s="6">
        <v>15.0</v>
      </c>
      <c r="H196" s="7">
        <v>14.662500000000001</v>
      </c>
      <c r="I196" s="6">
        <v>45.0</v>
      </c>
      <c r="J196" s="6">
        <v>74.7</v>
      </c>
      <c r="K196" s="6">
        <v>195.0</v>
      </c>
      <c r="L196" s="6">
        <v>16.0</v>
      </c>
    </row>
    <row r="197">
      <c r="A197" s="5" t="s">
        <v>599</v>
      </c>
      <c r="B197" s="5" t="s">
        <v>600</v>
      </c>
      <c r="C197" s="5" t="s">
        <v>601</v>
      </c>
      <c r="D197" s="5" t="s">
        <v>59</v>
      </c>
      <c r="E197" s="6" t="s">
        <v>16</v>
      </c>
      <c r="F197" s="6" t="s">
        <v>16</v>
      </c>
      <c r="G197" s="6">
        <v>15.0</v>
      </c>
      <c r="H197" s="7">
        <v>14.625</v>
      </c>
      <c r="I197" s="6">
        <v>45.0</v>
      </c>
      <c r="J197" s="6">
        <v>74.6</v>
      </c>
      <c r="K197" s="6">
        <v>196.0</v>
      </c>
      <c r="L197" s="6">
        <v>16.0</v>
      </c>
    </row>
    <row r="198">
      <c r="A198" s="5" t="s">
        <v>602</v>
      </c>
      <c r="B198" s="5" t="s">
        <v>603</v>
      </c>
      <c r="C198" s="5" t="s">
        <v>604</v>
      </c>
      <c r="D198" s="5" t="s">
        <v>15</v>
      </c>
      <c r="E198" s="6" t="s">
        <v>16</v>
      </c>
      <c r="F198" s="6" t="s">
        <v>16</v>
      </c>
      <c r="G198" s="6">
        <v>15.0</v>
      </c>
      <c r="H198" s="7">
        <v>14.625</v>
      </c>
      <c r="I198" s="6">
        <v>45.0</v>
      </c>
      <c r="J198" s="6">
        <v>74.6</v>
      </c>
      <c r="K198" s="6">
        <v>197.0</v>
      </c>
      <c r="L198" s="6">
        <v>22.0</v>
      </c>
    </row>
    <row r="199">
      <c r="A199" s="5" t="s">
        <v>605</v>
      </c>
      <c r="B199" s="5" t="s">
        <v>606</v>
      </c>
      <c r="C199" s="5" t="s">
        <v>607</v>
      </c>
      <c r="D199" s="5" t="s">
        <v>21</v>
      </c>
      <c r="E199" s="6" t="s">
        <v>16</v>
      </c>
      <c r="F199" s="6" t="s">
        <v>17</v>
      </c>
      <c r="G199" s="6">
        <v>15.0</v>
      </c>
      <c r="H199" s="7">
        <v>14.512500000000001</v>
      </c>
      <c r="I199" s="6">
        <v>45.0</v>
      </c>
      <c r="J199" s="6">
        <v>74.5</v>
      </c>
      <c r="K199" s="6">
        <v>198.0</v>
      </c>
      <c r="L199" s="6">
        <v>24.0</v>
      </c>
    </row>
    <row r="200">
      <c r="A200" s="5" t="s">
        <v>608</v>
      </c>
      <c r="B200" s="5" t="s">
        <v>609</v>
      </c>
      <c r="C200" s="5" t="s">
        <v>610</v>
      </c>
      <c r="D200" s="5" t="s">
        <v>59</v>
      </c>
      <c r="E200" s="6" t="s">
        <v>16</v>
      </c>
      <c r="F200" s="6" t="s">
        <v>17</v>
      </c>
      <c r="G200" s="6">
        <v>15.0</v>
      </c>
      <c r="H200" s="7">
        <v>14.34375</v>
      </c>
      <c r="I200" s="6">
        <v>45.0</v>
      </c>
      <c r="J200" s="6">
        <v>74.3</v>
      </c>
      <c r="K200" s="6">
        <v>199.0</v>
      </c>
      <c r="L200" s="6">
        <v>17.0</v>
      </c>
    </row>
    <row r="201">
      <c r="A201" s="5" t="s">
        <v>611</v>
      </c>
      <c r="B201" s="5" t="s">
        <v>612</v>
      </c>
      <c r="C201" s="5" t="s">
        <v>613</v>
      </c>
      <c r="D201" s="5" t="s">
        <v>59</v>
      </c>
      <c r="E201" s="6" t="s">
        <v>16</v>
      </c>
      <c r="F201" s="6" t="s">
        <v>16</v>
      </c>
      <c r="G201" s="6">
        <v>16.0</v>
      </c>
      <c r="H201" s="7">
        <v>13.078125</v>
      </c>
      <c r="I201" s="6">
        <v>45.0</v>
      </c>
      <c r="J201" s="6">
        <v>74.1</v>
      </c>
      <c r="K201" s="6">
        <v>200.0</v>
      </c>
      <c r="L201" s="6">
        <v>18.0</v>
      </c>
    </row>
    <row r="202">
      <c r="A202" s="5" t="s">
        <v>614</v>
      </c>
      <c r="B202" s="5" t="s">
        <v>615</v>
      </c>
      <c r="C202" s="5" t="s">
        <v>616</v>
      </c>
      <c r="D202" s="5" t="s">
        <v>38</v>
      </c>
      <c r="E202" s="6" t="s">
        <v>16</v>
      </c>
      <c r="F202" s="6" t="s">
        <v>17</v>
      </c>
      <c r="G202" s="6">
        <v>15.0</v>
      </c>
      <c r="H202" s="7">
        <v>13.96875</v>
      </c>
      <c r="I202" s="6">
        <v>45.0</v>
      </c>
      <c r="J202" s="6">
        <v>74.0</v>
      </c>
      <c r="K202" s="6">
        <v>201.0</v>
      </c>
      <c r="L202" s="6">
        <v>26.0</v>
      </c>
    </row>
    <row r="203">
      <c r="A203" s="5" t="s">
        <v>617</v>
      </c>
      <c r="B203" s="5" t="s">
        <v>618</v>
      </c>
      <c r="C203" s="5" t="s">
        <v>619</v>
      </c>
      <c r="D203" s="5" t="s">
        <v>75</v>
      </c>
      <c r="E203" s="6" t="s">
        <v>16</v>
      </c>
      <c r="F203" s="6" t="s">
        <v>17</v>
      </c>
      <c r="G203" s="6">
        <v>15.0</v>
      </c>
      <c r="H203" s="7">
        <v>15.0</v>
      </c>
      <c r="I203" s="6">
        <v>44.0</v>
      </c>
      <c r="J203" s="6">
        <v>74.0</v>
      </c>
      <c r="K203" s="6">
        <v>202.0</v>
      </c>
      <c r="L203" s="6">
        <v>17.0</v>
      </c>
    </row>
    <row r="204">
      <c r="A204" s="5" t="s">
        <v>620</v>
      </c>
      <c r="B204" s="5" t="s">
        <v>621</v>
      </c>
      <c r="C204" s="5" t="s">
        <v>622</v>
      </c>
      <c r="D204" s="5" t="s">
        <v>52</v>
      </c>
      <c r="E204" s="6" t="s">
        <v>16</v>
      </c>
      <c r="F204" s="6" t="s">
        <v>17</v>
      </c>
      <c r="G204" s="6">
        <v>14.0</v>
      </c>
      <c r="H204" s="7">
        <v>15.0</v>
      </c>
      <c r="I204" s="6">
        <v>45.0</v>
      </c>
      <c r="J204" s="6">
        <v>74.0</v>
      </c>
      <c r="K204" s="6">
        <v>203.0</v>
      </c>
      <c r="L204" s="6">
        <v>13.0</v>
      </c>
    </row>
    <row r="205">
      <c r="A205" s="5" t="s">
        <v>623</v>
      </c>
      <c r="B205" s="5" t="s">
        <v>624</v>
      </c>
      <c r="C205" s="5" t="s">
        <v>625</v>
      </c>
      <c r="D205" s="5" t="s">
        <v>52</v>
      </c>
      <c r="E205" s="6" t="s">
        <v>16</v>
      </c>
      <c r="F205" s="6" t="s">
        <v>17</v>
      </c>
      <c r="G205" s="6">
        <v>14.0</v>
      </c>
      <c r="H205" s="7">
        <v>15.0</v>
      </c>
      <c r="I205" s="6">
        <v>45.0</v>
      </c>
      <c r="J205" s="6">
        <v>74.0</v>
      </c>
      <c r="K205" s="6">
        <v>204.0</v>
      </c>
      <c r="L205" s="6">
        <v>14.0</v>
      </c>
    </row>
    <row r="206">
      <c r="A206" s="5" t="s">
        <v>626</v>
      </c>
      <c r="B206" s="5" t="s">
        <v>627</v>
      </c>
      <c r="C206" s="5" t="s">
        <v>628</v>
      </c>
      <c r="D206" s="5" t="s">
        <v>52</v>
      </c>
      <c r="E206" s="6" t="s">
        <v>16</v>
      </c>
      <c r="F206" s="6" t="s">
        <v>17</v>
      </c>
      <c r="G206" s="6">
        <v>14.0</v>
      </c>
      <c r="H206" s="7">
        <v>15.0</v>
      </c>
      <c r="I206" s="6">
        <v>45.0</v>
      </c>
      <c r="J206" s="6">
        <v>74.0</v>
      </c>
      <c r="K206" s="6">
        <v>205.0</v>
      </c>
      <c r="L206" s="6">
        <v>15.0</v>
      </c>
    </row>
    <row r="207">
      <c r="A207" s="5" t="s">
        <v>629</v>
      </c>
      <c r="B207" s="5" t="s">
        <v>630</v>
      </c>
      <c r="C207" s="5" t="s">
        <v>631</v>
      </c>
      <c r="D207" s="5" t="s">
        <v>21</v>
      </c>
      <c r="E207" s="6" t="s">
        <v>16</v>
      </c>
      <c r="F207" s="6" t="s">
        <v>16</v>
      </c>
      <c r="G207" s="6">
        <v>17.0</v>
      </c>
      <c r="H207" s="7">
        <v>12.9375</v>
      </c>
      <c r="I207" s="6">
        <v>44.0</v>
      </c>
      <c r="J207" s="6">
        <v>73.9</v>
      </c>
      <c r="K207" s="6">
        <v>206.0</v>
      </c>
      <c r="L207" s="6">
        <v>25.0</v>
      </c>
    </row>
    <row r="208">
      <c r="A208" s="5" t="s">
        <v>632</v>
      </c>
      <c r="B208" s="5" t="s">
        <v>633</v>
      </c>
      <c r="C208" s="5" t="s">
        <v>634</v>
      </c>
      <c r="D208" s="5" t="s">
        <v>59</v>
      </c>
      <c r="E208" s="6" t="s">
        <v>16</v>
      </c>
      <c r="F208" s="6" t="s">
        <v>17</v>
      </c>
      <c r="G208" s="6">
        <v>15.0</v>
      </c>
      <c r="H208" s="7">
        <v>13.921875</v>
      </c>
      <c r="I208" s="6">
        <v>45.0</v>
      </c>
      <c r="J208" s="6">
        <v>73.9</v>
      </c>
      <c r="K208" s="6">
        <v>207.0</v>
      </c>
      <c r="L208" s="6">
        <v>19.0</v>
      </c>
    </row>
    <row r="209">
      <c r="A209" s="5" t="s">
        <v>635</v>
      </c>
      <c r="B209" s="5" t="s">
        <v>636</v>
      </c>
      <c r="C209" s="5" t="s">
        <v>637</v>
      </c>
      <c r="D209" s="5" t="s">
        <v>52</v>
      </c>
      <c r="E209" s="6" t="s">
        <v>16</v>
      </c>
      <c r="F209" s="6" t="s">
        <v>16</v>
      </c>
      <c r="G209" s="6">
        <v>14.0</v>
      </c>
      <c r="H209" s="7">
        <v>14.625</v>
      </c>
      <c r="I209" s="6">
        <v>45.0</v>
      </c>
      <c r="J209" s="6">
        <v>73.6</v>
      </c>
      <c r="K209" s="6">
        <v>208.0</v>
      </c>
      <c r="L209" s="6">
        <v>16.0</v>
      </c>
    </row>
    <row r="210">
      <c r="A210" s="5" t="s">
        <v>638</v>
      </c>
      <c r="B210" s="5" t="s">
        <v>639</v>
      </c>
      <c r="C210" s="5" t="s">
        <v>640</v>
      </c>
      <c r="D210" s="5" t="s">
        <v>21</v>
      </c>
      <c r="E210" s="6" t="s">
        <v>16</v>
      </c>
      <c r="F210" s="6" t="s">
        <v>17</v>
      </c>
      <c r="G210" s="6">
        <v>15.0</v>
      </c>
      <c r="H210" s="7">
        <v>13.35</v>
      </c>
      <c r="I210" s="6">
        <v>45.0</v>
      </c>
      <c r="J210" s="6">
        <v>73.4</v>
      </c>
      <c r="K210" s="6">
        <v>209.0</v>
      </c>
      <c r="L210" s="6">
        <v>26.0</v>
      </c>
    </row>
    <row r="211">
      <c r="A211" s="5" t="s">
        <v>641</v>
      </c>
      <c r="B211" s="5" t="s">
        <v>642</v>
      </c>
      <c r="C211" s="5" t="s">
        <v>643</v>
      </c>
      <c r="D211" s="5" t="s">
        <v>34</v>
      </c>
      <c r="E211" s="6" t="s">
        <v>16</v>
      </c>
      <c r="F211" s="6" t="s">
        <v>16</v>
      </c>
      <c r="G211" s="6">
        <v>15.0</v>
      </c>
      <c r="H211" s="7">
        <v>13.44375</v>
      </c>
      <c r="I211" s="6">
        <v>45.0</v>
      </c>
      <c r="J211" s="6">
        <v>73.4</v>
      </c>
      <c r="K211" s="6">
        <v>210.0</v>
      </c>
      <c r="L211" s="6">
        <v>19.0</v>
      </c>
    </row>
    <row r="212">
      <c r="A212" s="5" t="s">
        <v>644</v>
      </c>
      <c r="B212" s="5" t="s">
        <v>645</v>
      </c>
      <c r="C212" s="5" t="s">
        <v>646</v>
      </c>
      <c r="D212" s="5" t="s">
        <v>34</v>
      </c>
      <c r="E212" s="6" t="s">
        <v>16</v>
      </c>
      <c r="F212" s="6" t="s">
        <v>16</v>
      </c>
      <c r="G212" s="6">
        <v>15.0</v>
      </c>
      <c r="H212" s="7">
        <v>13.275</v>
      </c>
      <c r="I212" s="6">
        <v>45.0</v>
      </c>
      <c r="J212" s="6">
        <v>73.3</v>
      </c>
      <c r="K212" s="6">
        <v>211.0</v>
      </c>
      <c r="L212" s="6">
        <v>20.0</v>
      </c>
    </row>
    <row r="213">
      <c r="A213" s="5" t="s">
        <v>647</v>
      </c>
      <c r="B213" s="5" t="s">
        <v>648</v>
      </c>
      <c r="C213" s="5" t="s">
        <v>649</v>
      </c>
      <c r="D213" s="5" t="s">
        <v>15</v>
      </c>
      <c r="E213" s="6" t="s">
        <v>16</v>
      </c>
      <c r="F213" s="6" t="s">
        <v>17</v>
      </c>
      <c r="G213" s="6">
        <v>15.0</v>
      </c>
      <c r="H213" s="7">
        <v>14.25</v>
      </c>
      <c r="I213" s="6">
        <v>44.0</v>
      </c>
      <c r="J213" s="6">
        <v>73.3</v>
      </c>
      <c r="K213" s="6">
        <v>212.0</v>
      </c>
      <c r="L213" s="6">
        <v>23.0</v>
      </c>
    </row>
    <row r="214">
      <c r="A214" s="5" t="s">
        <v>650</v>
      </c>
      <c r="B214" s="5" t="s">
        <v>651</v>
      </c>
      <c r="C214" s="5" t="s">
        <v>652</v>
      </c>
      <c r="D214" s="5" t="s">
        <v>42</v>
      </c>
      <c r="E214" s="6" t="s">
        <v>16</v>
      </c>
      <c r="F214" s="6" t="s">
        <v>16</v>
      </c>
      <c r="G214" s="6">
        <v>14.0</v>
      </c>
      <c r="H214" s="7">
        <v>14.25</v>
      </c>
      <c r="I214" s="6">
        <v>45.0</v>
      </c>
      <c r="J214" s="6">
        <v>73.3</v>
      </c>
      <c r="K214" s="6">
        <v>213.0</v>
      </c>
      <c r="L214" s="6">
        <v>16.0</v>
      </c>
    </row>
    <row r="215">
      <c r="A215" s="5" t="s">
        <v>653</v>
      </c>
      <c r="B215" s="5" t="s">
        <v>654</v>
      </c>
      <c r="C215" s="5" t="s">
        <v>655</v>
      </c>
      <c r="D215" s="5" t="s">
        <v>118</v>
      </c>
      <c r="E215" s="6" t="s">
        <v>16</v>
      </c>
      <c r="F215" s="6" t="s">
        <v>17</v>
      </c>
      <c r="G215" s="6">
        <v>14.0</v>
      </c>
      <c r="H215" s="7">
        <v>14.25</v>
      </c>
      <c r="I215" s="6">
        <v>45.0</v>
      </c>
      <c r="J215" s="6">
        <v>73.3</v>
      </c>
      <c r="K215" s="6">
        <v>214.0</v>
      </c>
      <c r="L215" s="6">
        <v>20.0</v>
      </c>
    </row>
    <row r="216">
      <c r="A216" s="5" t="s">
        <v>656</v>
      </c>
      <c r="B216" s="5" t="s">
        <v>657</v>
      </c>
      <c r="C216" s="5" t="s">
        <v>658</v>
      </c>
      <c r="D216" s="5" t="s">
        <v>75</v>
      </c>
      <c r="E216" s="6" t="s">
        <v>16</v>
      </c>
      <c r="F216" s="6" t="s">
        <v>17</v>
      </c>
      <c r="G216" s="6">
        <v>18.0</v>
      </c>
      <c r="H216" s="7">
        <v>12.196875</v>
      </c>
      <c r="I216" s="6">
        <v>43.0</v>
      </c>
      <c r="J216" s="6">
        <v>73.2</v>
      </c>
      <c r="K216" s="6">
        <v>215.0</v>
      </c>
      <c r="L216" s="6">
        <v>18.0</v>
      </c>
    </row>
    <row r="217">
      <c r="A217" s="5" t="s">
        <v>659</v>
      </c>
      <c r="B217" s="5" t="s">
        <v>660</v>
      </c>
      <c r="C217" s="5" t="s">
        <v>661</v>
      </c>
      <c r="D217" s="5" t="s">
        <v>21</v>
      </c>
      <c r="E217" s="6" t="s">
        <v>16</v>
      </c>
      <c r="F217" s="6" t="s">
        <v>17</v>
      </c>
      <c r="G217" s="6">
        <v>17.0</v>
      </c>
      <c r="H217" s="7">
        <v>13.649999999999999</v>
      </c>
      <c r="I217" s="6">
        <v>42.5</v>
      </c>
      <c r="J217" s="6">
        <v>73.2</v>
      </c>
      <c r="K217" s="6">
        <v>216.0</v>
      </c>
      <c r="L217" s="6">
        <v>27.0</v>
      </c>
    </row>
    <row r="218">
      <c r="A218" s="5" t="s">
        <v>662</v>
      </c>
      <c r="B218" s="5" t="s">
        <v>663</v>
      </c>
      <c r="C218" s="5" t="s">
        <v>664</v>
      </c>
      <c r="D218" s="5" t="s">
        <v>21</v>
      </c>
      <c r="E218" s="6" t="s">
        <v>16</v>
      </c>
      <c r="F218" s="6" t="s">
        <v>17</v>
      </c>
      <c r="G218" s="6">
        <v>15.0</v>
      </c>
      <c r="H218" s="7">
        <v>13.40625</v>
      </c>
      <c r="I218" s="6">
        <v>44.8</v>
      </c>
      <c r="J218" s="6">
        <v>73.2</v>
      </c>
      <c r="K218" s="6">
        <v>217.0</v>
      </c>
      <c r="L218" s="6">
        <v>28.0</v>
      </c>
    </row>
    <row r="219">
      <c r="A219" s="5" t="s">
        <v>665</v>
      </c>
      <c r="B219" s="5" t="s">
        <v>666</v>
      </c>
      <c r="C219" s="5" t="s">
        <v>667</v>
      </c>
      <c r="D219" s="5" t="s">
        <v>75</v>
      </c>
      <c r="E219" s="6" t="s">
        <v>16</v>
      </c>
      <c r="F219" s="6" t="s">
        <v>16</v>
      </c>
      <c r="G219" s="6">
        <v>14.0</v>
      </c>
      <c r="H219" s="7">
        <v>14.15625</v>
      </c>
      <c r="I219" s="6">
        <v>45.0</v>
      </c>
      <c r="J219" s="6">
        <v>73.2</v>
      </c>
      <c r="K219" s="6">
        <v>218.0</v>
      </c>
      <c r="L219" s="6">
        <v>19.0</v>
      </c>
    </row>
    <row r="220">
      <c r="A220" s="5" t="s">
        <v>668</v>
      </c>
      <c r="B220" s="5" t="s">
        <v>669</v>
      </c>
      <c r="C220" s="5" t="s">
        <v>670</v>
      </c>
      <c r="D220" s="5" t="s">
        <v>15</v>
      </c>
      <c r="E220" s="6" t="s">
        <v>16</v>
      </c>
      <c r="F220" s="6" t="s">
        <v>17</v>
      </c>
      <c r="G220" s="8">
        <v>15.0</v>
      </c>
      <c r="H220" s="7">
        <v>13.125</v>
      </c>
      <c r="I220" s="6">
        <v>45.0</v>
      </c>
      <c r="J220" s="9">
        <v>73.1</v>
      </c>
      <c r="K220" s="6">
        <v>219.0</v>
      </c>
      <c r="L220" s="6">
        <v>24.0</v>
      </c>
    </row>
    <row r="221">
      <c r="A221" s="5" t="s">
        <v>671</v>
      </c>
      <c r="B221" s="5" t="s">
        <v>672</v>
      </c>
      <c r="C221" s="5" t="s">
        <v>673</v>
      </c>
      <c r="D221" s="5" t="s">
        <v>268</v>
      </c>
      <c r="E221" s="6" t="s">
        <v>16</v>
      </c>
      <c r="F221" s="6" t="s">
        <v>17</v>
      </c>
      <c r="G221" s="6">
        <v>16.0</v>
      </c>
      <c r="H221" s="7">
        <v>13.125</v>
      </c>
      <c r="I221" s="6">
        <v>44.0</v>
      </c>
      <c r="J221" s="6">
        <v>73.1</v>
      </c>
      <c r="K221" s="6">
        <v>220.0</v>
      </c>
      <c r="L221" s="6">
        <v>15.0</v>
      </c>
    </row>
    <row r="222">
      <c r="A222" s="5" t="s">
        <v>674</v>
      </c>
      <c r="B222" s="5" t="s">
        <v>675</v>
      </c>
      <c r="C222" s="5" t="s">
        <v>676</v>
      </c>
      <c r="D222" s="5" t="s">
        <v>21</v>
      </c>
      <c r="E222" s="6" t="s">
        <v>16</v>
      </c>
      <c r="F222" s="6" t="s">
        <v>16</v>
      </c>
      <c r="G222" s="6">
        <v>15.0</v>
      </c>
      <c r="H222" s="7">
        <v>13.518749999999999</v>
      </c>
      <c r="I222" s="6">
        <v>44.5</v>
      </c>
      <c r="J222" s="6">
        <v>73.0</v>
      </c>
      <c r="K222" s="6">
        <v>221.0</v>
      </c>
      <c r="L222" s="6">
        <v>29.0</v>
      </c>
    </row>
    <row r="223">
      <c r="A223" s="5" t="s">
        <v>677</v>
      </c>
      <c r="B223" s="5" t="s">
        <v>678</v>
      </c>
      <c r="C223" s="5" t="s">
        <v>679</v>
      </c>
      <c r="D223" s="5" t="s">
        <v>15</v>
      </c>
      <c r="E223" s="6" t="s">
        <v>16</v>
      </c>
      <c r="F223" s="6" t="s">
        <v>17</v>
      </c>
      <c r="G223" s="6">
        <v>15.0</v>
      </c>
      <c r="H223" s="7">
        <v>15.0</v>
      </c>
      <c r="I223" s="6">
        <v>43.0</v>
      </c>
      <c r="J223" s="6">
        <v>73.0</v>
      </c>
      <c r="K223" s="6">
        <v>222.0</v>
      </c>
      <c r="L223" s="6">
        <v>25.0</v>
      </c>
    </row>
    <row r="224">
      <c r="A224" s="5" t="s">
        <v>680</v>
      </c>
      <c r="B224" s="5" t="s">
        <v>681</v>
      </c>
      <c r="C224" s="5" t="s">
        <v>682</v>
      </c>
      <c r="D224" s="5" t="s">
        <v>34</v>
      </c>
      <c r="E224" s="6" t="s">
        <v>16</v>
      </c>
      <c r="F224" s="6" t="s">
        <v>17</v>
      </c>
      <c r="G224" s="6">
        <v>13.0</v>
      </c>
      <c r="H224" s="7">
        <v>15.0</v>
      </c>
      <c r="I224" s="6">
        <v>45.0</v>
      </c>
      <c r="J224" s="6">
        <v>73.0</v>
      </c>
      <c r="K224" s="6">
        <v>223.0</v>
      </c>
      <c r="L224" s="6">
        <v>21.0</v>
      </c>
    </row>
    <row r="225">
      <c r="A225" s="5" t="s">
        <v>683</v>
      </c>
      <c r="B225" s="5" t="s">
        <v>684</v>
      </c>
      <c r="C225" s="5" t="s">
        <v>685</v>
      </c>
      <c r="D225" s="5" t="s">
        <v>38</v>
      </c>
      <c r="E225" s="6" t="s">
        <v>16</v>
      </c>
      <c r="F225" s="6" t="s">
        <v>17</v>
      </c>
      <c r="G225" s="8">
        <v>13.0</v>
      </c>
      <c r="H225" s="7">
        <v>15.0</v>
      </c>
      <c r="I225" s="6">
        <v>45.0</v>
      </c>
      <c r="J225" s="9">
        <v>73.0</v>
      </c>
      <c r="K225" s="6">
        <v>224.0</v>
      </c>
      <c r="L225" s="6">
        <v>27.0</v>
      </c>
    </row>
    <row r="226">
      <c r="A226" s="5" t="s">
        <v>686</v>
      </c>
      <c r="B226" s="5" t="s">
        <v>687</v>
      </c>
      <c r="C226" s="5" t="s">
        <v>688</v>
      </c>
      <c r="D226" s="5" t="s">
        <v>222</v>
      </c>
      <c r="E226" s="6" t="s">
        <v>16</v>
      </c>
      <c r="F226" s="6" t="s">
        <v>17</v>
      </c>
      <c r="G226" s="6">
        <v>13.0</v>
      </c>
      <c r="H226" s="7">
        <v>15.0</v>
      </c>
      <c r="I226" s="6">
        <v>45.0</v>
      </c>
      <c r="J226" s="6">
        <v>73.0</v>
      </c>
      <c r="K226" s="6">
        <v>225.0</v>
      </c>
      <c r="L226" s="6">
        <v>12.0</v>
      </c>
    </row>
    <row r="227">
      <c r="A227" s="5" t="s">
        <v>689</v>
      </c>
      <c r="B227" s="5" t="s">
        <v>690</v>
      </c>
      <c r="C227" s="5" t="s">
        <v>691</v>
      </c>
      <c r="D227" s="5" t="s">
        <v>38</v>
      </c>
      <c r="E227" s="6" t="s">
        <v>16</v>
      </c>
      <c r="F227" s="6" t="s">
        <v>17</v>
      </c>
      <c r="G227" s="6">
        <v>13.0</v>
      </c>
      <c r="H227" s="7">
        <v>15.0</v>
      </c>
      <c r="I227" s="6">
        <v>45.0</v>
      </c>
      <c r="J227" s="6">
        <v>73.0</v>
      </c>
      <c r="K227" s="6">
        <v>226.0</v>
      </c>
      <c r="L227" s="6">
        <v>28.0</v>
      </c>
    </row>
    <row r="228">
      <c r="A228" s="5" t="s">
        <v>692</v>
      </c>
      <c r="B228" s="5" t="s">
        <v>693</v>
      </c>
      <c r="C228" s="5" t="s">
        <v>694</v>
      </c>
      <c r="D228" s="5" t="s">
        <v>52</v>
      </c>
      <c r="E228" s="6" t="s">
        <v>16</v>
      </c>
      <c r="F228" s="6" t="s">
        <v>16</v>
      </c>
      <c r="G228" s="6">
        <v>13.0</v>
      </c>
      <c r="H228" s="7">
        <v>15.0</v>
      </c>
      <c r="I228" s="6">
        <v>45.0</v>
      </c>
      <c r="J228" s="6">
        <v>73.0</v>
      </c>
      <c r="K228" s="6">
        <v>227.0</v>
      </c>
      <c r="L228" s="6">
        <v>17.0</v>
      </c>
    </row>
    <row r="229">
      <c r="A229" s="5" t="s">
        <v>695</v>
      </c>
      <c r="B229" s="5" t="s">
        <v>696</v>
      </c>
      <c r="C229" s="5" t="s">
        <v>697</v>
      </c>
      <c r="D229" s="5" t="s">
        <v>38</v>
      </c>
      <c r="E229" s="6" t="s">
        <v>16</v>
      </c>
      <c r="F229" s="6" t="s">
        <v>17</v>
      </c>
      <c r="G229" s="6">
        <v>13.0</v>
      </c>
      <c r="H229" s="7">
        <v>15.0</v>
      </c>
      <c r="I229" s="6">
        <v>45.0</v>
      </c>
      <c r="J229" s="6">
        <v>73.0</v>
      </c>
      <c r="K229" s="6">
        <v>228.0</v>
      </c>
      <c r="L229" s="6">
        <v>29.0</v>
      </c>
    </row>
    <row r="230">
      <c r="A230" s="5" t="s">
        <v>698</v>
      </c>
      <c r="B230" s="5" t="s">
        <v>699</v>
      </c>
      <c r="C230" s="5" t="s">
        <v>700</v>
      </c>
      <c r="D230" s="5" t="s">
        <v>222</v>
      </c>
      <c r="E230" s="6" t="s">
        <v>16</v>
      </c>
      <c r="F230" s="6" t="s">
        <v>17</v>
      </c>
      <c r="G230" s="6">
        <v>13.0</v>
      </c>
      <c r="H230" s="7">
        <v>15.0</v>
      </c>
      <c r="I230" s="6">
        <v>45.0</v>
      </c>
      <c r="J230" s="6">
        <v>73.0</v>
      </c>
      <c r="K230" s="6">
        <v>229.0</v>
      </c>
      <c r="L230" s="6">
        <v>13.0</v>
      </c>
    </row>
    <row r="231">
      <c r="A231" s="5" t="s">
        <v>701</v>
      </c>
      <c r="B231" s="5" t="s">
        <v>702</v>
      </c>
      <c r="C231" s="5" t="s">
        <v>703</v>
      </c>
      <c r="D231" s="5" t="s">
        <v>15</v>
      </c>
      <c r="E231" s="6" t="s">
        <v>16</v>
      </c>
      <c r="F231" s="6" t="s">
        <v>16</v>
      </c>
      <c r="G231" s="6">
        <v>15.0</v>
      </c>
      <c r="H231" s="7">
        <v>12.84375</v>
      </c>
      <c r="I231" s="6">
        <v>45.0</v>
      </c>
      <c r="J231" s="6">
        <v>72.8</v>
      </c>
      <c r="K231" s="6">
        <v>230.0</v>
      </c>
      <c r="L231" s="6">
        <v>26.0</v>
      </c>
    </row>
    <row r="232">
      <c r="A232" s="5" t="s">
        <v>704</v>
      </c>
      <c r="B232" s="5" t="s">
        <v>705</v>
      </c>
      <c r="C232" s="5" t="s">
        <v>706</v>
      </c>
      <c r="D232" s="5" t="s">
        <v>21</v>
      </c>
      <c r="E232" s="6" t="s">
        <v>16</v>
      </c>
      <c r="F232" s="6" t="s">
        <v>16</v>
      </c>
      <c r="G232" s="6">
        <v>15.0</v>
      </c>
      <c r="H232" s="7">
        <v>12.825000000000001</v>
      </c>
      <c r="I232" s="6">
        <v>45.0</v>
      </c>
      <c r="J232" s="6">
        <v>72.8</v>
      </c>
      <c r="K232" s="6">
        <v>231.0</v>
      </c>
      <c r="L232" s="6">
        <v>30.0</v>
      </c>
    </row>
    <row r="233">
      <c r="A233" s="5" t="s">
        <v>707</v>
      </c>
      <c r="B233" s="5" t="s">
        <v>708</v>
      </c>
      <c r="C233" s="5" t="s">
        <v>709</v>
      </c>
      <c r="D233" s="5" t="s">
        <v>21</v>
      </c>
      <c r="E233" s="6" t="s">
        <v>16</v>
      </c>
      <c r="F233" s="6" t="s">
        <v>16</v>
      </c>
      <c r="G233" s="6">
        <v>15.0</v>
      </c>
      <c r="H233" s="7">
        <v>13.3125</v>
      </c>
      <c r="I233" s="6">
        <v>44.5</v>
      </c>
      <c r="J233" s="6">
        <v>72.8</v>
      </c>
      <c r="K233" s="6">
        <v>232.0</v>
      </c>
      <c r="L233" s="6">
        <v>31.0</v>
      </c>
    </row>
    <row r="234">
      <c r="A234" s="5" t="s">
        <v>710</v>
      </c>
      <c r="B234" s="5" t="s">
        <v>711</v>
      </c>
      <c r="C234" s="5" t="s">
        <v>712</v>
      </c>
      <c r="D234" s="5" t="s">
        <v>59</v>
      </c>
      <c r="E234" s="6" t="s">
        <v>16</v>
      </c>
      <c r="F234" s="6" t="s">
        <v>16</v>
      </c>
      <c r="G234" s="6">
        <v>15.0</v>
      </c>
      <c r="H234" s="7">
        <v>12.65625</v>
      </c>
      <c r="I234" s="6">
        <v>45.0</v>
      </c>
      <c r="J234" s="6">
        <v>72.7</v>
      </c>
      <c r="K234" s="6">
        <v>233.0</v>
      </c>
      <c r="L234" s="6">
        <v>20.0</v>
      </c>
    </row>
    <row r="235">
      <c r="A235" s="5" t="s">
        <v>713</v>
      </c>
      <c r="B235" s="5" t="s">
        <v>714</v>
      </c>
      <c r="C235" s="5" t="s">
        <v>715</v>
      </c>
      <c r="D235" s="5" t="s">
        <v>21</v>
      </c>
      <c r="E235" s="6" t="s">
        <v>16</v>
      </c>
      <c r="F235" s="6" t="s">
        <v>17</v>
      </c>
      <c r="G235" s="6">
        <v>15.0</v>
      </c>
      <c r="H235" s="7">
        <v>12.65625</v>
      </c>
      <c r="I235" s="6">
        <v>45.0</v>
      </c>
      <c r="J235" s="6">
        <v>72.7</v>
      </c>
      <c r="K235" s="6">
        <v>234.0</v>
      </c>
      <c r="L235" s="6">
        <v>32.0</v>
      </c>
    </row>
    <row r="236">
      <c r="A236" s="5" t="s">
        <v>716</v>
      </c>
      <c r="B236" s="5" t="s">
        <v>717</v>
      </c>
      <c r="C236" s="5" t="s">
        <v>718</v>
      </c>
      <c r="D236" s="5" t="s">
        <v>42</v>
      </c>
      <c r="E236" s="6" t="s">
        <v>16</v>
      </c>
      <c r="F236" s="6" t="s">
        <v>17</v>
      </c>
      <c r="G236" s="6">
        <v>14.0</v>
      </c>
      <c r="H236" s="7">
        <v>13.6875</v>
      </c>
      <c r="I236" s="6">
        <v>45.0</v>
      </c>
      <c r="J236" s="6">
        <v>72.7</v>
      </c>
      <c r="K236" s="6">
        <v>235.0</v>
      </c>
      <c r="L236" s="6">
        <v>17.0</v>
      </c>
    </row>
    <row r="237">
      <c r="A237" s="5" t="s">
        <v>719</v>
      </c>
      <c r="B237" s="5" t="s">
        <v>720</v>
      </c>
      <c r="C237" s="5" t="s">
        <v>721</v>
      </c>
      <c r="D237" s="5" t="s">
        <v>118</v>
      </c>
      <c r="E237" s="6" t="s">
        <v>16</v>
      </c>
      <c r="F237" s="6" t="s">
        <v>17</v>
      </c>
      <c r="G237" s="6">
        <v>13.0</v>
      </c>
      <c r="H237" s="7">
        <v>14.68125</v>
      </c>
      <c r="I237" s="6">
        <v>45.0</v>
      </c>
      <c r="J237" s="6">
        <v>72.7</v>
      </c>
      <c r="K237" s="6">
        <v>236.0</v>
      </c>
      <c r="L237" s="6">
        <v>21.0</v>
      </c>
    </row>
    <row r="238">
      <c r="A238" s="5" t="s">
        <v>722</v>
      </c>
      <c r="B238" s="5" t="s">
        <v>723</v>
      </c>
      <c r="C238" s="5" t="s">
        <v>724</v>
      </c>
      <c r="D238" s="5" t="s">
        <v>59</v>
      </c>
      <c r="E238" s="6" t="s">
        <v>16</v>
      </c>
      <c r="F238" s="6" t="s">
        <v>16</v>
      </c>
      <c r="G238" s="6">
        <v>15.0</v>
      </c>
      <c r="H238" s="7">
        <v>12.5625</v>
      </c>
      <c r="I238" s="6">
        <v>45.0</v>
      </c>
      <c r="J238" s="6">
        <v>72.6</v>
      </c>
      <c r="K238" s="6">
        <v>237.0</v>
      </c>
      <c r="L238" s="6">
        <v>21.0</v>
      </c>
    </row>
    <row r="239">
      <c r="A239" s="5" t="s">
        <v>725</v>
      </c>
      <c r="B239" s="5" t="s">
        <v>726</v>
      </c>
      <c r="C239" s="5" t="s">
        <v>727</v>
      </c>
      <c r="D239" s="5" t="s">
        <v>222</v>
      </c>
      <c r="E239" s="6" t="s">
        <v>16</v>
      </c>
      <c r="F239" s="6" t="s">
        <v>16</v>
      </c>
      <c r="G239" s="6">
        <v>13.0</v>
      </c>
      <c r="H239" s="7">
        <v>14.625</v>
      </c>
      <c r="I239" s="6">
        <v>45.0</v>
      </c>
      <c r="J239" s="6">
        <v>72.6</v>
      </c>
      <c r="K239" s="6">
        <v>238.0</v>
      </c>
      <c r="L239" s="6">
        <v>14.0</v>
      </c>
    </row>
    <row r="240">
      <c r="A240" s="5" t="s">
        <v>728</v>
      </c>
      <c r="B240" s="5" t="s">
        <v>729</v>
      </c>
      <c r="C240" s="5" t="s">
        <v>730</v>
      </c>
      <c r="D240" s="5" t="s">
        <v>38</v>
      </c>
      <c r="E240" s="6" t="s">
        <v>16</v>
      </c>
      <c r="F240" s="6" t="s">
        <v>17</v>
      </c>
      <c r="G240" s="6">
        <v>13.0</v>
      </c>
      <c r="H240" s="7">
        <v>14.625</v>
      </c>
      <c r="I240" s="6">
        <v>45.0</v>
      </c>
      <c r="J240" s="6">
        <v>72.6</v>
      </c>
      <c r="K240" s="6">
        <v>239.0</v>
      </c>
      <c r="L240" s="6">
        <v>30.0</v>
      </c>
    </row>
    <row r="241">
      <c r="A241" s="5" t="s">
        <v>731</v>
      </c>
      <c r="B241" s="5" t="s">
        <v>732</v>
      </c>
      <c r="C241" s="5" t="s">
        <v>733</v>
      </c>
      <c r="D241" s="5" t="s">
        <v>222</v>
      </c>
      <c r="E241" s="6" t="s">
        <v>16</v>
      </c>
      <c r="F241" s="6" t="s">
        <v>17</v>
      </c>
      <c r="G241" s="6">
        <v>13.0</v>
      </c>
      <c r="H241" s="7">
        <v>14.625</v>
      </c>
      <c r="I241" s="6">
        <v>45.0</v>
      </c>
      <c r="J241" s="6">
        <v>72.6</v>
      </c>
      <c r="K241" s="6">
        <v>240.0</v>
      </c>
      <c r="L241" s="6">
        <v>15.0</v>
      </c>
    </row>
    <row r="242">
      <c r="A242" s="5" t="s">
        <v>734</v>
      </c>
      <c r="B242" s="5" t="s">
        <v>735</v>
      </c>
      <c r="C242" s="5" t="s">
        <v>736</v>
      </c>
      <c r="D242" s="5" t="s">
        <v>222</v>
      </c>
      <c r="E242" s="6" t="s">
        <v>16</v>
      </c>
      <c r="F242" s="6" t="s">
        <v>17</v>
      </c>
      <c r="G242" s="6">
        <v>13.0</v>
      </c>
      <c r="H242" s="7">
        <v>14.625</v>
      </c>
      <c r="I242" s="6">
        <v>45.0</v>
      </c>
      <c r="J242" s="6">
        <v>72.6</v>
      </c>
      <c r="K242" s="6">
        <v>241.0</v>
      </c>
      <c r="L242" s="6">
        <v>16.0</v>
      </c>
    </row>
    <row r="243">
      <c r="A243" s="5" t="s">
        <v>737</v>
      </c>
      <c r="B243" s="5" t="s">
        <v>738</v>
      </c>
      <c r="C243" s="5" t="s">
        <v>739</v>
      </c>
      <c r="D243" s="5" t="s">
        <v>21</v>
      </c>
      <c r="E243" s="6" t="s">
        <v>16</v>
      </c>
      <c r="F243" s="6" t="s">
        <v>17</v>
      </c>
      <c r="G243" s="6">
        <v>15.0</v>
      </c>
      <c r="H243" s="7">
        <v>12.50625</v>
      </c>
      <c r="I243" s="6">
        <v>45.0</v>
      </c>
      <c r="J243" s="6">
        <v>72.5</v>
      </c>
      <c r="K243" s="6">
        <v>242.0</v>
      </c>
      <c r="L243" s="6">
        <v>33.0</v>
      </c>
    </row>
    <row r="244">
      <c r="A244" s="5" t="s">
        <v>740</v>
      </c>
      <c r="B244" s="5" t="s">
        <v>741</v>
      </c>
      <c r="C244" s="5" t="s">
        <v>742</v>
      </c>
      <c r="D244" s="5" t="s">
        <v>21</v>
      </c>
      <c r="E244" s="6" t="s">
        <v>16</v>
      </c>
      <c r="F244" s="6" t="s">
        <v>17</v>
      </c>
      <c r="G244" s="6">
        <v>15.0</v>
      </c>
      <c r="H244" s="7">
        <v>12.375</v>
      </c>
      <c r="I244" s="6">
        <v>45.0</v>
      </c>
      <c r="J244" s="6">
        <v>72.4</v>
      </c>
      <c r="K244" s="6">
        <v>243.0</v>
      </c>
      <c r="L244" s="6">
        <v>34.0</v>
      </c>
    </row>
    <row r="245">
      <c r="A245" s="5" t="s">
        <v>743</v>
      </c>
      <c r="B245" s="5" t="s">
        <v>744</v>
      </c>
      <c r="C245" s="5" t="s">
        <v>745</v>
      </c>
      <c r="D245" s="5" t="s">
        <v>21</v>
      </c>
      <c r="E245" s="6" t="s">
        <v>16</v>
      </c>
      <c r="F245" s="6" t="s">
        <v>16</v>
      </c>
      <c r="G245" s="6">
        <v>15.0</v>
      </c>
      <c r="H245" s="7">
        <v>12.356250000000001</v>
      </c>
      <c r="I245" s="6">
        <v>45.0</v>
      </c>
      <c r="J245" s="6">
        <v>72.4</v>
      </c>
      <c r="K245" s="6">
        <v>244.0</v>
      </c>
      <c r="L245" s="6">
        <v>35.0</v>
      </c>
    </row>
    <row r="246">
      <c r="A246" s="5" t="s">
        <v>746</v>
      </c>
      <c r="B246" s="5" t="s">
        <v>747</v>
      </c>
      <c r="C246" s="5" t="s">
        <v>748</v>
      </c>
      <c r="D246" s="5" t="s">
        <v>268</v>
      </c>
      <c r="E246" s="6" t="s">
        <v>16</v>
      </c>
      <c r="F246" s="6" t="s">
        <v>17</v>
      </c>
      <c r="G246" s="6">
        <v>13.0</v>
      </c>
      <c r="H246" s="7">
        <v>14.390625</v>
      </c>
      <c r="I246" s="6">
        <v>45.0</v>
      </c>
      <c r="J246" s="6">
        <v>72.4</v>
      </c>
      <c r="K246" s="6">
        <v>245.0</v>
      </c>
      <c r="L246" s="6">
        <v>16.0</v>
      </c>
    </row>
    <row r="247">
      <c r="A247" s="5" t="s">
        <v>749</v>
      </c>
      <c r="B247" s="5" t="s">
        <v>750</v>
      </c>
      <c r="C247" s="5" t="s">
        <v>751</v>
      </c>
      <c r="D247" s="5" t="s">
        <v>15</v>
      </c>
      <c r="E247" s="6" t="s">
        <v>16</v>
      </c>
      <c r="F247" s="6" t="s">
        <v>16</v>
      </c>
      <c r="G247" s="6">
        <v>15.0</v>
      </c>
      <c r="H247" s="7">
        <v>14.25</v>
      </c>
      <c r="I247" s="6">
        <v>43.0</v>
      </c>
      <c r="J247" s="6">
        <v>72.3</v>
      </c>
      <c r="K247" s="6">
        <v>246.0</v>
      </c>
      <c r="L247" s="6">
        <v>27.0</v>
      </c>
    </row>
    <row r="248">
      <c r="A248" s="5" t="s">
        <v>752</v>
      </c>
      <c r="B248" s="5" t="s">
        <v>753</v>
      </c>
      <c r="C248" s="5" t="s">
        <v>754</v>
      </c>
      <c r="D248" s="5" t="s">
        <v>42</v>
      </c>
      <c r="E248" s="6" t="s">
        <v>16</v>
      </c>
      <c r="F248" s="6" t="s">
        <v>17</v>
      </c>
      <c r="G248" s="6">
        <v>17.0</v>
      </c>
      <c r="H248" s="7">
        <v>13.3125</v>
      </c>
      <c r="I248" s="6">
        <v>42.0</v>
      </c>
      <c r="J248" s="6">
        <v>72.3</v>
      </c>
      <c r="K248" s="6">
        <v>247.0</v>
      </c>
      <c r="L248" s="6">
        <v>18.0</v>
      </c>
    </row>
    <row r="249">
      <c r="A249" s="5" t="s">
        <v>755</v>
      </c>
      <c r="B249" s="5" t="s">
        <v>756</v>
      </c>
      <c r="C249" s="5" t="s">
        <v>757</v>
      </c>
      <c r="D249" s="5" t="s">
        <v>21</v>
      </c>
      <c r="E249" s="6" t="s">
        <v>16</v>
      </c>
      <c r="F249" s="6" t="s">
        <v>17</v>
      </c>
      <c r="G249" s="6">
        <v>15.0</v>
      </c>
      <c r="H249" s="7">
        <v>12.243749999999999</v>
      </c>
      <c r="I249" s="6">
        <v>45.0</v>
      </c>
      <c r="J249" s="6">
        <v>72.2</v>
      </c>
      <c r="K249" s="6">
        <v>248.0</v>
      </c>
      <c r="L249" s="6">
        <v>36.0</v>
      </c>
    </row>
    <row r="250">
      <c r="A250" s="5" t="s">
        <v>758</v>
      </c>
      <c r="B250" s="5" t="s">
        <v>759</v>
      </c>
      <c r="C250" s="5" t="s">
        <v>760</v>
      </c>
      <c r="D250" s="5" t="s">
        <v>34</v>
      </c>
      <c r="E250" s="6" t="s">
        <v>16</v>
      </c>
      <c r="F250" s="6" t="s">
        <v>17</v>
      </c>
      <c r="G250" s="6">
        <v>15.0</v>
      </c>
      <c r="H250" s="7">
        <v>12.1125</v>
      </c>
      <c r="I250" s="6">
        <v>45.0</v>
      </c>
      <c r="J250" s="6">
        <v>72.1</v>
      </c>
      <c r="K250" s="6">
        <v>249.0</v>
      </c>
      <c r="L250" s="6">
        <v>22.0</v>
      </c>
    </row>
    <row r="251">
      <c r="A251" s="5" t="s">
        <v>761</v>
      </c>
      <c r="B251" s="5" t="s">
        <v>762</v>
      </c>
      <c r="C251" s="5" t="s">
        <v>763</v>
      </c>
      <c r="D251" s="5" t="s">
        <v>34</v>
      </c>
      <c r="E251" s="6" t="s">
        <v>16</v>
      </c>
      <c r="F251" s="6" t="s">
        <v>17</v>
      </c>
      <c r="G251" s="6">
        <v>15.0</v>
      </c>
      <c r="H251" s="7">
        <v>12.046875</v>
      </c>
      <c r="I251" s="6">
        <v>45.0</v>
      </c>
      <c r="J251" s="6">
        <v>72.0</v>
      </c>
      <c r="K251" s="6">
        <v>250.0</v>
      </c>
      <c r="L251" s="6">
        <v>23.0</v>
      </c>
    </row>
    <row r="252">
      <c r="A252" s="5" t="s">
        <v>764</v>
      </c>
      <c r="B252" s="5" t="s">
        <v>765</v>
      </c>
      <c r="C252" s="5" t="s">
        <v>766</v>
      </c>
      <c r="D252" s="5" t="s">
        <v>15</v>
      </c>
      <c r="E252" s="6" t="s">
        <v>16</v>
      </c>
      <c r="F252" s="6" t="s">
        <v>16</v>
      </c>
      <c r="G252" s="6">
        <v>15.0</v>
      </c>
      <c r="H252" s="7">
        <v>12.0</v>
      </c>
      <c r="I252" s="6">
        <v>45.0</v>
      </c>
      <c r="J252" s="6">
        <v>72.0</v>
      </c>
      <c r="K252" s="6">
        <v>251.0</v>
      </c>
      <c r="L252" s="6">
        <v>28.0</v>
      </c>
    </row>
    <row r="253">
      <c r="A253" s="5" t="s">
        <v>767</v>
      </c>
      <c r="B253" s="5" t="s">
        <v>768</v>
      </c>
      <c r="C253" s="5" t="s">
        <v>769</v>
      </c>
      <c r="D253" s="5" t="s">
        <v>38</v>
      </c>
      <c r="E253" s="6" t="s">
        <v>16</v>
      </c>
      <c r="F253" s="6" t="s">
        <v>17</v>
      </c>
      <c r="G253" s="6">
        <v>15.0</v>
      </c>
      <c r="H253" s="7">
        <v>15.0</v>
      </c>
      <c r="I253" s="6">
        <v>42.0</v>
      </c>
      <c r="J253" s="6">
        <v>72.0</v>
      </c>
      <c r="K253" s="6">
        <v>252.0</v>
      </c>
      <c r="L253" s="6">
        <v>31.0</v>
      </c>
    </row>
    <row r="254">
      <c r="A254" s="5" t="s">
        <v>770</v>
      </c>
      <c r="B254" s="5" t="s">
        <v>771</v>
      </c>
      <c r="C254" s="5" t="s">
        <v>772</v>
      </c>
      <c r="D254" s="5" t="s">
        <v>42</v>
      </c>
      <c r="E254" s="6" t="s">
        <v>16</v>
      </c>
      <c r="F254" s="6" t="s">
        <v>16</v>
      </c>
      <c r="G254" s="6">
        <v>14.0</v>
      </c>
      <c r="H254" s="7">
        <v>12.984375</v>
      </c>
      <c r="I254" s="6">
        <v>45.0</v>
      </c>
      <c r="J254" s="6">
        <v>72.0</v>
      </c>
      <c r="K254" s="6">
        <v>253.0</v>
      </c>
      <c r="L254" s="6">
        <v>19.0</v>
      </c>
    </row>
    <row r="255">
      <c r="A255" s="5" t="s">
        <v>773</v>
      </c>
      <c r="B255" s="5" t="s">
        <v>774</v>
      </c>
      <c r="C255" s="5" t="s">
        <v>775</v>
      </c>
      <c r="D255" s="5" t="s">
        <v>52</v>
      </c>
      <c r="E255" s="6" t="s">
        <v>16</v>
      </c>
      <c r="F255" s="6" t="s">
        <v>17</v>
      </c>
      <c r="G255" s="6">
        <v>14.0</v>
      </c>
      <c r="H255" s="7">
        <v>15.0</v>
      </c>
      <c r="I255" s="6">
        <v>43.0</v>
      </c>
      <c r="J255" s="6">
        <v>72.0</v>
      </c>
      <c r="K255" s="6">
        <v>254.0</v>
      </c>
      <c r="L255" s="6">
        <v>18.0</v>
      </c>
    </row>
    <row r="256">
      <c r="A256" s="5" t="s">
        <v>776</v>
      </c>
      <c r="B256" s="5" t="s">
        <v>777</v>
      </c>
      <c r="C256" s="5" t="s">
        <v>778</v>
      </c>
      <c r="D256" s="5" t="s">
        <v>15</v>
      </c>
      <c r="E256" s="6" t="s">
        <v>16</v>
      </c>
      <c r="F256" s="6" t="s">
        <v>16</v>
      </c>
      <c r="G256" s="6">
        <v>12.0</v>
      </c>
      <c r="H256" s="7">
        <v>15.0</v>
      </c>
      <c r="I256" s="6">
        <v>45.0</v>
      </c>
      <c r="J256" s="6">
        <v>72.0</v>
      </c>
      <c r="K256" s="6">
        <v>255.0</v>
      </c>
      <c r="L256" s="6">
        <v>29.0</v>
      </c>
    </row>
    <row r="257">
      <c r="A257" s="5" t="s">
        <v>779</v>
      </c>
      <c r="B257" s="5" t="s">
        <v>780</v>
      </c>
      <c r="C257" s="5" t="s">
        <v>781</v>
      </c>
      <c r="D257" s="5" t="s">
        <v>15</v>
      </c>
      <c r="E257" s="6" t="s">
        <v>16</v>
      </c>
      <c r="F257" s="6" t="s">
        <v>17</v>
      </c>
      <c r="G257" s="6">
        <v>12.0</v>
      </c>
      <c r="H257" s="7">
        <v>15.0</v>
      </c>
      <c r="I257" s="6">
        <v>45.0</v>
      </c>
      <c r="J257" s="6">
        <v>72.0</v>
      </c>
      <c r="K257" s="6">
        <v>256.0</v>
      </c>
      <c r="L257" s="6">
        <v>30.0</v>
      </c>
    </row>
    <row r="258">
      <c r="A258" s="5" t="s">
        <v>782</v>
      </c>
      <c r="B258" s="5" t="s">
        <v>783</v>
      </c>
      <c r="C258" s="5" t="s">
        <v>784</v>
      </c>
      <c r="D258" s="5" t="s">
        <v>222</v>
      </c>
      <c r="E258" s="6" t="s">
        <v>16</v>
      </c>
      <c r="F258" s="6" t="s">
        <v>17</v>
      </c>
      <c r="G258" s="6">
        <v>12.0</v>
      </c>
      <c r="H258" s="7">
        <v>15.0</v>
      </c>
      <c r="I258" s="6">
        <v>45.0</v>
      </c>
      <c r="J258" s="6">
        <v>72.0</v>
      </c>
      <c r="K258" s="6">
        <v>257.0</v>
      </c>
      <c r="L258" s="6">
        <v>17.0</v>
      </c>
    </row>
    <row r="259">
      <c r="A259" s="5" t="s">
        <v>785</v>
      </c>
      <c r="B259" s="5" t="s">
        <v>786</v>
      </c>
      <c r="C259" s="5" t="s">
        <v>787</v>
      </c>
      <c r="D259" s="5" t="s">
        <v>15</v>
      </c>
      <c r="E259" s="6" t="s">
        <v>16</v>
      </c>
      <c r="F259" s="6" t="s">
        <v>16</v>
      </c>
      <c r="G259" s="6">
        <v>12.0</v>
      </c>
      <c r="H259" s="7">
        <v>15.0</v>
      </c>
      <c r="I259" s="6">
        <v>45.0</v>
      </c>
      <c r="J259" s="6">
        <v>72.0</v>
      </c>
      <c r="K259" s="6">
        <v>258.0</v>
      </c>
      <c r="L259" s="6">
        <v>31.0</v>
      </c>
    </row>
    <row r="260">
      <c r="A260" s="5" t="s">
        <v>788</v>
      </c>
      <c r="B260" s="5" t="s">
        <v>789</v>
      </c>
      <c r="C260" s="5" t="s">
        <v>790</v>
      </c>
      <c r="D260" s="5" t="s">
        <v>222</v>
      </c>
      <c r="E260" s="6" t="s">
        <v>16</v>
      </c>
      <c r="F260" s="6" t="s">
        <v>16</v>
      </c>
      <c r="G260" s="6">
        <v>12.0</v>
      </c>
      <c r="H260" s="7">
        <v>15.0</v>
      </c>
      <c r="I260" s="6">
        <v>45.0</v>
      </c>
      <c r="J260" s="6">
        <v>72.0</v>
      </c>
      <c r="K260" s="6">
        <v>259.0</v>
      </c>
      <c r="L260" s="6">
        <v>18.0</v>
      </c>
    </row>
    <row r="261">
      <c r="A261" s="5" t="s">
        <v>791</v>
      </c>
      <c r="B261" s="5" t="s">
        <v>792</v>
      </c>
      <c r="C261" s="5" t="s">
        <v>793</v>
      </c>
      <c r="D261" s="5" t="s">
        <v>34</v>
      </c>
      <c r="E261" s="6" t="s">
        <v>16</v>
      </c>
      <c r="F261" s="6" t="s">
        <v>17</v>
      </c>
      <c r="G261" s="6">
        <v>15.0</v>
      </c>
      <c r="H261" s="7">
        <v>11.90625</v>
      </c>
      <c r="I261" s="6">
        <v>45.0</v>
      </c>
      <c r="J261" s="6">
        <v>71.9</v>
      </c>
      <c r="K261" s="6">
        <v>260.0</v>
      </c>
      <c r="L261" s="6">
        <v>24.0</v>
      </c>
    </row>
    <row r="262">
      <c r="A262" s="5" t="s">
        <v>794</v>
      </c>
      <c r="B262" s="5" t="s">
        <v>795</v>
      </c>
      <c r="C262" s="5" t="s">
        <v>796</v>
      </c>
      <c r="D262" s="5" t="s">
        <v>75</v>
      </c>
      <c r="E262" s="6" t="s">
        <v>16</v>
      </c>
      <c r="F262" s="6" t="s">
        <v>17</v>
      </c>
      <c r="G262" s="6">
        <v>15.0</v>
      </c>
      <c r="H262" s="7">
        <v>11.859375</v>
      </c>
      <c r="I262" s="6">
        <v>45.0</v>
      </c>
      <c r="J262" s="6">
        <v>71.9</v>
      </c>
      <c r="K262" s="6">
        <v>261.0</v>
      </c>
      <c r="L262" s="6">
        <v>20.0</v>
      </c>
    </row>
    <row r="263">
      <c r="A263" s="5" t="s">
        <v>797</v>
      </c>
      <c r="B263" s="5" t="s">
        <v>798</v>
      </c>
      <c r="C263" s="5" t="s">
        <v>799</v>
      </c>
      <c r="D263" s="5" t="s">
        <v>59</v>
      </c>
      <c r="E263" s="6" t="s">
        <v>16</v>
      </c>
      <c r="F263" s="6" t="s">
        <v>16</v>
      </c>
      <c r="G263" s="6">
        <v>13.0</v>
      </c>
      <c r="H263" s="7">
        <v>13.903125</v>
      </c>
      <c r="I263" s="6">
        <v>45.0</v>
      </c>
      <c r="J263" s="6">
        <v>71.9</v>
      </c>
      <c r="K263" s="6">
        <v>262.0</v>
      </c>
      <c r="L263" s="6">
        <v>22.0</v>
      </c>
    </row>
    <row r="264">
      <c r="A264" s="5" t="s">
        <v>800</v>
      </c>
      <c r="B264" s="5" t="s">
        <v>801</v>
      </c>
      <c r="C264" s="5" t="s">
        <v>802</v>
      </c>
      <c r="D264" s="5" t="s">
        <v>21</v>
      </c>
      <c r="E264" s="6" t="s">
        <v>16</v>
      </c>
      <c r="F264" s="6" t="s">
        <v>17</v>
      </c>
      <c r="G264" s="6">
        <v>15.0</v>
      </c>
      <c r="H264" s="7">
        <v>13.6875</v>
      </c>
      <c r="I264" s="6">
        <v>43.0</v>
      </c>
      <c r="J264" s="6">
        <v>71.7</v>
      </c>
      <c r="K264" s="6">
        <v>263.0</v>
      </c>
      <c r="L264" s="6">
        <v>37.0</v>
      </c>
    </row>
    <row r="265">
      <c r="A265" s="5" t="s">
        <v>803</v>
      </c>
      <c r="B265" s="5" t="s">
        <v>804</v>
      </c>
      <c r="C265" s="5" t="s">
        <v>805</v>
      </c>
      <c r="D265" s="5" t="s">
        <v>52</v>
      </c>
      <c r="E265" s="6" t="s">
        <v>16</v>
      </c>
      <c r="F265" s="6" t="s">
        <v>16</v>
      </c>
      <c r="G265" s="6">
        <v>14.0</v>
      </c>
      <c r="H265" s="7">
        <v>12.65625</v>
      </c>
      <c r="I265" s="6">
        <v>45.0</v>
      </c>
      <c r="J265" s="6">
        <v>71.7</v>
      </c>
      <c r="K265" s="6">
        <v>264.0</v>
      </c>
      <c r="L265" s="6">
        <v>19.0</v>
      </c>
    </row>
    <row r="266">
      <c r="A266" s="5" t="s">
        <v>806</v>
      </c>
      <c r="B266" s="5" t="s">
        <v>807</v>
      </c>
      <c r="C266" s="5" t="s">
        <v>808</v>
      </c>
      <c r="D266" s="5" t="s">
        <v>34</v>
      </c>
      <c r="E266" s="6" t="s">
        <v>16</v>
      </c>
      <c r="F266" s="6" t="s">
        <v>16</v>
      </c>
      <c r="G266" s="6">
        <v>13.0</v>
      </c>
      <c r="H266" s="7">
        <v>13.725000000000001</v>
      </c>
      <c r="I266" s="6">
        <v>45.0</v>
      </c>
      <c r="J266" s="6">
        <v>71.7</v>
      </c>
      <c r="K266" s="6">
        <v>265.0</v>
      </c>
      <c r="L266" s="6">
        <v>25.0</v>
      </c>
    </row>
    <row r="267">
      <c r="A267" s="5" t="s">
        <v>809</v>
      </c>
      <c r="B267" s="5" t="s">
        <v>810</v>
      </c>
      <c r="C267" s="5" t="s">
        <v>811</v>
      </c>
      <c r="D267" s="5" t="s">
        <v>222</v>
      </c>
      <c r="E267" s="6" t="s">
        <v>16</v>
      </c>
      <c r="F267" s="6" t="s">
        <v>16</v>
      </c>
      <c r="G267" s="6">
        <v>27.0</v>
      </c>
      <c r="H267" s="7">
        <v>14.625</v>
      </c>
      <c r="I267" s="6">
        <v>30.0</v>
      </c>
      <c r="J267" s="6">
        <v>71.6</v>
      </c>
      <c r="K267" s="6">
        <v>266.0</v>
      </c>
      <c r="L267" s="6">
        <v>19.0</v>
      </c>
    </row>
    <row r="268">
      <c r="A268" s="5" t="s">
        <v>812</v>
      </c>
      <c r="B268" s="5" t="s">
        <v>813</v>
      </c>
      <c r="C268" s="5" t="s">
        <v>814</v>
      </c>
      <c r="D268" s="5" t="s">
        <v>38</v>
      </c>
      <c r="E268" s="6" t="s">
        <v>16</v>
      </c>
      <c r="F268" s="6" t="s">
        <v>16</v>
      </c>
      <c r="G268" s="6">
        <v>15.0</v>
      </c>
      <c r="H268" s="7">
        <v>11.625</v>
      </c>
      <c r="I268" s="6">
        <v>45.0</v>
      </c>
      <c r="J268" s="6">
        <v>71.6</v>
      </c>
      <c r="K268" s="6">
        <v>267.0</v>
      </c>
      <c r="L268" s="6">
        <v>32.0</v>
      </c>
    </row>
    <row r="269">
      <c r="A269" s="5" t="s">
        <v>815</v>
      </c>
      <c r="B269" s="5" t="s">
        <v>816</v>
      </c>
      <c r="C269" s="5" t="s">
        <v>817</v>
      </c>
      <c r="D269" s="5" t="s">
        <v>21</v>
      </c>
      <c r="E269" s="6" t="s">
        <v>16</v>
      </c>
      <c r="F269" s="6" t="s">
        <v>17</v>
      </c>
      <c r="G269" s="6">
        <v>15.0</v>
      </c>
      <c r="H269" s="7">
        <v>13.068750000000001</v>
      </c>
      <c r="I269" s="6">
        <v>43.5</v>
      </c>
      <c r="J269" s="6">
        <v>71.6</v>
      </c>
      <c r="K269" s="6">
        <v>268.0</v>
      </c>
      <c r="L269" s="6">
        <v>38.0</v>
      </c>
    </row>
    <row r="270">
      <c r="A270" s="5" t="s">
        <v>818</v>
      </c>
      <c r="B270" s="5" t="s">
        <v>819</v>
      </c>
      <c r="C270" s="5" t="s">
        <v>820</v>
      </c>
      <c r="D270" s="5" t="s">
        <v>222</v>
      </c>
      <c r="E270" s="6" t="s">
        <v>16</v>
      </c>
      <c r="F270" s="6" t="s">
        <v>17</v>
      </c>
      <c r="G270" s="6">
        <v>13.0</v>
      </c>
      <c r="H270" s="7">
        <v>14.578125</v>
      </c>
      <c r="I270" s="6">
        <v>44.0</v>
      </c>
      <c r="J270" s="6">
        <v>71.6</v>
      </c>
      <c r="K270" s="6">
        <v>269.0</v>
      </c>
      <c r="L270" s="6">
        <v>20.0</v>
      </c>
    </row>
    <row r="271">
      <c r="A271" s="5" t="s">
        <v>821</v>
      </c>
      <c r="B271" s="5" t="s">
        <v>822</v>
      </c>
      <c r="C271" s="5" t="s">
        <v>823</v>
      </c>
      <c r="D271" s="5" t="s">
        <v>34</v>
      </c>
      <c r="E271" s="6" t="s">
        <v>16</v>
      </c>
      <c r="F271" s="6" t="s">
        <v>16</v>
      </c>
      <c r="G271" s="6">
        <v>12.0</v>
      </c>
      <c r="H271" s="7">
        <v>14.625</v>
      </c>
      <c r="I271" s="6">
        <v>45.0</v>
      </c>
      <c r="J271" s="6">
        <v>71.6</v>
      </c>
      <c r="K271" s="6">
        <v>270.0</v>
      </c>
      <c r="L271" s="6">
        <v>26.0</v>
      </c>
    </row>
    <row r="272">
      <c r="A272" s="5" t="s">
        <v>824</v>
      </c>
      <c r="B272" s="5" t="s">
        <v>825</v>
      </c>
      <c r="C272" s="5" t="s">
        <v>826</v>
      </c>
      <c r="D272" s="5" t="s">
        <v>21</v>
      </c>
      <c r="E272" s="6" t="s">
        <v>16</v>
      </c>
      <c r="F272" s="6" t="s">
        <v>16</v>
      </c>
      <c r="G272" s="6">
        <v>15.0</v>
      </c>
      <c r="H272" s="7">
        <v>11.953125</v>
      </c>
      <c r="I272" s="6">
        <v>44.5</v>
      </c>
      <c r="J272" s="6">
        <v>71.5</v>
      </c>
      <c r="K272" s="6">
        <v>271.0</v>
      </c>
      <c r="L272" s="6">
        <v>39.0</v>
      </c>
    </row>
    <row r="273">
      <c r="A273" s="5" t="s">
        <v>827</v>
      </c>
      <c r="B273" s="5" t="s">
        <v>828</v>
      </c>
      <c r="C273" s="5" t="s">
        <v>829</v>
      </c>
      <c r="D273" s="5" t="s">
        <v>21</v>
      </c>
      <c r="E273" s="6" t="s">
        <v>16</v>
      </c>
      <c r="F273" s="6" t="s">
        <v>16</v>
      </c>
      <c r="G273" s="6">
        <v>15.0</v>
      </c>
      <c r="H273" s="7">
        <v>12.450000000000001</v>
      </c>
      <c r="I273" s="6">
        <v>44.0</v>
      </c>
      <c r="J273" s="6">
        <v>71.5</v>
      </c>
      <c r="K273" s="6">
        <v>272.0</v>
      </c>
      <c r="L273" s="6">
        <v>40.0</v>
      </c>
    </row>
    <row r="274">
      <c r="A274" s="5" t="s">
        <v>830</v>
      </c>
      <c r="B274" s="5" t="s">
        <v>831</v>
      </c>
      <c r="C274" s="5" t="s">
        <v>114</v>
      </c>
      <c r="D274" s="5" t="s">
        <v>59</v>
      </c>
      <c r="E274" s="6" t="s">
        <v>16</v>
      </c>
      <c r="F274" s="6" t="s">
        <v>16</v>
      </c>
      <c r="G274" s="6">
        <v>26.0</v>
      </c>
      <c r="H274" s="7">
        <v>13.359375</v>
      </c>
      <c r="I274" s="6">
        <v>32.0</v>
      </c>
      <c r="J274" s="6">
        <v>71.4</v>
      </c>
      <c r="K274" s="6">
        <v>273.0</v>
      </c>
      <c r="L274" s="6">
        <v>23.0</v>
      </c>
    </row>
    <row r="275">
      <c r="A275" s="5" t="s">
        <v>832</v>
      </c>
      <c r="B275" s="5" t="s">
        <v>833</v>
      </c>
      <c r="C275" s="5" t="s">
        <v>834</v>
      </c>
      <c r="D275" s="5" t="s">
        <v>15</v>
      </c>
      <c r="E275" s="6" t="s">
        <v>16</v>
      </c>
      <c r="F275" s="6" t="s">
        <v>16</v>
      </c>
      <c r="G275" s="6">
        <v>15.0</v>
      </c>
      <c r="H275" s="7">
        <v>12.375</v>
      </c>
      <c r="I275" s="6">
        <v>44.0</v>
      </c>
      <c r="J275" s="6">
        <v>71.4</v>
      </c>
      <c r="K275" s="6">
        <v>274.0</v>
      </c>
      <c r="L275" s="6">
        <v>32.0</v>
      </c>
    </row>
    <row r="276">
      <c r="A276" s="5" t="s">
        <v>835</v>
      </c>
      <c r="B276" s="5" t="s">
        <v>836</v>
      </c>
      <c r="C276" s="5" t="s">
        <v>837</v>
      </c>
      <c r="D276" s="5" t="s">
        <v>38</v>
      </c>
      <c r="E276" s="6" t="s">
        <v>16</v>
      </c>
      <c r="F276" s="6" t="s">
        <v>17</v>
      </c>
      <c r="G276" s="6">
        <v>13.0</v>
      </c>
      <c r="H276" s="7">
        <v>13.359375</v>
      </c>
      <c r="I276" s="6">
        <v>45.0</v>
      </c>
      <c r="J276" s="6">
        <v>71.4</v>
      </c>
      <c r="K276" s="6">
        <v>275.0</v>
      </c>
      <c r="L276" s="6">
        <v>33.0</v>
      </c>
    </row>
    <row r="277">
      <c r="A277" s="5" t="s">
        <v>838</v>
      </c>
      <c r="B277" s="5" t="s">
        <v>839</v>
      </c>
      <c r="C277" s="5" t="s">
        <v>840</v>
      </c>
      <c r="D277" s="5" t="s">
        <v>34</v>
      </c>
      <c r="E277" s="6" t="s">
        <v>16</v>
      </c>
      <c r="F277" s="6" t="s">
        <v>17</v>
      </c>
      <c r="G277" s="6">
        <v>13.0</v>
      </c>
      <c r="H277" s="7">
        <v>13.275000000000002</v>
      </c>
      <c r="I277" s="6">
        <v>45.0</v>
      </c>
      <c r="J277" s="6">
        <v>71.3</v>
      </c>
      <c r="K277" s="6">
        <v>276.0</v>
      </c>
      <c r="L277" s="6">
        <v>27.0</v>
      </c>
    </row>
    <row r="278">
      <c r="A278" s="5" t="s">
        <v>841</v>
      </c>
      <c r="B278" s="5" t="s">
        <v>842</v>
      </c>
      <c r="C278" s="5" t="s">
        <v>843</v>
      </c>
      <c r="D278" s="5" t="s">
        <v>222</v>
      </c>
      <c r="E278" s="6" t="s">
        <v>16</v>
      </c>
      <c r="F278" s="6" t="s">
        <v>17</v>
      </c>
      <c r="G278" s="6">
        <v>12.0</v>
      </c>
      <c r="H278" s="7">
        <v>14.25</v>
      </c>
      <c r="I278" s="6">
        <v>45.0</v>
      </c>
      <c r="J278" s="6">
        <v>71.3</v>
      </c>
      <c r="K278" s="6">
        <v>277.0</v>
      </c>
      <c r="L278" s="6">
        <v>21.0</v>
      </c>
    </row>
    <row r="279">
      <c r="A279" s="5" t="s">
        <v>844</v>
      </c>
      <c r="B279" s="5" t="s">
        <v>845</v>
      </c>
      <c r="C279" s="5" t="s">
        <v>846</v>
      </c>
      <c r="D279" s="5" t="s">
        <v>38</v>
      </c>
      <c r="E279" s="6" t="s">
        <v>16</v>
      </c>
      <c r="F279" s="6" t="s">
        <v>17</v>
      </c>
      <c r="G279" s="6">
        <v>25.0</v>
      </c>
      <c r="H279" s="7">
        <v>10.21875</v>
      </c>
      <c r="I279" s="6">
        <v>36.0</v>
      </c>
      <c r="J279" s="6">
        <v>71.2</v>
      </c>
      <c r="K279" s="6">
        <v>278.0</v>
      </c>
      <c r="L279" s="6">
        <v>34.0</v>
      </c>
    </row>
    <row r="280">
      <c r="A280" s="5" t="s">
        <v>847</v>
      </c>
      <c r="B280" s="5" t="s">
        <v>848</v>
      </c>
      <c r="C280" s="5" t="s">
        <v>849</v>
      </c>
      <c r="D280" s="5" t="s">
        <v>15</v>
      </c>
      <c r="E280" s="6" t="s">
        <v>16</v>
      </c>
      <c r="F280" s="6" t="s">
        <v>17</v>
      </c>
      <c r="G280" s="6">
        <v>15.0</v>
      </c>
      <c r="H280" s="7">
        <v>13.21875</v>
      </c>
      <c r="I280" s="6">
        <v>43.0</v>
      </c>
      <c r="J280" s="6">
        <v>71.2</v>
      </c>
      <c r="K280" s="6">
        <v>279.0</v>
      </c>
      <c r="L280" s="6">
        <v>33.0</v>
      </c>
    </row>
    <row r="281">
      <c r="A281" s="5" t="s">
        <v>850</v>
      </c>
      <c r="B281" s="5" t="s">
        <v>851</v>
      </c>
      <c r="C281" s="5" t="s">
        <v>852</v>
      </c>
      <c r="D281" s="5" t="s">
        <v>42</v>
      </c>
      <c r="E281" s="6" t="s">
        <v>16</v>
      </c>
      <c r="F281" s="6" t="s">
        <v>17</v>
      </c>
      <c r="G281" s="6">
        <v>14.0</v>
      </c>
      <c r="H281" s="7">
        <v>12.206249999999999</v>
      </c>
      <c r="I281" s="6">
        <v>45.0</v>
      </c>
      <c r="J281" s="6">
        <v>71.2</v>
      </c>
      <c r="K281" s="6">
        <v>280.0</v>
      </c>
      <c r="L281" s="6">
        <v>20.0</v>
      </c>
    </row>
    <row r="282">
      <c r="A282" s="5" t="s">
        <v>853</v>
      </c>
      <c r="B282" s="5" t="s">
        <v>854</v>
      </c>
      <c r="C282" s="5" t="s">
        <v>855</v>
      </c>
      <c r="D282" s="5" t="s">
        <v>42</v>
      </c>
      <c r="E282" s="6" t="s">
        <v>16</v>
      </c>
      <c r="F282" s="6" t="s">
        <v>17</v>
      </c>
      <c r="G282" s="6">
        <v>12.0</v>
      </c>
      <c r="H282" s="7">
        <v>14.225625</v>
      </c>
      <c r="I282" s="6">
        <v>45.0</v>
      </c>
      <c r="J282" s="6">
        <v>71.2</v>
      </c>
      <c r="K282" s="6">
        <v>281.0</v>
      </c>
      <c r="L282" s="6">
        <v>21.0</v>
      </c>
    </row>
    <row r="283">
      <c r="A283" s="5" t="s">
        <v>856</v>
      </c>
      <c r="B283" s="5" t="s">
        <v>857</v>
      </c>
      <c r="C283" s="5" t="s">
        <v>858</v>
      </c>
      <c r="D283" s="5" t="s">
        <v>59</v>
      </c>
      <c r="E283" s="6" t="s">
        <v>16</v>
      </c>
      <c r="F283" s="6" t="s">
        <v>16</v>
      </c>
      <c r="G283" s="6">
        <v>13.0</v>
      </c>
      <c r="H283" s="7">
        <v>13.087499999999999</v>
      </c>
      <c r="I283" s="6">
        <v>45.0</v>
      </c>
      <c r="J283" s="6">
        <v>71.1</v>
      </c>
      <c r="K283" s="6">
        <v>282.0</v>
      </c>
      <c r="L283" s="6">
        <v>24.0</v>
      </c>
    </row>
    <row r="284">
      <c r="A284" s="5" t="s">
        <v>859</v>
      </c>
      <c r="B284" s="5" t="s">
        <v>860</v>
      </c>
      <c r="C284" s="5" t="s">
        <v>861</v>
      </c>
      <c r="D284" s="5" t="s">
        <v>177</v>
      </c>
      <c r="E284" s="6" t="s">
        <v>16</v>
      </c>
      <c r="F284" s="6" t="s">
        <v>17</v>
      </c>
      <c r="G284" s="6">
        <v>32.0</v>
      </c>
      <c r="H284" s="7">
        <v>9.046875</v>
      </c>
      <c r="I284" s="6">
        <v>30.0</v>
      </c>
      <c r="J284" s="6">
        <v>71.0</v>
      </c>
      <c r="K284" s="6">
        <v>283.0</v>
      </c>
      <c r="L284" s="6">
        <v>7.0</v>
      </c>
    </row>
    <row r="285">
      <c r="A285" s="5" t="s">
        <v>862</v>
      </c>
      <c r="B285" s="5" t="s">
        <v>863</v>
      </c>
      <c r="C285" s="5" t="s">
        <v>864</v>
      </c>
      <c r="D285" s="5" t="s">
        <v>21</v>
      </c>
      <c r="E285" s="6" t="s">
        <v>16</v>
      </c>
      <c r="F285" s="6" t="s">
        <v>16</v>
      </c>
      <c r="G285" s="6">
        <v>15.0</v>
      </c>
      <c r="H285" s="7">
        <v>11.00625</v>
      </c>
      <c r="I285" s="6">
        <v>45.0</v>
      </c>
      <c r="J285" s="6">
        <v>71.0</v>
      </c>
      <c r="K285" s="6">
        <v>284.0</v>
      </c>
      <c r="L285" s="6">
        <v>41.0</v>
      </c>
    </row>
    <row r="286">
      <c r="A286" s="5" t="s">
        <v>865</v>
      </c>
      <c r="B286" s="5" t="s">
        <v>866</v>
      </c>
      <c r="C286" s="5" t="s">
        <v>867</v>
      </c>
      <c r="D286" s="5" t="s">
        <v>21</v>
      </c>
      <c r="E286" s="6" t="s">
        <v>16</v>
      </c>
      <c r="F286" s="6" t="s">
        <v>16</v>
      </c>
      <c r="G286" s="6">
        <v>15.0</v>
      </c>
      <c r="H286" s="7">
        <v>12.037499999999998</v>
      </c>
      <c r="I286" s="6">
        <v>44.0</v>
      </c>
      <c r="J286" s="6">
        <v>71.0</v>
      </c>
      <c r="K286" s="6">
        <v>285.0</v>
      </c>
      <c r="L286" s="6">
        <v>42.0</v>
      </c>
    </row>
    <row r="287">
      <c r="A287" s="5" t="s">
        <v>868</v>
      </c>
      <c r="B287" s="5" t="s">
        <v>869</v>
      </c>
      <c r="C287" s="5" t="s">
        <v>870</v>
      </c>
      <c r="D287" s="5" t="s">
        <v>38</v>
      </c>
      <c r="E287" s="6" t="s">
        <v>17</v>
      </c>
      <c r="F287" s="6" t="s">
        <v>17</v>
      </c>
      <c r="G287" s="6">
        <v>15.0</v>
      </c>
      <c r="H287" s="7">
        <v>12.0</v>
      </c>
      <c r="I287" s="6">
        <v>44.0</v>
      </c>
      <c r="J287" s="6">
        <v>71.0</v>
      </c>
      <c r="K287" s="6">
        <v>286.0</v>
      </c>
      <c r="L287" s="6">
        <v>35.0</v>
      </c>
    </row>
    <row r="288">
      <c r="A288" s="5" t="s">
        <v>871</v>
      </c>
      <c r="B288" s="5" t="s">
        <v>872</v>
      </c>
      <c r="C288" s="5" t="s">
        <v>873</v>
      </c>
      <c r="D288" s="5" t="s">
        <v>42</v>
      </c>
      <c r="E288" s="6" t="s">
        <v>16</v>
      </c>
      <c r="F288" s="6" t="s">
        <v>16</v>
      </c>
      <c r="G288" s="6">
        <v>14.0</v>
      </c>
      <c r="H288" s="7">
        <v>12.975</v>
      </c>
      <c r="I288" s="6">
        <v>44.0</v>
      </c>
      <c r="J288" s="6">
        <v>71.0</v>
      </c>
      <c r="K288" s="6">
        <v>287.0</v>
      </c>
      <c r="L288" s="6">
        <v>22.0</v>
      </c>
    </row>
    <row r="289">
      <c r="A289" s="5" t="s">
        <v>874</v>
      </c>
      <c r="B289" s="5" t="s">
        <v>875</v>
      </c>
      <c r="C289" s="5" t="s">
        <v>876</v>
      </c>
      <c r="D289" s="5" t="s">
        <v>52</v>
      </c>
      <c r="E289" s="6" t="s">
        <v>16</v>
      </c>
      <c r="F289" s="6" t="s">
        <v>17</v>
      </c>
      <c r="G289" s="6">
        <v>14.0</v>
      </c>
      <c r="H289" s="7">
        <v>13.96875</v>
      </c>
      <c r="I289" s="6">
        <v>43.0</v>
      </c>
      <c r="J289" s="6">
        <v>71.0</v>
      </c>
      <c r="K289" s="6">
        <v>288.0</v>
      </c>
      <c r="L289" s="6">
        <v>20.0</v>
      </c>
    </row>
    <row r="290">
      <c r="A290" s="5" t="s">
        <v>877</v>
      </c>
      <c r="B290" s="5" t="s">
        <v>878</v>
      </c>
      <c r="C290" s="5" t="s">
        <v>879</v>
      </c>
      <c r="D290" s="5" t="s">
        <v>52</v>
      </c>
      <c r="E290" s="6" t="s">
        <v>16</v>
      </c>
      <c r="F290" s="6" t="s">
        <v>17</v>
      </c>
      <c r="G290" s="6">
        <v>13.0</v>
      </c>
      <c r="H290" s="7">
        <v>13.96875</v>
      </c>
      <c r="I290" s="6">
        <v>44.0</v>
      </c>
      <c r="J290" s="6">
        <v>71.0</v>
      </c>
      <c r="K290" s="6">
        <v>289.0</v>
      </c>
      <c r="L290" s="6">
        <v>21.0</v>
      </c>
    </row>
    <row r="291">
      <c r="A291" s="5" t="s">
        <v>880</v>
      </c>
      <c r="B291" s="5" t="s">
        <v>881</v>
      </c>
      <c r="C291" s="5" t="s">
        <v>882</v>
      </c>
      <c r="D291" s="5" t="s">
        <v>15</v>
      </c>
      <c r="E291" s="6" t="s">
        <v>16</v>
      </c>
      <c r="F291" s="6" t="s">
        <v>16</v>
      </c>
      <c r="G291" s="6">
        <v>12.0</v>
      </c>
      <c r="H291" s="7">
        <v>15.0</v>
      </c>
      <c r="I291" s="6">
        <v>44.0</v>
      </c>
      <c r="J291" s="6">
        <v>71.0</v>
      </c>
      <c r="K291" s="6">
        <v>290.0</v>
      </c>
      <c r="L291" s="6">
        <v>34.0</v>
      </c>
    </row>
    <row r="292">
      <c r="A292" s="5" t="s">
        <v>883</v>
      </c>
      <c r="B292" s="5" t="s">
        <v>884</v>
      </c>
      <c r="C292" s="5" t="s">
        <v>885</v>
      </c>
      <c r="D292" s="5" t="s">
        <v>268</v>
      </c>
      <c r="E292" s="6" t="s">
        <v>16</v>
      </c>
      <c r="F292" s="6" t="s">
        <v>16</v>
      </c>
      <c r="G292" s="6">
        <v>11.0</v>
      </c>
      <c r="H292" s="7">
        <v>15.0</v>
      </c>
      <c r="I292" s="6">
        <v>45.0</v>
      </c>
      <c r="J292" s="6">
        <v>71.0</v>
      </c>
      <c r="K292" s="6">
        <v>291.0</v>
      </c>
      <c r="L292" s="6">
        <v>17.0</v>
      </c>
    </row>
    <row r="293">
      <c r="A293" s="5" t="s">
        <v>886</v>
      </c>
      <c r="B293" s="5" t="s">
        <v>887</v>
      </c>
      <c r="C293" s="5" t="s">
        <v>888</v>
      </c>
      <c r="D293" s="5" t="s">
        <v>42</v>
      </c>
      <c r="E293" s="6" t="s">
        <v>16</v>
      </c>
      <c r="F293" s="6" t="s">
        <v>17</v>
      </c>
      <c r="G293" s="6">
        <v>11.0</v>
      </c>
      <c r="H293" s="7">
        <v>15.0</v>
      </c>
      <c r="I293" s="6">
        <v>45.0</v>
      </c>
      <c r="J293" s="6">
        <v>71.0</v>
      </c>
      <c r="K293" s="6">
        <v>292.0</v>
      </c>
      <c r="L293" s="6">
        <v>23.0</v>
      </c>
    </row>
    <row r="294">
      <c r="A294" s="5" t="s">
        <v>889</v>
      </c>
      <c r="B294" s="5" t="s">
        <v>890</v>
      </c>
      <c r="C294" s="5" t="s">
        <v>891</v>
      </c>
      <c r="D294" s="5" t="s">
        <v>21</v>
      </c>
      <c r="E294" s="6" t="s">
        <v>16</v>
      </c>
      <c r="F294" s="6" t="s">
        <v>16</v>
      </c>
      <c r="G294" s="6">
        <v>15.0</v>
      </c>
      <c r="H294" s="7">
        <v>10.903125</v>
      </c>
      <c r="I294" s="6">
        <v>45.0</v>
      </c>
      <c r="J294" s="6">
        <v>70.9</v>
      </c>
      <c r="K294" s="6">
        <v>293.0</v>
      </c>
      <c r="L294" s="6">
        <v>43.0</v>
      </c>
    </row>
    <row r="295">
      <c r="A295" s="5" t="s">
        <v>892</v>
      </c>
      <c r="B295" s="5" t="s">
        <v>893</v>
      </c>
      <c r="C295" s="5" t="s">
        <v>894</v>
      </c>
      <c r="D295" s="5" t="s">
        <v>21</v>
      </c>
      <c r="E295" s="6" t="s">
        <v>16</v>
      </c>
      <c r="F295" s="6" t="s">
        <v>17</v>
      </c>
      <c r="G295" s="6">
        <v>15.0</v>
      </c>
      <c r="H295" s="7">
        <v>10.865625</v>
      </c>
      <c r="I295" s="6">
        <v>45.0</v>
      </c>
      <c r="J295" s="6">
        <v>70.9</v>
      </c>
      <c r="K295" s="6">
        <v>294.0</v>
      </c>
      <c r="L295" s="6">
        <v>44.0</v>
      </c>
    </row>
    <row r="296">
      <c r="A296" s="5" t="s">
        <v>895</v>
      </c>
      <c r="B296" s="5" t="s">
        <v>896</v>
      </c>
      <c r="C296" s="5" t="s">
        <v>897</v>
      </c>
      <c r="D296" s="5" t="s">
        <v>38</v>
      </c>
      <c r="E296" s="6" t="s">
        <v>16</v>
      </c>
      <c r="F296" s="6" t="s">
        <v>16</v>
      </c>
      <c r="G296" s="6">
        <v>15.0</v>
      </c>
      <c r="H296" s="7">
        <v>13.875</v>
      </c>
      <c r="I296" s="6">
        <v>42.0</v>
      </c>
      <c r="J296" s="6">
        <v>70.9</v>
      </c>
      <c r="K296" s="6">
        <v>295.0</v>
      </c>
      <c r="L296" s="6">
        <v>36.0</v>
      </c>
    </row>
    <row r="297">
      <c r="A297" s="5" t="s">
        <v>898</v>
      </c>
      <c r="B297" s="5" t="s">
        <v>899</v>
      </c>
      <c r="C297" s="5" t="s">
        <v>900</v>
      </c>
      <c r="D297" s="5" t="s">
        <v>38</v>
      </c>
      <c r="E297" s="6" t="s">
        <v>16</v>
      </c>
      <c r="F297" s="6" t="s">
        <v>17</v>
      </c>
      <c r="G297" s="6">
        <v>15.0</v>
      </c>
      <c r="H297" s="7">
        <v>11.671875</v>
      </c>
      <c r="I297" s="6">
        <v>44.0</v>
      </c>
      <c r="J297" s="6">
        <v>70.7</v>
      </c>
      <c r="K297" s="6">
        <v>296.0</v>
      </c>
      <c r="L297" s="6">
        <v>37.0</v>
      </c>
    </row>
    <row r="298">
      <c r="A298" s="5" t="s">
        <v>901</v>
      </c>
      <c r="B298" s="5" t="s">
        <v>902</v>
      </c>
      <c r="C298" s="5" t="s">
        <v>903</v>
      </c>
      <c r="D298" s="5" t="s">
        <v>21</v>
      </c>
      <c r="E298" s="6" t="s">
        <v>16</v>
      </c>
      <c r="F298" s="6" t="s">
        <v>17</v>
      </c>
      <c r="G298" s="6">
        <v>15.0</v>
      </c>
      <c r="H298" s="7">
        <v>11.625</v>
      </c>
      <c r="I298" s="6">
        <v>44.0</v>
      </c>
      <c r="J298" s="6">
        <v>70.6</v>
      </c>
      <c r="K298" s="6">
        <v>297.0</v>
      </c>
      <c r="L298" s="6">
        <v>45.0</v>
      </c>
    </row>
    <row r="299">
      <c r="A299" s="5" t="s">
        <v>904</v>
      </c>
      <c r="B299" s="5" t="s">
        <v>905</v>
      </c>
      <c r="C299" s="5" t="s">
        <v>906</v>
      </c>
      <c r="D299" s="5" t="s">
        <v>42</v>
      </c>
      <c r="E299" s="6" t="s">
        <v>16</v>
      </c>
      <c r="F299" s="6" t="s">
        <v>16</v>
      </c>
      <c r="G299" s="6">
        <v>14.0</v>
      </c>
      <c r="H299" s="7">
        <v>12.6375</v>
      </c>
      <c r="I299" s="6">
        <v>44.0</v>
      </c>
      <c r="J299" s="6">
        <v>70.6</v>
      </c>
      <c r="K299" s="6">
        <v>298.0</v>
      </c>
      <c r="L299" s="6">
        <v>24.0</v>
      </c>
    </row>
    <row r="300">
      <c r="A300" s="5" t="s">
        <v>907</v>
      </c>
      <c r="B300" s="5" t="s">
        <v>908</v>
      </c>
      <c r="C300" s="5" t="s">
        <v>909</v>
      </c>
      <c r="D300" s="5" t="s">
        <v>38</v>
      </c>
      <c r="E300" s="6" t="s">
        <v>16</v>
      </c>
      <c r="F300" s="6" t="s">
        <v>17</v>
      </c>
      <c r="G300" s="6">
        <v>13.0</v>
      </c>
      <c r="H300" s="7">
        <v>14.625</v>
      </c>
      <c r="I300" s="6">
        <v>43.0</v>
      </c>
      <c r="J300" s="6">
        <v>70.6</v>
      </c>
      <c r="K300" s="6">
        <v>299.0</v>
      </c>
      <c r="L300" s="6">
        <v>38.0</v>
      </c>
    </row>
    <row r="301">
      <c r="A301" s="5" t="s">
        <v>910</v>
      </c>
      <c r="B301" s="5" t="s">
        <v>911</v>
      </c>
      <c r="C301" s="5" t="s">
        <v>912</v>
      </c>
      <c r="D301" s="5" t="s">
        <v>52</v>
      </c>
      <c r="E301" s="6" t="s">
        <v>16</v>
      </c>
      <c r="F301" s="6" t="s">
        <v>16</v>
      </c>
      <c r="G301" s="6">
        <v>13.0</v>
      </c>
      <c r="H301" s="7">
        <v>14.625</v>
      </c>
      <c r="I301" s="6">
        <v>43.0</v>
      </c>
      <c r="J301" s="6">
        <v>70.6</v>
      </c>
      <c r="K301" s="6">
        <v>300.0</v>
      </c>
      <c r="L301" s="6">
        <v>22.0</v>
      </c>
    </row>
    <row r="302">
      <c r="A302" s="5" t="s">
        <v>913</v>
      </c>
      <c r="B302" s="5" t="s">
        <v>914</v>
      </c>
      <c r="C302" s="5" t="s">
        <v>915</v>
      </c>
      <c r="D302" s="5" t="s">
        <v>34</v>
      </c>
      <c r="E302" s="6" t="s">
        <v>16</v>
      </c>
      <c r="F302" s="6" t="s">
        <v>16</v>
      </c>
      <c r="G302" s="6">
        <v>17.0</v>
      </c>
      <c r="H302" s="7">
        <v>8.512500000000001</v>
      </c>
      <c r="I302" s="6">
        <v>45.0</v>
      </c>
      <c r="J302" s="6">
        <v>70.5</v>
      </c>
      <c r="K302" s="6">
        <v>301.0</v>
      </c>
      <c r="L302" s="6">
        <v>28.0</v>
      </c>
    </row>
    <row r="303">
      <c r="A303" s="5" t="s">
        <v>916</v>
      </c>
      <c r="B303" s="5" t="s">
        <v>917</v>
      </c>
      <c r="C303" s="5" t="s">
        <v>918</v>
      </c>
      <c r="D303" s="5" t="s">
        <v>59</v>
      </c>
      <c r="E303" s="6" t="s">
        <v>16</v>
      </c>
      <c r="F303" s="6" t="s">
        <v>17</v>
      </c>
      <c r="G303" s="6">
        <v>15.0</v>
      </c>
      <c r="H303" s="7">
        <v>10.546875</v>
      </c>
      <c r="I303" s="6">
        <v>45.0</v>
      </c>
      <c r="J303" s="6">
        <v>70.5</v>
      </c>
      <c r="K303" s="6">
        <v>302.0</v>
      </c>
      <c r="L303" s="6">
        <v>25.0</v>
      </c>
    </row>
    <row r="304">
      <c r="A304" s="5" t="s">
        <v>919</v>
      </c>
      <c r="B304" s="5" t="s">
        <v>920</v>
      </c>
      <c r="C304" s="5" t="s">
        <v>921</v>
      </c>
      <c r="D304" s="5" t="s">
        <v>59</v>
      </c>
      <c r="E304" s="6" t="s">
        <v>16</v>
      </c>
      <c r="F304" s="6" t="s">
        <v>16</v>
      </c>
      <c r="G304" s="6">
        <v>15.0</v>
      </c>
      <c r="H304" s="7">
        <v>13.546875</v>
      </c>
      <c r="I304" s="6">
        <v>42.0</v>
      </c>
      <c r="J304" s="6">
        <v>70.5</v>
      </c>
      <c r="K304" s="6">
        <v>303.0</v>
      </c>
      <c r="L304" s="6">
        <v>26.0</v>
      </c>
    </row>
    <row r="305">
      <c r="A305" s="5" t="s">
        <v>922</v>
      </c>
      <c r="B305" s="5" t="s">
        <v>923</v>
      </c>
      <c r="C305" s="5" t="s">
        <v>924</v>
      </c>
      <c r="D305" s="5" t="s">
        <v>38</v>
      </c>
      <c r="E305" s="6" t="s">
        <v>16</v>
      </c>
      <c r="F305" s="6" t="s">
        <v>17</v>
      </c>
      <c r="G305" s="6">
        <v>13.0</v>
      </c>
      <c r="H305" s="7">
        <v>13.96875</v>
      </c>
      <c r="I305" s="6">
        <v>43.5</v>
      </c>
      <c r="J305" s="9">
        <v>70.5</v>
      </c>
      <c r="K305" s="6">
        <v>304.0</v>
      </c>
      <c r="L305" s="6">
        <v>39.0</v>
      </c>
    </row>
    <row r="306">
      <c r="A306" s="5" t="s">
        <v>925</v>
      </c>
      <c r="B306" s="5" t="s">
        <v>926</v>
      </c>
      <c r="C306" s="5" t="s">
        <v>927</v>
      </c>
      <c r="D306" s="5" t="s">
        <v>118</v>
      </c>
      <c r="E306" s="6" t="s">
        <v>16</v>
      </c>
      <c r="F306" s="6" t="s">
        <v>17</v>
      </c>
      <c r="G306" s="6">
        <v>13.0</v>
      </c>
      <c r="H306" s="7">
        <v>12.515625</v>
      </c>
      <c r="I306" s="6">
        <v>45.0</v>
      </c>
      <c r="J306" s="6">
        <v>70.5</v>
      </c>
      <c r="K306" s="6">
        <v>305.0</v>
      </c>
      <c r="L306" s="6">
        <v>22.0</v>
      </c>
    </row>
    <row r="307">
      <c r="A307" s="5" t="s">
        <v>928</v>
      </c>
      <c r="B307" s="5" t="s">
        <v>929</v>
      </c>
      <c r="C307" s="5" t="s">
        <v>930</v>
      </c>
      <c r="D307" s="5" t="s">
        <v>75</v>
      </c>
      <c r="E307" s="6" t="s">
        <v>16</v>
      </c>
      <c r="F307" s="6" t="s">
        <v>16</v>
      </c>
      <c r="G307" s="6">
        <v>17.0</v>
      </c>
      <c r="H307" s="7">
        <v>13.893749999999999</v>
      </c>
      <c r="I307" s="6">
        <v>39.5</v>
      </c>
      <c r="J307" s="6">
        <v>70.4</v>
      </c>
      <c r="K307" s="6">
        <v>306.0</v>
      </c>
      <c r="L307" s="6">
        <v>21.0</v>
      </c>
    </row>
    <row r="308">
      <c r="A308" s="5" t="s">
        <v>931</v>
      </c>
      <c r="B308" s="5" t="s">
        <v>932</v>
      </c>
      <c r="C308" s="5" t="s">
        <v>933</v>
      </c>
      <c r="D308" s="5" t="s">
        <v>268</v>
      </c>
      <c r="E308" s="6" t="s">
        <v>16</v>
      </c>
      <c r="F308" s="6" t="s">
        <v>17</v>
      </c>
      <c r="G308" s="6">
        <v>13.0</v>
      </c>
      <c r="H308" s="7">
        <v>14.390625</v>
      </c>
      <c r="I308" s="6">
        <v>43.0</v>
      </c>
      <c r="J308" s="6">
        <v>70.4</v>
      </c>
      <c r="K308" s="6">
        <v>307.0</v>
      </c>
      <c r="L308" s="6">
        <v>18.0</v>
      </c>
    </row>
    <row r="309">
      <c r="A309" s="5" t="s">
        <v>934</v>
      </c>
      <c r="B309" s="5" t="s">
        <v>935</v>
      </c>
      <c r="C309" s="5" t="s">
        <v>936</v>
      </c>
      <c r="D309" s="5" t="s">
        <v>21</v>
      </c>
      <c r="E309" s="6" t="s">
        <v>16</v>
      </c>
      <c r="F309" s="6" t="s">
        <v>17</v>
      </c>
      <c r="G309" s="6">
        <v>11.0</v>
      </c>
      <c r="H309" s="7">
        <v>14.418750000000001</v>
      </c>
      <c r="I309" s="6">
        <v>45.0</v>
      </c>
      <c r="J309" s="6">
        <v>70.4</v>
      </c>
      <c r="K309" s="6">
        <v>308.0</v>
      </c>
      <c r="L309" s="6">
        <v>46.0</v>
      </c>
    </row>
    <row r="310">
      <c r="A310" s="5" t="s">
        <v>937</v>
      </c>
      <c r="B310" s="5" t="s">
        <v>938</v>
      </c>
      <c r="C310" s="5" t="s">
        <v>939</v>
      </c>
      <c r="D310" s="5" t="s">
        <v>34</v>
      </c>
      <c r="E310" s="6" t="s">
        <v>16</v>
      </c>
      <c r="F310" s="6" t="s">
        <v>16</v>
      </c>
      <c r="G310" s="6">
        <v>22.0</v>
      </c>
      <c r="H310" s="7">
        <v>12.2625</v>
      </c>
      <c r="I310" s="6">
        <v>36.0</v>
      </c>
      <c r="J310" s="6">
        <v>70.3</v>
      </c>
      <c r="K310" s="6">
        <v>309.0</v>
      </c>
      <c r="L310" s="6">
        <v>29.0</v>
      </c>
    </row>
    <row r="311">
      <c r="A311" s="5" t="s">
        <v>940</v>
      </c>
      <c r="B311" s="5" t="s">
        <v>941</v>
      </c>
      <c r="C311" s="5" t="s">
        <v>942</v>
      </c>
      <c r="D311" s="5" t="s">
        <v>75</v>
      </c>
      <c r="E311" s="6" t="s">
        <v>16</v>
      </c>
      <c r="F311" s="6" t="s">
        <v>17</v>
      </c>
      <c r="G311" s="6">
        <v>15.0</v>
      </c>
      <c r="H311" s="7">
        <v>14.25</v>
      </c>
      <c r="I311" s="6">
        <v>41.0</v>
      </c>
      <c r="J311" s="6">
        <v>70.3</v>
      </c>
      <c r="K311" s="6">
        <v>310.0</v>
      </c>
      <c r="L311" s="6">
        <v>22.0</v>
      </c>
    </row>
    <row r="312">
      <c r="A312" s="5" t="s">
        <v>943</v>
      </c>
      <c r="B312" s="5" t="s">
        <v>944</v>
      </c>
      <c r="C312" s="5" t="s">
        <v>191</v>
      </c>
      <c r="D312" s="5" t="s">
        <v>118</v>
      </c>
      <c r="E312" s="6" t="s">
        <v>16</v>
      </c>
      <c r="F312" s="6" t="s">
        <v>16</v>
      </c>
      <c r="G312" s="6">
        <v>14.0</v>
      </c>
      <c r="H312" s="7">
        <v>14.25</v>
      </c>
      <c r="I312" s="6">
        <v>42.0</v>
      </c>
      <c r="J312" s="6">
        <v>70.3</v>
      </c>
      <c r="K312" s="6">
        <v>311.0</v>
      </c>
      <c r="L312" s="6">
        <v>23.0</v>
      </c>
    </row>
    <row r="313">
      <c r="A313" s="5" t="s">
        <v>945</v>
      </c>
      <c r="B313" s="5" t="s">
        <v>946</v>
      </c>
      <c r="C313" s="5" t="s">
        <v>947</v>
      </c>
      <c r="D313" s="5" t="s">
        <v>59</v>
      </c>
      <c r="E313" s="6" t="s">
        <v>16</v>
      </c>
      <c r="F313" s="6" t="s">
        <v>17</v>
      </c>
      <c r="G313" s="6">
        <v>13.0</v>
      </c>
      <c r="H313" s="7">
        <v>14.296875</v>
      </c>
      <c r="I313" s="6">
        <v>43.0</v>
      </c>
      <c r="J313" s="6">
        <v>70.3</v>
      </c>
      <c r="K313" s="6">
        <v>312.0</v>
      </c>
      <c r="L313" s="6">
        <v>27.0</v>
      </c>
    </row>
    <row r="314">
      <c r="A314" s="5" t="s">
        <v>948</v>
      </c>
      <c r="B314" s="5" t="s">
        <v>949</v>
      </c>
      <c r="C314" s="5" t="s">
        <v>950</v>
      </c>
      <c r="D314" s="5" t="s">
        <v>38</v>
      </c>
      <c r="E314" s="6" t="s">
        <v>16</v>
      </c>
      <c r="F314" s="6" t="s">
        <v>16</v>
      </c>
      <c r="G314" s="6">
        <v>13.0</v>
      </c>
      <c r="H314" s="7">
        <v>14.25</v>
      </c>
      <c r="I314" s="6">
        <v>43.0</v>
      </c>
      <c r="J314" s="6">
        <v>70.3</v>
      </c>
      <c r="K314" s="6">
        <v>313.0</v>
      </c>
      <c r="L314" s="6">
        <v>40.0</v>
      </c>
    </row>
    <row r="315">
      <c r="A315" s="5" t="s">
        <v>951</v>
      </c>
      <c r="B315" s="5" t="s">
        <v>952</v>
      </c>
      <c r="C315" s="5" t="s">
        <v>953</v>
      </c>
      <c r="D315" s="5" t="s">
        <v>177</v>
      </c>
      <c r="E315" s="6" t="s">
        <v>16</v>
      </c>
      <c r="F315" s="6" t="s">
        <v>17</v>
      </c>
      <c r="G315" s="6">
        <v>12.0</v>
      </c>
      <c r="H315" s="7">
        <v>13.34375</v>
      </c>
      <c r="I315" s="6">
        <v>45.0</v>
      </c>
      <c r="J315" s="6">
        <v>70.3</v>
      </c>
      <c r="K315" s="6">
        <v>314.0</v>
      </c>
      <c r="L315" s="6">
        <v>8.0</v>
      </c>
    </row>
    <row r="316">
      <c r="A316" s="5" t="s">
        <v>954</v>
      </c>
      <c r="B316" s="5" t="s">
        <v>955</v>
      </c>
      <c r="C316" s="5" t="s">
        <v>956</v>
      </c>
      <c r="D316" s="5" t="s">
        <v>15</v>
      </c>
      <c r="E316" s="6" t="s">
        <v>16</v>
      </c>
      <c r="F316" s="6" t="s">
        <v>16</v>
      </c>
      <c r="G316" s="6">
        <v>12.0</v>
      </c>
      <c r="H316" s="7">
        <v>14.25</v>
      </c>
      <c r="I316" s="6">
        <v>44.0</v>
      </c>
      <c r="J316" s="6">
        <v>70.3</v>
      </c>
      <c r="K316" s="6">
        <v>315.0</v>
      </c>
      <c r="L316" s="6">
        <v>35.0</v>
      </c>
    </row>
    <row r="317">
      <c r="A317" s="5" t="s">
        <v>957</v>
      </c>
      <c r="B317" s="5" t="s">
        <v>958</v>
      </c>
      <c r="C317" s="5" t="s">
        <v>959</v>
      </c>
      <c r="D317" s="5" t="s">
        <v>52</v>
      </c>
      <c r="E317" s="6" t="s">
        <v>16</v>
      </c>
      <c r="F317" s="6" t="s">
        <v>16</v>
      </c>
      <c r="G317" s="6">
        <v>14.0</v>
      </c>
      <c r="H317" s="7">
        <v>11.15625</v>
      </c>
      <c r="I317" s="6">
        <v>45.0</v>
      </c>
      <c r="J317" s="6">
        <v>70.2</v>
      </c>
      <c r="K317" s="6">
        <v>316.0</v>
      </c>
      <c r="L317" s="6">
        <v>23.0</v>
      </c>
    </row>
    <row r="318">
      <c r="A318" s="5" t="s">
        <v>960</v>
      </c>
      <c r="B318" s="5" t="s">
        <v>961</v>
      </c>
      <c r="C318" s="5" t="s">
        <v>962</v>
      </c>
      <c r="D318" s="5" t="s">
        <v>118</v>
      </c>
      <c r="E318" s="6" t="s">
        <v>16</v>
      </c>
      <c r="F318" s="6" t="s">
        <v>17</v>
      </c>
      <c r="G318" s="6">
        <v>14.0</v>
      </c>
      <c r="H318" s="7">
        <v>14.203125</v>
      </c>
      <c r="I318" s="6">
        <v>42.0</v>
      </c>
      <c r="J318" s="6">
        <v>70.2</v>
      </c>
      <c r="K318" s="6">
        <v>317.0</v>
      </c>
      <c r="L318" s="6">
        <v>24.0</v>
      </c>
    </row>
    <row r="319">
      <c r="A319" s="5" t="s">
        <v>963</v>
      </c>
      <c r="B319" s="5" t="s">
        <v>964</v>
      </c>
      <c r="C319" s="5" t="s">
        <v>965</v>
      </c>
      <c r="D319" s="5" t="s">
        <v>75</v>
      </c>
      <c r="E319" s="6" t="s">
        <v>16</v>
      </c>
      <c r="F319" s="6" t="s">
        <v>17</v>
      </c>
      <c r="G319" s="6">
        <v>15.0</v>
      </c>
      <c r="H319" s="7">
        <v>10.14375</v>
      </c>
      <c r="I319" s="6">
        <v>45.0</v>
      </c>
      <c r="J319" s="6">
        <v>70.1</v>
      </c>
      <c r="K319" s="6">
        <v>318.0</v>
      </c>
      <c r="L319" s="6">
        <v>23.0</v>
      </c>
    </row>
    <row r="320">
      <c r="A320" s="5" t="s">
        <v>966</v>
      </c>
      <c r="B320" s="5" t="s">
        <v>967</v>
      </c>
      <c r="C320" s="5" t="s">
        <v>968</v>
      </c>
      <c r="D320" s="5" t="s">
        <v>38</v>
      </c>
      <c r="E320" s="6" t="s">
        <v>16</v>
      </c>
      <c r="F320" s="6" t="s">
        <v>16</v>
      </c>
      <c r="G320" s="6">
        <v>15.0</v>
      </c>
      <c r="H320" s="7">
        <v>12.09375</v>
      </c>
      <c r="I320" s="6">
        <v>43.0</v>
      </c>
      <c r="J320" s="6">
        <v>70.1</v>
      </c>
      <c r="K320" s="6">
        <v>319.0</v>
      </c>
      <c r="L320" s="6">
        <v>41.0</v>
      </c>
    </row>
    <row r="321">
      <c r="A321" s="5" t="s">
        <v>969</v>
      </c>
      <c r="B321" s="5" t="s">
        <v>970</v>
      </c>
      <c r="C321" s="5" t="s">
        <v>971</v>
      </c>
      <c r="D321" s="5" t="s">
        <v>21</v>
      </c>
      <c r="E321" s="6" t="s">
        <v>16</v>
      </c>
      <c r="F321" s="6" t="s">
        <v>17</v>
      </c>
      <c r="G321" s="6">
        <v>15.0</v>
      </c>
      <c r="H321" s="7">
        <v>13.068750000000001</v>
      </c>
      <c r="I321" s="6">
        <v>42.0</v>
      </c>
      <c r="J321" s="6">
        <v>70.1</v>
      </c>
      <c r="K321" s="6">
        <v>320.0</v>
      </c>
      <c r="L321" s="6">
        <v>47.0</v>
      </c>
    </row>
    <row r="322">
      <c r="A322" s="5" t="s">
        <v>972</v>
      </c>
      <c r="B322" s="5" t="s">
        <v>973</v>
      </c>
      <c r="C322" s="5" t="s">
        <v>974</v>
      </c>
      <c r="D322" s="5" t="s">
        <v>52</v>
      </c>
      <c r="E322" s="6" t="s">
        <v>16</v>
      </c>
      <c r="F322" s="6" t="s">
        <v>16</v>
      </c>
      <c r="G322" s="6">
        <v>14.0</v>
      </c>
      <c r="H322" s="7">
        <v>12.0</v>
      </c>
      <c r="I322" s="6">
        <v>44.0</v>
      </c>
      <c r="J322" s="6">
        <v>70.0</v>
      </c>
      <c r="K322" s="6">
        <v>321.0</v>
      </c>
      <c r="L322" s="6">
        <v>24.0</v>
      </c>
    </row>
    <row r="323">
      <c r="A323" s="5" t="s">
        <v>975</v>
      </c>
      <c r="B323" s="5" t="s">
        <v>976</v>
      </c>
      <c r="C323" s="5" t="s">
        <v>977</v>
      </c>
      <c r="D323" s="5" t="s">
        <v>38</v>
      </c>
      <c r="E323" s="6" t="s">
        <v>16</v>
      </c>
      <c r="F323" s="6" t="s">
        <v>17</v>
      </c>
      <c r="G323" s="6">
        <v>13.0</v>
      </c>
      <c r="H323" s="7">
        <v>12.0</v>
      </c>
      <c r="I323" s="6">
        <v>45.0</v>
      </c>
      <c r="J323" s="6">
        <v>70.0</v>
      </c>
      <c r="K323" s="6">
        <v>322.0</v>
      </c>
      <c r="L323" s="6">
        <v>42.0</v>
      </c>
    </row>
    <row r="324">
      <c r="A324" s="5" t="s">
        <v>978</v>
      </c>
      <c r="B324" s="5" t="s">
        <v>979</v>
      </c>
      <c r="C324" s="5" t="s">
        <v>980</v>
      </c>
      <c r="D324" s="5" t="s">
        <v>222</v>
      </c>
      <c r="E324" s="6" t="s">
        <v>16</v>
      </c>
      <c r="F324" s="6" t="s">
        <v>17</v>
      </c>
      <c r="G324" s="6">
        <v>15.0</v>
      </c>
      <c r="H324" s="7">
        <v>15.0</v>
      </c>
      <c r="I324" s="6">
        <v>40.0</v>
      </c>
      <c r="J324" s="6">
        <v>70.0</v>
      </c>
      <c r="K324" s="6">
        <v>323.0</v>
      </c>
      <c r="L324" s="6">
        <v>22.0</v>
      </c>
    </row>
    <row r="325">
      <c r="A325" s="5" t="s">
        <v>981</v>
      </c>
      <c r="B325" s="5" t="s">
        <v>982</v>
      </c>
      <c r="C325" s="5" t="s">
        <v>983</v>
      </c>
      <c r="D325" s="5" t="s">
        <v>21</v>
      </c>
      <c r="E325" s="6" t="s">
        <v>16</v>
      </c>
      <c r="F325" s="6" t="s">
        <v>17</v>
      </c>
      <c r="G325" s="6">
        <v>17.0</v>
      </c>
      <c r="H325" s="7">
        <v>9.91875</v>
      </c>
      <c r="I325" s="6">
        <v>43.0</v>
      </c>
      <c r="J325" s="6">
        <v>69.9</v>
      </c>
      <c r="K325" s="6">
        <v>324.0</v>
      </c>
      <c r="L325" s="6">
        <v>48.0</v>
      </c>
    </row>
    <row r="326">
      <c r="A326" s="5" t="s">
        <v>984</v>
      </c>
      <c r="B326" s="5" t="s">
        <v>985</v>
      </c>
      <c r="C326" s="5" t="s">
        <v>986</v>
      </c>
      <c r="D326" s="5" t="s">
        <v>42</v>
      </c>
      <c r="E326" s="6" t="s">
        <v>16</v>
      </c>
      <c r="F326" s="6" t="s">
        <v>16</v>
      </c>
      <c r="G326" s="6">
        <v>14.0</v>
      </c>
      <c r="H326" s="7">
        <v>10.921875</v>
      </c>
      <c r="I326" s="6">
        <v>45.0</v>
      </c>
      <c r="J326" s="6">
        <v>69.9</v>
      </c>
      <c r="K326" s="6">
        <v>325.0</v>
      </c>
      <c r="L326" s="6">
        <v>25.0</v>
      </c>
    </row>
    <row r="327">
      <c r="A327" s="5" t="s">
        <v>987</v>
      </c>
      <c r="B327" s="5" t="s">
        <v>988</v>
      </c>
      <c r="C327" s="5" t="s">
        <v>989</v>
      </c>
      <c r="D327" s="5" t="s">
        <v>42</v>
      </c>
      <c r="E327" s="6" t="s">
        <v>16</v>
      </c>
      <c r="F327" s="6" t="s">
        <v>17</v>
      </c>
      <c r="G327" s="6">
        <v>14.0</v>
      </c>
      <c r="H327" s="7">
        <v>13.875</v>
      </c>
      <c r="I327" s="6">
        <v>42.0</v>
      </c>
      <c r="J327" s="6">
        <v>69.9</v>
      </c>
      <c r="K327" s="6">
        <v>326.0</v>
      </c>
      <c r="L327" s="6">
        <v>26.0</v>
      </c>
    </row>
    <row r="328">
      <c r="A328" s="5" t="s">
        <v>990</v>
      </c>
      <c r="B328" s="5" t="s">
        <v>991</v>
      </c>
      <c r="C328" s="5" t="s">
        <v>992</v>
      </c>
      <c r="D328" s="5" t="s">
        <v>52</v>
      </c>
      <c r="E328" s="6" t="s">
        <v>17</v>
      </c>
      <c r="F328" s="6" t="s">
        <v>16</v>
      </c>
      <c r="G328" s="6">
        <v>13.0</v>
      </c>
      <c r="H328" s="7">
        <v>13.875</v>
      </c>
      <c r="I328" s="6">
        <v>43.0</v>
      </c>
      <c r="J328" s="6">
        <v>69.9</v>
      </c>
      <c r="K328" s="6">
        <v>327.0</v>
      </c>
      <c r="L328" s="6">
        <v>25.0</v>
      </c>
    </row>
    <row r="329">
      <c r="A329" s="5" t="s">
        <v>993</v>
      </c>
      <c r="B329" s="5" t="s">
        <v>994</v>
      </c>
      <c r="C329" s="5" t="s">
        <v>995</v>
      </c>
      <c r="D329" s="5" t="s">
        <v>15</v>
      </c>
      <c r="E329" s="6" t="s">
        <v>16</v>
      </c>
      <c r="F329" s="6" t="s">
        <v>16</v>
      </c>
      <c r="G329" s="6">
        <v>15.0</v>
      </c>
      <c r="H329" s="7">
        <v>13.78125</v>
      </c>
      <c r="I329" s="6">
        <v>41.0</v>
      </c>
      <c r="J329" s="6">
        <v>69.8</v>
      </c>
      <c r="K329" s="6">
        <v>328.0</v>
      </c>
      <c r="L329" s="6">
        <v>36.0</v>
      </c>
    </row>
    <row r="330">
      <c r="A330" s="5" t="s">
        <v>996</v>
      </c>
      <c r="B330" s="5" t="s">
        <v>997</v>
      </c>
      <c r="C330" s="5" t="s">
        <v>998</v>
      </c>
      <c r="D330" s="5" t="s">
        <v>59</v>
      </c>
      <c r="E330" s="6" t="s">
        <v>16</v>
      </c>
      <c r="F330" s="6" t="s">
        <v>17</v>
      </c>
      <c r="G330" s="6">
        <v>13.0</v>
      </c>
      <c r="H330" s="7">
        <v>11.765625</v>
      </c>
      <c r="I330" s="6">
        <v>45.0</v>
      </c>
      <c r="J330" s="6">
        <v>69.8</v>
      </c>
      <c r="K330" s="6">
        <v>329.0</v>
      </c>
      <c r="L330" s="6">
        <v>28.0</v>
      </c>
    </row>
    <row r="331">
      <c r="A331" s="5" t="s">
        <v>999</v>
      </c>
      <c r="B331" s="5" t="s">
        <v>1000</v>
      </c>
      <c r="C331" s="5" t="s">
        <v>1001</v>
      </c>
      <c r="D331" s="5" t="s">
        <v>15</v>
      </c>
      <c r="E331" s="6" t="s">
        <v>16</v>
      </c>
      <c r="F331" s="6" t="s">
        <v>17</v>
      </c>
      <c r="G331" s="6">
        <v>15.0</v>
      </c>
      <c r="H331" s="7">
        <v>12.65625</v>
      </c>
      <c r="I331" s="6">
        <v>42.0</v>
      </c>
      <c r="J331" s="6">
        <v>69.7</v>
      </c>
      <c r="K331" s="6">
        <v>330.0</v>
      </c>
      <c r="L331" s="6">
        <v>37.0</v>
      </c>
    </row>
    <row r="332">
      <c r="A332" s="5" t="s">
        <v>1002</v>
      </c>
      <c r="B332" s="5" t="s">
        <v>1003</v>
      </c>
      <c r="C332" s="5" t="s">
        <v>1004</v>
      </c>
      <c r="D332" s="5" t="s">
        <v>21</v>
      </c>
      <c r="E332" s="6" t="s">
        <v>16</v>
      </c>
      <c r="F332" s="6" t="s">
        <v>17</v>
      </c>
      <c r="G332" s="6">
        <v>15.0</v>
      </c>
      <c r="H332" s="7">
        <v>13.715625000000001</v>
      </c>
      <c r="I332" s="6">
        <v>41.0</v>
      </c>
      <c r="J332" s="6">
        <v>69.7</v>
      </c>
      <c r="K332" s="6">
        <v>331.0</v>
      </c>
      <c r="L332" s="6">
        <v>49.0</v>
      </c>
    </row>
    <row r="333">
      <c r="A333" s="5" t="s">
        <v>1005</v>
      </c>
      <c r="B333" s="5" t="s">
        <v>1006</v>
      </c>
      <c r="C333" s="5" t="s">
        <v>1007</v>
      </c>
      <c r="D333" s="5" t="s">
        <v>75</v>
      </c>
      <c r="E333" s="6" t="s">
        <v>16</v>
      </c>
      <c r="F333" s="6" t="s">
        <v>17</v>
      </c>
      <c r="G333" s="6">
        <v>14.0</v>
      </c>
      <c r="H333" s="7">
        <v>14.6953125</v>
      </c>
      <c r="I333" s="6">
        <v>41.0</v>
      </c>
      <c r="J333" s="6">
        <v>69.7</v>
      </c>
      <c r="K333" s="6">
        <v>332.0</v>
      </c>
      <c r="L333" s="6">
        <v>24.0</v>
      </c>
    </row>
    <row r="334">
      <c r="A334" s="5" t="s">
        <v>1008</v>
      </c>
      <c r="B334" s="5" t="s">
        <v>1009</v>
      </c>
      <c r="C334" s="5" t="s">
        <v>1010</v>
      </c>
      <c r="D334" s="5" t="s">
        <v>222</v>
      </c>
      <c r="E334" s="6" t="s">
        <v>16</v>
      </c>
      <c r="F334" s="6" t="s">
        <v>16</v>
      </c>
      <c r="G334" s="6">
        <v>13.0</v>
      </c>
      <c r="H334" s="7">
        <v>11.625</v>
      </c>
      <c r="I334" s="6">
        <v>45.0</v>
      </c>
      <c r="J334" s="6">
        <v>69.6</v>
      </c>
      <c r="K334" s="6">
        <v>333.0</v>
      </c>
      <c r="L334" s="6">
        <v>23.0</v>
      </c>
    </row>
    <row r="335">
      <c r="A335" s="5" t="s">
        <v>1011</v>
      </c>
      <c r="B335" s="5" t="s">
        <v>1012</v>
      </c>
      <c r="C335" s="5" t="s">
        <v>1013</v>
      </c>
      <c r="D335" s="5" t="s">
        <v>59</v>
      </c>
      <c r="E335" s="6" t="s">
        <v>16</v>
      </c>
      <c r="F335" s="6" t="s">
        <v>17</v>
      </c>
      <c r="G335" s="6">
        <v>15.0</v>
      </c>
      <c r="H335" s="7">
        <v>12.46875</v>
      </c>
      <c r="I335" s="6">
        <v>42.0</v>
      </c>
      <c r="J335" s="6">
        <v>69.5</v>
      </c>
      <c r="K335" s="6">
        <v>334.0</v>
      </c>
      <c r="L335" s="6">
        <v>29.0</v>
      </c>
    </row>
    <row r="336">
      <c r="A336" s="5" t="s">
        <v>1014</v>
      </c>
      <c r="B336" s="5" t="s">
        <v>1015</v>
      </c>
      <c r="C336" s="5" t="s">
        <v>1016</v>
      </c>
      <c r="D336" s="5" t="s">
        <v>15</v>
      </c>
      <c r="E336" s="6" t="s">
        <v>16</v>
      </c>
      <c r="F336" s="6" t="s">
        <v>16</v>
      </c>
      <c r="G336" s="6">
        <v>12.0</v>
      </c>
      <c r="H336" s="7">
        <v>13.5</v>
      </c>
      <c r="I336" s="6">
        <v>44.0</v>
      </c>
      <c r="J336" s="6">
        <v>69.5</v>
      </c>
      <c r="K336" s="6">
        <v>335.0</v>
      </c>
      <c r="L336" s="6">
        <v>38.0</v>
      </c>
    </row>
    <row r="337">
      <c r="A337" s="5" t="s">
        <v>1017</v>
      </c>
      <c r="B337" s="5" t="s">
        <v>1018</v>
      </c>
      <c r="C337" s="5" t="s">
        <v>1019</v>
      </c>
      <c r="D337" s="5" t="s">
        <v>38</v>
      </c>
      <c r="E337" s="6" t="s">
        <v>16</v>
      </c>
      <c r="F337" s="6" t="s">
        <v>16</v>
      </c>
      <c r="G337" s="6">
        <v>15.0</v>
      </c>
      <c r="H337" s="7">
        <v>9.375</v>
      </c>
      <c r="I337" s="6">
        <v>45.0</v>
      </c>
      <c r="J337" s="6">
        <v>69.4</v>
      </c>
      <c r="K337" s="6">
        <v>336.0</v>
      </c>
      <c r="L337" s="6">
        <v>43.0</v>
      </c>
    </row>
    <row r="338">
      <c r="A338" s="5" t="s">
        <v>1020</v>
      </c>
      <c r="B338" s="5" t="s">
        <v>1021</v>
      </c>
      <c r="C338" s="5" t="s">
        <v>1022</v>
      </c>
      <c r="D338" s="5" t="s">
        <v>34</v>
      </c>
      <c r="E338" s="6" t="s">
        <v>16</v>
      </c>
      <c r="F338" s="6" t="s">
        <v>16</v>
      </c>
      <c r="G338" s="6">
        <v>13.0</v>
      </c>
      <c r="H338" s="7">
        <v>13.40625</v>
      </c>
      <c r="I338" s="6">
        <v>43.0</v>
      </c>
      <c r="J338" s="6">
        <v>69.4</v>
      </c>
      <c r="K338" s="6">
        <v>337.0</v>
      </c>
      <c r="L338" s="6">
        <v>30.0</v>
      </c>
    </row>
    <row r="339">
      <c r="A339" s="5" t="s">
        <v>1023</v>
      </c>
      <c r="B339" s="5" t="s">
        <v>1024</v>
      </c>
      <c r="C339" s="5" t="s">
        <v>1025</v>
      </c>
      <c r="D339" s="5" t="s">
        <v>59</v>
      </c>
      <c r="E339" s="6" t="s">
        <v>16</v>
      </c>
      <c r="F339" s="6" t="s">
        <v>17</v>
      </c>
      <c r="G339" s="6">
        <v>13.0</v>
      </c>
      <c r="H339" s="7">
        <v>14.4375</v>
      </c>
      <c r="I339" s="6">
        <v>42.0</v>
      </c>
      <c r="J339" s="6">
        <v>69.4</v>
      </c>
      <c r="K339" s="6">
        <v>338.0</v>
      </c>
      <c r="L339" s="6">
        <v>30.0</v>
      </c>
    </row>
    <row r="340">
      <c r="A340" s="5" t="s">
        <v>1026</v>
      </c>
      <c r="B340" s="5" t="s">
        <v>1027</v>
      </c>
      <c r="C340" s="5" t="s">
        <v>1028</v>
      </c>
      <c r="D340" s="5" t="s">
        <v>34</v>
      </c>
      <c r="E340" s="6" t="s">
        <v>16</v>
      </c>
      <c r="F340" s="6" t="s">
        <v>16</v>
      </c>
      <c r="G340" s="8">
        <v>10.0</v>
      </c>
      <c r="H340" s="7">
        <v>14.4375</v>
      </c>
      <c r="I340" s="6">
        <v>45.0</v>
      </c>
      <c r="J340" s="9">
        <v>69.4</v>
      </c>
      <c r="K340" s="6">
        <v>339.0</v>
      </c>
      <c r="L340" s="6">
        <v>31.0</v>
      </c>
    </row>
    <row r="341">
      <c r="A341" s="5" t="s">
        <v>1029</v>
      </c>
      <c r="B341" s="5" t="s">
        <v>1030</v>
      </c>
      <c r="C341" s="5" t="s">
        <v>1031</v>
      </c>
      <c r="D341" s="5" t="s">
        <v>15</v>
      </c>
      <c r="E341" s="6" t="s">
        <v>16</v>
      </c>
      <c r="F341" s="6" t="s">
        <v>16</v>
      </c>
      <c r="G341" s="6">
        <v>15.0</v>
      </c>
      <c r="H341" s="7">
        <v>14.25</v>
      </c>
      <c r="I341" s="6">
        <v>40.0</v>
      </c>
      <c r="J341" s="6">
        <v>69.3</v>
      </c>
      <c r="K341" s="6">
        <v>340.0</v>
      </c>
      <c r="L341" s="6">
        <v>39.0</v>
      </c>
    </row>
    <row r="342">
      <c r="A342" s="5" t="s">
        <v>1032</v>
      </c>
      <c r="B342" s="5" t="s">
        <v>1033</v>
      </c>
      <c r="C342" s="5" t="s">
        <v>1034</v>
      </c>
      <c r="D342" s="5" t="s">
        <v>52</v>
      </c>
      <c r="E342" s="6" t="s">
        <v>16</v>
      </c>
      <c r="F342" s="6" t="s">
        <v>17</v>
      </c>
      <c r="G342" s="6">
        <v>14.0</v>
      </c>
      <c r="H342" s="7">
        <v>14.34375</v>
      </c>
      <c r="I342" s="6">
        <v>41.0</v>
      </c>
      <c r="J342" s="6">
        <v>69.3</v>
      </c>
      <c r="K342" s="6">
        <v>341.0</v>
      </c>
      <c r="L342" s="6">
        <v>26.0</v>
      </c>
    </row>
    <row r="343">
      <c r="A343" s="5" t="s">
        <v>1035</v>
      </c>
      <c r="B343" s="5" t="s">
        <v>1036</v>
      </c>
      <c r="C343" s="5" t="s">
        <v>1037</v>
      </c>
      <c r="D343" s="5" t="s">
        <v>59</v>
      </c>
      <c r="E343" s="6" t="s">
        <v>16</v>
      </c>
      <c r="F343" s="6" t="s">
        <v>17</v>
      </c>
      <c r="G343" s="6">
        <v>13.0</v>
      </c>
      <c r="H343" s="7">
        <v>11.325</v>
      </c>
      <c r="I343" s="6">
        <v>45.0</v>
      </c>
      <c r="J343" s="6">
        <v>69.3</v>
      </c>
      <c r="K343" s="6">
        <v>342.0</v>
      </c>
      <c r="L343" s="6">
        <v>31.0</v>
      </c>
    </row>
    <row r="344">
      <c r="A344" s="5" t="s">
        <v>1038</v>
      </c>
      <c r="B344" s="5" t="s">
        <v>1039</v>
      </c>
      <c r="C344" s="5" t="s">
        <v>1040</v>
      </c>
      <c r="D344" s="5" t="s">
        <v>59</v>
      </c>
      <c r="E344" s="6" t="s">
        <v>16</v>
      </c>
      <c r="F344" s="6" t="s">
        <v>17</v>
      </c>
      <c r="G344" s="6">
        <v>13.0</v>
      </c>
      <c r="H344" s="7">
        <v>14.30625</v>
      </c>
      <c r="I344" s="6">
        <v>42.0</v>
      </c>
      <c r="J344" s="6">
        <v>69.3</v>
      </c>
      <c r="K344" s="6">
        <v>343.0</v>
      </c>
      <c r="L344" s="6">
        <v>32.0</v>
      </c>
    </row>
    <row r="345">
      <c r="A345" s="5" t="s">
        <v>1041</v>
      </c>
      <c r="B345" s="5" t="s">
        <v>1042</v>
      </c>
      <c r="C345" s="5" t="s">
        <v>1043</v>
      </c>
      <c r="D345" s="5" t="s">
        <v>59</v>
      </c>
      <c r="E345" s="6" t="s">
        <v>16</v>
      </c>
      <c r="F345" s="6" t="s">
        <v>16</v>
      </c>
      <c r="G345" s="6">
        <v>13.0</v>
      </c>
      <c r="H345" s="7">
        <v>11.203125</v>
      </c>
      <c r="I345" s="6">
        <v>45.0</v>
      </c>
      <c r="J345" s="6">
        <v>69.2</v>
      </c>
      <c r="K345" s="6">
        <v>344.0</v>
      </c>
      <c r="L345" s="6">
        <v>33.0</v>
      </c>
    </row>
    <row r="346">
      <c r="A346" s="5" t="s">
        <v>1044</v>
      </c>
      <c r="B346" s="5" t="s">
        <v>1045</v>
      </c>
      <c r="C346" s="5" t="s">
        <v>1046</v>
      </c>
      <c r="D346" s="5" t="s">
        <v>75</v>
      </c>
      <c r="E346" s="6" t="s">
        <v>16</v>
      </c>
      <c r="F346" s="6" t="s">
        <v>17</v>
      </c>
      <c r="G346" s="6">
        <v>10.0</v>
      </c>
      <c r="H346" s="7">
        <v>14.15625</v>
      </c>
      <c r="I346" s="6">
        <v>45.0</v>
      </c>
      <c r="J346" s="6">
        <v>69.2</v>
      </c>
      <c r="K346" s="6">
        <v>345.0</v>
      </c>
      <c r="L346" s="6">
        <v>25.0</v>
      </c>
    </row>
    <row r="347">
      <c r="A347" s="5" t="s">
        <v>1047</v>
      </c>
      <c r="B347" s="5" t="s">
        <v>1048</v>
      </c>
      <c r="C347" s="5" t="s">
        <v>1049</v>
      </c>
      <c r="D347" s="5" t="s">
        <v>15</v>
      </c>
      <c r="E347" s="6" t="s">
        <v>16</v>
      </c>
      <c r="F347" s="6" t="s">
        <v>16</v>
      </c>
      <c r="G347" s="6">
        <v>15.0</v>
      </c>
      <c r="H347" s="7">
        <v>13.59375</v>
      </c>
      <c r="I347" s="6">
        <v>40.5</v>
      </c>
      <c r="J347" s="6">
        <v>69.1</v>
      </c>
      <c r="K347" s="6">
        <v>346.0</v>
      </c>
      <c r="L347" s="6">
        <v>40.0</v>
      </c>
    </row>
    <row r="348">
      <c r="A348" s="5" t="s">
        <v>1050</v>
      </c>
      <c r="B348" s="5" t="s">
        <v>1051</v>
      </c>
      <c r="C348" s="5" t="s">
        <v>1052</v>
      </c>
      <c r="D348" s="5" t="s">
        <v>118</v>
      </c>
      <c r="E348" s="6" t="s">
        <v>16</v>
      </c>
      <c r="F348" s="6" t="s">
        <v>16</v>
      </c>
      <c r="G348" s="6">
        <v>14.0</v>
      </c>
      <c r="H348" s="7">
        <v>13.078125</v>
      </c>
      <c r="I348" s="6">
        <v>42.0</v>
      </c>
      <c r="J348" s="6">
        <v>69.1</v>
      </c>
      <c r="K348" s="6">
        <v>347.0</v>
      </c>
      <c r="L348" s="6">
        <v>25.0</v>
      </c>
    </row>
    <row r="349">
      <c r="A349" s="5" t="s">
        <v>1053</v>
      </c>
      <c r="B349" s="5" t="s">
        <v>1054</v>
      </c>
      <c r="C349" s="5" t="s">
        <v>1055</v>
      </c>
      <c r="D349" s="5" t="s">
        <v>177</v>
      </c>
      <c r="E349" s="6" t="s">
        <v>16</v>
      </c>
      <c r="F349" s="6" t="s">
        <v>16</v>
      </c>
      <c r="G349" s="6">
        <v>12.0</v>
      </c>
      <c r="H349" s="7">
        <v>12.062499999999998</v>
      </c>
      <c r="I349" s="6">
        <v>45.0</v>
      </c>
      <c r="J349" s="6">
        <v>69.1</v>
      </c>
      <c r="K349" s="6">
        <v>348.0</v>
      </c>
      <c r="L349" s="6">
        <v>9.0</v>
      </c>
    </row>
    <row r="350">
      <c r="A350" s="5" t="s">
        <v>1056</v>
      </c>
      <c r="B350" s="5" t="s">
        <v>1057</v>
      </c>
      <c r="C350" s="5" t="s">
        <v>1058</v>
      </c>
      <c r="D350" s="5" t="s">
        <v>15</v>
      </c>
      <c r="E350" s="6" t="s">
        <v>16</v>
      </c>
      <c r="F350" s="6" t="s">
        <v>16</v>
      </c>
      <c r="G350" s="6">
        <v>35.0</v>
      </c>
      <c r="H350" s="7">
        <v>10.03125</v>
      </c>
      <c r="I350" s="6">
        <v>24.0</v>
      </c>
      <c r="J350" s="6">
        <v>69.0</v>
      </c>
      <c r="K350" s="6">
        <v>349.0</v>
      </c>
      <c r="L350" s="6">
        <v>41.0</v>
      </c>
    </row>
    <row r="351">
      <c r="A351" s="5" t="s">
        <v>1059</v>
      </c>
      <c r="B351" s="5">
        <v>3.2711879E7</v>
      </c>
      <c r="C351" s="5" t="s">
        <v>1060</v>
      </c>
      <c r="D351" s="5" t="s">
        <v>38</v>
      </c>
      <c r="E351" s="6" t="s">
        <v>16</v>
      </c>
      <c r="F351" s="6" t="s">
        <v>16</v>
      </c>
      <c r="G351" s="6">
        <v>13.0</v>
      </c>
      <c r="H351" s="7">
        <v>12.0</v>
      </c>
      <c r="I351" s="6">
        <v>44.0</v>
      </c>
      <c r="J351" s="6">
        <v>69.0</v>
      </c>
      <c r="K351" s="6">
        <v>350.0</v>
      </c>
      <c r="L351" s="6">
        <v>44.0</v>
      </c>
    </row>
    <row r="352">
      <c r="A352" s="5" t="s">
        <v>1061</v>
      </c>
      <c r="B352" s="5" t="s">
        <v>1062</v>
      </c>
      <c r="C352" s="5" t="s">
        <v>1063</v>
      </c>
      <c r="D352" s="5" t="s">
        <v>222</v>
      </c>
      <c r="E352" s="6" t="s">
        <v>16</v>
      </c>
      <c r="F352" s="6" t="s">
        <v>16</v>
      </c>
      <c r="G352" s="6">
        <v>13.0</v>
      </c>
      <c r="H352" s="7">
        <v>15.0</v>
      </c>
      <c r="I352" s="6">
        <v>41.0</v>
      </c>
      <c r="J352" s="6">
        <v>69.0</v>
      </c>
      <c r="K352" s="6">
        <v>351.0</v>
      </c>
      <c r="L352" s="6">
        <v>24.0</v>
      </c>
    </row>
    <row r="353">
      <c r="A353" s="5" t="s">
        <v>1064</v>
      </c>
      <c r="B353" s="5" t="s">
        <v>1065</v>
      </c>
      <c r="C353" s="5" t="s">
        <v>709</v>
      </c>
      <c r="D353" s="5" t="s">
        <v>222</v>
      </c>
      <c r="E353" s="6" t="s">
        <v>16</v>
      </c>
      <c r="F353" s="6" t="s">
        <v>17</v>
      </c>
      <c r="G353" s="6">
        <v>13.0</v>
      </c>
      <c r="H353" s="7">
        <v>15.0</v>
      </c>
      <c r="I353" s="6">
        <v>41.0</v>
      </c>
      <c r="J353" s="6">
        <v>69.0</v>
      </c>
      <c r="K353" s="6">
        <v>352.0</v>
      </c>
      <c r="L353" s="6">
        <v>25.0</v>
      </c>
    </row>
    <row r="354">
      <c r="A354" s="5" t="s">
        <v>1066</v>
      </c>
      <c r="B354" s="5" t="s">
        <v>1067</v>
      </c>
      <c r="C354" s="5" t="s">
        <v>1068</v>
      </c>
      <c r="D354" s="5" t="s">
        <v>38</v>
      </c>
      <c r="E354" s="6" t="s">
        <v>16</v>
      </c>
      <c r="F354" s="6" t="s">
        <v>17</v>
      </c>
      <c r="G354" s="6">
        <v>13.0</v>
      </c>
      <c r="H354" s="7">
        <v>15.0</v>
      </c>
      <c r="I354" s="6">
        <v>41.0</v>
      </c>
      <c r="J354" s="6">
        <v>69.0</v>
      </c>
      <c r="K354" s="6">
        <v>353.0</v>
      </c>
      <c r="L354" s="6">
        <v>45.0</v>
      </c>
    </row>
    <row r="355">
      <c r="A355" s="5" t="s">
        <v>1069</v>
      </c>
      <c r="B355" s="5" t="s">
        <v>1070</v>
      </c>
      <c r="C355" s="5" t="s">
        <v>1071</v>
      </c>
      <c r="D355" s="5" t="s">
        <v>177</v>
      </c>
      <c r="E355" s="6" t="s">
        <v>16</v>
      </c>
      <c r="F355" s="6" t="s">
        <v>16</v>
      </c>
      <c r="G355" s="6">
        <v>12.0</v>
      </c>
      <c r="H355" s="7">
        <v>12.0</v>
      </c>
      <c r="I355" s="6">
        <v>45.0</v>
      </c>
      <c r="J355" s="6">
        <v>69.0</v>
      </c>
      <c r="K355" s="6">
        <v>354.0</v>
      </c>
      <c r="L355" s="6">
        <v>10.0</v>
      </c>
    </row>
    <row r="356">
      <c r="A356" s="5" t="s">
        <v>1072</v>
      </c>
      <c r="B356" s="5" t="s">
        <v>1073</v>
      </c>
      <c r="C356" s="5" t="s">
        <v>1074</v>
      </c>
      <c r="D356" s="5" t="s">
        <v>118</v>
      </c>
      <c r="E356" s="6" t="s">
        <v>16</v>
      </c>
      <c r="F356" s="6" t="s">
        <v>17</v>
      </c>
      <c r="G356" s="6">
        <v>12.0</v>
      </c>
      <c r="H356" s="7">
        <v>14.043750000000001</v>
      </c>
      <c r="I356" s="6">
        <v>43.0</v>
      </c>
      <c r="J356" s="6">
        <v>69.0</v>
      </c>
      <c r="K356" s="6">
        <v>355.0</v>
      </c>
      <c r="L356" s="6">
        <v>26.0</v>
      </c>
    </row>
    <row r="357">
      <c r="A357" s="5" t="s">
        <v>1075</v>
      </c>
      <c r="B357" s="5" t="s">
        <v>1076</v>
      </c>
      <c r="C357" s="5" t="s">
        <v>1077</v>
      </c>
      <c r="D357" s="5" t="s">
        <v>42</v>
      </c>
      <c r="E357" s="6" t="s">
        <v>16</v>
      </c>
      <c r="F357" s="6" t="s">
        <v>17</v>
      </c>
      <c r="G357" s="6">
        <v>12.0</v>
      </c>
      <c r="H357" s="7">
        <v>13.96875</v>
      </c>
      <c r="I357" s="6">
        <v>43.0</v>
      </c>
      <c r="J357" s="6">
        <v>69.0</v>
      </c>
      <c r="K357" s="6">
        <v>356.0</v>
      </c>
      <c r="L357" s="6">
        <v>27.0</v>
      </c>
    </row>
    <row r="358">
      <c r="A358" s="5" t="s">
        <v>1078</v>
      </c>
      <c r="B358" s="5" t="s">
        <v>1079</v>
      </c>
      <c r="C358" s="5" t="s">
        <v>1080</v>
      </c>
      <c r="D358" s="5" t="s">
        <v>118</v>
      </c>
      <c r="E358" s="6" t="s">
        <v>16</v>
      </c>
      <c r="F358" s="6" t="s">
        <v>16</v>
      </c>
      <c r="G358" s="6">
        <v>11.0</v>
      </c>
      <c r="H358" s="7">
        <v>15.0</v>
      </c>
      <c r="I358" s="6">
        <v>43.0</v>
      </c>
      <c r="J358" s="6">
        <v>69.0</v>
      </c>
      <c r="K358" s="6">
        <v>357.0</v>
      </c>
      <c r="L358" s="6">
        <v>27.0</v>
      </c>
    </row>
    <row r="359">
      <c r="A359" s="5" t="s">
        <v>1081</v>
      </c>
      <c r="B359" s="5" t="s">
        <v>1082</v>
      </c>
      <c r="C359" s="5" t="s">
        <v>1083</v>
      </c>
      <c r="D359" s="5" t="s">
        <v>52</v>
      </c>
      <c r="E359" s="6" t="s">
        <v>16</v>
      </c>
      <c r="F359" s="6" t="s">
        <v>17</v>
      </c>
      <c r="G359" s="6">
        <v>14.0</v>
      </c>
      <c r="H359" s="7">
        <v>13.875</v>
      </c>
      <c r="I359" s="6">
        <v>41.0</v>
      </c>
      <c r="J359" s="6">
        <v>68.9</v>
      </c>
      <c r="K359" s="6">
        <v>358.0</v>
      </c>
      <c r="L359" s="6">
        <v>27.0</v>
      </c>
    </row>
    <row r="360">
      <c r="A360" s="5" t="s">
        <v>1084</v>
      </c>
      <c r="B360" s="5" t="s">
        <v>1085</v>
      </c>
      <c r="C360" s="5" t="s">
        <v>1086</v>
      </c>
      <c r="D360" s="5" t="s">
        <v>222</v>
      </c>
      <c r="E360" s="6" t="s">
        <v>16</v>
      </c>
      <c r="F360" s="6" t="s">
        <v>17</v>
      </c>
      <c r="G360" s="6">
        <v>13.0</v>
      </c>
      <c r="H360" s="7">
        <v>10.875</v>
      </c>
      <c r="I360" s="6">
        <v>45.0</v>
      </c>
      <c r="J360" s="6">
        <v>68.9</v>
      </c>
      <c r="K360" s="6">
        <v>359.0</v>
      </c>
      <c r="L360" s="6">
        <v>26.0</v>
      </c>
    </row>
    <row r="361">
      <c r="A361" s="5" t="s">
        <v>1087</v>
      </c>
      <c r="B361" s="5" t="s">
        <v>1088</v>
      </c>
      <c r="C361" s="5" t="s">
        <v>1089</v>
      </c>
      <c r="D361" s="5" t="s">
        <v>34</v>
      </c>
      <c r="E361" s="6" t="s">
        <v>16</v>
      </c>
      <c r="F361" s="6" t="s">
        <v>16</v>
      </c>
      <c r="G361" s="6">
        <v>13.0</v>
      </c>
      <c r="H361" s="7">
        <v>10.865625</v>
      </c>
      <c r="I361" s="6">
        <v>45.0</v>
      </c>
      <c r="J361" s="6">
        <v>68.9</v>
      </c>
      <c r="K361" s="6">
        <v>360.0</v>
      </c>
      <c r="L361" s="6">
        <v>32.0</v>
      </c>
    </row>
    <row r="362">
      <c r="A362" s="5" t="s">
        <v>1090</v>
      </c>
      <c r="B362" s="5" t="s">
        <v>1091</v>
      </c>
      <c r="C362" s="5" t="s">
        <v>1092</v>
      </c>
      <c r="D362" s="5" t="s">
        <v>34</v>
      </c>
      <c r="E362" s="6" t="s">
        <v>16</v>
      </c>
      <c r="F362" s="6" t="s">
        <v>16</v>
      </c>
      <c r="G362" s="6">
        <v>13.0</v>
      </c>
      <c r="H362" s="7">
        <v>13.875</v>
      </c>
      <c r="I362" s="6">
        <v>42.0</v>
      </c>
      <c r="J362" s="6">
        <v>68.9</v>
      </c>
      <c r="K362" s="6">
        <v>361.0</v>
      </c>
      <c r="L362" s="6">
        <v>33.0</v>
      </c>
    </row>
    <row r="363">
      <c r="A363" s="5" t="s">
        <v>1093</v>
      </c>
      <c r="B363" s="5" t="s">
        <v>1094</v>
      </c>
      <c r="C363" s="5" t="s">
        <v>1095</v>
      </c>
      <c r="D363" s="5" t="s">
        <v>52</v>
      </c>
      <c r="E363" s="6" t="s">
        <v>16</v>
      </c>
      <c r="F363" s="6" t="s">
        <v>17</v>
      </c>
      <c r="G363" s="6">
        <v>14.0</v>
      </c>
      <c r="H363" s="7">
        <v>9.84375</v>
      </c>
      <c r="I363" s="6">
        <v>45.0</v>
      </c>
      <c r="J363" s="6">
        <v>68.8</v>
      </c>
      <c r="K363" s="6">
        <v>362.0</v>
      </c>
      <c r="L363" s="6">
        <v>28.0</v>
      </c>
    </row>
    <row r="364">
      <c r="A364" s="5" t="s">
        <v>1096</v>
      </c>
      <c r="B364" s="5" t="s">
        <v>1097</v>
      </c>
      <c r="C364" s="5" t="s">
        <v>1098</v>
      </c>
      <c r="D364" s="5" t="s">
        <v>268</v>
      </c>
      <c r="E364" s="6" t="s">
        <v>16</v>
      </c>
      <c r="F364" s="6" t="s">
        <v>17</v>
      </c>
      <c r="G364" s="6">
        <v>13.0</v>
      </c>
      <c r="H364" s="7">
        <v>10.828125</v>
      </c>
      <c r="I364" s="6">
        <v>45.0</v>
      </c>
      <c r="J364" s="6">
        <v>68.8</v>
      </c>
      <c r="K364" s="6">
        <v>363.0</v>
      </c>
      <c r="L364" s="6">
        <v>19.0</v>
      </c>
    </row>
    <row r="365">
      <c r="A365" s="5" t="s">
        <v>1099</v>
      </c>
      <c r="B365" s="5" t="s">
        <v>1100</v>
      </c>
      <c r="C365" s="5" t="s">
        <v>1101</v>
      </c>
      <c r="D365" s="5" t="s">
        <v>52</v>
      </c>
      <c r="E365" s="6" t="s">
        <v>16</v>
      </c>
      <c r="F365" s="6" t="s">
        <v>17</v>
      </c>
      <c r="G365" s="6">
        <v>9.0</v>
      </c>
      <c r="H365" s="7">
        <v>14.8125</v>
      </c>
      <c r="I365" s="6">
        <v>45.0</v>
      </c>
      <c r="J365" s="6">
        <v>68.8</v>
      </c>
      <c r="K365" s="6">
        <v>364.0</v>
      </c>
      <c r="L365" s="6">
        <v>29.0</v>
      </c>
    </row>
    <row r="366">
      <c r="A366" s="5" t="s">
        <v>1102</v>
      </c>
      <c r="B366" s="5" t="s">
        <v>1103</v>
      </c>
      <c r="C366" s="5" t="s">
        <v>1104</v>
      </c>
      <c r="D366" s="5" t="s">
        <v>38</v>
      </c>
      <c r="E366" s="6" t="s">
        <v>16</v>
      </c>
      <c r="F366" s="6" t="s">
        <v>16</v>
      </c>
      <c r="G366" s="6">
        <v>13.0</v>
      </c>
      <c r="H366" s="7">
        <v>11.625</v>
      </c>
      <c r="I366" s="6">
        <v>44.0</v>
      </c>
      <c r="J366" s="6">
        <v>68.6</v>
      </c>
      <c r="K366" s="6">
        <v>365.0</v>
      </c>
      <c r="L366" s="6">
        <v>46.0</v>
      </c>
    </row>
    <row r="367">
      <c r="A367" s="5" t="s">
        <v>1105</v>
      </c>
      <c r="B367" s="5" t="s">
        <v>1106</v>
      </c>
      <c r="C367" s="5" t="s">
        <v>1107</v>
      </c>
      <c r="D367" s="5" t="s">
        <v>222</v>
      </c>
      <c r="E367" s="6" t="s">
        <v>16</v>
      </c>
      <c r="F367" s="6" t="s">
        <v>17</v>
      </c>
      <c r="G367" s="6">
        <v>13.0</v>
      </c>
      <c r="H367" s="7">
        <v>12.5625</v>
      </c>
      <c r="I367" s="6">
        <v>43.0</v>
      </c>
      <c r="J367" s="6">
        <v>68.6</v>
      </c>
      <c r="K367" s="6">
        <v>366.0</v>
      </c>
      <c r="L367" s="6">
        <v>27.0</v>
      </c>
    </row>
    <row r="368">
      <c r="A368" s="5" t="s">
        <v>1108</v>
      </c>
      <c r="B368" s="5" t="s">
        <v>1109</v>
      </c>
      <c r="C368" s="5" t="s">
        <v>1110</v>
      </c>
      <c r="D368" s="5" t="s">
        <v>177</v>
      </c>
      <c r="E368" s="6" t="s">
        <v>16</v>
      </c>
      <c r="F368" s="6" t="s">
        <v>16</v>
      </c>
      <c r="G368" s="6">
        <v>12.0</v>
      </c>
      <c r="H368" s="7">
        <v>12.625000000000002</v>
      </c>
      <c r="I368" s="6">
        <v>44.0</v>
      </c>
      <c r="J368" s="6">
        <v>68.6</v>
      </c>
      <c r="K368" s="6">
        <v>367.0</v>
      </c>
      <c r="L368" s="6">
        <v>11.0</v>
      </c>
    </row>
    <row r="369">
      <c r="A369" s="5" t="s">
        <v>1111</v>
      </c>
      <c r="B369" s="5" t="s">
        <v>1112</v>
      </c>
      <c r="C369" s="5" t="s">
        <v>1113</v>
      </c>
      <c r="D369" s="5" t="s">
        <v>75</v>
      </c>
      <c r="E369" s="6" t="s">
        <v>16</v>
      </c>
      <c r="F369" s="6" t="s">
        <v>17</v>
      </c>
      <c r="G369" s="6">
        <v>24.0</v>
      </c>
      <c r="H369" s="7">
        <v>14.493749999999999</v>
      </c>
      <c r="I369" s="6">
        <v>30.0</v>
      </c>
      <c r="J369" s="6">
        <v>68.5</v>
      </c>
      <c r="K369" s="6">
        <v>368.0</v>
      </c>
      <c r="L369" s="6">
        <v>26.0</v>
      </c>
    </row>
    <row r="370">
      <c r="A370" s="5" t="s">
        <v>1114</v>
      </c>
      <c r="B370" s="5" t="s">
        <v>1115</v>
      </c>
      <c r="C370" s="5" t="s">
        <v>1116</v>
      </c>
      <c r="D370" s="5" t="s">
        <v>118</v>
      </c>
      <c r="E370" s="6" t="s">
        <v>16</v>
      </c>
      <c r="F370" s="6" t="s">
        <v>17</v>
      </c>
      <c r="G370" s="6">
        <v>14.0</v>
      </c>
      <c r="H370" s="7">
        <v>11.53125</v>
      </c>
      <c r="I370" s="6">
        <v>43.0</v>
      </c>
      <c r="J370" s="6">
        <v>68.5</v>
      </c>
      <c r="K370" s="6">
        <v>369.0</v>
      </c>
      <c r="L370" s="6">
        <v>28.0</v>
      </c>
    </row>
    <row r="371">
      <c r="A371" s="5" t="s">
        <v>1117</v>
      </c>
      <c r="B371" s="5" t="s">
        <v>1118</v>
      </c>
      <c r="C371" s="5" t="s">
        <v>1119</v>
      </c>
      <c r="D371" s="5" t="s">
        <v>222</v>
      </c>
      <c r="E371" s="6" t="s">
        <v>16</v>
      </c>
      <c r="F371" s="6" t="s">
        <v>17</v>
      </c>
      <c r="G371" s="6">
        <v>13.0</v>
      </c>
      <c r="H371" s="7">
        <v>14.53125</v>
      </c>
      <c r="I371" s="6">
        <v>41.0</v>
      </c>
      <c r="J371" s="6">
        <v>68.5</v>
      </c>
      <c r="K371" s="6">
        <v>370.0</v>
      </c>
      <c r="L371" s="6">
        <v>28.0</v>
      </c>
    </row>
    <row r="372">
      <c r="A372" s="5" t="s">
        <v>1120</v>
      </c>
      <c r="B372" s="5" t="s">
        <v>1121</v>
      </c>
      <c r="C372" s="5" t="s">
        <v>1122</v>
      </c>
      <c r="D372" s="5" t="s">
        <v>75</v>
      </c>
      <c r="E372" s="6" t="s">
        <v>16</v>
      </c>
      <c r="F372" s="6" t="s">
        <v>16</v>
      </c>
      <c r="G372" s="6">
        <v>10.0</v>
      </c>
      <c r="H372" s="7">
        <v>13.5</v>
      </c>
      <c r="I372" s="6">
        <v>45.0</v>
      </c>
      <c r="J372" s="6">
        <v>68.5</v>
      </c>
      <c r="K372" s="6">
        <v>371.0</v>
      </c>
      <c r="L372" s="6">
        <v>27.0</v>
      </c>
    </row>
    <row r="373">
      <c r="A373" s="5" t="s">
        <v>1123</v>
      </c>
      <c r="B373" s="5" t="s">
        <v>1124</v>
      </c>
      <c r="C373" s="5" t="s">
        <v>1125</v>
      </c>
      <c r="D373" s="5" t="s">
        <v>118</v>
      </c>
      <c r="E373" s="6" t="s">
        <v>16</v>
      </c>
      <c r="F373" s="6" t="s">
        <v>17</v>
      </c>
      <c r="G373" s="6">
        <v>12.0</v>
      </c>
      <c r="H373" s="7">
        <v>11.34375</v>
      </c>
      <c r="I373" s="6">
        <v>45.0</v>
      </c>
      <c r="J373" s="6">
        <v>68.3</v>
      </c>
      <c r="K373" s="6">
        <v>372.0</v>
      </c>
      <c r="L373" s="6">
        <v>29.0</v>
      </c>
    </row>
    <row r="374">
      <c r="A374" s="5" t="s">
        <v>1126</v>
      </c>
      <c r="B374" s="5" t="s">
        <v>1127</v>
      </c>
      <c r="C374" s="5" t="s">
        <v>1128</v>
      </c>
      <c r="D374" s="5" t="s">
        <v>42</v>
      </c>
      <c r="E374" s="6" t="s">
        <v>16</v>
      </c>
      <c r="F374" s="6" t="s">
        <v>16</v>
      </c>
      <c r="G374" s="6">
        <v>12.0</v>
      </c>
      <c r="H374" s="7">
        <v>11.287500000000001</v>
      </c>
      <c r="I374" s="6">
        <v>45.0</v>
      </c>
      <c r="J374" s="6">
        <v>68.3</v>
      </c>
      <c r="K374" s="6">
        <v>373.0</v>
      </c>
      <c r="L374" s="6">
        <v>28.0</v>
      </c>
    </row>
    <row r="375">
      <c r="A375" s="5" t="s">
        <v>1129</v>
      </c>
      <c r="B375" s="5" t="s">
        <v>1130</v>
      </c>
      <c r="C375" s="5" t="s">
        <v>1131</v>
      </c>
      <c r="D375" s="5" t="s">
        <v>15</v>
      </c>
      <c r="E375" s="6" t="s">
        <v>16</v>
      </c>
      <c r="F375" s="6" t="s">
        <v>17</v>
      </c>
      <c r="G375" s="6">
        <v>10.0</v>
      </c>
      <c r="H375" s="7">
        <v>14.25</v>
      </c>
      <c r="I375" s="6">
        <v>44.0</v>
      </c>
      <c r="J375" s="6">
        <v>68.3</v>
      </c>
      <c r="K375" s="6">
        <v>374.0</v>
      </c>
      <c r="L375" s="6">
        <v>42.0</v>
      </c>
    </row>
    <row r="376">
      <c r="A376" s="5" t="s">
        <v>1132</v>
      </c>
      <c r="B376" s="5" t="s">
        <v>1133</v>
      </c>
      <c r="C376" s="5" t="s">
        <v>1134</v>
      </c>
      <c r="D376" s="5" t="s">
        <v>59</v>
      </c>
      <c r="E376" s="6" t="s">
        <v>16</v>
      </c>
      <c r="F376" s="6" t="s">
        <v>17</v>
      </c>
      <c r="G376" s="6">
        <v>13.0</v>
      </c>
      <c r="H376" s="7">
        <v>13.209375</v>
      </c>
      <c r="I376" s="6">
        <v>42.0</v>
      </c>
      <c r="J376" s="6">
        <v>68.2</v>
      </c>
      <c r="K376" s="6">
        <v>375.0</v>
      </c>
      <c r="L376" s="6">
        <v>34.0</v>
      </c>
    </row>
    <row r="377">
      <c r="A377" s="5" t="s">
        <v>1135</v>
      </c>
      <c r="B377" s="5" t="s">
        <v>1136</v>
      </c>
      <c r="C377" s="5" t="s">
        <v>1137</v>
      </c>
      <c r="D377" s="5" t="s">
        <v>34</v>
      </c>
      <c r="E377" s="6" t="s">
        <v>16</v>
      </c>
      <c r="F377" s="6" t="s">
        <v>16</v>
      </c>
      <c r="G377" s="6">
        <v>13.0</v>
      </c>
      <c r="H377" s="7">
        <v>13.087499999999999</v>
      </c>
      <c r="I377" s="6">
        <v>42.0</v>
      </c>
      <c r="J377" s="6">
        <v>68.1</v>
      </c>
      <c r="K377" s="6">
        <v>376.0</v>
      </c>
      <c r="L377" s="6">
        <v>34.0</v>
      </c>
    </row>
    <row r="378">
      <c r="A378" s="5" t="s">
        <v>1138</v>
      </c>
      <c r="B378" s="5" t="s">
        <v>1139</v>
      </c>
      <c r="C378" s="5" t="s">
        <v>1140</v>
      </c>
      <c r="D378" s="5" t="s">
        <v>268</v>
      </c>
      <c r="E378" s="6" t="s">
        <v>16</v>
      </c>
      <c r="F378" s="6" t="s">
        <v>16</v>
      </c>
      <c r="G378" s="6">
        <v>13.0</v>
      </c>
      <c r="H378" s="7">
        <v>14.0625</v>
      </c>
      <c r="I378" s="6">
        <v>41.0</v>
      </c>
      <c r="J378" s="6">
        <v>68.1</v>
      </c>
      <c r="K378" s="6">
        <v>377.0</v>
      </c>
      <c r="L378" s="6">
        <v>20.0</v>
      </c>
    </row>
    <row r="379">
      <c r="A379" s="5" t="s">
        <v>1141</v>
      </c>
      <c r="B379" s="5" t="s">
        <v>1142</v>
      </c>
      <c r="C379" s="5" t="s">
        <v>1143</v>
      </c>
      <c r="D379" s="5" t="s">
        <v>38</v>
      </c>
      <c r="E379" s="6" t="s">
        <v>16</v>
      </c>
      <c r="F379" s="6" t="s">
        <v>17</v>
      </c>
      <c r="G379" s="6">
        <v>15.0</v>
      </c>
      <c r="H379" s="7">
        <v>7.96875</v>
      </c>
      <c r="I379" s="6">
        <v>45.0</v>
      </c>
      <c r="J379" s="6">
        <v>68.0</v>
      </c>
      <c r="K379" s="6">
        <v>378.0</v>
      </c>
      <c r="L379" s="6">
        <v>47.0</v>
      </c>
    </row>
    <row r="380">
      <c r="A380" s="5" t="s">
        <v>1144</v>
      </c>
      <c r="B380" s="5" t="s">
        <v>1145</v>
      </c>
      <c r="C380" s="5" t="s">
        <v>1146</v>
      </c>
      <c r="D380" s="5" t="s">
        <v>38</v>
      </c>
      <c r="E380" s="6" t="s">
        <v>16</v>
      </c>
      <c r="F380" s="6" t="s">
        <v>17</v>
      </c>
      <c r="G380" s="6">
        <v>15.0</v>
      </c>
      <c r="H380" s="7">
        <v>15.0</v>
      </c>
      <c r="I380" s="6">
        <v>38.0</v>
      </c>
      <c r="J380" s="6">
        <v>68.0</v>
      </c>
      <c r="K380" s="6">
        <v>379.0</v>
      </c>
      <c r="L380" s="6">
        <v>48.0</v>
      </c>
    </row>
    <row r="381">
      <c r="A381" s="5" t="s">
        <v>1147</v>
      </c>
      <c r="B381" s="5" t="s">
        <v>1148</v>
      </c>
      <c r="C381" s="5" t="s">
        <v>1149</v>
      </c>
      <c r="D381" s="5" t="s">
        <v>118</v>
      </c>
      <c r="E381" s="6" t="s">
        <v>16</v>
      </c>
      <c r="F381" s="6" t="s">
        <v>16</v>
      </c>
      <c r="G381" s="6">
        <v>14.0</v>
      </c>
      <c r="H381" s="7">
        <v>13.96875</v>
      </c>
      <c r="I381" s="6">
        <v>40.0</v>
      </c>
      <c r="J381" s="6">
        <v>68.0</v>
      </c>
      <c r="K381" s="6">
        <v>380.0</v>
      </c>
      <c r="L381" s="6">
        <v>30.0</v>
      </c>
    </row>
    <row r="382">
      <c r="A382" s="5" t="s">
        <v>1150</v>
      </c>
      <c r="B382" s="5" t="s">
        <v>1151</v>
      </c>
      <c r="C382" s="5" t="s">
        <v>1152</v>
      </c>
      <c r="D382" s="5" t="s">
        <v>52</v>
      </c>
      <c r="E382" s="6" t="s">
        <v>16</v>
      </c>
      <c r="F382" s="6" t="s">
        <v>17</v>
      </c>
      <c r="G382" s="6">
        <v>14.0</v>
      </c>
      <c r="H382" s="7">
        <v>13.96875</v>
      </c>
      <c r="I382" s="6">
        <v>40.0</v>
      </c>
      <c r="J382" s="6">
        <v>68.0</v>
      </c>
      <c r="K382" s="6">
        <v>381.0</v>
      </c>
      <c r="L382" s="6">
        <v>30.0</v>
      </c>
    </row>
    <row r="383">
      <c r="A383" s="5" t="s">
        <v>1153</v>
      </c>
      <c r="B383" s="5" t="s">
        <v>1154</v>
      </c>
      <c r="C383" s="5" t="s">
        <v>1155</v>
      </c>
      <c r="D383" s="5" t="s">
        <v>222</v>
      </c>
      <c r="E383" s="6" t="s">
        <v>16</v>
      </c>
      <c r="F383" s="6" t="s">
        <v>17</v>
      </c>
      <c r="G383" s="6">
        <v>13.0</v>
      </c>
      <c r="H383" s="7">
        <v>15.0</v>
      </c>
      <c r="I383" s="6">
        <v>40.0</v>
      </c>
      <c r="J383" s="6">
        <v>68.0</v>
      </c>
      <c r="K383" s="6">
        <v>382.0</v>
      </c>
      <c r="L383" s="6">
        <v>29.0</v>
      </c>
    </row>
    <row r="384">
      <c r="A384" s="5" t="s">
        <v>1156</v>
      </c>
      <c r="B384" s="5" t="s">
        <v>1157</v>
      </c>
      <c r="C384" s="5" t="s">
        <v>1158</v>
      </c>
      <c r="D384" s="5" t="s">
        <v>177</v>
      </c>
      <c r="E384" s="6" t="s">
        <v>16</v>
      </c>
      <c r="F384" s="6" t="s">
        <v>17</v>
      </c>
      <c r="G384" s="6">
        <v>12.0</v>
      </c>
      <c r="H384" s="7">
        <v>15.0</v>
      </c>
      <c r="I384" s="6">
        <v>41.0</v>
      </c>
      <c r="J384" s="6">
        <v>68.0</v>
      </c>
      <c r="K384" s="6">
        <v>383.0</v>
      </c>
      <c r="L384" s="6">
        <v>12.0</v>
      </c>
    </row>
    <row r="385">
      <c r="A385" s="5" t="s">
        <v>1159</v>
      </c>
      <c r="B385" s="5" t="s">
        <v>1160</v>
      </c>
      <c r="C385" s="5" t="s">
        <v>1161</v>
      </c>
      <c r="D385" s="5" t="s">
        <v>42</v>
      </c>
      <c r="E385" s="6" t="s">
        <v>16</v>
      </c>
      <c r="F385" s="6" t="s">
        <v>17</v>
      </c>
      <c r="G385" s="6">
        <v>14.0</v>
      </c>
      <c r="H385" s="7">
        <v>12.9375</v>
      </c>
      <c r="I385" s="6">
        <v>41.0</v>
      </c>
      <c r="J385" s="6">
        <v>67.9</v>
      </c>
      <c r="K385" s="6">
        <v>384.0</v>
      </c>
      <c r="L385" s="6">
        <v>29.0</v>
      </c>
    </row>
    <row r="386">
      <c r="A386" s="5" t="s">
        <v>1162</v>
      </c>
      <c r="B386" s="5">
        <v>3.2828115E7</v>
      </c>
      <c r="C386" s="5" t="s">
        <v>1163</v>
      </c>
      <c r="D386" s="5" t="s">
        <v>38</v>
      </c>
      <c r="E386" s="6" t="s">
        <v>16</v>
      </c>
      <c r="F386" s="6" t="s">
        <v>16</v>
      </c>
      <c r="G386" s="6">
        <v>13.0</v>
      </c>
      <c r="H386" s="7">
        <v>12.75</v>
      </c>
      <c r="I386" s="6">
        <v>42.0</v>
      </c>
      <c r="J386" s="6">
        <v>67.8</v>
      </c>
      <c r="K386" s="6">
        <v>385.0</v>
      </c>
      <c r="L386" s="6">
        <v>49.0</v>
      </c>
    </row>
    <row r="387">
      <c r="A387" s="5" t="s">
        <v>1164</v>
      </c>
      <c r="B387" s="5" t="s">
        <v>1165</v>
      </c>
      <c r="C387" s="5" t="s">
        <v>1166</v>
      </c>
      <c r="D387" s="5" t="s">
        <v>118</v>
      </c>
      <c r="E387" s="6" t="s">
        <v>16</v>
      </c>
      <c r="F387" s="6" t="s">
        <v>16</v>
      </c>
      <c r="G387" s="6">
        <v>9.0</v>
      </c>
      <c r="H387" s="7">
        <v>13.799999999999999</v>
      </c>
      <c r="I387" s="6">
        <v>45.0</v>
      </c>
      <c r="J387" s="6">
        <v>67.8</v>
      </c>
      <c r="K387" s="6">
        <v>386.0</v>
      </c>
      <c r="L387" s="6">
        <v>31.0</v>
      </c>
    </row>
    <row r="388">
      <c r="A388" s="5" t="s">
        <v>1167</v>
      </c>
      <c r="B388" s="5" t="s">
        <v>1168</v>
      </c>
      <c r="C388" s="5" t="s">
        <v>1169</v>
      </c>
      <c r="D388" s="5" t="s">
        <v>268</v>
      </c>
      <c r="E388" s="6" t="s">
        <v>16</v>
      </c>
      <c r="F388" s="6" t="s">
        <v>17</v>
      </c>
      <c r="G388" s="6">
        <v>13.0</v>
      </c>
      <c r="H388" s="7">
        <v>9.65625</v>
      </c>
      <c r="I388" s="6">
        <v>45.0</v>
      </c>
      <c r="J388" s="6">
        <v>67.7</v>
      </c>
      <c r="K388" s="6">
        <v>387.0</v>
      </c>
      <c r="L388" s="6">
        <v>21.0</v>
      </c>
    </row>
    <row r="389">
      <c r="A389" s="5" t="s">
        <v>1170</v>
      </c>
      <c r="B389" s="5" t="s">
        <v>1171</v>
      </c>
      <c r="C389" s="5" t="s">
        <v>1172</v>
      </c>
      <c r="D389" s="5" t="s">
        <v>21</v>
      </c>
      <c r="E389" s="6" t="s">
        <v>16</v>
      </c>
      <c r="F389" s="6" t="s">
        <v>17</v>
      </c>
      <c r="G389" s="6">
        <v>10.0</v>
      </c>
      <c r="H389" s="7">
        <v>12.65625</v>
      </c>
      <c r="I389" s="6">
        <v>45.0</v>
      </c>
      <c r="J389" s="6">
        <v>67.7</v>
      </c>
      <c r="K389" s="6">
        <v>388.0</v>
      </c>
      <c r="L389" s="6">
        <v>50.0</v>
      </c>
    </row>
    <row r="390">
      <c r="A390" s="5" t="s">
        <v>1173</v>
      </c>
      <c r="B390" s="5" t="s">
        <v>1174</v>
      </c>
      <c r="C390" s="5" t="s">
        <v>1175</v>
      </c>
      <c r="D390" s="5" t="s">
        <v>38</v>
      </c>
      <c r="E390" s="6" t="s">
        <v>16</v>
      </c>
      <c r="F390" s="6" t="s">
        <v>16</v>
      </c>
      <c r="G390" s="6">
        <v>15.0</v>
      </c>
      <c r="H390" s="7">
        <v>14.625</v>
      </c>
      <c r="I390" s="6">
        <v>38.0</v>
      </c>
      <c r="J390" s="6">
        <v>67.6</v>
      </c>
      <c r="K390" s="6">
        <v>389.0</v>
      </c>
      <c r="L390" s="6">
        <v>50.0</v>
      </c>
    </row>
    <row r="391">
      <c r="A391" s="5" t="s">
        <v>1176</v>
      </c>
      <c r="B391" s="5" t="s">
        <v>1177</v>
      </c>
      <c r="C391" s="5" t="s">
        <v>1178</v>
      </c>
      <c r="D391" s="5" t="s">
        <v>42</v>
      </c>
      <c r="E391" s="6" t="s">
        <v>16</v>
      </c>
      <c r="F391" s="6" t="s">
        <v>17</v>
      </c>
      <c r="G391" s="6">
        <v>12.0</v>
      </c>
      <c r="H391" s="7">
        <v>13.59375</v>
      </c>
      <c r="I391" s="6">
        <v>42.0</v>
      </c>
      <c r="J391" s="6">
        <v>67.6</v>
      </c>
      <c r="K391" s="6">
        <v>390.0</v>
      </c>
      <c r="L391" s="6">
        <v>30.0</v>
      </c>
    </row>
    <row r="392">
      <c r="A392" s="5" t="s">
        <v>1179</v>
      </c>
      <c r="B392" s="5" t="s">
        <v>1180</v>
      </c>
      <c r="C392" s="5" t="s">
        <v>1181</v>
      </c>
      <c r="D392" s="5" t="s">
        <v>118</v>
      </c>
      <c r="E392" s="6" t="s">
        <v>16</v>
      </c>
      <c r="F392" s="6" t="s">
        <v>17</v>
      </c>
      <c r="G392" s="6">
        <v>11.0</v>
      </c>
      <c r="H392" s="7">
        <v>11.625</v>
      </c>
      <c r="I392" s="6">
        <v>45.0</v>
      </c>
      <c r="J392" s="6">
        <v>67.6</v>
      </c>
      <c r="K392" s="6">
        <v>391.0</v>
      </c>
      <c r="L392" s="6">
        <v>32.0</v>
      </c>
    </row>
    <row r="393">
      <c r="A393" s="5" t="s">
        <v>1182</v>
      </c>
      <c r="B393" s="5" t="s">
        <v>1183</v>
      </c>
      <c r="C393" s="5" t="s">
        <v>1184</v>
      </c>
      <c r="D393" s="5" t="s">
        <v>177</v>
      </c>
      <c r="E393" s="6" t="s">
        <v>16</v>
      </c>
      <c r="F393" s="6" t="s">
        <v>17</v>
      </c>
      <c r="G393" s="6">
        <v>12.0</v>
      </c>
      <c r="H393" s="7">
        <v>13.5</v>
      </c>
      <c r="I393" s="6">
        <v>42.0</v>
      </c>
      <c r="J393" s="6">
        <v>67.5</v>
      </c>
      <c r="K393" s="6">
        <v>392.0</v>
      </c>
      <c r="L393" s="6">
        <v>13.0</v>
      </c>
    </row>
    <row r="394">
      <c r="A394" s="5" t="s">
        <v>1185</v>
      </c>
      <c r="B394" s="5" t="s">
        <v>1186</v>
      </c>
      <c r="C394" s="5" t="s">
        <v>1187</v>
      </c>
      <c r="D394" s="5" t="s">
        <v>75</v>
      </c>
      <c r="E394" s="6" t="s">
        <v>16</v>
      </c>
      <c r="F394" s="6" t="s">
        <v>16</v>
      </c>
      <c r="G394" s="6">
        <v>15.0</v>
      </c>
      <c r="H394" s="7">
        <v>12.412499999999998</v>
      </c>
      <c r="I394" s="6">
        <v>40.0</v>
      </c>
      <c r="J394" s="6">
        <v>67.4</v>
      </c>
      <c r="K394" s="6">
        <v>393.0</v>
      </c>
      <c r="L394" s="6">
        <v>28.0</v>
      </c>
    </row>
    <row r="395">
      <c r="A395" s="5" t="s">
        <v>1188</v>
      </c>
      <c r="B395" s="5" t="s">
        <v>1189</v>
      </c>
      <c r="C395" s="5" t="s">
        <v>1190</v>
      </c>
      <c r="D395" s="5" t="s">
        <v>38</v>
      </c>
      <c r="E395" s="6" t="s">
        <v>16</v>
      </c>
      <c r="F395" s="6" t="s">
        <v>17</v>
      </c>
      <c r="G395" s="6">
        <v>13.0</v>
      </c>
      <c r="H395" s="7">
        <v>10.40625</v>
      </c>
      <c r="I395" s="6">
        <v>44.0</v>
      </c>
      <c r="J395" s="6">
        <v>67.4</v>
      </c>
      <c r="K395" s="6">
        <v>394.0</v>
      </c>
      <c r="L395" s="6">
        <v>51.0</v>
      </c>
    </row>
    <row r="396">
      <c r="A396" s="5" t="s">
        <v>1191</v>
      </c>
      <c r="B396" s="5" t="s">
        <v>1192</v>
      </c>
      <c r="C396" s="5" t="s">
        <v>1193</v>
      </c>
      <c r="D396" s="5" t="s">
        <v>75</v>
      </c>
      <c r="E396" s="6" t="s">
        <v>16</v>
      </c>
      <c r="F396" s="6" t="s">
        <v>17</v>
      </c>
      <c r="G396" s="6">
        <v>9.0</v>
      </c>
      <c r="H396" s="7">
        <v>13.35</v>
      </c>
      <c r="I396" s="6">
        <v>45.0</v>
      </c>
      <c r="J396" s="6">
        <v>67.4</v>
      </c>
      <c r="K396" s="6">
        <v>395.0</v>
      </c>
      <c r="L396" s="6">
        <v>29.0</v>
      </c>
    </row>
    <row r="397">
      <c r="A397" s="5" t="s">
        <v>1194</v>
      </c>
      <c r="B397" s="5" t="s">
        <v>1195</v>
      </c>
      <c r="C397" s="5" t="s">
        <v>1196</v>
      </c>
      <c r="D397" s="5" t="s">
        <v>42</v>
      </c>
      <c r="E397" s="6" t="s">
        <v>16</v>
      </c>
      <c r="F397" s="6" t="s">
        <v>17</v>
      </c>
      <c r="G397" s="6">
        <v>17.0</v>
      </c>
      <c r="H397" s="7">
        <v>10.265625</v>
      </c>
      <c r="I397" s="6">
        <v>40.0</v>
      </c>
      <c r="J397" s="6">
        <v>67.3</v>
      </c>
      <c r="K397" s="6">
        <v>396.0</v>
      </c>
      <c r="L397" s="6">
        <v>31.0</v>
      </c>
    </row>
    <row r="398">
      <c r="A398" s="5" t="s">
        <v>1197</v>
      </c>
      <c r="B398" s="5" t="s">
        <v>1198</v>
      </c>
      <c r="C398" s="5" t="s">
        <v>1199</v>
      </c>
      <c r="D398" s="5" t="s">
        <v>38</v>
      </c>
      <c r="E398" s="6" t="s">
        <v>16</v>
      </c>
      <c r="F398" s="6" t="s">
        <v>16</v>
      </c>
      <c r="G398" s="6">
        <v>13.0</v>
      </c>
      <c r="H398" s="7">
        <v>11.25</v>
      </c>
      <c r="I398" s="6">
        <v>43.0</v>
      </c>
      <c r="J398" s="6">
        <v>67.3</v>
      </c>
      <c r="K398" s="6">
        <v>397.0</v>
      </c>
      <c r="L398" s="6">
        <v>52.0</v>
      </c>
    </row>
    <row r="399">
      <c r="A399" s="5" t="s">
        <v>1200</v>
      </c>
      <c r="B399" s="5" t="s">
        <v>1201</v>
      </c>
      <c r="C399" s="5" t="s">
        <v>1202</v>
      </c>
      <c r="D399" s="5" t="s">
        <v>38</v>
      </c>
      <c r="E399" s="6" t="s">
        <v>16</v>
      </c>
      <c r="F399" s="6" t="s">
        <v>17</v>
      </c>
      <c r="G399" s="6">
        <v>13.0</v>
      </c>
      <c r="H399" s="7">
        <v>12.84375</v>
      </c>
      <c r="I399" s="6">
        <v>41.5</v>
      </c>
      <c r="J399" s="6">
        <v>67.3</v>
      </c>
      <c r="K399" s="6">
        <v>398.0</v>
      </c>
      <c r="L399" s="6">
        <v>53.0</v>
      </c>
    </row>
    <row r="400">
      <c r="A400" s="5" t="s">
        <v>1203</v>
      </c>
      <c r="B400" s="5" t="s">
        <v>1204</v>
      </c>
      <c r="C400" s="5" t="s">
        <v>1205</v>
      </c>
      <c r="D400" s="5" t="s">
        <v>222</v>
      </c>
      <c r="E400" s="6" t="s">
        <v>17</v>
      </c>
      <c r="F400" s="6" t="s">
        <v>16</v>
      </c>
      <c r="G400" s="6">
        <v>13.0</v>
      </c>
      <c r="H400" s="7">
        <v>14.25</v>
      </c>
      <c r="I400" s="6">
        <v>40.0</v>
      </c>
      <c r="J400" s="6">
        <v>67.3</v>
      </c>
      <c r="K400" s="6">
        <v>399.0</v>
      </c>
      <c r="L400" s="6">
        <v>30.0</v>
      </c>
    </row>
    <row r="401">
      <c r="A401" s="5" t="s">
        <v>1206</v>
      </c>
      <c r="B401" s="5" t="s">
        <v>1207</v>
      </c>
      <c r="C401" s="5" t="s">
        <v>1208</v>
      </c>
      <c r="D401" s="5" t="s">
        <v>118</v>
      </c>
      <c r="E401" s="6" t="s">
        <v>16</v>
      </c>
      <c r="F401" s="6" t="s">
        <v>16</v>
      </c>
      <c r="G401" s="6">
        <v>12.0</v>
      </c>
      <c r="H401" s="7">
        <v>10.3125</v>
      </c>
      <c r="I401" s="6">
        <v>45.0</v>
      </c>
      <c r="J401" s="6">
        <v>67.3</v>
      </c>
      <c r="K401" s="6">
        <v>400.0</v>
      </c>
      <c r="L401" s="6">
        <v>33.0</v>
      </c>
    </row>
    <row r="402">
      <c r="A402" s="5" t="s">
        <v>1209</v>
      </c>
      <c r="B402" s="5" t="s">
        <v>1210</v>
      </c>
      <c r="C402" s="5" t="s">
        <v>1211</v>
      </c>
      <c r="D402" s="5" t="s">
        <v>75</v>
      </c>
      <c r="E402" s="6" t="s">
        <v>16</v>
      </c>
      <c r="F402" s="6" t="s">
        <v>17</v>
      </c>
      <c r="G402" s="6">
        <v>17.0</v>
      </c>
      <c r="H402" s="7">
        <v>10.2</v>
      </c>
      <c r="I402" s="6">
        <v>40.0</v>
      </c>
      <c r="J402" s="6">
        <v>67.2</v>
      </c>
      <c r="K402" s="6">
        <v>401.0</v>
      </c>
      <c r="L402" s="6">
        <v>30.0</v>
      </c>
    </row>
    <row r="403">
      <c r="A403" s="5" t="s">
        <v>1212</v>
      </c>
      <c r="B403" s="5" t="s">
        <v>1213</v>
      </c>
      <c r="C403" s="5" t="s">
        <v>745</v>
      </c>
      <c r="D403" s="5" t="s">
        <v>59</v>
      </c>
      <c r="E403" s="6" t="s">
        <v>16</v>
      </c>
      <c r="F403" s="6" t="s">
        <v>17</v>
      </c>
      <c r="G403" s="6">
        <v>16.0</v>
      </c>
      <c r="H403" s="7">
        <v>12.234375</v>
      </c>
      <c r="I403" s="6">
        <v>39.0</v>
      </c>
      <c r="J403" s="6">
        <v>67.2</v>
      </c>
      <c r="K403" s="6">
        <v>402.0</v>
      </c>
      <c r="L403" s="6">
        <v>35.0</v>
      </c>
    </row>
    <row r="404">
      <c r="A404" s="5" t="s">
        <v>1214</v>
      </c>
      <c r="B404" s="5" t="s">
        <v>1215</v>
      </c>
      <c r="C404" s="5" t="s">
        <v>1216</v>
      </c>
      <c r="D404" s="5" t="s">
        <v>15</v>
      </c>
      <c r="E404" s="6" t="s">
        <v>16</v>
      </c>
      <c r="F404" s="6" t="s">
        <v>16</v>
      </c>
      <c r="G404" s="6">
        <v>12.0</v>
      </c>
      <c r="H404" s="7">
        <v>13.125</v>
      </c>
      <c r="I404" s="6">
        <v>42.0</v>
      </c>
      <c r="J404" s="6">
        <v>67.1</v>
      </c>
      <c r="K404" s="6">
        <v>403.0</v>
      </c>
      <c r="L404" s="6">
        <v>43.0</v>
      </c>
    </row>
    <row r="405">
      <c r="A405" s="5" t="s">
        <v>1217</v>
      </c>
      <c r="B405" s="5" t="s">
        <v>1218</v>
      </c>
      <c r="C405" s="5" t="s">
        <v>1219</v>
      </c>
      <c r="D405" s="5" t="s">
        <v>38</v>
      </c>
      <c r="E405" s="6" t="s">
        <v>16</v>
      </c>
      <c r="F405" s="6" t="s">
        <v>17</v>
      </c>
      <c r="G405" s="6">
        <v>15.0</v>
      </c>
      <c r="H405" s="7">
        <v>15.0</v>
      </c>
      <c r="I405" s="6">
        <v>37.0</v>
      </c>
      <c r="J405" s="6">
        <v>67.0</v>
      </c>
      <c r="K405" s="6">
        <v>404.0</v>
      </c>
      <c r="L405" s="6">
        <v>54.0</v>
      </c>
    </row>
    <row r="406">
      <c r="A406" s="5" t="s">
        <v>1220</v>
      </c>
      <c r="B406" s="5" t="s">
        <v>1221</v>
      </c>
      <c r="C406" s="5" t="s">
        <v>1222</v>
      </c>
      <c r="D406" s="5" t="s">
        <v>52</v>
      </c>
      <c r="E406" s="6" t="s">
        <v>16</v>
      </c>
      <c r="F406" s="6" t="s">
        <v>17</v>
      </c>
      <c r="G406" s="6">
        <v>9.0</v>
      </c>
      <c r="H406" s="7">
        <v>15.0</v>
      </c>
      <c r="I406" s="6">
        <v>43.0</v>
      </c>
      <c r="J406" s="6">
        <v>67.0</v>
      </c>
      <c r="K406" s="6">
        <v>405.0</v>
      </c>
      <c r="L406" s="6">
        <v>31.0</v>
      </c>
    </row>
    <row r="407">
      <c r="A407" s="5" t="s">
        <v>1223</v>
      </c>
      <c r="B407" s="5" t="s">
        <v>1224</v>
      </c>
      <c r="C407" s="5" t="s">
        <v>1225</v>
      </c>
      <c r="D407" s="5" t="s">
        <v>15</v>
      </c>
      <c r="E407" s="6" t="s">
        <v>16</v>
      </c>
      <c r="F407" s="6" t="s">
        <v>16</v>
      </c>
      <c r="G407" s="6">
        <v>7.0</v>
      </c>
      <c r="H407" s="7">
        <v>15.0</v>
      </c>
      <c r="I407" s="6">
        <v>45.0</v>
      </c>
      <c r="J407" s="6">
        <v>67.0</v>
      </c>
      <c r="K407" s="6">
        <v>406.0</v>
      </c>
      <c r="L407" s="6">
        <v>44.0</v>
      </c>
    </row>
    <row r="408">
      <c r="A408" s="5" t="s">
        <v>1226</v>
      </c>
      <c r="B408" s="5" t="s">
        <v>1227</v>
      </c>
      <c r="C408" s="5" t="s">
        <v>1228</v>
      </c>
      <c r="D408" s="5" t="s">
        <v>34</v>
      </c>
      <c r="E408" s="6" t="s">
        <v>16</v>
      </c>
      <c r="F408" s="6" t="s">
        <v>16</v>
      </c>
      <c r="G408" s="6">
        <v>13.0</v>
      </c>
      <c r="H408" s="7">
        <v>13.893750000000002</v>
      </c>
      <c r="I408" s="6">
        <v>40.0</v>
      </c>
      <c r="J408" s="6">
        <v>66.9</v>
      </c>
      <c r="K408" s="6">
        <v>407.0</v>
      </c>
      <c r="L408" s="6">
        <v>35.0</v>
      </c>
    </row>
    <row r="409">
      <c r="A409" s="5" t="s">
        <v>1229</v>
      </c>
      <c r="B409" s="5" t="s">
        <v>1230</v>
      </c>
      <c r="C409" s="5" t="s">
        <v>1231</v>
      </c>
      <c r="D409" s="5" t="s">
        <v>268</v>
      </c>
      <c r="E409" s="6" t="s">
        <v>16</v>
      </c>
      <c r="F409" s="6" t="s">
        <v>17</v>
      </c>
      <c r="G409" s="6">
        <v>11.0</v>
      </c>
      <c r="H409" s="7">
        <v>12.890625</v>
      </c>
      <c r="I409" s="6">
        <v>43.0</v>
      </c>
      <c r="J409" s="6">
        <v>66.9</v>
      </c>
      <c r="K409" s="6">
        <v>408.0</v>
      </c>
      <c r="L409" s="6">
        <v>22.0</v>
      </c>
    </row>
    <row r="410">
      <c r="A410" s="5" t="s">
        <v>1232</v>
      </c>
      <c r="B410" s="5" t="s">
        <v>1233</v>
      </c>
      <c r="C410" s="5" t="s">
        <v>1234</v>
      </c>
      <c r="D410" s="5" t="s">
        <v>75</v>
      </c>
      <c r="E410" s="6" t="s">
        <v>16</v>
      </c>
      <c r="F410" s="6" t="s">
        <v>17</v>
      </c>
      <c r="G410" s="6">
        <v>15.0</v>
      </c>
      <c r="H410" s="7">
        <v>10.8375</v>
      </c>
      <c r="I410" s="6">
        <v>41.0</v>
      </c>
      <c r="J410" s="6">
        <v>66.8</v>
      </c>
      <c r="K410" s="6">
        <v>409.0</v>
      </c>
      <c r="L410" s="6">
        <v>31.0</v>
      </c>
    </row>
    <row r="411">
      <c r="A411" s="5" t="s">
        <v>1235</v>
      </c>
      <c r="B411" s="5" t="s">
        <v>1236</v>
      </c>
      <c r="C411" s="5" t="s">
        <v>1237</v>
      </c>
      <c r="D411" s="5" t="s">
        <v>52</v>
      </c>
      <c r="E411" s="6" t="s">
        <v>16</v>
      </c>
      <c r="F411" s="6" t="s">
        <v>17</v>
      </c>
      <c r="G411" s="6">
        <v>9.0</v>
      </c>
      <c r="H411" s="7">
        <v>13.78125</v>
      </c>
      <c r="I411" s="6">
        <v>44.0</v>
      </c>
      <c r="J411" s="6">
        <v>66.8</v>
      </c>
      <c r="K411" s="6">
        <v>410.0</v>
      </c>
      <c r="L411" s="6">
        <v>32.0</v>
      </c>
    </row>
    <row r="412">
      <c r="A412" s="5" t="s">
        <v>1238</v>
      </c>
      <c r="B412" s="5" t="s">
        <v>1239</v>
      </c>
      <c r="C412" s="5" t="s">
        <v>1240</v>
      </c>
      <c r="D412" s="5" t="s">
        <v>177</v>
      </c>
      <c r="E412" s="6" t="s">
        <v>16</v>
      </c>
      <c r="F412" s="6" t="s">
        <v>17</v>
      </c>
      <c r="G412" s="6">
        <v>12.0</v>
      </c>
      <c r="H412" s="7">
        <v>10.6875</v>
      </c>
      <c r="I412" s="6">
        <v>44.0</v>
      </c>
      <c r="J412" s="6">
        <v>66.7</v>
      </c>
      <c r="K412" s="6">
        <v>411.0</v>
      </c>
      <c r="L412" s="6">
        <v>14.0</v>
      </c>
    </row>
    <row r="413">
      <c r="A413" s="5" t="s">
        <v>1241</v>
      </c>
      <c r="B413" s="5" t="s">
        <v>1242</v>
      </c>
      <c r="C413" s="5" t="s">
        <v>1243</v>
      </c>
      <c r="D413" s="5" t="s">
        <v>75</v>
      </c>
      <c r="E413" s="6" t="s">
        <v>16</v>
      </c>
      <c r="F413" s="6" t="s">
        <v>16</v>
      </c>
      <c r="G413" s="6">
        <v>14.0</v>
      </c>
      <c r="H413" s="7">
        <v>12.581249999999999</v>
      </c>
      <c r="I413" s="6">
        <v>40.0</v>
      </c>
      <c r="J413" s="6">
        <v>66.6</v>
      </c>
      <c r="K413" s="6">
        <v>412.0</v>
      </c>
      <c r="L413" s="6">
        <v>32.0</v>
      </c>
    </row>
    <row r="414">
      <c r="A414" s="5" t="s">
        <v>1244</v>
      </c>
      <c r="B414" s="5" t="s">
        <v>1245</v>
      </c>
      <c r="C414" s="5" t="s">
        <v>1246</v>
      </c>
      <c r="D414" s="5" t="s">
        <v>222</v>
      </c>
      <c r="E414" s="6" t="s">
        <v>16</v>
      </c>
      <c r="F414" s="6" t="s">
        <v>17</v>
      </c>
      <c r="G414" s="6">
        <v>12.0</v>
      </c>
      <c r="H414" s="7">
        <v>14.625</v>
      </c>
      <c r="I414" s="6">
        <v>40.0</v>
      </c>
      <c r="J414" s="6">
        <v>66.6</v>
      </c>
      <c r="K414" s="6">
        <v>413.0</v>
      </c>
      <c r="L414" s="6">
        <v>31.0</v>
      </c>
    </row>
    <row r="415">
      <c r="A415" s="5" t="s">
        <v>1247</v>
      </c>
      <c r="B415" s="5" t="s">
        <v>1248</v>
      </c>
      <c r="C415" s="5" t="s">
        <v>1249</v>
      </c>
      <c r="D415" s="5" t="s">
        <v>21</v>
      </c>
      <c r="E415" s="6" t="s">
        <v>16</v>
      </c>
      <c r="F415" s="6" t="s">
        <v>17</v>
      </c>
      <c r="G415" s="6">
        <v>10.0</v>
      </c>
      <c r="H415" s="7">
        <v>11.625</v>
      </c>
      <c r="I415" s="6">
        <v>45.0</v>
      </c>
      <c r="J415" s="6">
        <v>66.6</v>
      </c>
      <c r="K415" s="6">
        <v>414.0</v>
      </c>
      <c r="L415" s="6">
        <v>51.0</v>
      </c>
    </row>
    <row r="416">
      <c r="A416" s="5" t="s">
        <v>1250</v>
      </c>
      <c r="B416" s="5" t="s">
        <v>1251</v>
      </c>
      <c r="C416" s="5" t="s">
        <v>1252</v>
      </c>
      <c r="D416" s="5" t="s">
        <v>59</v>
      </c>
      <c r="E416" s="6" t="s">
        <v>16</v>
      </c>
      <c r="F416" s="6" t="s">
        <v>16</v>
      </c>
      <c r="G416" s="6">
        <v>35.0</v>
      </c>
      <c r="H416" s="7">
        <v>10.546875</v>
      </c>
      <c r="I416" s="6">
        <v>21.0</v>
      </c>
      <c r="J416" s="6">
        <v>66.5</v>
      </c>
      <c r="K416" s="6">
        <v>415.0</v>
      </c>
      <c r="L416" s="6">
        <v>36.0</v>
      </c>
    </row>
    <row r="417">
      <c r="A417" s="5" t="s">
        <v>1253</v>
      </c>
      <c r="B417" s="5" t="s">
        <v>1254</v>
      </c>
      <c r="C417" s="5" t="s">
        <v>1255</v>
      </c>
      <c r="D417" s="5" t="s">
        <v>268</v>
      </c>
      <c r="E417" s="6" t="s">
        <v>16</v>
      </c>
      <c r="F417" s="6" t="s">
        <v>16</v>
      </c>
      <c r="G417" s="6">
        <v>15.0</v>
      </c>
      <c r="H417" s="7">
        <v>12.28125</v>
      </c>
      <c r="I417" s="6">
        <v>39.0</v>
      </c>
      <c r="J417" s="6">
        <v>66.3</v>
      </c>
      <c r="K417" s="6">
        <v>416.0</v>
      </c>
      <c r="L417" s="6">
        <v>23.0</v>
      </c>
    </row>
    <row r="418">
      <c r="A418" s="5" t="s">
        <v>1256</v>
      </c>
      <c r="B418" s="5" t="s">
        <v>1257</v>
      </c>
      <c r="C418" s="5" t="s">
        <v>1258</v>
      </c>
      <c r="D418" s="5" t="s">
        <v>34</v>
      </c>
      <c r="E418" s="6" t="s">
        <v>16</v>
      </c>
      <c r="F418" s="6" t="s">
        <v>16</v>
      </c>
      <c r="G418" s="6">
        <v>13.0</v>
      </c>
      <c r="H418" s="7">
        <v>8.296875</v>
      </c>
      <c r="I418" s="6">
        <v>45.0</v>
      </c>
      <c r="J418" s="6">
        <v>66.3</v>
      </c>
      <c r="K418" s="6">
        <v>417.0</v>
      </c>
      <c r="L418" s="6">
        <v>36.0</v>
      </c>
    </row>
    <row r="419">
      <c r="A419" s="5" t="s">
        <v>1259</v>
      </c>
      <c r="B419" s="5" t="s">
        <v>1260</v>
      </c>
      <c r="C419" s="5" t="s">
        <v>1261</v>
      </c>
      <c r="D419" s="5" t="s">
        <v>21</v>
      </c>
      <c r="E419" s="6" t="s">
        <v>16</v>
      </c>
      <c r="F419" s="6" t="s">
        <v>17</v>
      </c>
      <c r="G419" s="6">
        <v>11.0</v>
      </c>
      <c r="H419" s="7">
        <v>12.5859375</v>
      </c>
      <c r="I419" s="6">
        <v>42.8</v>
      </c>
      <c r="J419" s="6">
        <v>66.3</v>
      </c>
      <c r="K419" s="6">
        <v>418.0</v>
      </c>
      <c r="L419" s="6">
        <v>52.0</v>
      </c>
    </row>
    <row r="420">
      <c r="A420" s="5" t="s">
        <v>1262</v>
      </c>
      <c r="B420" s="5" t="s">
        <v>1263</v>
      </c>
      <c r="C420" s="5" t="s">
        <v>1264</v>
      </c>
      <c r="D420" s="5" t="s">
        <v>268</v>
      </c>
      <c r="E420" s="6" t="s">
        <v>16</v>
      </c>
      <c r="F420" s="6" t="s">
        <v>17</v>
      </c>
      <c r="G420" s="6">
        <v>13.0</v>
      </c>
      <c r="H420" s="7">
        <v>9.218749999999998</v>
      </c>
      <c r="I420" s="6">
        <v>44.0</v>
      </c>
      <c r="J420" s="6">
        <v>66.2</v>
      </c>
      <c r="K420" s="6">
        <v>419.0</v>
      </c>
      <c r="L420" s="6">
        <v>24.0</v>
      </c>
    </row>
    <row r="421">
      <c r="A421" s="5" t="s">
        <v>1265</v>
      </c>
      <c r="B421" s="5" t="s">
        <v>1266</v>
      </c>
      <c r="C421" s="5" t="s">
        <v>1267</v>
      </c>
      <c r="D421" s="5" t="s">
        <v>118</v>
      </c>
      <c r="E421" s="6" t="s">
        <v>16</v>
      </c>
      <c r="F421" s="6" t="s">
        <v>16</v>
      </c>
      <c r="G421" s="6">
        <v>11.0</v>
      </c>
      <c r="H421" s="7">
        <v>13.171875</v>
      </c>
      <c r="I421" s="6">
        <v>42.0</v>
      </c>
      <c r="J421" s="6">
        <v>66.2</v>
      </c>
      <c r="K421" s="6">
        <v>420.0</v>
      </c>
      <c r="L421" s="6">
        <v>34.0</v>
      </c>
    </row>
    <row r="422">
      <c r="A422" s="5" t="s">
        <v>1268</v>
      </c>
      <c r="B422" s="5" t="s">
        <v>1269</v>
      </c>
      <c r="C422" s="5" t="s">
        <v>1163</v>
      </c>
      <c r="D422" s="5" t="s">
        <v>38</v>
      </c>
      <c r="E422" s="6" t="s">
        <v>16</v>
      </c>
      <c r="F422" s="6" t="s">
        <v>17</v>
      </c>
      <c r="G422" s="6">
        <v>15.0</v>
      </c>
      <c r="H422" s="7">
        <v>11.625</v>
      </c>
      <c r="I422" s="6">
        <v>39.5</v>
      </c>
      <c r="J422" s="6">
        <v>66.1</v>
      </c>
      <c r="K422" s="6">
        <v>421.0</v>
      </c>
      <c r="L422" s="6">
        <v>55.0</v>
      </c>
    </row>
    <row r="423">
      <c r="A423" s="5" t="s">
        <v>1270</v>
      </c>
      <c r="B423" s="5" t="s">
        <v>1271</v>
      </c>
      <c r="C423" s="5" t="s">
        <v>1272</v>
      </c>
      <c r="D423" s="5" t="s">
        <v>15</v>
      </c>
      <c r="E423" s="6" t="s">
        <v>16</v>
      </c>
      <c r="F423" s="6" t="s">
        <v>17</v>
      </c>
      <c r="G423" s="6">
        <v>12.0</v>
      </c>
      <c r="H423" s="7">
        <v>13.125</v>
      </c>
      <c r="I423" s="6">
        <v>41.0</v>
      </c>
      <c r="J423" s="6">
        <v>66.1</v>
      </c>
      <c r="K423" s="6">
        <v>422.0</v>
      </c>
      <c r="L423" s="6">
        <v>45.0</v>
      </c>
    </row>
    <row r="424">
      <c r="A424" s="5" t="s">
        <v>1273</v>
      </c>
      <c r="B424" s="5" t="s">
        <v>1274</v>
      </c>
      <c r="C424" s="5" t="s">
        <v>1275</v>
      </c>
      <c r="D424" s="5" t="s">
        <v>118</v>
      </c>
      <c r="E424" s="6" t="s">
        <v>16</v>
      </c>
      <c r="F424" s="6" t="s">
        <v>17</v>
      </c>
      <c r="G424" s="6">
        <v>7.0</v>
      </c>
      <c r="H424" s="7">
        <v>14.118749999999999</v>
      </c>
      <c r="I424" s="6">
        <v>45.0</v>
      </c>
      <c r="J424" s="6">
        <v>66.1</v>
      </c>
      <c r="K424" s="6">
        <v>423.0</v>
      </c>
      <c r="L424" s="6">
        <v>35.0</v>
      </c>
    </row>
    <row r="425">
      <c r="A425" s="5" t="s">
        <v>1276</v>
      </c>
      <c r="B425" s="5" t="s">
        <v>1277</v>
      </c>
      <c r="C425" s="5" t="s">
        <v>1278</v>
      </c>
      <c r="D425" s="5" t="s">
        <v>268</v>
      </c>
      <c r="E425" s="6" t="s">
        <v>16</v>
      </c>
      <c r="F425" s="6" t="s">
        <v>16</v>
      </c>
      <c r="G425" s="6">
        <v>13.0</v>
      </c>
      <c r="H425" s="7">
        <v>12.046875</v>
      </c>
      <c r="I425" s="6">
        <v>41.0</v>
      </c>
      <c r="J425" s="6">
        <v>66.0</v>
      </c>
      <c r="K425" s="6">
        <v>424.0</v>
      </c>
      <c r="L425" s="6">
        <v>25.0</v>
      </c>
    </row>
    <row r="426">
      <c r="A426" s="5" t="s">
        <v>1279</v>
      </c>
      <c r="B426" s="5" t="s">
        <v>1280</v>
      </c>
      <c r="C426" s="5" t="s">
        <v>1281</v>
      </c>
      <c r="D426" s="5" t="s">
        <v>34</v>
      </c>
      <c r="E426" s="6" t="s">
        <v>16</v>
      </c>
      <c r="F426" s="6" t="s">
        <v>17</v>
      </c>
      <c r="G426" s="6">
        <v>11.0</v>
      </c>
      <c r="H426" s="7">
        <v>11.962500000000002</v>
      </c>
      <c r="I426" s="6">
        <v>43.0</v>
      </c>
      <c r="J426" s="6">
        <v>66.0</v>
      </c>
      <c r="K426" s="6">
        <v>425.0</v>
      </c>
      <c r="L426" s="6">
        <v>37.0</v>
      </c>
    </row>
    <row r="427">
      <c r="A427" s="5" t="s">
        <v>1282</v>
      </c>
      <c r="B427" s="5" t="s">
        <v>1283</v>
      </c>
      <c r="C427" s="5" t="s">
        <v>1284</v>
      </c>
      <c r="D427" s="5" t="s">
        <v>42</v>
      </c>
      <c r="E427" s="6" t="s">
        <v>16</v>
      </c>
      <c r="F427" s="6" t="s">
        <v>16</v>
      </c>
      <c r="G427" s="6">
        <v>9.0</v>
      </c>
      <c r="H427" s="7">
        <v>12.0</v>
      </c>
      <c r="I427" s="6">
        <v>45.0</v>
      </c>
      <c r="J427" s="6">
        <v>66.0</v>
      </c>
      <c r="K427" s="6">
        <v>426.0</v>
      </c>
      <c r="L427" s="6">
        <v>32.0</v>
      </c>
    </row>
    <row r="428">
      <c r="A428" s="5" t="s">
        <v>1285</v>
      </c>
      <c r="B428" s="5" t="s">
        <v>1286</v>
      </c>
      <c r="C428" s="5" t="s">
        <v>1287</v>
      </c>
      <c r="D428" s="5" t="s">
        <v>38</v>
      </c>
      <c r="E428" s="6" t="s">
        <v>16</v>
      </c>
      <c r="F428" s="6" t="s">
        <v>17</v>
      </c>
      <c r="G428" s="6">
        <v>15.0</v>
      </c>
      <c r="H428" s="7">
        <v>10.3125</v>
      </c>
      <c r="I428" s="6">
        <v>40.5</v>
      </c>
      <c r="J428" s="6">
        <v>65.8</v>
      </c>
      <c r="K428" s="6">
        <v>427.0</v>
      </c>
      <c r="L428" s="6">
        <v>56.0</v>
      </c>
    </row>
    <row r="429">
      <c r="A429" s="5" t="s">
        <v>1288</v>
      </c>
      <c r="B429" s="5" t="s">
        <v>1289</v>
      </c>
      <c r="C429" s="5" t="s">
        <v>1290</v>
      </c>
      <c r="D429" s="5" t="s">
        <v>52</v>
      </c>
      <c r="E429" s="6" t="s">
        <v>16</v>
      </c>
      <c r="F429" s="6" t="s">
        <v>16</v>
      </c>
      <c r="G429" s="6">
        <v>7.0</v>
      </c>
      <c r="H429" s="7">
        <v>13.78125</v>
      </c>
      <c r="I429" s="6">
        <v>45.0</v>
      </c>
      <c r="J429" s="6">
        <v>65.8</v>
      </c>
      <c r="K429" s="6">
        <v>428.0</v>
      </c>
      <c r="L429" s="6">
        <v>33.0</v>
      </c>
    </row>
    <row r="430">
      <c r="A430" s="5" t="s">
        <v>1291</v>
      </c>
      <c r="B430" s="5" t="s">
        <v>1292</v>
      </c>
      <c r="C430" s="5" t="s">
        <v>1293</v>
      </c>
      <c r="D430" s="5" t="s">
        <v>42</v>
      </c>
      <c r="E430" s="6" t="s">
        <v>16</v>
      </c>
      <c r="F430" s="6" t="s">
        <v>16</v>
      </c>
      <c r="G430" s="6">
        <v>12.0</v>
      </c>
      <c r="H430" s="7">
        <v>13.6875</v>
      </c>
      <c r="I430" s="6">
        <v>40.0</v>
      </c>
      <c r="J430" s="6">
        <v>65.7</v>
      </c>
      <c r="K430" s="6">
        <v>429.0</v>
      </c>
      <c r="L430" s="6">
        <v>33.0</v>
      </c>
    </row>
    <row r="431">
      <c r="A431" s="5" t="s">
        <v>1294</v>
      </c>
      <c r="B431" s="5" t="s">
        <v>1295</v>
      </c>
      <c r="C431" s="5" t="s">
        <v>1296</v>
      </c>
      <c r="D431" s="5" t="s">
        <v>52</v>
      </c>
      <c r="E431" s="6" t="s">
        <v>16</v>
      </c>
      <c r="F431" s="6" t="s">
        <v>16</v>
      </c>
      <c r="G431" s="6">
        <v>14.0</v>
      </c>
      <c r="H431" s="7">
        <v>11.625</v>
      </c>
      <c r="I431" s="6">
        <v>40.0</v>
      </c>
      <c r="J431" s="6">
        <v>65.6</v>
      </c>
      <c r="K431" s="6">
        <v>430.0</v>
      </c>
      <c r="L431" s="6">
        <v>34.0</v>
      </c>
    </row>
    <row r="432">
      <c r="A432" s="5" t="s">
        <v>1297</v>
      </c>
      <c r="B432" s="5" t="s">
        <v>1298</v>
      </c>
      <c r="C432" s="5" t="s">
        <v>1299</v>
      </c>
      <c r="D432" s="5" t="s">
        <v>38</v>
      </c>
      <c r="E432" s="6" t="s">
        <v>16</v>
      </c>
      <c r="F432" s="6" t="s">
        <v>17</v>
      </c>
      <c r="G432" s="6">
        <v>13.0</v>
      </c>
      <c r="H432" s="7">
        <v>13.59375</v>
      </c>
      <c r="I432" s="6">
        <v>39.0</v>
      </c>
      <c r="J432" s="6">
        <v>65.6</v>
      </c>
      <c r="K432" s="6">
        <v>431.0</v>
      </c>
      <c r="L432" s="6">
        <v>57.0</v>
      </c>
    </row>
    <row r="433">
      <c r="A433" s="5" t="s">
        <v>1300</v>
      </c>
      <c r="B433" s="5" t="s">
        <v>1301</v>
      </c>
      <c r="C433" s="5" t="s">
        <v>1302</v>
      </c>
      <c r="D433" s="5" t="s">
        <v>38</v>
      </c>
      <c r="E433" s="6" t="s">
        <v>16</v>
      </c>
      <c r="F433" s="6" t="s">
        <v>16</v>
      </c>
      <c r="G433" s="6">
        <v>13.0</v>
      </c>
      <c r="H433" s="7">
        <v>12.375</v>
      </c>
      <c r="I433" s="6">
        <v>40.0</v>
      </c>
      <c r="J433" s="6">
        <v>65.4</v>
      </c>
      <c r="K433" s="6">
        <v>432.0</v>
      </c>
      <c r="L433" s="6">
        <v>58.0</v>
      </c>
    </row>
    <row r="434">
      <c r="A434" s="5" t="s">
        <v>1303</v>
      </c>
      <c r="B434" s="5" t="s">
        <v>1304</v>
      </c>
      <c r="C434" s="5" t="s">
        <v>1305</v>
      </c>
      <c r="D434" s="5" t="s">
        <v>42</v>
      </c>
      <c r="E434" s="6" t="s">
        <v>16</v>
      </c>
      <c r="F434" s="6" t="s">
        <v>17</v>
      </c>
      <c r="G434" s="6">
        <v>12.0</v>
      </c>
      <c r="H434" s="7">
        <v>14.4375</v>
      </c>
      <c r="I434" s="6">
        <v>39.0</v>
      </c>
      <c r="J434" s="6">
        <v>65.4</v>
      </c>
      <c r="K434" s="6">
        <v>433.0</v>
      </c>
      <c r="L434" s="6">
        <v>34.0</v>
      </c>
    </row>
    <row r="435">
      <c r="A435" s="5" t="s">
        <v>1306</v>
      </c>
      <c r="B435" s="5" t="s">
        <v>1307</v>
      </c>
      <c r="C435" s="5" t="s">
        <v>1308</v>
      </c>
      <c r="D435" s="5" t="s">
        <v>15</v>
      </c>
      <c r="E435" s="6" t="s">
        <v>16</v>
      </c>
      <c r="F435" s="6" t="s">
        <v>16</v>
      </c>
      <c r="G435" s="6">
        <v>10.0</v>
      </c>
      <c r="H435" s="7">
        <v>12.375</v>
      </c>
      <c r="I435" s="6">
        <v>43.0</v>
      </c>
      <c r="J435" s="6">
        <v>65.4</v>
      </c>
      <c r="K435" s="6">
        <v>434.0</v>
      </c>
      <c r="L435" s="6">
        <v>46.0</v>
      </c>
    </row>
    <row r="436">
      <c r="A436" s="5" t="s">
        <v>1309</v>
      </c>
      <c r="B436" s="5" t="s">
        <v>1310</v>
      </c>
      <c r="C436" s="5" t="s">
        <v>1311</v>
      </c>
      <c r="D436" s="5" t="s">
        <v>75</v>
      </c>
      <c r="E436" s="6" t="s">
        <v>16</v>
      </c>
      <c r="F436" s="6" t="s">
        <v>17</v>
      </c>
      <c r="G436" s="6">
        <v>14.0</v>
      </c>
      <c r="H436" s="7">
        <v>11.26875</v>
      </c>
      <c r="I436" s="6">
        <v>40.0</v>
      </c>
      <c r="J436" s="6">
        <v>65.3</v>
      </c>
      <c r="K436" s="6">
        <v>435.0</v>
      </c>
      <c r="L436" s="6">
        <v>33.0</v>
      </c>
    </row>
    <row r="437">
      <c r="A437" s="5" t="s">
        <v>1312</v>
      </c>
      <c r="B437" s="5">
        <v>3.2830736E7</v>
      </c>
      <c r="C437" s="5" t="s">
        <v>1313</v>
      </c>
      <c r="D437" s="5" t="s">
        <v>38</v>
      </c>
      <c r="E437" s="6" t="s">
        <v>16</v>
      </c>
      <c r="F437" s="6" t="s">
        <v>17</v>
      </c>
      <c r="G437" s="6">
        <v>13.0</v>
      </c>
      <c r="H437" s="7">
        <v>8.25</v>
      </c>
      <c r="I437" s="6">
        <v>44.0</v>
      </c>
      <c r="J437" s="6">
        <v>65.3</v>
      </c>
      <c r="K437" s="6">
        <v>436.0</v>
      </c>
      <c r="L437" s="6">
        <v>59.0</v>
      </c>
    </row>
    <row r="438">
      <c r="A438" s="5" t="s">
        <v>1314</v>
      </c>
      <c r="B438" s="5" t="s">
        <v>1315</v>
      </c>
      <c r="C438" s="5" t="s">
        <v>1316</v>
      </c>
      <c r="D438" s="5" t="s">
        <v>59</v>
      </c>
      <c r="E438" s="6" t="s">
        <v>16</v>
      </c>
      <c r="F438" s="6" t="s">
        <v>17</v>
      </c>
      <c r="G438" s="6">
        <v>8.0</v>
      </c>
      <c r="H438" s="7">
        <v>12.328125</v>
      </c>
      <c r="I438" s="6">
        <v>45.0</v>
      </c>
      <c r="J438" s="6">
        <v>65.3</v>
      </c>
      <c r="K438" s="6">
        <v>437.0</v>
      </c>
      <c r="L438" s="6">
        <v>37.0</v>
      </c>
    </row>
    <row r="439">
      <c r="A439" s="5" t="s">
        <v>1317</v>
      </c>
      <c r="B439" s="5" t="s">
        <v>1318</v>
      </c>
      <c r="C439" s="5" t="s">
        <v>1319</v>
      </c>
      <c r="D439" s="5" t="s">
        <v>118</v>
      </c>
      <c r="E439" s="6" t="s">
        <v>16</v>
      </c>
      <c r="F439" s="6" t="s">
        <v>16</v>
      </c>
      <c r="G439" s="6">
        <v>14.0</v>
      </c>
      <c r="H439" s="7">
        <v>11.071874999999999</v>
      </c>
      <c r="I439" s="6">
        <v>40.0</v>
      </c>
      <c r="J439" s="6">
        <v>65.1</v>
      </c>
      <c r="K439" s="6">
        <v>438.0</v>
      </c>
      <c r="L439" s="6">
        <v>36.0</v>
      </c>
    </row>
    <row r="440">
      <c r="A440" s="5" t="s">
        <v>1320</v>
      </c>
      <c r="B440" s="5" t="s">
        <v>1321</v>
      </c>
      <c r="C440" s="5" t="s">
        <v>1322</v>
      </c>
      <c r="D440" s="5" t="s">
        <v>59</v>
      </c>
      <c r="E440" s="6" t="s">
        <v>16</v>
      </c>
      <c r="F440" s="6" t="s">
        <v>16</v>
      </c>
      <c r="G440" s="6">
        <v>13.0</v>
      </c>
      <c r="H440" s="7">
        <v>13.125</v>
      </c>
      <c r="I440" s="6">
        <v>39.0</v>
      </c>
      <c r="J440" s="6">
        <v>65.1</v>
      </c>
      <c r="K440" s="6">
        <v>439.0</v>
      </c>
      <c r="L440" s="6">
        <v>38.0</v>
      </c>
    </row>
    <row r="441">
      <c r="A441" s="5" t="s">
        <v>1323</v>
      </c>
      <c r="B441" s="5" t="s">
        <v>1324</v>
      </c>
      <c r="C441" s="5" t="s">
        <v>1325</v>
      </c>
      <c r="D441" s="5" t="s">
        <v>42</v>
      </c>
      <c r="E441" s="6" t="s">
        <v>16</v>
      </c>
      <c r="F441" s="6" t="s">
        <v>17</v>
      </c>
      <c r="G441" s="6">
        <v>16.0</v>
      </c>
      <c r="H441" s="7">
        <v>9.0</v>
      </c>
      <c r="I441" s="6">
        <v>40.0</v>
      </c>
      <c r="J441" s="6">
        <v>65.0</v>
      </c>
      <c r="K441" s="6">
        <v>440.0</v>
      </c>
      <c r="L441" s="6">
        <v>35.0</v>
      </c>
    </row>
    <row r="442">
      <c r="A442" s="5" t="s">
        <v>1326</v>
      </c>
      <c r="B442" s="5" t="s">
        <v>1327</v>
      </c>
      <c r="C442" s="5" t="s">
        <v>1328</v>
      </c>
      <c r="D442" s="5" t="s">
        <v>38</v>
      </c>
      <c r="E442" s="6" t="s">
        <v>16</v>
      </c>
      <c r="F442" s="6" t="s">
        <v>17</v>
      </c>
      <c r="G442" s="6">
        <v>13.0</v>
      </c>
      <c r="H442" s="7">
        <v>15.0</v>
      </c>
      <c r="I442" s="6">
        <v>37.0</v>
      </c>
      <c r="J442" s="6">
        <v>65.0</v>
      </c>
      <c r="K442" s="6">
        <v>441.0</v>
      </c>
      <c r="L442" s="6">
        <v>60.0</v>
      </c>
    </row>
    <row r="443">
      <c r="A443" s="5" t="s">
        <v>1329</v>
      </c>
      <c r="B443" s="5" t="s">
        <v>1330</v>
      </c>
      <c r="C443" s="5" t="s">
        <v>1331</v>
      </c>
      <c r="D443" s="5" t="s">
        <v>59</v>
      </c>
      <c r="E443" s="6" t="s">
        <v>16</v>
      </c>
      <c r="F443" s="6" t="s">
        <v>17</v>
      </c>
      <c r="G443" s="6">
        <v>5.0</v>
      </c>
      <c r="H443" s="7">
        <v>15.0</v>
      </c>
      <c r="I443" s="6">
        <v>45.0</v>
      </c>
      <c r="J443" s="6">
        <v>65.0</v>
      </c>
      <c r="K443" s="6">
        <v>442.0</v>
      </c>
      <c r="L443" s="6">
        <v>39.0</v>
      </c>
    </row>
    <row r="444">
      <c r="A444" s="5" t="s">
        <v>1332</v>
      </c>
      <c r="B444" s="5" t="s">
        <v>1333</v>
      </c>
      <c r="C444" s="5" t="s">
        <v>1334</v>
      </c>
      <c r="D444" s="5" t="s">
        <v>15</v>
      </c>
      <c r="E444" s="6" t="s">
        <v>16</v>
      </c>
      <c r="F444" s="6" t="s">
        <v>17</v>
      </c>
      <c r="G444" s="6">
        <v>5.0</v>
      </c>
      <c r="H444" s="7">
        <v>15.0</v>
      </c>
      <c r="I444" s="6">
        <v>45.0</v>
      </c>
      <c r="J444" s="6">
        <v>65.0</v>
      </c>
      <c r="K444" s="6">
        <v>443.0</v>
      </c>
      <c r="L444" s="6">
        <v>47.0</v>
      </c>
    </row>
    <row r="445">
      <c r="A445" s="5" t="s">
        <v>1335</v>
      </c>
      <c r="B445" s="5" t="s">
        <v>1336</v>
      </c>
      <c r="C445" s="5" t="s">
        <v>1337</v>
      </c>
      <c r="D445" s="5" t="s">
        <v>59</v>
      </c>
      <c r="E445" s="6" t="s">
        <v>16</v>
      </c>
      <c r="F445" s="6" t="s">
        <v>17</v>
      </c>
      <c r="G445" s="6">
        <v>5.0</v>
      </c>
      <c r="H445" s="7">
        <v>15.0</v>
      </c>
      <c r="I445" s="6">
        <v>45.0</v>
      </c>
      <c r="J445" s="6">
        <v>65.0</v>
      </c>
      <c r="K445" s="6">
        <v>444.0</v>
      </c>
      <c r="L445" s="6">
        <v>40.0</v>
      </c>
    </row>
    <row r="446">
      <c r="A446" s="5" t="s">
        <v>1338</v>
      </c>
      <c r="B446" s="5" t="s">
        <v>1339</v>
      </c>
      <c r="C446" s="5" t="s">
        <v>1340</v>
      </c>
      <c r="D446" s="5" t="s">
        <v>15</v>
      </c>
      <c r="E446" s="6" t="s">
        <v>16</v>
      </c>
      <c r="F446" s="6" t="s">
        <v>16</v>
      </c>
      <c r="G446" s="6">
        <v>5.0</v>
      </c>
      <c r="H446" s="7">
        <v>15.0</v>
      </c>
      <c r="I446" s="6">
        <v>45.0</v>
      </c>
      <c r="J446" s="6">
        <v>65.0</v>
      </c>
      <c r="K446" s="6">
        <v>445.0</v>
      </c>
      <c r="L446" s="6">
        <v>48.0</v>
      </c>
    </row>
    <row r="447">
      <c r="A447" s="5" t="s">
        <v>1341</v>
      </c>
      <c r="B447" s="5" t="s">
        <v>1342</v>
      </c>
      <c r="C447" s="5" t="s">
        <v>1343</v>
      </c>
      <c r="D447" s="5" t="s">
        <v>268</v>
      </c>
      <c r="E447" s="6" t="s">
        <v>16</v>
      </c>
      <c r="F447" s="6" t="s">
        <v>16</v>
      </c>
      <c r="G447" s="6">
        <v>13.0</v>
      </c>
      <c r="H447" s="7">
        <v>6.890625</v>
      </c>
      <c r="I447" s="6">
        <v>45.0</v>
      </c>
      <c r="J447" s="6">
        <v>64.9</v>
      </c>
      <c r="K447" s="6">
        <v>446.0</v>
      </c>
      <c r="L447" s="6">
        <v>26.0</v>
      </c>
    </row>
    <row r="448">
      <c r="A448" s="5" t="s">
        <v>1344</v>
      </c>
      <c r="B448" s="5" t="s">
        <v>1345</v>
      </c>
      <c r="C448" s="5" t="s">
        <v>1346</v>
      </c>
      <c r="D448" s="5" t="s">
        <v>21</v>
      </c>
      <c r="E448" s="6" t="s">
        <v>16</v>
      </c>
      <c r="F448" s="6" t="s">
        <v>16</v>
      </c>
      <c r="G448" s="6">
        <v>7.0</v>
      </c>
      <c r="H448" s="7">
        <v>13.921875</v>
      </c>
      <c r="I448" s="6">
        <v>44.0</v>
      </c>
      <c r="J448" s="6">
        <v>64.9</v>
      </c>
      <c r="K448" s="6">
        <v>447.0</v>
      </c>
      <c r="L448" s="6">
        <v>53.0</v>
      </c>
    </row>
    <row r="449">
      <c r="A449" s="5" t="s">
        <v>1347</v>
      </c>
      <c r="B449" s="5" t="s">
        <v>1348</v>
      </c>
      <c r="C449" s="5" t="s">
        <v>1349</v>
      </c>
      <c r="D449" s="5" t="s">
        <v>75</v>
      </c>
      <c r="E449" s="6" t="s">
        <v>16</v>
      </c>
      <c r="F449" s="6" t="s">
        <v>17</v>
      </c>
      <c r="G449" s="6">
        <v>15.0</v>
      </c>
      <c r="H449" s="7">
        <v>12.787500000000001</v>
      </c>
      <c r="I449" s="6">
        <v>37.0</v>
      </c>
      <c r="J449" s="6">
        <v>64.8</v>
      </c>
      <c r="K449" s="6">
        <v>448.0</v>
      </c>
      <c r="L449" s="6">
        <v>34.0</v>
      </c>
    </row>
    <row r="450">
      <c r="A450" s="5" t="s">
        <v>1350</v>
      </c>
      <c r="B450" s="5" t="s">
        <v>1351</v>
      </c>
      <c r="C450" s="5" t="s">
        <v>1352</v>
      </c>
      <c r="D450" s="5" t="s">
        <v>268</v>
      </c>
      <c r="E450" s="6" t="s">
        <v>16</v>
      </c>
      <c r="F450" s="6" t="s">
        <v>16</v>
      </c>
      <c r="G450" s="6">
        <v>11.0</v>
      </c>
      <c r="H450" s="7">
        <v>14.765625</v>
      </c>
      <c r="I450" s="6">
        <v>39.0</v>
      </c>
      <c r="J450" s="6">
        <v>64.8</v>
      </c>
      <c r="K450" s="6">
        <v>449.0</v>
      </c>
      <c r="L450" s="6">
        <v>27.0</v>
      </c>
    </row>
    <row r="451">
      <c r="A451" s="5" t="s">
        <v>1353</v>
      </c>
      <c r="B451" s="5" t="s">
        <v>1354</v>
      </c>
      <c r="C451" s="5" t="s">
        <v>1355</v>
      </c>
      <c r="D451" s="5" t="s">
        <v>268</v>
      </c>
      <c r="E451" s="6" t="s">
        <v>16</v>
      </c>
      <c r="F451" s="6" t="s">
        <v>16</v>
      </c>
      <c r="G451" s="6">
        <v>13.0</v>
      </c>
      <c r="H451" s="7">
        <v>12.65625</v>
      </c>
      <c r="I451" s="6">
        <v>39.0</v>
      </c>
      <c r="J451" s="6">
        <v>64.7</v>
      </c>
      <c r="K451" s="6">
        <v>450.0</v>
      </c>
      <c r="L451" s="6">
        <v>28.0</v>
      </c>
    </row>
    <row r="452">
      <c r="A452" s="5" t="s">
        <v>1356</v>
      </c>
      <c r="B452" s="5" t="s">
        <v>1357</v>
      </c>
      <c r="C452" s="5" t="s">
        <v>1358</v>
      </c>
      <c r="D452" s="5" t="s">
        <v>118</v>
      </c>
      <c r="E452" s="6" t="s">
        <v>16</v>
      </c>
      <c r="F452" s="6" t="s">
        <v>16</v>
      </c>
      <c r="G452" s="6">
        <v>12.0</v>
      </c>
      <c r="H452" s="7">
        <v>13.359375</v>
      </c>
      <c r="I452" s="6">
        <v>39.3</v>
      </c>
      <c r="J452" s="6">
        <v>64.7</v>
      </c>
      <c r="K452" s="6">
        <v>451.0</v>
      </c>
      <c r="L452" s="6">
        <v>37.0</v>
      </c>
    </row>
    <row r="453">
      <c r="A453" s="5" t="s">
        <v>1359</v>
      </c>
      <c r="B453" s="5" t="s">
        <v>1360</v>
      </c>
      <c r="C453" s="5" t="s">
        <v>1361</v>
      </c>
      <c r="D453" s="5" t="s">
        <v>38</v>
      </c>
      <c r="E453" s="6" t="s">
        <v>16</v>
      </c>
      <c r="F453" s="6" t="s">
        <v>17</v>
      </c>
      <c r="G453" s="6">
        <v>5.0</v>
      </c>
      <c r="H453" s="7">
        <v>14.671875</v>
      </c>
      <c r="I453" s="6">
        <v>45.0</v>
      </c>
      <c r="J453" s="6">
        <v>64.7</v>
      </c>
      <c r="K453" s="6">
        <v>452.0</v>
      </c>
      <c r="L453" s="6">
        <v>61.0</v>
      </c>
    </row>
    <row r="454">
      <c r="A454" s="5" t="s">
        <v>1362</v>
      </c>
      <c r="B454" s="5" t="s">
        <v>1363</v>
      </c>
      <c r="C454" s="5" t="s">
        <v>1364</v>
      </c>
      <c r="D454" s="5" t="s">
        <v>15</v>
      </c>
      <c r="E454" s="6" t="s">
        <v>17</v>
      </c>
      <c r="F454" s="6" t="s">
        <v>17</v>
      </c>
      <c r="G454" s="6">
        <v>5.0</v>
      </c>
      <c r="H454" s="7">
        <v>14.625</v>
      </c>
      <c r="I454" s="6">
        <v>45.0</v>
      </c>
      <c r="J454" s="6">
        <v>64.6</v>
      </c>
      <c r="K454" s="6">
        <v>453.0</v>
      </c>
      <c r="L454" s="6">
        <v>49.0</v>
      </c>
    </row>
    <row r="455">
      <c r="A455" s="5" t="s">
        <v>1365</v>
      </c>
      <c r="B455" s="5" t="s">
        <v>1366</v>
      </c>
      <c r="C455" s="5" t="s">
        <v>1367</v>
      </c>
      <c r="D455" s="5" t="s">
        <v>75</v>
      </c>
      <c r="E455" s="6" t="s">
        <v>16</v>
      </c>
      <c r="F455" s="6" t="s">
        <v>17</v>
      </c>
      <c r="G455" s="6">
        <v>5.0</v>
      </c>
      <c r="H455" s="7">
        <v>14.549999999999999</v>
      </c>
      <c r="I455" s="6">
        <v>45.0</v>
      </c>
      <c r="J455" s="6">
        <v>64.6</v>
      </c>
      <c r="K455" s="6">
        <v>454.0</v>
      </c>
      <c r="L455" s="6">
        <v>35.0</v>
      </c>
    </row>
    <row r="456">
      <c r="A456" s="5" t="s">
        <v>1368</v>
      </c>
      <c r="B456" s="5" t="s">
        <v>1369</v>
      </c>
      <c r="C456" s="5" t="s">
        <v>1370</v>
      </c>
      <c r="D456" s="5" t="s">
        <v>15</v>
      </c>
      <c r="E456" s="6" t="s">
        <v>17</v>
      </c>
      <c r="F456" s="6" t="s">
        <v>17</v>
      </c>
      <c r="G456" s="6">
        <v>15.0</v>
      </c>
      <c r="H456" s="7">
        <v>6.0</v>
      </c>
      <c r="I456" s="6">
        <v>43.5</v>
      </c>
      <c r="J456" s="6">
        <v>64.5</v>
      </c>
      <c r="K456" s="6">
        <v>455.0</v>
      </c>
      <c r="L456" s="6">
        <v>50.0</v>
      </c>
    </row>
    <row r="457">
      <c r="A457" s="5" t="s">
        <v>1371</v>
      </c>
      <c r="B457" s="5" t="s">
        <v>1372</v>
      </c>
      <c r="C457" s="5" t="s">
        <v>1373</v>
      </c>
      <c r="D457" s="5" t="s">
        <v>21</v>
      </c>
      <c r="E457" s="6" t="s">
        <v>16</v>
      </c>
      <c r="F457" s="6" t="s">
        <v>17</v>
      </c>
      <c r="G457" s="6">
        <v>15.0</v>
      </c>
      <c r="H457" s="7">
        <v>12.0</v>
      </c>
      <c r="I457" s="6">
        <v>37.5</v>
      </c>
      <c r="J457" s="6">
        <v>64.5</v>
      </c>
      <c r="K457" s="6">
        <v>456.0</v>
      </c>
      <c r="L457" s="6">
        <v>54.0</v>
      </c>
    </row>
    <row r="458">
      <c r="A458" s="5" t="s">
        <v>1374</v>
      </c>
      <c r="B458" s="5" t="s">
        <v>1375</v>
      </c>
      <c r="C458" s="5" t="s">
        <v>1376</v>
      </c>
      <c r="D458" s="5" t="s">
        <v>15</v>
      </c>
      <c r="E458" s="6" t="s">
        <v>16</v>
      </c>
      <c r="F458" s="6" t="s">
        <v>17</v>
      </c>
      <c r="G458" s="6">
        <v>12.0</v>
      </c>
      <c r="H458" s="7">
        <v>12.46875</v>
      </c>
      <c r="I458" s="6">
        <v>40.0</v>
      </c>
      <c r="J458" s="6">
        <v>64.5</v>
      </c>
      <c r="K458" s="6">
        <v>457.0</v>
      </c>
      <c r="L458" s="6">
        <v>51.0</v>
      </c>
    </row>
    <row r="459">
      <c r="A459" s="5" t="s">
        <v>1377</v>
      </c>
      <c r="B459" s="5" t="s">
        <v>1378</v>
      </c>
      <c r="C459" s="5" t="s">
        <v>1379</v>
      </c>
      <c r="D459" s="5" t="s">
        <v>59</v>
      </c>
      <c r="E459" s="6" t="s">
        <v>16</v>
      </c>
      <c r="F459" s="6" t="s">
        <v>17</v>
      </c>
      <c r="G459" s="6">
        <v>15.0</v>
      </c>
      <c r="H459" s="7">
        <v>8.390625</v>
      </c>
      <c r="I459" s="6">
        <v>41.0</v>
      </c>
      <c r="J459" s="6">
        <v>64.4</v>
      </c>
      <c r="K459" s="6">
        <v>458.0</v>
      </c>
      <c r="L459" s="6">
        <v>41.0</v>
      </c>
    </row>
    <row r="460">
      <c r="A460" s="5" t="s">
        <v>1380</v>
      </c>
      <c r="B460" s="5" t="s">
        <v>1381</v>
      </c>
      <c r="C460" s="5" t="s">
        <v>1382</v>
      </c>
      <c r="D460" s="5" t="s">
        <v>38</v>
      </c>
      <c r="E460" s="6" t="s">
        <v>16</v>
      </c>
      <c r="F460" s="6" t="s">
        <v>16</v>
      </c>
      <c r="G460" s="6">
        <v>13.0</v>
      </c>
      <c r="H460" s="7">
        <v>12.375</v>
      </c>
      <c r="I460" s="6">
        <v>39.0</v>
      </c>
      <c r="J460" s="6">
        <v>64.4</v>
      </c>
      <c r="K460" s="6">
        <v>459.0</v>
      </c>
      <c r="L460" s="6">
        <v>62.0</v>
      </c>
    </row>
    <row r="461">
      <c r="A461" s="5" t="s">
        <v>1383</v>
      </c>
      <c r="B461" s="5" t="s">
        <v>1384</v>
      </c>
      <c r="C461" s="5" t="s">
        <v>1385</v>
      </c>
      <c r="D461" s="5" t="s">
        <v>38</v>
      </c>
      <c r="E461" s="6" t="s">
        <v>17</v>
      </c>
      <c r="F461" s="6" t="s">
        <v>16</v>
      </c>
      <c r="G461" s="6">
        <v>10.0</v>
      </c>
      <c r="H461" s="7">
        <v>9.28125</v>
      </c>
      <c r="I461" s="6">
        <v>45.0</v>
      </c>
      <c r="J461" s="6">
        <v>64.3</v>
      </c>
      <c r="K461" s="6">
        <v>460.0</v>
      </c>
      <c r="L461" s="6">
        <v>63.0</v>
      </c>
    </row>
    <row r="462">
      <c r="A462" s="5" t="s">
        <v>1386</v>
      </c>
      <c r="B462" s="5" t="s">
        <v>1387</v>
      </c>
      <c r="C462" s="5" t="s">
        <v>1388</v>
      </c>
      <c r="D462" s="5" t="s">
        <v>118</v>
      </c>
      <c r="E462" s="6" t="s">
        <v>16</v>
      </c>
      <c r="F462" s="6" t="s">
        <v>17</v>
      </c>
      <c r="G462" s="6">
        <v>7.0</v>
      </c>
      <c r="H462" s="7">
        <v>13.3125</v>
      </c>
      <c r="I462" s="6">
        <v>44.0</v>
      </c>
      <c r="J462" s="6">
        <v>64.3</v>
      </c>
      <c r="K462" s="6">
        <v>461.0</v>
      </c>
      <c r="L462" s="6">
        <v>38.0</v>
      </c>
    </row>
    <row r="463">
      <c r="A463" s="5" t="s">
        <v>1389</v>
      </c>
      <c r="B463" s="5" t="s">
        <v>1390</v>
      </c>
      <c r="C463" s="5" t="s">
        <v>1391</v>
      </c>
      <c r="D463" s="5" t="s">
        <v>34</v>
      </c>
      <c r="E463" s="6" t="s">
        <v>16</v>
      </c>
      <c r="F463" s="6" t="s">
        <v>16</v>
      </c>
      <c r="G463" s="6">
        <v>5.0</v>
      </c>
      <c r="H463" s="7">
        <v>14.118749999999999</v>
      </c>
      <c r="I463" s="6">
        <v>45.0</v>
      </c>
      <c r="J463" s="6">
        <v>64.1</v>
      </c>
      <c r="K463" s="6">
        <v>462.0</v>
      </c>
      <c r="L463" s="6">
        <v>38.0</v>
      </c>
    </row>
    <row r="464">
      <c r="A464" s="5" t="s">
        <v>1392</v>
      </c>
      <c r="B464" s="5" t="s">
        <v>1393</v>
      </c>
      <c r="C464" s="5" t="s">
        <v>1394</v>
      </c>
      <c r="D464" s="5" t="s">
        <v>52</v>
      </c>
      <c r="E464" s="6" t="s">
        <v>16</v>
      </c>
      <c r="F464" s="6" t="s">
        <v>16</v>
      </c>
      <c r="G464" s="6">
        <v>6.0</v>
      </c>
      <c r="H464" s="7">
        <v>13.125</v>
      </c>
      <c r="I464" s="6">
        <v>45.0</v>
      </c>
      <c r="J464" s="6">
        <v>64.1</v>
      </c>
      <c r="K464" s="6">
        <v>463.0</v>
      </c>
      <c r="L464" s="6">
        <v>35.0</v>
      </c>
    </row>
    <row r="465">
      <c r="A465" s="5" t="s">
        <v>1395</v>
      </c>
      <c r="B465" s="5" t="s">
        <v>1396</v>
      </c>
      <c r="C465" s="5" t="s">
        <v>1397</v>
      </c>
      <c r="D465" s="5" t="s">
        <v>75</v>
      </c>
      <c r="E465" s="6" t="s">
        <v>16</v>
      </c>
      <c r="F465" s="6" t="s">
        <v>16</v>
      </c>
      <c r="G465" s="6">
        <v>25.0</v>
      </c>
      <c r="H465" s="7">
        <v>13.95</v>
      </c>
      <c r="I465" s="6">
        <v>25.0</v>
      </c>
      <c r="J465" s="6">
        <v>64.0</v>
      </c>
      <c r="K465" s="6">
        <v>464.0</v>
      </c>
      <c r="L465" s="6">
        <v>36.0</v>
      </c>
    </row>
    <row r="466">
      <c r="A466" s="5" t="s">
        <v>1398</v>
      </c>
      <c r="B466" s="5" t="s">
        <v>1399</v>
      </c>
      <c r="C466" s="5" t="s">
        <v>1400</v>
      </c>
      <c r="D466" s="5" t="s">
        <v>52</v>
      </c>
      <c r="E466" s="6" t="s">
        <v>16</v>
      </c>
      <c r="F466" s="6" t="s">
        <v>17</v>
      </c>
      <c r="G466" s="6">
        <v>13.0</v>
      </c>
      <c r="H466" s="7">
        <v>15.0</v>
      </c>
      <c r="I466" s="6">
        <v>36.0</v>
      </c>
      <c r="J466" s="6">
        <v>64.0</v>
      </c>
      <c r="K466" s="6">
        <v>465.0</v>
      </c>
      <c r="L466" s="6">
        <v>36.0</v>
      </c>
    </row>
    <row r="467">
      <c r="A467" s="5" t="s">
        <v>1401</v>
      </c>
      <c r="B467" s="5" t="s">
        <v>1402</v>
      </c>
      <c r="C467" s="5" t="s">
        <v>1403</v>
      </c>
      <c r="D467" s="5" t="s">
        <v>38</v>
      </c>
      <c r="E467" s="6" t="s">
        <v>16</v>
      </c>
      <c r="F467" s="6" t="s">
        <v>17</v>
      </c>
      <c r="G467" s="6">
        <v>13.0</v>
      </c>
      <c r="H467" s="7">
        <v>15.0</v>
      </c>
      <c r="I467" s="6">
        <v>36.0</v>
      </c>
      <c r="J467" s="6">
        <v>64.0</v>
      </c>
      <c r="K467" s="6">
        <v>466.0</v>
      </c>
      <c r="L467" s="6">
        <v>64.0</v>
      </c>
    </row>
    <row r="468">
      <c r="A468" s="5" t="s">
        <v>1404</v>
      </c>
      <c r="B468" s="5" t="s">
        <v>1405</v>
      </c>
      <c r="C468" s="5" t="s">
        <v>1406</v>
      </c>
      <c r="D468" s="5" t="s">
        <v>59</v>
      </c>
      <c r="E468" s="6" t="s">
        <v>16</v>
      </c>
      <c r="F468" s="6" t="s">
        <v>16</v>
      </c>
      <c r="G468" s="6">
        <v>5.0</v>
      </c>
      <c r="H468" s="7">
        <v>13.96875</v>
      </c>
      <c r="I468" s="6">
        <v>45.0</v>
      </c>
      <c r="J468" s="6">
        <v>64.0</v>
      </c>
      <c r="K468" s="6">
        <v>467.0</v>
      </c>
      <c r="L468" s="6">
        <v>42.0</v>
      </c>
    </row>
    <row r="469">
      <c r="A469" s="5" t="s">
        <v>1407</v>
      </c>
      <c r="B469" s="5" t="s">
        <v>1408</v>
      </c>
      <c r="C469" s="5" t="s">
        <v>1409</v>
      </c>
      <c r="D469" s="5" t="s">
        <v>15</v>
      </c>
      <c r="E469" s="6" t="s">
        <v>16</v>
      </c>
      <c r="F469" s="6" t="s">
        <v>17</v>
      </c>
      <c r="G469" s="6">
        <v>12.0</v>
      </c>
      <c r="H469" s="7">
        <v>13.875</v>
      </c>
      <c r="I469" s="6">
        <v>38.0</v>
      </c>
      <c r="J469" s="6">
        <v>63.9</v>
      </c>
      <c r="K469" s="6">
        <v>468.0</v>
      </c>
      <c r="L469" s="6">
        <v>52.0</v>
      </c>
    </row>
    <row r="470">
      <c r="A470" s="5" t="s">
        <v>1410</v>
      </c>
      <c r="B470" s="5" t="s">
        <v>1411</v>
      </c>
      <c r="C470" s="5" t="s">
        <v>1412</v>
      </c>
      <c r="D470" s="5" t="s">
        <v>21</v>
      </c>
      <c r="E470" s="6" t="s">
        <v>16</v>
      </c>
      <c r="F470" s="6" t="s">
        <v>17</v>
      </c>
      <c r="G470" s="6">
        <v>5.0</v>
      </c>
      <c r="H470" s="7">
        <v>13.856249999999998</v>
      </c>
      <c r="I470" s="6">
        <v>45.0</v>
      </c>
      <c r="J470" s="6">
        <v>63.9</v>
      </c>
      <c r="K470" s="6">
        <v>469.0</v>
      </c>
      <c r="L470" s="6">
        <v>55.0</v>
      </c>
    </row>
    <row r="471">
      <c r="A471" s="5" t="s">
        <v>1413</v>
      </c>
      <c r="B471" s="5" t="s">
        <v>1414</v>
      </c>
      <c r="C471" s="5" t="s">
        <v>1415</v>
      </c>
      <c r="D471" s="5" t="s">
        <v>177</v>
      </c>
      <c r="E471" s="6" t="s">
        <v>16</v>
      </c>
      <c r="F471" s="6" t="s">
        <v>16</v>
      </c>
      <c r="G471" s="6">
        <v>12.0</v>
      </c>
      <c r="H471" s="7">
        <v>9.84375</v>
      </c>
      <c r="I471" s="6">
        <v>42.0</v>
      </c>
      <c r="J471" s="6">
        <v>63.8</v>
      </c>
      <c r="K471" s="6">
        <v>470.0</v>
      </c>
      <c r="L471" s="6">
        <v>15.0</v>
      </c>
    </row>
    <row r="472">
      <c r="A472" s="5" t="s">
        <v>1416</v>
      </c>
      <c r="B472" s="5" t="s">
        <v>1417</v>
      </c>
      <c r="C472" s="5" t="s">
        <v>1418</v>
      </c>
      <c r="D472" s="5" t="s">
        <v>21</v>
      </c>
      <c r="E472" s="6" t="s">
        <v>16</v>
      </c>
      <c r="F472" s="6" t="s">
        <v>17</v>
      </c>
      <c r="G472" s="6">
        <v>15.0</v>
      </c>
      <c r="H472" s="7">
        <v>8.71875</v>
      </c>
      <c r="I472" s="6">
        <v>40.0</v>
      </c>
      <c r="J472" s="6">
        <v>63.7</v>
      </c>
      <c r="K472" s="6">
        <v>471.0</v>
      </c>
      <c r="L472" s="6">
        <v>56.0</v>
      </c>
    </row>
    <row r="473">
      <c r="A473" s="5" t="s">
        <v>1419</v>
      </c>
      <c r="B473" s="5" t="s">
        <v>1420</v>
      </c>
      <c r="C473" s="5" t="s">
        <v>1421</v>
      </c>
      <c r="D473" s="5" t="s">
        <v>21</v>
      </c>
      <c r="E473" s="6" t="s">
        <v>16</v>
      </c>
      <c r="F473" s="6" t="s">
        <v>17</v>
      </c>
      <c r="G473" s="6">
        <v>15.0</v>
      </c>
      <c r="H473" s="7">
        <v>8.671875</v>
      </c>
      <c r="I473" s="6">
        <v>40.0</v>
      </c>
      <c r="J473" s="6">
        <v>63.7</v>
      </c>
      <c r="K473" s="6">
        <v>472.0</v>
      </c>
      <c r="L473" s="6">
        <v>57.0</v>
      </c>
    </row>
    <row r="474">
      <c r="A474" s="5" t="s">
        <v>1422</v>
      </c>
      <c r="B474" s="5" t="s">
        <v>1423</v>
      </c>
      <c r="C474" s="5" t="s">
        <v>1424</v>
      </c>
      <c r="D474" s="5" t="s">
        <v>59</v>
      </c>
      <c r="E474" s="6" t="s">
        <v>16</v>
      </c>
      <c r="F474" s="6" t="s">
        <v>17</v>
      </c>
      <c r="G474" s="6">
        <v>15.0</v>
      </c>
      <c r="H474" s="7">
        <v>12.5625</v>
      </c>
      <c r="I474" s="6">
        <v>36.0</v>
      </c>
      <c r="J474" s="6">
        <v>63.6</v>
      </c>
      <c r="K474" s="6">
        <v>473.0</v>
      </c>
      <c r="L474" s="6">
        <v>43.0</v>
      </c>
    </row>
    <row r="475">
      <c r="A475" s="5" t="s">
        <v>1425</v>
      </c>
      <c r="B475" s="5" t="s">
        <v>1426</v>
      </c>
      <c r="C475" s="5" t="s">
        <v>1427</v>
      </c>
      <c r="D475" s="5" t="s">
        <v>38</v>
      </c>
      <c r="E475" s="6" t="s">
        <v>16</v>
      </c>
      <c r="F475" s="6" t="s">
        <v>16</v>
      </c>
      <c r="G475" s="6">
        <v>13.0</v>
      </c>
      <c r="H475" s="7">
        <v>11.625</v>
      </c>
      <c r="I475" s="6">
        <v>39.0</v>
      </c>
      <c r="J475" s="6">
        <v>63.6</v>
      </c>
      <c r="K475" s="6">
        <v>474.0</v>
      </c>
      <c r="L475" s="6">
        <v>65.0</v>
      </c>
    </row>
    <row r="476">
      <c r="A476" s="5" t="s">
        <v>1428</v>
      </c>
      <c r="B476" s="5" t="s">
        <v>1429</v>
      </c>
      <c r="C476" s="5" t="s">
        <v>1430</v>
      </c>
      <c r="D476" s="5" t="s">
        <v>21</v>
      </c>
      <c r="E476" s="6" t="s">
        <v>16</v>
      </c>
      <c r="F476" s="6" t="s">
        <v>17</v>
      </c>
      <c r="G476" s="6">
        <v>5.0</v>
      </c>
      <c r="H476" s="7">
        <v>13.612499999999999</v>
      </c>
      <c r="I476" s="6">
        <v>45.0</v>
      </c>
      <c r="J476" s="6">
        <v>63.6</v>
      </c>
      <c r="K476" s="6">
        <v>475.0</v>
      </c>
      <c r="L476" s="6">
        <v>58.0</v>
      </c>
    </row>
    <row r="477">
      <c r="A477" s="5" t="s">
        <v>1431</v>
      </c>
      <c r="B477" s="5" t="s">
        <v>1432</v>
      </c>
      <c r="C477" s="5" t="s">
        <v>1433</v>
      </c>
      <c r="D477" s="5" t="s">
        <v>21</v>
      </c>
      <c r="E477" s="6" t="s">
        <v>16</v>
      </c>
      <c r="F477" s="6" t="s">
        <v>16</v>
      </c>
      <c r="G477" s="6">
        <v>5.0</v>
      </c>
      <c r="H477" s="7">
        <v>13.59375</v>
      </c>
      <c r="I477" s="6">
        <v>45.0</v>
      </c>
      <c r="J477" s="6">
        <v>63.6</v>
      </c>
      <c r="K477" s="6">
        <v>476.0</v>
      </c>
      <c r="L477" s="6">
        <v>59.0</v>
      </c>
    </row>
    <row r="478">
      <c r="A478" s="5" t="s">
        <v>1434</v>
      </c>
      <c r="B478" s="5" t="s">
        <v>1435</v>
      </c>
      <c r="C478" s="5" t="s">
        <v>1436</v>
      </c>
      <c r="D478" s="5" t="s">
        <v>52</v>
      </c>
      <c r="E478" s="6" t="s">
        <v>16</v>
      </c>
      <c r="F478" s="6" t="s">
        <v>17</v>
      </c>
      <c r="G478" s="6">
        <v>4.0</v>
      </c>
      <c r="H478" s="7">
        <v>14.625</v>
      </c>
      <c r="I478" s="6">
        <v>45.0</v>
      </c>
      <c r="J478" s="6">
        <v>63.6</v>
      </c>
      <c r="K478" s="6">
        <v>477.0</v>
      </c>
      <c r="L478" s="6">
        <v>37.0</v>
      </c>
    </row>
    <row r="479">
      <c r="A479" s="5" t="s">
        <v>1437</v>
      </c>
      <c r="B479" s="5" t="s">
        <v>1438</v>
      </c>
      <c r="C479" s="5" t="s">
        <v>1439</v>
      </c>
      <c r="D479" s="5" t="s">
        <v>222</v>
      </c>
      <c r="E479" s="6" t="s">
        <v>16</v>
      </c>
      <c r="F479" s="6" t="s">
        <v>16</v>
      </c>
      <c r="G479" s="6">
        <v>8.0</v>
      </c>
      <c r="H479" s="7">
        <v>12.46875</v>
      </c>
      <c r="I479" s="6">
        <v>43.0</v>
      </c>
      <c r="J479" s="6">
        <v>63.5</v>
      </c>
      <c r="K479" s="6">
        <v>478.0</v>
      </c>
      <c r="L479" s="6">
        <v>32.0</v>
      </c>
    </row>
    <row r="480">
      <c r="A480" s="5" t="s">
        <v>1440</v>
      </c>
      <c r="B480" s="5" t="s">
        <v>1441</v>
      </c>
      <c r="C480" s="5" t="s">
        <v>1442</v>
      </c>
      <c r="D480" s="5" t="s">
        <v>21</v>
      </c>
      <c r="E480" s="6" t="s">
        <v>16</v>
      </c>
      <c r="F480" s="6" t="s">
        <v>17</v>
      </c>
      <c r="G480" s="6">
        <v>5.0</v>
      </c>
      <c r="H480" s="7">
        <v>13.5</v>
      </c>
      <c r="I480" s="6">
        <v>45.0</v>
      </c>
      <c r="J480" s="6">
        <v>63.5</v>
      </c>
      <c r="K480" s="6">
        <v>479.0</v>
      </c>
      <c r="L480" s="6">
        <v>60.0</v>
      </c>
    </row>
    <row r="481">
      <c r="A481" s="5" t="s">
        <v>1443</v>
      </c>
      <c r="B481" s="5" t="s">
        <v>1444</v>
      </c>
      <c r="C481" s="5" t="s">
        <v>1445</v>
      </c>
      <c r="D481" s="5" t="s">
        <v>38</v>
      </c>
      <c r="E481" s="6" t="s">
        <v>16</v>
      </c>
      <c r="F481" s="6" t="s">
        <v>17</v>
      </c>
      <c r="G481" s="6">
        <v>5.0</v>
      </c>
      <c r="H481" s="7">
        <v>15.0</v>
      </c>
      <c r="I481" s="6">
        <v>43.5</v>
      </c>
      <c r="J481" s="6">
        <v>63.5</v>
      </c>
      <c r="K481" s="6">
        <v>480.0</v>
      </c>
      <c r="L481" s="6">
        <v>66.0</v>
      </c>
    </row>
    <row r="482">
      <c r="A482" s="5" t="s">
        <v>1446</v>
      </c>
      <c r="B482" s="5" t="s">
        <v>1447</v>
      </c>
      <c r="C482" s="5" t="s">
        <v>1448</v>
      </c>
      <c r="D482" s="5" t="s">
        <v>15</v>
      </c>
      <c r="E482" s="6" t="s">
        <v>16</v>
      </c>
      <c r="F482" s="6" t="s">
        <v>16</v>
      </c>
      <c r="G482" s="6">
        <v>15.0</v>
      </c>
      <c r="H482" s="7">
        <v>13.40625</v>
      </c>
      <c r="I482" s="6">
        <v>35.0</v>
      </c>
      <c r="J482" s="6">
        <v>63.4</v>
      </c>
      <c r="K482" s="6">
        <v>481.0</v>
      </c>
      <c r="L482" s="6">
        <v>53.0</v>
      </c>
    </row>
    <row r="483">
      <c r="A483" s="5" t="s">
        <v>1449</v>
      </c>
      <c r="B483" s="5" t="s">
        <v>1450</v>
      </c>
      <c r="C483" s="5" t="s">
        <v>1451</v>
      </c>
      <c r="D483" s="5" t="s">
        <v>222</v>
      </c>
      <c r="E483" s="6" t="s">
        <v>16</v>
      </c>
      <c r="F483" s="6" t="s">
        <v>16</v>
      </c>
      <c r="G483" s="6">
        <v>13.0</v>
      </c>
      <c r="H483" s="7">
        <v>11.34375</v>
      </c>
      <c r="I483" s="6">
        <v>39.0</v>
      </c>
      <c r="J483" s="6">
        <v>63.3</v>
      </c>
      <c r="K483" s="6">
        <v>482.0</v>
      </c>
      <c r="L483" s="6">
        <v>33.0</v>
      </c>
    </row>
    <row r="484">
      <c r="A484" s="5" t="s">
        <v>1452</v>
      </c>
      <c r="B484" s="5" t="s">
        <v>1453</v>
      </c>
      <c r="C484" s="5" t="s">
        <v>1454</v>
      </c>
      <c r="D484" s="5" t="s">
        <v>118</v>
      </c>
      <c r="E484" s="6" t="s">
        <v>16</v>
      </c>
      <c r="F484" s="6" t="s">
        <v>17</v>
      </c>
      <c r="G484" s="6">
        <v>9.0</v>
      </c>
      <c r="H484" s="7">
        <v>12.787500000000001</v>
      </c>
      <c r="I484" s="6">
        <v>41.5</v>
      </c>
      <c r="J484" s="6">
        <v>63.3</v>
      </c>
      <c r="K484" s="6">
        <v>483.0</v>
      </c>
      <c r="L484" s="6">
        <v>39.0</v>
      </c>
    </row>
    <row r="485">
      <c r="A485" s="5" t="s">
        <v>1455</v>
      </c>
      <c r="B485" s="5">
        <v>3.2835324E7</v>
      </c>
      <c r="C485" s="5" t="s">
        <v>1456</v>
      </c>
      <c r="D485" s="5" t="s">
        <v>38</v>
      </c>
      <c r="E485" s="6" t="s">
        <v>16</v>
      </c>
      <c r="F485" s="6" t="s">
        <v>16</v>
      </c>
      <c r="G485" s="6">
        <v>5.0</v>
      </c>
      <c r="H485" s="7">
        <v>14.25</v>
      </c>
      <c r="I485" s="6">
        <v>44.0</v>
      </c>
      <c r="J485" s="6">
        <v>63.3</v>
      </c>
      <c r="K485" s="6">
        <v>484.0</v>
      </c>
      <c r="L485" s="6">
        <v>67.0</v>
      </c>
    </row>
    <row r="486">
      <c r="A486" s="5" t="s">
        <v>1457</v>
      </c>
      <c r="B486" s="5" t="s">
        <v>1458</v>
      </c>
      <c r="C486" s="5" t="s">
        <v>1459</v>
      </c>
      <c r="D486" s="5" t="s">
        <v>52</v>
      </c>
      <c r="E486" s="6" t="s">
        <v>16</v>
      </c>
      <c r="F486" s="6" t="s">
        <v>16</v>
      </c>
      <c r="G486" s="6">
        <v>4.0</v>
      </c>
      <c r="H486" s="7">
        <v>14.25</v>
      </c>
      <c r="I486" s="6">
        <v>45.0</v>
      </c>
      <c r="J486" s="6">
        <v>63.3</v>
      </c>
      <c r="K486" s="6">
        <v>485.0</v>
      </c>
      <c r="L486" s="6">
        <v>38.0</v>
      </c>
    </row>
    <row r="487">
      <c r="A487" s="5" t="s">
        <v>1460</v>
      </c>
      <c r="B487" s="5" t="s">
        <v>1461</v>
      </c>
      <c r="C487" s="5" t="s">
        <v>1462</v>
      </c>
      <c r="D487" s="5" t="s">
        <v>52</v>
      </c>
      <c r="E487" s="6" t="s">
        <v>16</v>
      </c>
      <c r="F487" s="6" t="s">
        <v>16</v>
      </c>
      <c r="G487" s="6">
        <v>4.0</v>
      </c>
      <c r="H487" s="7">
        <v>14.25</v>
      </c>
      <c r="I487" s="6">
        <v>45.0</v>
      </c>
      <c r="J487" s="6">
        <v>63.3</v>
      </c>
      <c r="K487" s="6">
        <v>486.0</v>
      </c>
      <c r="L487" s="6">
        <v>39.0</v>
      </c>
    </row>
    <row r="488">
      <c r="A488" s="5" t="s">
        <v>1463</v>
      </c>
      <c r="B488" s="5" t="s">
        <v>1464</v>
      </c>
      <c r="C488" s="5" t="s">
        <v>71</v>
      </c>
      <c r="D488" s="5" t="s">
        <v>118</v>
      </c>
      <c r="E488" s="6" t="s">
        <v>16</v>
      </c>
      <c r="F488" s="6" t="s">
        <v>16</v>
      </c>
      <c r="G488" s="6">
        <v>12.0</v>
      </c>
      <c r="H488" s="7">
        <v>11.15625</v>
      </c>
      <c r="I488" s="6">
        <v>40.0</v>
      </c>
      <c r="J488" s="6">
        <v>63.2</v>
      </c>
      <c r="K488" s="6">
        <v>487.0</v>
      </c>
      <c r="L488" s="6">
        <v>40.0</v>
      </c>
    </row>
    <row r="489">
      <c r="A489" s="5" t="s">
        <v>1465</v>
      </c>
      <c r="B489" s="5" t="s">
        <v>1466</v>
      </c>
      <c r="C489" s="5" t="s">
        <v>1467</v>
      </c>
      <c r="D489" s="5" t="s">
        <v>38</v>
      </c>
      <c r="E489" s="6" t="s">
        <v>16</v>
      </c>
      <c r="F489" s="6" t="s">
        <v>17</v>
      </c>
      <c r="G489" s="6">
        <v>5.0</v>
      </c>
      <c r="H489" s="7">
        <v>13.21875</v>
      </c>
      <c r="I489" s="6">
        <v>45.0</v>
      </c>
      <c r="J489" s="6">
        <v>63.2</v>
      </c>
      <c r="K489" s="6">
        <v>488.0</v>
      </c>
      <c r="L489" s="6">
        <v>68.0</v>
      </c>
    </row>
    <row r="490">
      <c r="A490" s="5" t="s">
        <v>1468</v>
      </c>
      <c r="B490" s="5" t="s">
        <v>1469</v>
      </c>
      <c r="C490" s="5" t="s">
        <v>1470</v>
      </c>
      <c r="D490" s="5" t="s">
        <v>118</v>
      </c>
      <c r="E490" s="6" t="s">
        <v>16</v>
      </c>
      <c r="F490" s="6" t="s">
        <v>17</v>
      </c>
      <c r="G490" s="6">
        <v>4.0</v>
      </c>
      <c r="H490" s="7">
        <v>14.174999999999999</v>
      </c>
      <c r="I490" s="6">
        <v>45.0</v>
      </c>
      <c r="J490" s="6">
        <v>63.2</v>
      </c>
      <c r="K490" s="6">
        <v>489.0</v>
      </c>
      <c r="L490" s="6">
        <v>41.0</v>
      </c>
    </row>
    <row r="491">
      <c r="A491" s="5" t="s">
        <v>1471</v>
      </c>
      <c r="B491" s="5" t="s">
        <v>1472</v>
      </c>
      <c r="C491" s="5" t="s">
        <v>1473</v>
      </c>
      <c r="D491" s="5" t="s">
        <v>118</v>
      </c>
      <c r="E491" s="6" t="s">
        <v>16</v>
      </c>
      <c r="F491" s="6" t="s">
        <v>16</v>
      </c>
      <c r="G491" s="6">
        <v>14.0</v>
      </c>
      <c r="H491" s="7">
        <v>11.109375</v>
      </c>
      <c r="I491" s="6">
        <v>38.0</v>
      </c>
      <c r="J491" s="6">
        <v>63.1</v>
      </c>
      <c r="K491" s="6">
        <v>490.0</v>
      </c>
      <c r="L491" s="6">
        <v>42.0</v>
      </c>
    </row>
    <row r="492">
      <c r="A492" s="5" t="s">
        <v>1474</v>
      </c>
      <c r="B492" s="5" t="s">
        <v>1475</v>
      </c>
      <c r="C492" s="5" t="s">
        <v>1476</v>
      </c>
      <c r="D492" s="5" t="s">
        <v>75</v>
      </c>
      <c r="E492" s="6" t="s">
        <v>16</v>
      </c>
      <c r="F492" s="6" t="s">
        <v>17</v>
      </c>
      <c r="G492" s="6">
        <v>5.0</v>
      </c>
      <c r="H492" s="7">
        <v>13.143749999999999</v>
      </c>
      <c r="I492" s="6">
        <v>45.0</v>
      </c>
      <c r="J492" s="6">
        <v>63.1</v>
      </c>
      <c r="K492" s="6">
        <v>491.0</v>
      </c>
      <c r="L492" s="6">
        <v>37.0</v>
      </c>
    </row>
    <row r="493">
      <c r="A493" s="5" t="s">
        <v>1477</v>
      </c>
      <c r="B493" s="5" t="s">
        <v>1478</v>
      </c>
      <c r="C493" s="5" t="s">
        <v>1479</v>
      </c>
      <c r="D493" s="5" t="s">
        <v>59</v>
      </c>
      <c r="E493" s="6" t="s">
        <v>16</v>
      </c>
      <c r="F493" s="6" t="s">
        <v>17</v>
      </c>
      <c r="G493" s="6">
        <v>5.0</v>
      </c>
      <c r="H493" s="7">
        <v>13.125</v>
      </c>
      <c r="I493" s="6">
        <v>45.0</v>
      </c>
      <c r="J493" s="6">
        <v>63.1</v>
      </c>
      <c r="K493" s="6">
        <v>492.0</v>
      </c>
      <c r="L493" s="6">
        <v>44.0</v>
      </c>
    </row>
    <row r="494">
      <c r="A494" s="5" t="s">
        <v>1480</v>
      </c>
      <c r="B494" s="5" t="s">
        <v>1481</v>
      </c>
      <c r="C494" s="5" t="s">
        <v>769</v>
      </c>
      <c r="D494" s="5" t="s">
        <v>52</v>
      </c>
      <c r="E494" s="6" t="s">
        <v>16</v>
      </c>
      <c r="F494" s="6" t="s">
        <v>17</v>
      </c>
      <c r="G494" s="6">
        <v>5.0</v>
      </c>
      <c r="H494" s="7">
        <v>13.125</v>
      </c>
      <c r="I494" s="6">
        <v>45.0</v>
      </c>
      <c r="J494" s="6">
        <v>63.1</v>
      </c>
      <c r="K494" s="6">
        <v>493.0</v>
      </c>
      <c r="L494" s="6">
        <v>40.0</v>
      </c>
    </row>
    <row r="495">
      <c r="A495" s="5" t="s">
        <v>1482</v>
      </c>
      <c r="B495" s="5" t="s">
        <v>1483</v>
      </c>
      <c r="C495" s="5" t="s">
        <v>1484</v>
      </c>
      <c r="D495" s="5" t="s">
        <v>52</v>
      </c>
      <c r="E495" s="6" t="s">
        <v>16</v>
      </c>
      <c r="F495" s="6" t="s">
        <v>16</v>
      </c>
      <c r="G495" s="6">
        <v>14.0</v>
      </c>
      <c r="H495" s="7">
        <v>12.0</v>
      </c>
      <c r="I495" s="6">
        <v>37.0</v>
      </c>
      <c r="J495" s="6">
        <v>63.0</v>
      </c>
      <c r="K495" s="6">
        <v>494.0</v>
      </c>
      <c r="L495" s="6">
        <v>41.0</v>
      </c>
    </row>
    <row r="496">
      <c r="A496" s="5" t="s">
        <v>1485</v>
      </c>
      <c r="B496" s="5" t="s">
        <v>1486</v>
      </c>
      <c r="C496" s="5" t="s">
        <v>1487</v>
      </c>
      <c r="D496" s="5" t="s">
        <v>38</v>
      </c>
      <c r="E496" s="6" t="s">
        <v>16</v>
      </c>
      <c r="F496" s="6" t="s">
        <v>17</v>
      </c>
      <c r="G496" s="6">
        <v>13.0</v>
      </c>
      <c r="H496" s="7">
        <v>9.0</v>
      </c>
      <c r="I496" s="6">
        <v>41.0</v>
      </c>
      <c r="J496" s="6">
        <v>63.0</v>
      </c>
      <c r="K496" s="6">
        <v>495.0</v>
      </c>
      <c r="L496" s="6">
        <v>69.0</v>
      </c>
    </row>
    <row r="497">
      <c r="A497" s="5" t="s">
        <v>1488</v>
      </c>
      <c r="B497" s="5" t="s">
        <v>1489</v>
      </c>
      <c r="C497" s="5" t="s">
        <v>1490</v>
      </c>
      <c r="D497" s="5" t="s">
        <v>177</v>
      </c>
      <c r="E497" s="6" t="s">
        <v>16</v>
      </c>
      <c r="F497" s="6" t="s">
        <v>16</v>
      </c>
      <c r="G497" s="6">
        <v>12.0</v>
      </c>
      <c r="H497" s="7">
        <v>12.96875</v>
      </c>
      <c r="I497" s="6">
        <v>38.0</v>
      </c>
      <c r="J497" s="6">
        <v>63.0</v>
      </c>
      <c r="K497" s="6">
        <v>496.0</v>
      </c>
      <c r="L497" s="6">
        <v>16.0</v>
      </c>
    </row>
    <row r="498">
      <c r="A498" s="5" t="s">
        <v>1491</v>
      </c>
      <c r="B498" s="5" t="s">
        <v>1492</v>
      </c>
      <c r="C498" s="5" t="s">
        <v>1493</v>
      </c>
      <c r="D498" s="5" t="s">
        <v>59</v>
      </c>
      <c r="E498" s="6" t="s">
        <v>16</v>
      </c>
      <c r="F498" s="6" t="s">
        <v>17</v>
      </c>
      <c r="G498" s="6">
        <v>5.0</v>
      </c>
      <c r="H498" s="7">
        <v>13.03125</v>
      </c>
      <c r="I498" s="6">
        <v>45.0</v>
      </c>
      <c r="J498" s="6">
        <v>63.0</v>
      </c>
      <c r="K498" s="6">
        <v>497.0</v>
      </c>
      <c r="L498" s="6">
        <v>45.0</v>
      </c>
    </row>
    <row r="499">
      <c r="A499" s="5" t="s">
        <v>1494</v>
      </c>
      <c r="B499" s="5" t="s">
        <v>1495</v>
      </c>
      <c r="C499" s="5" t="s">
        <v>1496</v>
      </c>
      <c r="D499" s="5" t="s">
        <v>59</v>
      </c>
      <c r="E499" s="6" t="s">
        <v>16</v>
      </c>
      <c r="F499" s="6" t="s">
        <v>16</v>
      </c>
      <c r="G499" s="6">
        <v>5.0</v>
      </c>
      <c r="H499" s="7">
        <v>13.03125</v>
      </c>
      <c r="I499" s="6">
        <v>45.0</v>
      </c>
      <c r="J499" s="6">
        <v>63.0</v>
      </c>
      <c r="K499" s="6">
        <v>498.0</v>
      </c>
      <c r="L499" s="6">
        <v>46.0</v>
      </c>
    </row>
    <row r="500">
      <c r="A500" s="5" t="s">
        <v>1497</v>
      </c>
      <c r="B500" s="5" t="s">
        <v>1498</v>
      </c>
      <c r="C500" s="5" t="s">
        <v>1499</v>
      </c>
      <c r="D500" s="5" t="s">
        <v>21</v>
      </c>
      <c r="E500" s="6" t="s">
        <v>16</v>
      </c>
      <c r="F500" s="6" t="s">
        <v>16</v>
      </c>
      <c r="G500" s="6">
        <v>5.0</v>
      </c>
      <c r="H500" s="7">
        <v>12.974999999999998</v>
      </c>
      <c r="I500" s="6">
        <v>45.0</v>
      </c>
      <c r="J500" s="6">
        <v>63.0</v>
      </c>
      <c r="K500" s="6">
        <v>499.0</v>
      </c>
      <c r="L500" s="6">
        <v>61.0</v>
      </c>
    </row>
    <row r="501">
      <c r="A501" s="5" t="s">
        <v>1500</v>
      </c>
      <c r="B501" s="5" t="s">
        <v>1501</v>
      </c>
      <c r="C501" s="5" t="s">
        <v>1502</v>
      </c>
      <c r="D501" s="5" t="s">
        <v>21</v>
      </c>
      <c r="E501" s="6" t="s">
        <v>16</v>
      </c>
      <c r="F501" s="6" t="s">
        <v>17</v>
      </c>
      <c r="G501" s="6">
        <v>5.0</v>
      </c>
      <c r="H501" s="7">
        <v>13.275</v>
      </c>
      <c r="I501" s="6">
        <v>44.8</v>
      </c>
      <c r="J501" s="6">
        <v>63.0</v>
      </c>
      <c r="K501" s="6">
        <v>500.0</v>
      </c>
      <c r="L501" s="6">
        <v>62.0</v>
      </c>
    </row>
    <row r="502">
      <c r="A502" s="5" t="s">
        <v>1503</v>
      </c>
      <c r="B502" s="5" t="s">
        <v>1504</v>
      </c>
      <c r="C502" s="5" t="s">
        <v>1505</v>
      </c>
      <c r="D502" s="5" t="s">
        <v>75</v>
      </c>
      <c r="E502" s="6" t="s">
        <v>16</v>
      </c>
      <c r="F502" s="6" t="s">
        <v>16</v>
      </c>
      <c r="G502" s="6">
        <v>5.0</v>
      </c>
      <c r="H502" s="7">
        <v>14.024999999999999</v>
      </c>
      <c r="I502" s="6">
        <v>44.0</v>
      </c>
      <c r="J502" s="6">
        <v>63.0</v>
      </c>
      <c r="K502" s="6">
        <v>501.0</v>
      </c>
      <c r="L502" s="6">
        <v>38.0</v>
      </c>
    </row>
    <row r="503">
      <c r="A503" s="5" t="s">
        <v>1506</v>
      </c>
      <c r="B503" s="5" t="s">
        <v>1507</v>
      </c>
      <c r="C503" s="5" t="s">
        <v>1508</v>
      </c>
      <c r="D503" s="5" t="s">
        <v>38</v>
      </c>
      <c r="E503" s="6" t="s">
        <v>16</v>
      </c>
      <c r="F503" s="6" t="s">
        <v>16</v>
      </c>
      <c r="G503" s="6">
        <v>5.0</v>
      </c>
      <c r="H503" s="7">
        <v>15.0</v>
      </c>
      <c r="I503" s="6">
        <v>43.0</v>
      </c>
      <c r="J503" s="6">
        <v>63.0</v>
      </c>
      <c r="K503" s="6">
        <v>502.0</v>
      </c>
      <c r="L503" s="6">
        <v>70.0</v>
      </c>
    </row>
    <row r="504">
      <c r="A504" s="5" t="s">
        <v>1509</v>
      </c>
      <c r="B504" s="5" t="s">
        <v>1510</v>
      </c>
      <c r="C504" s="5" t="s">
        <v>1511</v>
      </c>
      <c r="D504" s="5" t="s">
        <v>38</v>
      </c>
      <c r="E504" s="6" t="s">
        <v>16</v>
      </c>
      <c r="F504" s="6" t="s">
        <v>17</v>
      </c>
      <c r="G504" s="6">
        <v>3.0</v>
      </c>
      <c r="H504" s="7">
        <v>15.0</v>
      </c>
      <c r="I504" s="6">
        <v>45.0</v>
      </c>
      <c r="J504" s="6">
        <v>63.0</v>
      </c>
      <c r="K504" s="6">
        <v>503.0</v>
      </c>
      <c r="L504" s="6">
        <v>71.0</v>
      </c>
    </row>
    <row r="505">
      <c r="A505" s="5" t="s">
        <v>1512</v>
      </c>
      <c r="B505" s="5" t="s">
        <v>1513</v>
      </c>
      <c r="C505" s="5" t="s">
        <v>1514</v>
      </c>
      <c r="D505" s="5" t="s">
        <v>38</v>
      </c>
      <c r="E505" s="6" t="s">
        <v>16</v>
      </c>
      <c r="F505" s="6" t="s">
        <v>16</v>
      </c>
      <c r="G505" s="6">
        <v>5.0</v>
      </c>
      <c r="H505" s="7">
        <v>14.8125</v>
      </c>
      <c r="I505" s="6">
        <v>43.0</v>
      </c>
      <c r="J505" s="6">
        <v>62.8</v>
      </c>
      <c r="K505" s="6">
        <v>504.0</v>
      </c>
      <c r="L505" s="6">
        <v>72.0</v>
      </c>
    </row>
    <row r="506">
      <c r="A506" s="5" t="s">
        <v>1515</v>
      </c>
      <c r="B506" s="5" t="s">
        <v>1516</v>
      </c>
      <c r="C506" s="5" t="s">
        <v>1517</v>
      </c>
      <c r="D506" s="5" t="s">
        <v>52</v>
      </c>
      <c r="E506" s="6" t="s">
        <v>16</v>
      </c>
      <c r="F506" s="6" t="s">
        <v>17</v>
      </c>
      <c r="G506" s="6">
        <v>4.0</v>
      </c>
      <c r="H506" s="7">
        <v>14.625</v>
      </c>
      <c r="I506" s="6">
        <v>44.0</v>
      </c>
      <c r="J506" s="6">
        <v>62.6</v>
      </c>
      <c r="K506" s="6">
        <v>505.0</v>
      </c>
      <c r="L506" s="6">
        <v>42.0</v>
      </c>
    </row>
    <row r="507">
      <c r="A507" s="5" t="s">
        <v>1518</v>
      </c>
      <c r="B507" s="5" t="s">
        <v>1519</v>
      </c>
      <c r="C507" s="5" t="s">
        <v>1520</v>
      </c>
      <c r="D507" s="5" t="s">
        <v>222</v>
      </c>
      <c r="E507" s="6" t="s">
        <v>16</v>
      </c>
      <c r="F507" s="6" t="s">
        <v>17</v>
      </c>
      <c r="G507" s="6">
        <v>3.0</v>
      </c>
      <c r="H507" s="7">
        <v>14.625</v>
      </c>
      <c r="I507" s="6">
        <v>45.0</v>
      </c>
      <c r="J507" s="6">
        <v>62.6</v>
      </c>
      <c r="K507" s="6">
        <v>506.0</v>
      </c>
      <c r="L507" s="6">
        <v>34.0</v>
      </c>
    </row>
    <row r="508">
      <c r="A508" s="5" t="s">
        <v>1521</v>
      </c>
      <c r="B508" s="5" t="s">
        <v>1522</v>
      </c>
      <c r="C508" s="5" t="s">
        <v>1523</v>
      </c>
      <c r="D508" s="5" t="s">
        <v>38</v>
      </c>
      <c r="E508" s="6" t="s">
        <v>16</v>
      </c>
      <c r="F508" s="6" t="s">
        <v>17</v>
      </c>
      <c r="G508" s="6">
        <v>15.0</v>
      </c>
      <c r="H508" s="7">
        <v>10.5</v>
      </c>
      <c r="I508" s="6">
        <v>37.0</v>
      </c>
      <c r="J508" s="6">
        <v>62.5</v>
      </c>
      <c r="K508" s="6">
        <v>507.0</v>
      </c>
      <c r="L508" s="6">
        <v>73.0</v>
      </c>
    </row>
    <row r="509">
      <c r="A509" s="5" t="s">
        <v>1524</v>
      </c>
      <c r="B509" s="5" t="s">
        <v>1525</v>
      </c>
      <c r="C509" s="5" t="s">
        <v>1526</v>
      </c>
      <c r="D509" s="5" t="s">
        <v>21</v>
      </c>
      <c r="E509" s="6" t="s">
        <v>16</v>
      </c>
      <c r="F509" s="6" t="s">
        <v>17</v>
      </c>
      <c r="G509" s="6">
        <v>11.0</v>
      </c>
      <c r="H509" s="7">
        <v>14.475000000000001</v>
      </c>
      <c r="I509" s="6">
        <v>37.0</v>
      </c>
      <c r="J509" s="6">
        <v>62.5</v>
      </c>
      <c r="K509" s="6">
        <v>508.0</v>
      </c>
      <c r="L509" s="6">
        <v>63.0</v>
      </c>
    </row>
    <row r="510">
      <c r="A510" s="5" t="s">
        <v>1527</v>
      </c>
      <c r="B510" s="5" t="s">
        <v>1528</v>
      </c>
      <c r="C510" s="5" t="s">
        <v>1529</v>
      </c>
      <c r="D510" s="5" t="s">
        <v>52</v>
      </c>
      <c r="E510" s="6" t="s">
        <v>16</v>
      </c>
      <c r="F510" s="6" t="s">
        <v>17</v>
      </c>
      <c r="G510" s="6">
        <v>7.0</v>
      </c>
      <c r="H510" s="7">
        <v>12.46875</v>
      </c>
      <c r="I510" s="6">
        <v>43.0</v>
      </c>
      <c r="J510" s="6">
        <v>62.5</v>
      </c>
      <c r="K510" s="6">
        <v>509.0</v>
      </c>
      <c r="L510" s="6">
        <v>43.0</v>
      </c>
    </row>
    <row r="511">
      <c r="A511" s="5" t="s">
        <v>1530</v>
      </c>
      <c r="B511" s="5" t="s">
        <v>1531</v>
      </c>
      <c r="C511" s="5" t="s">
        <v>1532</v>
      </c>
      <c r="D511" s="5" t="s">
        <v>42</v>
      </c>
      <c r="E511" s="6" t="s">
        <v>16</v>
      </c>
      <c r="F511" s="6" t="s">
        <v>17</v>
      </c>
      <c r="G511" s="6">
        <v>4.0</v>
      </c>
      <c r="H511" s="7">
        <v>13.5</v>
      </c>
      <c r="I511" s="6">
        <v>45.0</v>
      </c>
      <c r="J511" s="6">
        <v>62.5</v>
      </c>
      <c r="K511" s="6">
        <v>510.0</v>
      </c>
      <c r="L511" s="6">
        <v>36.0</v>
      </c>
    </row>
    <row r="512">
      <c r="A512" s="5" t="s">
        <v>1533</v>
      </c>
      <c r="B512" s="5" t="s">
        <v>1534</v>
      </c>
      <c r="C512" s="5" t="s">
        <v>1535</v>
      </c>
      <c r="D512" s="5" t="s">
        <v>75</v>
      </c>
      <c r="E512" s="6" t="s">
        <v>16</v>
      </c>
      <c r="F512" s="6" t="s">
        <v>16</v>
      </c>
      <c r="G512" s="6">
        <v>5.0</v>
      </c>
      <c r="H512" s="7">
        <v>12.375</v>
      </c>
      <c r="I512" s="6">
        <v>45.0</v>
      </c>
      <c r="J512" s="6">
        <v>62.4</v>
      </c>
      <c r="K512" s="6">
        <v>511.0</v>
      </c>
      <c r="L512" s="6">
        <v>39.0</v>
      </c>
    </row>
    <row r="513">
      <c r="A513" s="5" t="s">
        <v>1536</v>
      </c>
      <c r="B513" s="5" t="s">
        <v>1537</v>
      </c>
      <c r="C513" s="5" t="s">
        <v>1538</v>
      </c>
      <c r="D513" s="5" t="s">
        <v>75</v>
      </c>
      <c r="E513" s="6" t="s">
        <v>16</v>
      </c>
      <c r="F513" s="6" t="s">
        <v>16</v>
      </c>
      <c r="G513" s="6">
        <v>5.0</v>
      </c>
      <c r="H513" s="7">
        <v>12.356250000000001</v>
      </c>
      <c r="I513" s="6">
        <v>45.0</v>
      </c>
      <c r="J513" s="6">
        <v>62.4</v>
      </c>
      <c r="K513" s="6">
        <v>512.0</v>
      </c>
      <c r="L513" s="6">
        <v>40.0</v>
      </c>
    </row>
    <row r="514">
      <c r="A514" s="5" t="s">
        <v>1539</v>
      </c>
      <c r="B514" s="5" t="s">
        <v>1540</v>
      </c>
      <c r="C514" s="5" t="s">
        <v>1541</v>
      </c>
      <c r="D514" s="5" t="s">
        <v>268</v>
      </c>
      <c r="E514" s="6" t="s">
        <v>16</v>
      </c>
      <c r="F514" s="6" t="s">
        <v>17</v>
      </c>
      <c r="G514" s="6">
        <v>3.0</v>
      </c>
      <c r="H514" s="7">
        <v>14.4375</v>
      </c>
      <c r="I514" s="6">
        <v>45.0</v>
      </c>
      <c r="J514" s="6">
        <v>62.4</v>
      </c>
      <c r="K514" s="6">
        <v>513.0</v>
      </c>
      <c r="L514" s="6">
        <v>29.0</v>
      </c>
    </row>
    <row r="515">
      <c r="A515" s="5" t="s">
        <v>1542</v>
      </c>
      <c r="B515" s="5" t="s">
        <v>1543</v>
      </c>
      <c r="C515" s="5" t="s">
        <v>1544</v>
      </c>
      <c r="D515" s="5" t="s">
        <v>38</v>
      </c>
      <c r="E515" s="6" t="s">
        <v>16</v>
      </c>
      <c r="F515" s="6" t="s">
        <v>17</v>
      </c>
      <c r="G515" s="6">
        <v>10.0</v>
      </c>
      <c r="H515" s="7">
        <v>14.25</v>
      </c>
      <c r="I515" s="6">
        <v>38.0</v>
      </c>
      <c r="J515" s="6">
        <v>62.3</v>
      </c>
      <c r="K515" s="6">
        <v>514.0</v>
      </c>
      <c r="L515" s="6">
        <v>74.0</v>
      </c>
    </row>
    <row r="516">
      <c r="A516" s="5" t="s">
        <v>1545</v>
      </c>
      <c r="B516" s="5" t="s">
        <v>1546</v>
      </c>
      <c r="C516" s="5" t="s">
        <v>1547</v>
      </c>
      <c r="D516" s="5" t="s">
        <v>38</v>
      </c>
      <c r="E516" s="6" t="s">
        <v>16</v>
      </c>
      <c r="F516" s="6" t="s">
        <v>16</v>
      </c>
      <c r="G516" s="6">
        <v>5.0</v>
      </c>
      <c r="H516" s="7">
        <v>14.25</v>
      </c>
      <c r="I516" s="6">
        <v>43.0</v>
      </c>
      <c r="J516" s="6">
        <v>62.3</v>
      </c>
      <c r="K516" s="6">
        <v>515.0</v>
      </c>
      <c r="L516" s="6">
        <v>75.0</v>
      </c>
    </row>
    <row r="517">
      <c r="A517" s="5" t="s">
        <v>1548</v>
      </c>
      <c r="B517" s="5" t="s">
        <v>1549</v>
      </c>
      <c r="C517" s="5" t="s">
        <v>1550</v>
      </c>
      <c r="D517" s="5" t="s">
        <v>34</v>
      </c>
      <c r="E517" s="6" t="s">
        <v>16</v>
      </c>
      <c r="F517" s="6" t="s">
        <v>17</v>
      </c>
      <c r="G517" s="6">
        <v>3.0</v>
      </c>
      <c r="H517" s="7">
        <v>14.296875</v>
      </c>
      <c r="I517" s="6">
        <v>45.0</v>
      </c>
      <c r="J517" s="6">
        <v>62.3</v>
      </c>
      <c r="K517" s="6">
        <v>516.0</v>
      </c>
      <c r="L517" s="6">
        <v>39.0</v>
      </c>
    </row>
    <row r="518">
      <c r="A518" s="5" t="s">
        <v>1551</v>
      </c>
      <c r="B518" s="5" t="s">
        <v>1552</v>
      </c>
      <c r="C518" s="5" t="s">
        <v>1553</v>
      </c>
      <c r="D518" s="5" t="s">
        <v>34</v>
      </c>
      <c r="E518" s="6" t="s">
        <v>16</v>
      </c>
      <c r="F518" s="6" t="s">
        <v>17</v>
      </c>
      <c r="G518" s="6">
        <v>3.0</v>
      </c>
      <c r="H518" s="7">
        <v>14.25</v>
      </c>
      <c r="I518" s="6">
        <v>45.0</v>
      </c>
      <c r="J518" s="6">
        <v>62.3</v>
      </c>
      <c r="K518" s="6">
        <v>517.0</v>
      </c>
      <c r="L518" s="6">
        <v>40.0</v>
      </c>
    </row>
    <row r="519">
      <c r="A519" s="5" t="s">
        <v>1554</v>
      </c>
      <c r="B519" s="5" t="s">
        <v>1555</v>
      </c>
      <c r="C519" s="5" t="s">
        <v>1556</v>
      </c>
      <c r="D519" s="5" t="s">
        <v>21</v>
      </c>
      <c r="E519" s="6" t="s">
        <v>16</v>
      </c>
      <c r="F519" s="6" t="s">
        <v>17</v>
      </c>
      <c r="G519" s="6">
        <v>5.0</v>
      </c>
      <c r="H519" s="7">
        <v>12.215624999999998</v>
      </c>
      <c r="I519" s="6">
        <v>45.0</v>
      </c>
      <c r="J519" s="6">
        <v>62.2</v>
      </c>
      <c r="K519" s="6">
        <v>518.0</v>
      </c>
      <c r="L519" s="6">
        <v>64.0</v>
      </c>
    </row>
    <row r="520">
      <c r="A520" s="5" t="s">
        <v>1557</v>
      </c>
      <c r="B520" s="5" t="s">
        <v>1558</v>
      </c>
      <c r="C520" s="5" t="s">
        <v>1559</v>
      </c>
      <c r="D520" s="5" t="s">
        <v>21</v>
      </c>
      <c r="E520" s="6" t="s">
        <v>16</v>
      </c>
      <c r="F520" s="6" t="s">
        <v>17</v>
      </c>
      <c r="G520" s="6">
        <v>5.0</v>
      </c>
      <c r="H520" s="7">
        <v>12.84375</v>
      </c>
      <c r="I520" s="6">
        <v>44.3</v>
      </c>
      <c r="J520" s="6">
        <v>62.1</v>
      </c>
      <c r="K520" s="6">
        <v>519.0</v>
      </c>
      <c r="L520" s="6">
        <v>65.0</v>
      </c>
    </row>
    <row r="521">
      <c r="A521" s="5" t="s">
        <v>1560</v>
      </c>
      <c r="B521" s="5" t="s">
        <v>1561</v>
      </c>
      <c r="C521" s="5" t="s">
        <v>1562</v>
      </c>
      <c r="D521" s="5" t="s">
        <v>21</v>
      </c>
      <c r="E521" s="6" t="s">
        <v>16</v>
      </c>
      <c r="F521" s="6" t="s">
        <v>17</v>
      </c>
      <c r="G521" s="6">
        <v>5.0</v>
      </c>
      <c r="H521" s="7">
        <v>14.137500000000001</v>
      </c>
      <c r="I521" s="6">
        <v>43.0</v>
      </c>
      <c r="J521" s="6">
        <v>62.1</v>
      </c>
      <c r="K521" s="6">
        <v>520.0</v>
      </c>
      <c r="L521" s="6">
        <v>66.0</v>
      </c>
    </row>
    <row r="522">
      <c r="A522" s="5" t="s">
        <v>1563</v>
      </c>
      <c r="B522" s="5" t="s">
        <v>1564</v>
      </c>
      <c r="C522" s="5" t="s">
        <v>1565</v>
      </c>
      <c r="D522" s="5" t="s">
        <v>21</v>
      </c>
      <c r="E522" s="6" t="s">
        <v>16</v>
      </c>
      <c r="F522" s="6" t="s">
        <v>17</v>
      </c>
      <c r="G522" s="6">
        <v>5.0</v>
      </c>
      <c r="H522" s="7">
        <v>14.08125</v>
      </c>
      <c r="I522" s="6">
        <v>43.0</v>
      </c>
      <c r="J522" s="6">
        <v>62.1</v>
      </c>
      <c r="K522" s="6">
        <v>521.0</v>
      </c>
      <c r="L522" s="6">
        <v>67.0</v>
      </c>
    </row>
    <row r="523">
      <c r="A523" s="5" t="s">
        <v>1566</v>
      </c>
      <c r="B523" s="5" t="s">
        <v>1567</v>
      </c>
      <c r="C523" s="5" t="s">
        <v>1568</v>
      </c>
      <c r="D523" s="5" t="s">
        <v>75</v>
      </c>
      <c r="E523" s="6" t="s">
        <v>16</v>
      </c>
      <c r="F523" s="6" t="s">
        <v>17</v>
      </c>
      <c r="G523" s="6">
        <v>4.0</v>
      </c>
      <c r="H523" s="7">
        <v>13.05</v>
      </c>
      <c r="I523" s="6">
        <v>45.0</v>
      </c>
      <c r="J523" s="6">
        <v>62.1</v>
      </c>
      <c r="K523" s="6">
        <v>522.0</v>
      </c>
      <c r="L523" s="6">
        <v>41.0</v>
      </c>
    </row>
    <row r="524">
      <c r="A524" s="5" t="s">
        <v>1569</v>
      </c>
      <c r="B524" s="5" t="s">
        <v>1570</v>
      </c>
      <c r="C524" s="5" t="s">
        <v>1571</v>
      </c>
      <c r="D524" s="5" t="s">
        <v>52</v>
      </c>
      <c r="E524" s="6" t="s">
        <v>16</v>
      </c>
      <c r="F524" s="6" t="s">
        <v>17</v>
      </c>
      <c r="G524" s="6">
        <v>13.0</v>
      </c>
      <c r="H524" s="7">
        <v>13.96875</v>
      </c>
      <c r="I524" s="6">
        <v>35.0</v>
      </c>
      <c r="J524" s="6">
        <v>62.0</v>
      </c>
      <c r="K524" s="6">
        <v>523.0</v>
      </c>
      <c r="L524" s="6">
        <v>44.0</v>
      </c>
    </row>
    <row r="525">
      <c r="A525" s="5" t="s">
        <v>1572</v>
      </c>
      <c r="B525" s="5" t="s">
        <v>1573</v>
      </c>
      <c r="C525" s="5" t="s">
        <v>1574</v>
      </c>
      <c r="D525" s="5" t="s">
        <v>38</v>
      </c>
      <c r="E525" s="6" t="s">
        <v>16</v>
      </c>
      <c r="F525" s="6" t="s">
        <v>16</v>
      </c>
      <c r="G525" s="6">
        <v>5.0</v>
      </c>
      <c r="H525" s="7">
        <v>15.0</v>
      </c>
      <c r="I525" s="6">
        <v>42.0</v>
      </c>
      <c r="J525" s="6">
        <v>62.0</v>
      </c>
      <c r="K525" s="6">
        <v>524.0</v>
      </c>
      <c r="L525" s="6">
        <v>76.0</v>
      </c>
    </row>
    <row r="526">
      <c r="A526" s="5" t="s">
        <v>1575</v>
      </c>
      <c r="B526" s="5" t="s">
        <v>1576</v>
      </c>
      <c r="C526" s="5" t="s">
        <v>1577</v>
      </c>
      <c r="D526" s="5" t="s">
        <v>52</v>
      </c>
      <c r="E526" s="6" t="s">
        <v>16</v>
      </c>
      <c r="F526" s="6" t="s">
        <v>16</v>
      </c>
      <c r="G526" s="6">
        <v>4.0</v>
      </c>
      <c r="H526" s="7">
        <v>15.0</v>
      </c>
      <c r="I526" s="6">
        <v>43.0</v>
      </c>
      <c r="J526" s="6">
        <v>62.0</v>
      </c>
      <c r="K526" s="6">
        <v>525.0</v>
      </c>
      <c r="L526" s="6">
        <v>45.0</v>
      </c>
    </row>
    <row r="527">
      <c r="A527" s="5" t="s">
        <v>1578</v>
      </c>
      <c r="B527" s="5" t="s">
        <v>1579</v>
      </c>
      <c r="C527" s="5" t="s">
        <v>1580</v>
      </c>
      <c r="D527" s="5" t="s">
        <v>52</v>
      </c>
      <c r="E527" s="6" t="s">
        <v>16</v>
      </c>
      <c r="F527" s="6" t="s">
        <v>17</v>
      </c>
      <c r="G527" s="6">
        <v>4.0</v>
      </c>
      <c r="H527" s="7">
        <v>15.0</v>
      </c>
      <c r="I527" s="6">
        <v>43.0</v>
      </c>
      <c r="J527" s="6">
        <v>62.0</v>
      </c>
      <c r="K527" s="6">
        <v>526.0</v>
      </c>
      <c r="L527" s="6">
        <v>46.0</v>
      </c>
    </row>
    <row r="528">
      <c r="A528" s="5" t="s">
        <v>1581</v>
      </c>
      <c r="B528" s="5" t="s">
        <v>1582</v>
      </c>
      <c r="C528" s="5" t="s">
        <v>1583</v>
      </c>
      <c r="D528" s="5" t="s">
        <v>38</v>
      </c>
      <c r="E528" s="6" t="s">
        <v>16</v>
      </c>
      <c r="F528" s="6" t="s">
        <v>17</v>
      </c>
      <c r="G528" s="6">
        <v>5.0</v>
      </c>
      <c r="H528" s="7">
        <v>15.0</v>
      </c>
      <c r="I528" s="6">
        <v>42.0</v>
      </c>
      <c r="J528" s="6">
        <v>62.0</v>
      </c>
      <c r="K528" s="6">
        <v>527.0</v>
      </c>
      <c r="L528" s="6">
        <v>77.0</v>
      </c>
    </row>
    <row r="529">
      <c r="A529" s="5" t="s">
        <v>1584</v>
      </c>
      <c r="B529" s="5" t="s">
        <v>1585</v>
      </c>
      <c r="C529" s="5" t="s">
        <v>1586</v>
      </c>
      <c r="D529" s="5" t="s">
        <v>52</v>
      </c>
      <c r="E529" s="6" t="s">
        <v>16</v>
      </c>
      <c r="F529" s="6" t="s">
        <v>17</v>
      </c>
      <c r="G529" s="6">
        <v>4.0</v>
      </c>
      <c r="H529" s="7">
        <v>12.75</v>
      </c>
      <c r="I529" s="6">
        <v>45.0</v>
      </c>
      <c r="J529" s="6">
        <v>61.8</v>
      </c>
      <c r="K529" s="6">
        <v>528.0</v>
      </c>
      <c r="L529" s="6">
        <v>47.0</v>
      </c>
    </row>
    <row r="530">
      <c r="A530" s="5" t="s">
        <v>1587</v>
      </c>
      <c r="B530" s="5" t="s">
        <v>1588</v>
      </c>
      <c r="C530" s="5" t="s">
        <v>1589</v>
      </c>
      <c r="D530" s="5" t="s">
        <v>21</v>
      </c>
      <c r="E530" s="6" t="s">
        <v>16</v>
      </c>
      <c r="F530" s="6" t="s">
        <v>16</v>
      </c>
      <c r="G530" s="6">
        <v>5.0</v>
      </c>
      <c r="H530" s="7">
        <v>12.665625</v>
      </c>
      <c r="I530" s="6">
        <v>44.0</v>
      </c>
      <c r="J530" s="6">
        <v>61.7</v>
      </c>
      <c r="K530" s="6">
        <v>529.0</v>
      </c>
      <c r="L530" s="6">
        <v>68.0</v>
      </c>
    </row>
    <row r="531">
      <c r="A531" s="5" t="s">
        <v>1590</v>
      </c>
      <c r="B531" s="5" t="s">
        <v>1591</v>
      </c>
      <c r="C531" s="5" t="s">
        <v>1592</v>
      </c>
      <c r="D531" s="5" t="s">
        <v>38</v>
      </c>
      <c r="E531" s="6" t="s">
        <v>16</v>
      </c>
      <c r="F531" s="6" t="s">
        <v>17</v>
      </c>
      <c r="G531" s="6">
        <v>13.0</v>
      </c>
      <c r="H531" s="7">
        <v>11.625</v>
      </c>
      <c r="I531" s="6">
        <v>37.0</v>
      </c>
      <c r="J531" s="6">
        <v>61.6</v>
      </c>
      <c r="K531" s="6">
        <v>530.0</v>
      </c>
      <c r="L531" s="6">
        <v>78.0</v>
      </c>
    </row>
    <row r="532">
      <c r="A532" s="5" t="s">
        <v>1593</v>
      </c>
      <c r="B532" s="5" t="s">
        <v>1594</v>
      </c>
      <c r="C532" s="5" t="s">
        <v>1595</v>
      </c>
      <c r="D532" s="5" t="s">
        <v>42</v>
      </c>
      <c r="E532" s="6" t="s">
        <v>16</v>
      </c>
      <c r="F532" s="6" t="s">
        <v>16</v>
      </c>
      <c r="G532" s="6">
        <v>11.0</v>
      </c>
      <c r="H532" s="7">
        <v>14.625</v>
      </c>
      <c r="I532" s="6">
        <v>36.0</v>
      </c>
      <c r="J532" s="6">
        <v>61.6</v>
      </c>
      <c r="K532" s="6">
        <v>531.0</v>
      </c>
      <c r="L532" s="6">
        <v>37.0</v>
      </c>
    </row>
    <row r="533">
      <c r="A533" s="5" t="s">
        <v>1596</v>
      </c>
      <c r="B533" s="5" t="s">
        <v>1597</v>
      </c>
      <c r="C533" s="5" t="s">
        <v>1598</v>
      </c>
      <c r="D533" s="5" t="s">
        <v>75</v>
      </c>
      <c r="E533" s="6" t="s">
        <v>16</v>
      </c>
      <c r="F533" s="6" t="s">
        <v>17</v>
      </c>
      <c r="G533" s="6">
        <v>10.0</v>
      </c>
      <c r="H533" s="7">
        <v>6.609375</v>
      </c>
      <c r="I533" s="6">
        <v>45.0</v>
      </c>
      <c r="J533" s="6">
        <v>61.6</v>
      </c>
      <c r="K533" s="6">
        <v>532.0</v>
      </c>
      <c r="L533" s="6">
        <v>42.0</v>
      </c>
    </row>
    <row r="534">
      <c r="A534" s="5" t="s">
        <v>1599</v>
      </c>
      <c r="B534" s="5" t="s">
        <v>1600</v>
      </c>
      <c r="C534" s="5" t="s">
        <v>1601</v>
      </c>
      <c r="D534" s="5" t="s">
        <v>34</v>
      </c>
      <c r="E534" s="6" t="s">
        <v>16</v>
      </c>
      <c r="F534" s="6" t="s">
        <v>16</v>
      </c>
      <c r="G534" s="6">
        <v>5.0</v>
      </c>
      <c r="H534" s="7">
        <v>11.60625</v>
      </c>
      <c r="I534" s="6">
        <v>45.0</v>
      </c>
      <c r="J534" s="6">
        <v>61.6</v>
      </c>
      <c r="K534" s="6">
        <v>533.0</v>
      </c>
      <c r="L534" s="6">
        <v>41.0</v>
      </c>
    </row>
    <row r="535">
      <c r="A535" s="5" t="s">
        <v>1602</v>
      </c>
      <c r="B535" s="5" t="s">
        <v>1603</v>
      </c>
      <c r="C535" s="5" t="s">
        <v>1604</v>
      </c>
      <c r="D535" s="5" t="s">
        <v>52</v>
      </c>
      <c r="E535" s="6" t="s">
        <v>16</v>
      </c>
      <c r="F535" s="6" t="s">
        <v>16</v>
      </c>
      <c r="G535" s="6">
        <v>3.0</v>
      </c>
      <c r="H535" s="7">
        <v>13.59375</v>
      </c>
      <c r="I535" s="6">
        <v>45.0</v>
      </c>
      <c r="J535" s="6">
        <v>61.6</v>
      </c>
      <c r="K535" s="6">
        <v>534.0</v>
      </c>
      <c r="L535" s="6">
        <v>48.0</v>
      </c>
    </row>
    <row r="536">
      <c r="A536" s="5" t="s">
        <v>1605</v>
      </c>
      <c r="B536" s="5" t="s">
        <v>1606</v>
      </c>
      <c r="C536" s="5" t="s">
        <v>1607</v>
      </c>
      <c r="D536" s="5" t="s">
        <v>52</v>
      </c>
      <c r="E536" s="6" t="s">
        <v>16</v>
      </c>
      <c r="F536" s="6" t="s">
        <v>17</v>
      </c>
      <c r="G536" s="6">
        <v>13.0</v>
      </c>
      <c r="H536" s="7">
        <v>12.46875</v>
      </c>
      <c r="I536" s="6">
        <v>36.0</v>
      </c>
      <c r="J536" s="6">
        <v>61.5</v>
      </c>
      <c r="K536" s="6">
        <v>535.0</v>
      </c>
      <c r="L536" s="6">
        <v>49.0</v>
      </c>
    </row>
    <row r="537">
      <c r="A537" s="5" t="s">
        <v>1608</v>
      </c>
      <c r="B537" s="5" t="s">
        <v>1609</v>
      </c>
      <c r="C537" s="5" t="s">
        <v>1610</v>
      </c>
      <c r="D537" s="5" t="s">
        <v>177</v>
      </c>
      <c r="E537" s="6" t="s">
        <v>16</v>
      </c>
      <c r="F537" s="6" t="s">
        <v>16</v>
      </c>
      <c r="G537" s="6">
        <v>15.0</v>
      </c>
      <c r="H537" s="7">
        <v>12.421875</v>
      </c>
      <c r="I537" s="6">
        <v>34.0</v>
      </c>
      <c r="J537" s="6">
        <v>61.4</v>
      </c>
      <c r="K537" s="6">
        <v>536.0</v>
      </c>
      <c r="L537" s="6">
        <v>17.0</v>
      </c>
    </row>
    <row r="538">
      <c r="A538" s="5" t="s">
        <v>1611</v>
      </c>
      <c r="B538" s="5" t="s">
        <v>1612</v>
      </c>
      <c r="C538" s="5" t="s">
        <v>1613</v>
      </c>
      <c r="D538" s="5" t="s">
        <v>118</v>
      </c>
      <c r="E538" s="6" t="s">
        <v>16</v>
      </c>
      <c r="F538" s="6" t="s">
        <v>16</v>
      </c>
      <c r="G538" s="6">
        <v>11.0</v>
      </c>
      <c r="H538" s="7">
        <v>11.4375</v>
      </c>
      <c r="I538" s="6">
        <v>39.0</v>
      </c>
      <c r="J538" s="6">
        <v>61.4</v>
      </c>
      <c r="K538" s="6">
        <v>537.0</v>
      </c>
      <c r="L538" s="6">
        <v>43.0</v>
      </c>
    </row>
    <row r="539">
      <c r="A539" s="5" t="s">
        <v>1614</v>
      </c>
      <c r="B539" s="5" t="s">
        <v>1615</v>
      </c>
      <c r="C539" s="5" t="s">
        <v>1616</v>
      </c>
      <c r="D539" s="5" t="s">
        <v>38</v>
      </c>
      <c r="E539" s="6" t="s">
        <v>16</v>
      </c>
      <c r="F539" s="6" t="s">
        <v>17</v>
      </c>
      <c r="G539" s="6">
        <v>13.0</v>
      </c>
      <c r="H539" s="7">
        <v>9.09375</v>
      </c>
      <c r="I539" s="6">
        <v>39.0</v>
      </c>
      <c r="J539" s="6">
        <v>61.1</v>
      </c>
      <c r="K539" s="6">
        <v>538.0</v>
      </c>
      <c r="L539" s="6">
        <v>79.0</v>
      </c>
    </row>
    <row r="540">
      <c r="A540" s="5" t="s">
        <v>1617</v>
      </c>
      <c r="B540" s="5" t="s">
        <v>1618</v>
      </c>
      <c r="C540" s="5" t="s">
        <v>1619</v>
      </c>
      <c r="D540" s="5" t="s">
        <v>75</v>
      </c>
      <c r="E540" s="6" t="s">
        <v>16</v>
      </c>
      <c r="F540" s="6" t="s">
        <v>16</v>
      </c>
      <c r="G540" s="6">
        <v>11.0</v>
      </c>
      <c r="H540" s="7">
        <v>13.087500000000002</v>
      </c>
      <c r="I540" s="6">
        <v>37.0</v>
      </c>
      <c r="J540" s="6">
        <v>61.1</v>
      </c>
      <c r="K540" s="6">
        <v>539.0</v>
      </c>
      <c r="L540" s="6">
        <v>43.0</v>
      </c>
    </row>
    <row r="541">
      <c r="A541" s="5" t="s">
        <v>1620</v>
      </c>
      <c r="B541" s="5" t="s">
        <v>1621</v>
      </c>
      <c r="C541" s="5" t="s">
        <v>1622</v>
      </c>
      <c r="D541" s="5" t="s">
        <v>75</v>
      </c>
      <c r="E541" s="6" t="s">
        <v>16</v>
      </c>
      <c r="F541" s="6" t="s">
        <v>17</v>
      </c>
      <c r="G541" s="6">
        <v>5.0</v>
      </c>
      <c r="H541" s="7">
        <v>12.09375</v>
      </c>
      <c r="I541" s="6">
        <v>44.0</v>
      </c>
      <c r="J541" s="6">
        <v>61.1</v>
      </c>
      <c r="K541" s="6">
        <v>540.0</v>
      </c>
      <c r="L541" s="6">
        <v>44.0</v>
      </c>
    </row>
    <row r="542">
      <c r="A542" s="5" t="s">
        <v>1623</v>
      </c>
      <c r="B542" s="5" t="s">
        <v>1624</v>
      </c>
      <c r="C542" s="5" t="s">
        <v>1625</v>
      </c>
      <c r="D542" s="5" t="s">
        <v>38</v>
      </c>
      <c r="E542" s="6" t="s">
        <v>16</v>
      </c>
      <c r="F542" s="6" t="s">
        <v>17</v>
      </c>
      <c r="G542" s="6">
        <v>13.0</v>
      </c>
      <c r="H542" s="7">
        <v>9.0</v>
      </c>
      <c r="I542" s="6">
        <v>39.0</v>
      </c>
      <c r="J542" s="6">
        <v>61.0</v>
      </c>
      <c r="K542" s="6">
        <v>541.0</v>
      </c>
      <c r="L542" s="6">
        <v>80.0</v>
      </c>
    </row>
    <row r="543">
      <c r="A543" s="5" t="s">
        <v>1626</v>
      </c>
      <c r="B543" s="5" t="s">
        <v>1627</v>
      </c>
      <c r="C543" s="5" t="s">
        <v>1628</v>
      </c>
      <c r="D543" s="5" t="s">
        <v>75</v>
      </c>
      <c r="E543" s="6" t="s">
        <v>16</v>
      </c>
      <c r="F543" s="6" t="s">
        <v>17</v>
      </c>
      <c r="G543" s="6">
        <v>5.0</v>
      </c>
      <c r="H543" s="7">
        <v>10.9875</v>
      </c>
      <c r="I543" s="6">
        <v>45.0</v>
      </c>
      <c r="J543" s="6">
        <v>61.0</v>
      </c>
      <c r="K543" s="6">
        <v>542.0</v>
      </c>
      <c r="L543" s="6">
        <v>45.0</v>
      </c>
    </row>
    <row r="544">
      <c r="A544" s="5" t="s">
        <v>1629</v>
      </c>
      <c r="B544" s="5" t="s">
        <v>1630</v>
      </c>
      <c r="C544" s="5" t="s">
        <v>1631</v>
      </c>
      <c r="D544" s="5" t="s">
        <v>21</v>
      </c>
      <c r="E544" s="6" t="s">
        <v>16</v>
      </c>
      <c r="F544" s="6" t="s">
        <v>16</v>
      </c>
      <c r="G544" s="6">
        <v>5.0</v>
      </c>
      <c r="H544" s="7">
        <v>10.89375</v>
      </c>
      <c r="I544" s="6">
        <v>45.0</v>
      </c>
      <c r="J544" s="6">
        <v>60.9</v>
      </c>
      <c r="K544" s="6">
        <v>543.0</v>
      </c>
      <c r="L544" s="6">
        <v>69.0</v>
      </c>
    </row>
    <row r="545">
      <c r="A545" s="5" t="s">
        <v>1632</v>
      </c>
      <c r="B545" s="5" t="s">
        <v>1633</v>
      </c>
      <c r="C545" s="5" t="s">
        <v>1634</v>
      </c>
      <c r="D545" s="5" t="s">
        <v>268</v>
      </c>
      <c r="E545" s="6" t="s">
        <v>16</v>
      </c>
      <c r="F545" s="6" t="s">
        <v>17</v>
      </c>
      <c r="G545" s="6">
        <v>3.0</v>
      </c>
      <c r="H545" s="7">
        <v>12.890625</v>
      </c>
      <c r="I545" s="6">
        <v>45.0</v>
      </c>
      <c r="J545" s="6">
        <v>60.9</v>
      </c>
      <c r="K545" s="6">
        <v>544.0</v>
      </c>
      <c r="L545" s="6">
        <v>30.0</v>
      </c>
    </row>
    <row r="546">
      <c r="A546" s="5" t="s">
        <v>1635</v>
      </c>
      <c r="B546" s="5" t="s">
        <v>1636</v>
      </c>
      <c r="C546" s="5" t="s">
        <v>1637</v>
      </c>
      <c r="D546" s="5" t="s">
        <v>268</v>
      </c>
      <c r="E546" s="6" t="s">
        <v>16</v>
      </c>
      <c r="F546" s="6" t="s">
        <v>17</v>
      </c>
      <c r="G546" s="6">
        <v>3.0</v>
      </c>
      <c r="H546" s="7">
        <v>13.875</v>
      </c>
      <c r="I546" s="6">
        <v>44.0</v>
      </c>
      <c r="J546" s="6">
        <v>60.9</v>
      </c>
      <c r="K546" s="6">
        <v>545.0</v>
      </c>
      <c r="L546" s="6">
        <v>31.0</v>
      </c>
    </row>
    <row r="547">
      <c r="A547" s="5" t="s">
        <v>1638</v>
      </c>
      <c r="B547" s="5" t="s">
        <v>1639</v>
      </c>
      <c r="C547" s="5" t="s">
        <v>1640</v>
      </c>
      <c r="D547" s="5" t="s">
        <v>52</v>
      </c>
      <c r="E547" s="6" t="s">
        <v>16</v>
      </c>
      <c r="F547" s="6" t="s">
        <v>17</v>
      </c>
      <c r="G547" s="6">
        <v>4.0</v>
      </c>
      <c r="H547" s="7">
        <v>12.84375</v>
      </c>
      <c r="I547" s="6">
        <v>44.0</v>
      </c>
      <c r="J547" s="6">
        <v>60.8</v>
      </c>
      <c r="K547" s="6">
        <v>546.0</v>
      </c>
      <c r="L547" s="6">
        <v>50.0</v>
      </c>
    </row>
    <row r="548">
      <c r="A548" s="5" t="s">
        <v>1641</v>
      </c>
      <c r="B548" s="5" t="s">
        <v>1642</v>
      </c>
      <c r="C548" s="5" t="s">
        <v>1643</v>
      </c>
      <c r="D548" s="5" t="s">
        <v>59</v>
      </c>
      <c r="E548" s="6" t="s">
        <v>16</v>
      </c>
      <c r="F548" s="6" t="s">
        <v>16</v>
      </c>
      <c r="G548" s="6">
        <v>3.0</v>
      </c>
      <c r="H548" s="7">
        <v>12.75</v>
      </c>
      <c r="I548" s="6">
        <v>45.0</v>
      </c>
      <c r="J548" s="6">
        <v>60.8</v>
      </c>
      <c r="K548" s="6">
        <v>547.0</v>
      </c>
      <c r="L548" s="6">
        <v>47.0</v>
      </c>
    </row>
    <row r="549">
      <c r="A549" s="5" t="s">
        <v>1644</v>
      </c>
      <c r="B549" s="5" t="s">
        <v>1645</v>
      </c>
      <c r="C549" s="5" t="s">
        <v>1646</v>
      </c>
      <c r="D549" s="5" t="s">
        <v>222</v>
      </c>
      <c r="E549" s="6" t="s">
        <v>16</v>
      </c>
      <c r="F549" s="6" t="s">
        <v>16</v>
      </c>
      <c r="G549" s="6">
        <v>3.0</v>
      </c>
      <c r="H549" s="7">
        <v>14.8125</v>
      </c>
      <c r="I549" s="6">
        <v>43.0</v>
      </c>
      <c r="J549" s="6">
        <v>60.8</v>
      </c>
      <c r="K549" s="6">
        <v>548.0</v>
      </c>
      <c r="L549" s="6">
        <v>35.0</v>
      </c>
    </row>
    <row r="550">
      <c r="A550" s="5" t="s">
        <v>1647</v>
      </c>
      <c r="B550" s="5" t="s">
        <v>1648</v>
      </c>
      <c r="C550" s="5" t="s">
        <v>1649</v>
      </c>
      <c r="D550" s="5" t="s">
        <v>15</v>
      </c>
      <c r="E550" s="6" t="s">
        <v>16</v>
      </c>
      <c r="F550" s="6" t="s">
        <v>17</v>
      </c>
      <c r="G550" s="6">
        <v>15.0</v>
      </c>
      <c r="H550" s="7">
        <v>14.625</v>
      </c>
      <c r="I550" s="6">
        <v>31.0</v>
      </c>
      <c r="J550" s="6">
        <v>60.6</v>
      </c>
      <c r="K550" s="6">
        <v>549.0</v>
      </c>
      <c r="L550" s="6">
        <v>54.0</v>
      </c>
    </row>
    <row r="551">
      <c r="A551" s="5" t="s">
        <v>1650</v>
      </c>
      <c r="B551" s="5" t="s">
        <v>1651</v>
      </c>
      <c r="C551" s="5" t="s">
        <v>1652</v>
      </c>
      <c r="D551" s="5" t="s">
        <v>59</v>
      </c>
      <c r="E551" s="6" t="s">
        <v>16</v>
      </c>
      <c r="F551" s="6" t="s">
        <v>17</v>
      </c>
      <c r="G551" s="6">
        <v>5.0</v>
      </c>
      <c r="H551" s="7">
        <v>14.625</v>
      </c>
      <c r="I551" s="6">
        <v>41.0</v>
      </c>
      <c r="J551" s="6">
        <v>60.6</v>
      </c>
      <c r="K551" s="6">
        <v>550.0</v>
      </c>
      <c r="L551" s="6">
        <v>48.0</v>
      </c>
    </row>
    <row r="552">
      <c r="A552" s="5" t="s">
        <v>1653</v>
      </c>
      <c r="B552" s="5" t="s">
        <v>1654</v>
      </c>
      <c r="C552" s="5" t="s">
        <v>1655</v>
      </c>
      <c r="D552" s="5" t="s">
        <v>222</v>
      </c>
      <c r="E552" s="6" t="s">
        <v>16</v>
      </c>
      <c r="F552" s="6" t="s">
        <v>16</v>
      </c>
      <c r="G552" s="6">
        <v>4.0</v>
      </c>
      <c r="H552" s="7">
        <v>14.625</v>
      </c>
      <c r="I552" s="6">
        <v>42.0</v>
      </c>
      <c r="J552" s="6">
        <v>60.6</v>
      </c>
      <c r="K552" s="6">
        <v>551.0</v>
      </c>
      <c r="L552" s="6">
        <v>36.0</v>
      </c>
    </row>
    <row r="553">
      <c r="A553" s="5" t="s">
        <v>1656</v>
      </c>
      <c r="B553" s="5" t="s">
        <v>1657</v>
      </c>
      <c r="C553" s="5" t="s">
        <v>1658</v>
      </c>
      <c r="D553" s="5" t="s">
        <v>59</v>
      </c>
      <c r="E553" s="6" t="s">
        <v>16</v>
      </c>
      <c r="F553" s="6" t="s">
        <v>17</v>
      </c>
      <c r="G553" s="6">
        <v>5.0</v>
      </c>
      <c r="H553" s="7">
        <v>12.46875</v>
      </c>
      <c r="I553" s="6">
        <v>43.0</v>
      </c>
      <c r="J553" s="6">
        <v>60.5</v>
      </c>
      <c r="K553" s="6">
        <v>552.0</v>
      </c>
      <c r="L553" s="6">
        <v>49.0</v>
      </c>
    </row>
    <row r="554">
      <c r="A554" s="5" t="s">
        <v>1659</v>
      </c>
      <c r="B554" s="5" t="s">
        <v>1660</v>
      </c>
      <c r="C554" s="5" t="s">
        <v>1661</v>
      </c>
      <c r="D554" s="5" t="s">
        <v>42</v>
      </c>
      <c r="E554" s="6" t="s">
        <v>16</v>
      </c>
      <c r="F554" s="6" t="s">
        <v>17</v>
      </c>
      <c r="G554" s="6">
        <v>7.0</v>
      </c>
      <c r="H554" s="7">
        <v>14.484375</v>
      </c>
      <c r="I554" s="6">
        <v>39.0</v>
      </c>
      <c r="J554" s="6">
        <v>60.5</v>
      </c>
      <c r="K554" s="6">
        <v>553.0</v>
      </c>
      <c r="L554" s="6">
        <v>38.0</v>
      </c>
    </row>
    <row r="555">
      <c r="A555" s="5" t="s">
        <v>1662</v>
      </c>
      <c r="B555" s="5" t="s">
        <v>1663</v>
      </c>
      <c r="C555" s="5" t="s">
        <v>1664</v>
      </c>
      <c r="D555" s="5" t="s">
        <v>59</v>
      </c>
      <c r="E555" s="6" t="s">
        <v>16</v>
      </c>
      <c r="F555" s="6" t="s">
        <v>16</v>
      </c>
      <c r="G555" s="6">
        <v>5.0</v>
      </c>
      <c r="H555" s="7">
        <v>11.25</v>
      </c>
      <c r="I555" s="6">
        <v>44.0</v>
      </c>
      <c r="J555" s="6">
        <v>60.3</v>
      </c>
      <c r="K555" s="6">
        <v>554.0</v>
      </c>
      <c r="L555" s="6">
        <v>50.0</v>
      </c>
    </row>
    <row r="556">
      <c r="A556" s="5" t="s">
        <v>1665</v>
      </c>
      <c r="B556" s="5" t="s">
        <v>1666</v>
      </c>
      <c r="C556" s="5" t="s">
        <v>1667</v>
      </c>
      <c r="D556" s="5" t="s">
        <v>75</v>
      </c>
      <c r="E556" s="6" t="s">
        <v>16</v>
      </c>
      <c r="F556" s="6" t="s">
        <v>17</v>
      </c>
      <c r="G556" s="6">
        <v>5.0</v>
      </c>
      <c r="H556" s="7">
        <v>12.28125</v>
      </c>
      <c r="I556" s="6">
        <v>43.0</v>
      </c>
      <c r="J556" s="6">
        <v>60.3</v>
      </c>
      <c r="K556" s="6">
        <v>555.0</v>
      </c>
      <c r="L556" s="6">
        <v>46.0</v>
      </c>
    </row>
    <row r="557">
      <c r="A557" s="5" t="s">
        <v>1668</v>
      </c>
      <c r="B557" s="5" t="s">
        <v>1669</v>
      </c>
      <c r="C557" s="5" t="s">
        <v>1670</v>
      </c>
      <c r="D557" s="5" t="s">
        <v>21</v>
      </c>
      <c r="E557" s="6" t="s">
        <v>16</v>
      </c>
      <c r="F557" s="6" t="s">
        <v>16</v>
      </c>
      <c r="G557" s="6">
        <v>5.0</v>
      </c>
      <c r="H557" s="7">
        <v>13.275</v>
      </c>
      <c r="I557" s="6">
        <v>42.0</v>
      </c>
      <c r="J557" s="6">
        <v>60.3</v>
      </c>
      <c r="K557" s="6">
        <v>556.0</v>
      </c>
      <c r="L557" s="6">
        <v>70.0</v>
      </c>
    </row>
    <row r="558">
      <c r="A558" s="5" t="s">
        <v>1671</v>
      </c>
      <c r="B558" s="5" t="s">
        <v>1672</v>
      </c>
      <c r="C558" s="5" t="s">
        <v>1673</v>
      </c>
      <c r="D558" s="5" t="s">
        <v>75</v>
      </c>
      <c r="E558" s="6" t="s">
        <v>16</v>
      </c>
      <c r="F558" s="6" t="s">
        <v>17</v>
      </c>
      <c r="G558" s="6">
        <v>7.0</v>
      </c>
      <c r="H558" s="7">
        <v>10.134374999999999</v>
      </c>
      <c r="I558" s="6">
        <v>43.0</v>
      </c>
      <c r="J558" s="6">
        <v>60.1</v>
      </c>
      <c r="K558" s="6">
        <v>557.0</v>
      </c>
      <c r="L558" s="6">
        <v>47.0</v>
      </c>
    </row>
    <row r="559">
      <c r="A559" s="5" t="s">
        <v>1674</v>
      </c>
      <c r="B559" s="5" t="s">
        <v>1675</v>
      </c>
      <c r="C559" s="5" t="s">
        <v>429</v>
      </c>
      <c r="D559" s="5" t="s">
        <v>42</v>
      </c>
      <c r="E559" s="6" t="s">
        <v>16</v>
      </c>
      <c r="F559" s="6" t="s">
        <v>17</v>
      </c>
      <c r="G559" s="6">
        <v>4.0</v>
      </c>
      <c r="H559" s="7">
        <v>14.0625</v>
      </c>
      <c r="I559" s="6">
        <v>42.0</v>
      </c>
      <c r="J559" s="6">
        <v>60.1</v>
      </c>
      <c r="K559" s="6">
        <v>558.0</v>
      </c>
      <c r="L559" s="6">
        <v>39.0</v>
      </c>
    </row>
    <row r="560">
      <c r="A560" s="5" t="s">
        <v>1676</v>
      </c>
      <c r="B560" s="5" t="s">
        <v>1677</v>
      </c>
      <c r="C560" s="5" t="s">
        <v>1678</v>
      </c>
      <c r="D560" s="5" t="s">
        <v>268</v>
      </c>
      <c r="E560" s="6" t="s">
        <v>16</v>
      </c>
      <c r="F560" s="6" t="s">
        <v>16</v>
      </c>
      <c r="G560" s="6">
        <v>3.0</v>
      </c>
      <c r="H560" s="7">
        <v>12.140625</v>
      </c>
      <c r="I560" s="6">
        <v>45.0</v>
      </c>
      <c r="J560" s="6">
        <v>60.1</v>
      </c>
      <c r="K560" s="6">
        <v>559.0</v>
      </c>
      <c r="L560" s="6">
        <v>32.0</v>
      </c>
    </row>
    <row r="561">
      <c r="A561" s="5" t="s">
        <v>1679</v>
      </c>
      <c r="B561" s="5" t="s">
        <v>1680</v>
      </c>
      <c r="C561" s="5" t="s">
        <v>1681</v>
      </c>
      <c r="D561" s="5" t="s">
        <v>38</v>
      </c>
      <c r="E561" s="6" t="s">
        <v>16</v>
      </c>
      <c r="F561" s="6" t="s">
        <v>17</v>
      </c>
      <c r="G561" s="6">
        <v>15.0</v>
      </c>
      <c r="H561" s="7">
        <v>12.0</v>
      </c>
      <c r="I561" s="6">
        <v>33.0</v>
      </c>
      <c r="J561" s="6">
        <v>60.0</v>
      </c>
      <c r="K561" s="6">
        <v>560.0</v>
      </c>
      <c r="L561" s="6">
        <v>81.0</v>
      </c>
    </row>
    <row r="562">
      <c r="A562" s="5" t="s">
        <v>1682</v>
      </c>
      <c r="B562" s="5" t="s">
        <v>1683</v>
      </c>
      <c r="C562" s="5" t="s">
        <v>1684</v>
      </c>
      <c r="D562" s="5" t="s">
        <v>21</v>
      </c>
      <c r="E562" s="6" t="s">
        <v>16</v>
      </c>
      <c r="F562" s="6" t="s">
        <v>16</v>
      </c>
      <c r="G562" s="6">
        <v>5.0</v>
      </c>
      <c r="H562" s="7">
        <v>11.015625</v>
      </c>
      <c r="I562" s="6">
        <v>44.0</v>
      </c>
      <c r="J562" s="6">
        <v>60.0</v>
      </c>
      <c r="K562" s="6">
        <v>561.0</v>
      </c>
      <c r="L562" s="6">
        <v>71.0</v>
      </c>
    </row>
    <row r="563">
      <c r="A563" s="5" t="s">
        <v>1685</v>
      </c>
      <c r="B563" s="5" t="s">
        <v>1686</v>
      </c>
      <c r="C563" s="5" t="s">
        <v>1687</v>
      </c>
      <c r="D563" s="5" t="s">
        <v>34</v>
      </c>
      <c r="E563" s="6" t="s">
        <v>16</v>
      </c>
      <c r="F563" s="6" t="s">
        <v>16</v>
      </c>
      <c r="G563" s="6">
        <v>3.0</v>
      </c>
      <c r="H563" s="7">
        <v>12.0375</v>
      </c>
      <c r="I563" s="6">
        <v>45.0</v>
      </c>
      <c r="J563" s="6">
        <v>60.0</v>
      </c>
      <c r="K563" s="6">
        <v>562.0</v>
      </c>
      <c r="L563" s="6">
        <v>42.0</v>
      </c>
    </row>
    <row r="564">
      <c r="A564" s="5" t="s">
        <v>1688</v>
      </c>
      <c r="B564" s="5" t="s">
        <v>1689</v>
      </c>
      <c r="C564" s="5" t="s">
        <v>1690</v>
      </c>
      <c r="D564" s="5" t="s">
        <v>222</v>
      </c>
      <c r="E564" s="6" t="s">
        <v>16</v>
      </c>
      <c r="F564" s="6" t="s">
        <v>16</v>
      </c>
      <c r="G564" s="6">
        <v>3.0</v>
      </c>
      <c r="H564" s="7">
        <v>15.0</v>
      </c>
      <c r="I564" s="6">
        <v>42.0</v>
      </c>
      <c r="J564" s="6">
        <v>60.0</v>
      </c>
      <c r="K564" s="6">
        <v>563.0</v>
      </c>
      <c r="L564" s="6">
        <v>37.0</v>
      </c>
    </row>
    <row r="565">
      <c r="A565" s="5" t="s">
        <v>1691</v>
      </c>
      <c r="B565" s="5" t="s">
        <v>1692</v>
      </c>
      <c r="C565" s="5" t="s">
        <v>1693</v>
      </c>
      <c r="D565" s="5" t="s">
        <v>222</v>
      </c>
      <c r="E565" s="6" t="s">
        <v>16</v>
      </c>
      <c r="F565" s="6" t="s">
        <v>16</v>
      </c>
      <c r="G565" s="6">
        <v>5.0</v>
      </c>
      <c r="H565" s="7">
        <v>15.0</v>
      </c>
      <c r="I565" s="6">
        <v>40.0</v>
      </c>
      <c r="J565" s="6">
        <v>60.0</v>
      </c>
      <c r="K565" s="6">
        <v>564.0</v>
      </c>
      <c r="L565" s="6">
        <v>38.0</v>
      </c>
    </row>
    <row r="566">
      <c r="A566" s="5" t="s">
        <v>1694</v>
      </c>
      <c r="B566" s="5" t="s">
        <v>1695</v>
      </c>
      <c r="C566" s="5" t="s">
        <v>1696</v>
      </c>
      <c r="D566" s="5" t="s">
        <v>75</v>
      </c>
      <c r="E566" s="6" t="s">
        <v>16</v>
      </c>
      <c r="F566" s="6" t="s">
        <v>16</v>
      </c>
      <c r="G566" s="6">
        <v>5.0</v>
      </c>
      <c r="H566" s="7">
        <v>10.93125</v>
      </c>
      <c r="I566" s="6">
        <v>44.0</v>
      </c>
      <c r="J566" s="6">
        <v>59.9</v>
      </c>
      <c r="K566" s="6">
        <v>565.0</v>
      </c>
      <c r="L566" s="6">
        <v>48.0</v>
      </c>
    </row>
    <row r="567">
      <c r="A567" s="5" t="s">
        <v>1697</v>
      </c>
      <c r="B567" s="5" t="s">
        <v>1698</v>
      </c>
      <c r="C567" s="5" t="s">
        <v>1699</v>
      </c>
      <c r="D567" s="5" t="s">
        <v>268</v>
      </c>
      <c r="E567" s="6" t="s">
        <v>16</v>
      </c>
      <c r="F567" s="6" t="s">
        <v>17</v>
      </c>
      <c r="G567" s="6">
        <v>3.0</v>
      </c>
      <c r="H567" s="7">
        <v>11.875</v>
      </c>
      <c r="I567" s="6">
        <v>45.0</v>
      </c>
      <c r="J567" s="6">
        <v>59.9</v>
      </c>
      <c r="K567" s="6">
        <v>566.0</v>
      </c>
      <c r="L567" s="6">
        <v>33.0</v>
      </c>
    </row>
    <row r="568">
      <c r="A568" s="5" t="s">
        <v>1700</v>
      </c>
      <c r="B568" s="5" t="s">
        <v>1701</v>
      </c>
      <c r="C568" s="5" t="s">
        <v>1702</v>
      </c>
      <c r="D568" s="5" t="s">
        <v>15</v>
      </c>
      <c r="E568" s="6" t="s">
        <v>16</v>
      </c>
      <c r="F568" s="6" t="s">
        <v>16</v>
      </c>
      <c r="G568" s="6">
        <v>12.0</v>
      </c>
      <c r="H568" s="7">
        <v>9.65625</v>
      </c>
      <c r="I568" s="6">
        <v>38.0</v>
      </c>
      <c r="J568" s="6">
        <v>59.7</v>
      </c>
      <c r="K568" s="6">
        <v>567.0</v>
      </c>
      <c r="L568" s="6">
        <v>55.0</v>
      </c>
    </row>
    <row r="569">
      <c r="A569" s="5" t="s">
        <v>1703</v>
      </c>
      <c r="B569" s="5" t="s">
        <v>1704</v>
      </c>
      <c r="C569" s="5" t="s">
        <v>1705</v>
      </c>
      <c r="D569" s="5" t="s">
        <v>21</v>
      </c>
      <c r="E569" s="6" t="s">
        <v>16</v>
      </c>
      <c r="F569" s="6" t="s">
        <v>16</v>
      </c>
      <c r="G569" s="6">
        <v>5.0</v>
      </c>
      <c r="H569" s="7">
        <v>10.74375</v>
      </c>
      <c r="I569" s="6">
        <v>44.0</v>
      </c>
      <c r="J569" s="6">
        <v>59.7</v>
      </c>
      <c r="K569" s="6">
        <v>568.0</v>
      </c>
      <c r="L569" s="6">
        <v>72.0</v>
      </c>
    </row>
    <row r="570">
      <c r="A570" s="5" t="s">
        <v>1706</v>
      </c>
      <c r="B570" s="5" t="s">
        <v>1707</v>
      </c>
      <c r="C570" s="5" t="s">
        <v>1708</v>
      </c>
      <c r="D570" s="5" t="s">
        <v>268</v>
      </c>
      <c r="E570" s="6" t="s">
        <v>16</v>
      </c>
      <c r="F570" s="6" t="s">
        <v>16</v>
      </c>
      <c r="G570" s="6">
        <v>3.0</v>
      </c>
      <c r="H570" s="7">
        <v>14.671875</v>
      </c>
      <c r="I570" s="6">
        <v>42.0</v>
      </c>
      <c r="J570" s="6">
        <v>59.7</v>
      </c>
      <c r="K570" s="6">
        <v>569.0</v>
      </c>
      <c r="L570" s="6">
        <v>34.0</v>
      </c>
    </row>
    <row r="571">
      <c r="A571" s="5" t="s">
        <v>1709</v>
      </c>
      <c r="B571" s="5" t="s">
        <v>1710</v>
      </c>
      <c r="C571" s="5" t="s">
        <v>1711</v>
      </c>
      <c r="D571" s="5" t="s">
        <v>38</v>
      </c>
      <c r="E571" s="6" t="s">
        <v>16</v>
      </c>
      <c r="F571" s="6" t="s">
        <v>17</v>
      </c>
      <c r="G571" s="6">
        <v>5.0</v>
      </c>
      <c r="H571" s="7">
        <v>13.59375</v>
      </c>
      <c r="I571" s="6">
        <v>41.0</v>
      </c>
      <c r="J571" s="6">
        <v>59.6</v>
      </c>
      <c r="K571" s="6">
        <v>570.0</v>
      </c>
      <c r="L571" s="6">
        <v>82.0</v>
      </c>
    </row>
    <row r="572">
      <c r="A572" s="5" t="s">
        <v>1712</v>
      </c>
      <c r="B572" s="5" t="s">
        <v>1713</v>
      </c>
      <c r="C572" s="5" t="s">
        <v>1714</v>
      </c>
      <c r="D572" s="5" t="s">
        <v>38</v>
      </c>
      <c r="E572" s="6" t="s">
        <v>16</v>
      </c>
      <c r="F572" s="6" t="s">
        <v>16</v>
      </c>
      <c r="G572" s="6">
        <v>3.0</v>
      </c>
      <c r="H572" s="7">
        <v>14.625</v>
      </c>
      <c r="I572" s="6">
        <v>42.0</v>
      </c>
      <c r="J572" s="6">
        <v>59.6</v>
      </c>
      <c r="K572" s="6">
        <v>571.0</v>
      </c>
      <c r="L572" s="6">
        <v>83.0</v>
      </c>
    </row>
    <row r="573">
      <c r="A573" s="5" t="s">
        <v>1715</v>
      </c>
      <c r="B573" s="5" t="s">
        <v>1716</v>
      </c>
      <c r="C573" s="5" t="s">
        <v>1717</v>
      </c>
      <c r="D573" s="5" t="s">
        <v>118</v>
      </c>
      <c r="E573" s="6" t="s">
        <v>16</v>
      </c>
      <c r="F573" s="6" t="s">
        <v>17</v>
      </c>
      <c r="G573" s="6">
        <v>14.0</v>
      </c>
      <c r="H573" s="7">
        <v>13.5</v>
      </c>
      <c r="I573" s="6">
        <v>32.0</v>
      </c>
      <c r="J573" s="6">
        <v>59.5</v>
      </c>
      <c r="K573" s="6">
        <v>572.0</v>
      </c>
      <c r="L573" s="6">
        <v>44.0</v>
      </c>
    </row>
    <row r="574">
      <c r="A574" s="5" t="s">
        <v>1718</v>
      </c>
      <c r="B574" s="5" t="s">
        <v>1719</v>
      </c>
      <c r="C574" s="5" t="s">
        <v>1720</v>
      </c>
      <c r="D574" s="5" t="s">
        <v>52</v>
      </c>
      <c r="E574" s="6" t="s">
        <v>16</v>
      </c>
      <c r="F574" s="6" t="s">
        <v>17</v>
      </c>
      <c r="G574" s="6">
        <v>3.0</v>
      </c>
      <c r="H574" s="7">
        <v>15.0</v>
      </c>
      <c r="I574" s="6">
        <v>41.5</v>
      </c>
      <c r="J574" s="6">
        <v>59.5</v>
      </c>
      <c r="K574" s="6">
        <v>573.0</v>
      </c>
      <c r="L574" s="6">
        <v>51.0</v>
      </c>
    </row>
    <row r="575">
      <c r="A575" s="5" t="s">
        <v>1721</v>
      </c>
      <c r="B575" s="5" t="s">
        <v>1722</v>
      </c>
      <c r="C575" s="5" t="s">
        <v>1723</v>
      </c>
      <c r="D575" s="5" t="s">
        <v>75</v>
      </c>
      <c r="E575" s="6" t="s">
        <v>16</v>
      </c>
      <c r="F575" s="6" t="s">
        <v>17</v>
      </c>
      <c r="G575" s="6">
        <v>4.0</v>
      </c>
      <c r="H575" s="7">
        <v>13.4296875</v>
      </c>
      <c r="I575" s="6">
        <v>42.0</v>
      </c>
      <c r="J575" s="6">
        <v>59.4</v>
      </c>
      <c r="K575" s="6">
        <v>574.0</v>
      </c>
      <c r="L575" s="6">
        <v>49.0</v>
      </c>
    </row>
    <row r="576">
      <c r="A576" s="5" t="s">
        <v>1724</v>
      </c>
      <c r="B576" s="5" t="s">
        <v>1725</v>
      </c>
      <c r="C576" s="5" t="s">
        <v>1726</v>
      </c>
      <c r="D576" s="5" t="s">
        <v>59</v>
      </c>
      <c r="E576" s="6" t="s">
        <v>16</v>
      </c>
      <c r="F576" s="6" t="s">
        <v>17</v>
      </c>
      <c r="G576" s="6">
        <v>5.0</v>
      </c>
      <c r="H576" s="7">
        <v>12.215625000000001</v>
      </c>
      <c r="I576" s="6">
        <v>42.0</v>
      </c>
      <c r="J576" s="6">
        <v>59.2</v>
      </c>
      <c r="K576" s="6">
        <v>575.0</v>
      </c>
      <c r="L576" s="6">
        <v>51.0</v>
      </c>
    </row>
    <row r="577">
      <c r="A577" s="5" t="s">
        <v>1727</v>
      </c>
      <c r="B577" s="5" t="s">
        <v>1728</v>
      </c>
      <c r="C577" s="5" t="s">
        <v>1729</v>
      </c>
      <c r="D577" s="5" t="s">
        <v>42</v>
      </c>
      <c r="E577" s="6" t="s">
        <v>16</v>
      </c>
      <c r="F577" s="6" t="s">
        <v>17</v>
      </c>
      <c r="G577" s="6">
        <v>4.0</v>
      </c>
      <c r="H577" s="7">
        <v>13.171875</v>
      </c>
      <c r="I577" s="6">
        <v>42.0</v>
      </c>
      <c r="J577" s="6">
        <v>59.2</v>
      </c>
      <c r="K577" s="6">
        <v>576.0</v>
      </c>
      <c r="L577" s="6">
        <v>40.0</v>
      </c>
    </row>
    <row r="578">
      <c r="A578" s="5" t="s">
        <v>1730</v>
      </c>
      <c r="B578" s="5" t="s">
        <v>1731</v>
      </c>
      <c r="C578" s="5" t="s">
        <v>1732</v>
      </c>
      <c r="D578" s="5" t="s">
        <v>59</v>
      </c>
      <c r="E578" s="6" t="s">
        <v>16</v>
      </c>
      <c r="F578" s="6" t="s">
        <v>16</v>
      </c>
      <c r="G578" s="6">
        <v>5.0</v>
      </c>
      <c r="H578" s="7">
        <v>12.084374999999998</v>
      </c>
      <c r="I578" s="6">
        <v>42.0</v>
      </c>
      <c r="J578" s="6">
        <v>59.1</v>
      </c>
      <c r="K578" s="6">
        <v>577.0</v>
      </c>
      <c r="L578" s="6">
        <v>52.0</v>
      </c>
    </row>
    <row r="579">
      <c r="A579" s="5" t="s">
        <v>1733</v>
      </c>
      <c r="B579" s="5" t="s">
        <v>1734</v>
      </c>
      <c r="C579" s="5" t="s">
        <v>1735</v>
      </c>
      <c r="D579" s="5" t="s">
        <v>52</v>
      </c>
      <c r="E579" s="6" t="s">
        <v>16</v>
      </c>
      <c r="F579" s="6" t="s">
        <v>16</v>
      </c>
      <c r="G579" s="6">
        <v>14.0</v>
      </c>
      <c r="H579" s="7">
        <v>10.03125</v>
      </c>
      <c r="I579" s="6">
        <v>35.0</v>
      </c>
      <c r="J579" s="6">
        <v>59.0</v>
      </c>
      <c r="K579" s="6">
        <v>578.0</v>
      </c>
      <c r="L579" s="6">
        <v>52.0</v>
      </c>
    </row>
    <row r="580">
      <c r="A580" s="5" t="s">
        <v>1736</v>
      </c>
      <c r="B580" s="5" t="s">
        <v>1737</v>
      </c>
      <c r="C580" s="5" t="s">
        <v>1738</v>
      </c>
      <c r="D580" s="5" t="s">
        <v>222</v>
      </c>
      <c r="E580" s="6" t="s">
        <v>16</v>
      </c>
      <c r="F580" s="6" t="s">
        <v>16</v>
      </c>
      <c r="G580" s="6">
        <v>13.0</v>
      </c>
      <c r="H580" s="7">
        <v>12.0</v>
      </c>
      <c r="I580" s="6">
        <v>34.0</v>
      </c>
      <c r="J580" s="6">
        <v>59.0</v>
      </c>
      <c r="K580" s="6">
        <v>579.0</v>
      </c>
      <c r="L580" s="6">
        <v>39.0</v>
      </c>
    </row>
    <row r="581">
      <c r="A581" s="5" t="s">
        <v>1739</v>
      </c>
      <c r="B581" s="5" t="s">
        <v>1740</v>
      </c>
      <c r="C581" s="5" t="s">
        <v>1741</v>
      </c>
      <c r="D581" s="5" t="s">
        <v>222</v>
      </c>
      <c r="E581" s="6" t="s">
        <v>16</v>
      </c>
      <c r="F581" s="6" t="s">
        <v>16</v>
      </c>
      <c r="G581" s="6">
        <v>13.0</v>
      </c>
      <c r="H581" s="7">
        <v>13.96875</v>
      </c>
      <c r="I581" s="6">
        <v>32.0</v>
      </c>
      <c r="J581" s="6">
        <v>59.0</v>
      </c>
      <c r="K581" s="6">
        <v>580.0</v>
      </c>
      <c r="L581" s="6">
        <v>40.0</v>
      </c>
    </row>
    <row r="582">
      <c r="A582" s="5" t="s">
        <v>1742</v>
      </c>
      <c r="B582" s="5" t="s">
        <v>1743</v>
      </c>
      <c r="C582" s="5" t="s">
        <v>1744</v>
      </c>
      <c r="D582" s="5" t="s">
        <v>38</v>
      </c>
      <c r="E582" s="6" t="s">
        <v>16</v>
      </c>
      <c r="F582" s="6" t="s">
        <v>17</v>
      </c>
      <c r="G582" s="6">
        <v>8.0</v>
      </c>
      <c r="H582" s="7">
        <v>15.0</v>
      </c>
      <c r="I582" s="6">
        <v>36.0</v>
      </c>
      <c r="J582" s="6">
        <v>59.0</v>
      </c>
      <c r="K582" s="6">
        <v>581.0</v>
      </c>
      <c r="L582" s="6">
        <v>84.0</v>
      </c>
    </row>
    <row r="583">
      <c r="A583" s="5" t="s">
        <v>1745</v>
      </c>
      <c r="B583" s="5" t="s">
        <v>1746</v>
      </c>
      <c r="C583" s="5" t="s">
        <v>1747</v>
      </c>
      <c r="D583" s="5" t="s">
        <v>42</v>
      </c>
      <c r="E583" s="6" t="s">
        <v>16</v>
      </c>
      <c r="F583" s="6" t="s">
        <v>16</v>
      </c>
      <c r="G583" s="6">
        <v>4.0</v>
      </c>
      <c r="H583" s="7">
        <v>13.03125</v>
      </c>
      <c r="I583" s="6">
        <v>42.0</v>
      </c>
      <c r="J583" s="6">
        <v>59.0</v>
      </c>
      <c r="K583" s="6">
        <v>582.0</v>
      </c>
      <c r="L583" s="6">
        <v>41.0</v>
      </c>
    </row>
    <row r="584">
      <c r="A584" s="5" t="s">
        <v>1748</v>
      </c>
      <c r="B584" s="5" t="s">
        <v>1749</v>
      </c>
      <c r="C584" s="5" t="s">
        <v>1750</v>
      </c>
      <c r="D584" s="5" t="s">
        <v>268</v>
      </c>
      <c r="E584" s="6" t="s">
        <v>16</v>
      </c>
      <c r="F584" s="6" t="s">
        <v>16</v>
      </c>
      <c r="G584" s="6">
        <v>13.0</v>
      </c>
      <c r="H584" s="7">
        <v>12.1875</v>
      </c>
      <c r="I584" s="6">
        <v>33.7</v>
      </c>
      <c r="J584" s="6">
        <v>58.9</v>
      </c>
      <c r="K584" s="6">
        <v>583.0</v>
      </c>
      <c r="L584" s="6">
        <v>35.0</v>
      </c>
    </row>
    <row r="585">
      <c r="A585" s="5" t="s">
        <v>1751</v>
      </c>
      <c r="B585" s="5" t="s">
        <v>1752</v>
      </c>
      <c r="C585" s="5" t="s">
        <v>1556</v>
      </c>
      <c r="D585" s="5" t="s">
        <v>34</v>
      </c>
      <c r="E585" s="6" t="s">
        <v>16</v>
      </c>
      <c r="F585" s="6" t="s">
        <v>16</v>
      </c>
      <c r="G585" s="6">
        <v>21.0</v>
      </c>
      <c r="H585" s="7">
        <v>12.75</v>
      </c>
      <c r="I585" s="6">
        <v>25.0</v>
      </c>
      <c r="J585" s="6">
        <v>58.8</v>
      </c>
      <c r="K585" s="6">
        <v>584.0</v>
      </c>
      <c r="L585" s="6">
        <v>43.0</v>
      </c>
    </row>
    <row r="586">
      <c r="A586" s="5" t="s">
        <v>1753</v>
      </c>
      <c r="B586" s="5" t="s">
        <v>1754</v>
      </c>
      <c r="C586" s="5" t="s">
        <v>1755</v>
      </c>
      <c r="D586" s="5" t="s">
        <v>38</v>
      </c>
      <c r="E586" s="6" t="s">
        <v>16</v>
      </c>
      <c r="F586" s="6" t="s">
        <v>17</v>
      </c>
      <c r="G586" s="6">
        <v>5.0</v>
      </c>
      <c r="H586" s="7">
        <v>9.84375</v>
      </c>
      <c r="I586" s="6">
        <v>44.0</v>
      </c>
      <c r="J586" s="6">
        <v>58.8</v>
      </c>
      <c r="K586" s="6">
        <v>585.0</v>
      </c>
      <c r="L586" s="6">
        <v>85.0</v>
      </c>
    </row>
    <row r="587">
      <c r="A587" s="5" t="s">
        <v>1756</v>
      </c>
      <c r="B587" s="5" t="s">
        <v>1757</v>
      </c>
      <c r="C587" s="5" t="s">
        <v>1758</v>
      </c>
      <c r="D587" s="5" t="s">
        <v>52</v>
      </c>
      <c r="E587" s="6" t="s">
        <v>16</v>
      </c>
      <c r="F587" s="6" t="s">
        <v>17</v>
      </c>
      <c r="G587" s="6">
        <v>4.0</v>
      </c>
      <c r="H587" s="7">
        <v>9.84375</v>
      </c>
      <c r="I587" s="6">
        <v>45.0</v>
      </c>
      <c r="J587" s="6">
        <v>58.8</v>
      </c>
      <c r="K587" s="6">
        <v>586.0</v>
      </c>
      <c r="L587" s="6">
        <v>53.0</v>
      </c>
    </row>
    <row r="588">
      <c r="A588" s="5" t="s">
        <v>1759</v>
      </c>
      <c r="B588" s="5" t="s">
        <v>1760</v>
      </c>
      <c r="C588" s="5" t="s">
        <v>1761</v>
      </c>
      <c r="D588" s="5" t="s">
        <v>118</v>
      </c>
      <c r="E588" s="6" t="s">
        <v>16</v>
      </c>
      <c r="F588" s="6" t="s">
        <v>17</v>
      </c>
      <c r="G588" s="6">
        <v>4.0</v>
      </c>
      <c r="H588" s="7">
        <v>11.8125</v>
      </c>
      <c r="I588" s="6">
        <v>43.0</v>
      </c>
      <c r="J588" s="6">
        <v>58.8</v>
      </c>
      <c r="K588" s="6">
        <v>587.0</v>
      </c>
      <c r="L588" s="6">
        <v>45.0</v>
      </c>
    </row>
    <row r="589">
      <c r="A589" s="5" t="s">
        <v>1762</v>
      </c>
      <c r="B589" s="5" t="s">
        <v>1763</v>
      </c>
      <c r="C589" s="5" t="s">
        <v>1687</v>
      </c>
      <c r="D589" s="5" t="s">
        <v>268</v>
      </c>
      <c r="E589" s="6" t="s">
        <v>16</v>
      </c>
      <c r="F589" s="6" t="s">
        <v>17</v>
      </c>
      <c r="G589" s="6">
        <v>3.0</v>
      </c>
      <c r="H589" s="7">
        <v>13.03125</v>
      </c>
      <c r="I589" s="6">
        <v>42.7</v>
      </c>
      <c r="J589" s="6">
        <v>58.7</v>
      </c>
      <c r="K589" s="6">
        <v>588.0</v>
      </c>
      <c r="L589" s="6">
        <v>36.0</v>
      </c>
    </row>
    <row r="590">
      <c r="A590" s="5" t="s">
        <v>1764</v>
      </c>
      <c r="B590" s="5" t="s">
        <v>1765</v>
      </c>
      <c r="C590" s="5" t="s">
        <v>1766</v>
      </c>
      <c r="D590" s="5" t="s">
        <v>38</v>
      </c>
      <c r="E590" s="6" t="s">
        <v>16</v>
      </c>
      <c r="F590" s="6" t="s">
        <v>16</v>
      </c>
      <c r="G590" s="6">
        <v>3.0</v>
      </c>
      <c r="H590" s="7">
        <v>12.46875</v>
      </c>
      <c r="I590" s="6">
        <v>43.0</v>
      </c>
      <c r="J590" s="6">
        <v>58.5</v>
      </c>
      <c r="K590" s="6">
        <v>589.0</v>
      </c>
      <c r="L590" s="6">
        <v>86.0</v>
      </c>
    </row>
    <row r="591">
      <c r="A591" s="5" t="s">
        <v>1767</v>
      </c>
      <c r="B591" s="5" t="s">
        <v>1768</v>
      </c>
      <c r="C591" s="5" t="s">
        <v>1769</v>
      </c>
      <c r="D591" s="5" t="s">
        <v>118</v>
      </c>
      <c r="E591" s="6" t="s">
        <v>16</v>
      </c>
      <c r="F591" s="6" t="s">
        <v>16</v>
      </c>
      <c r="G591" s="6">
        <v>11.0</v>
      </c>
      <c r="H591" s="7">
        <v>10.359375</v>
      </c>
      <c r="I591" s="6">
        <v>37.0</v>
      </c>
      <c r="J591" s="6">
        <v>58.4</v>
      </c>
      <c r="K591" s="6">
        <v>590.0</v>
      </c>
      <c r="L591" s="6">
        <v>46.0</v>
      </c>
    </row>
    <row r="592">
      <c r="A592" s="5" t="s">
        <v>1770</v>
      </c>
      <c r="B592" s="5" t="s">
        <v>1771</v>
      </c>
      <c r="C592" s="5" t="s">
        <v>586</v>
      </c>
      <c r="D592" s="5" t="s">
        <v>59</v>
      </c>
      <c r="E592" s="6" t="s">
        <v>16</v>
      </c>
      <c r="F592" s="6" t="s">
        <v>16</v>
      </c>
      <c r="G592" s="6">
        <v>6.0</v>
      </c>
      <c r="H592" s="7">
        <v>11.296875</v>
      </c>
      <c r="I592" s="6">
        <v>41.0</v>
      </c>
      <c r="J592" s="6">
        <v>58.3</v>
      </c>
      <c r="K592" s="6">
        <v>591.0</v>
      </c>
      <c r="L592" s="6">
        <v>53.0</v>
      </c>
    </row>
    <row r="593">
      <c r="A593" s="5" t="s">
        <v>1772</v>
      </c>
      <c r="B593" s="5" t="s">
        <v>1773</v>
      </c>
      <c r="C593" s="5" t="s">
        <v>1774</v>
      </c>
      <c r="D593" s="5" t="s">
        <v>59</v>
      </c>
      <c r="E593" s="6" t="s">
        <v>16</v>
      </c>
      <c r="F593" s="6" t="s">
        <v>16</v>
      </c>
      <c r="G593" s="6">
        <v>13.0</v>
      </c>
      <c r="H593" s="7">
        <v>11.15625</v>
      </c>
      <c r="I593" s="6">
        <v>34.0</v>
      </c>
      <c r="J593" s="6">
        <v>58.2</v>
      </c>
      <c r="K593" s="6">
        <v>592.0</v>
      </c>
      <c r="L593" s="6">
        <v>54.0</v>
      </c>
    </row>
    <row r="594">
      <c r="A594" s="5" t="s">
        <v>1775</v>
      </c>
      <c r="B594" s="5" t="s">
        <v>1776</v>
      </c>
      <c r="C594" s="5" t="s">
        <v>1777</v>
      </c>
      <c r="D594" s="5" t="s">
        <v>42</v>
      </c>
      <c r="E594" s="6" t="s">
        <v>16</v>
      </c>
      <c r="F594" s="6" t="s">
        <v>17</v>
      </c>
      <c r="G594" s="6">
        <v>4.0</v>
      </c>
      <c r="H594" s="7">
        <v>12.234375</v>
      </c>
      <c r="I594" s="6">
        <v>42.0</v>
      </c>
      <c r="J594" s="6">
        <v>58.2</v>
      </c>
      <c r="K594" s="6">
        <v>593.0</v>
      </c>
      <c r="L594" s="6">
        <v>42.0</v>
      </c>
    </row>
    <row r="595">
      <c r="A595" s="5" t="s">
        <v>1778</v>
      </c>
      <c r="B595" s="5" t="s">
        <v>1779</v>
      </c>
      <c r="C595" s="5" t="s">
        <v>1780</v>
      </c>
      <c r="D595" s="5" t="s">
        <v>222</v>
      </c>
      <c r="E595" s="6" t="s">
        <v>16</v>
      </c>
      <c r="F595" s="6" t="s">
        <v>16</v>
      </c>
      <c r="G595" s="6">
        <v>12.0</v>
      </c>
      <c r="H595" s="7">
        <v>13.125</v>
      </c>
      <c r="I595" s="6">
        <v>33.0</v>
      </c>
      <c r="J595" s="6">
        <v>58.1</v>
      </c>
      <c r="K595" s="6">
        <v>594.0</v>
      </c>
      <c r="L595" s="6">
        <v>41.0</v>
      </c>
    </row>
    <row r="596">
      <c r="A596" s="5" t="s">
        <v>1781</v>
      </c>
      <c r="B596" s="5" t="s">
        <v>1782</v>
      </c>
      <c r="C596" s="5" t="s">
        <v>1783</v>
      </c>
      <c r="D596" s="5" t="s">
        <v>268</v>
      </c>
      <c r="E596" s="6" t="s">
        <v>16</v>
      </c>
      <c r="F596" s="6" t="s">
        <v>16</v>
      </c>
      <c r="G596" s="6">
        <v>3.0</v>
      </c>
      <c r="H596" s="7">
        <v>13.125</v>
      </c>
      <c r="I596" s="6">
        <v>42.0</v>
      </c>
      <c r="J596" s="6">
        <v>58.1</v>
      </c>
      <c r="K596" s="6">
        <v>595.0</v>
      </c>
      <c r="L596" s="6">
        <v>37.0</v>
      </c>
    </row>
    <row r="597">
      <c r="A597" s="5" t="s">
        <v>1784</v>
      </c>
      <c r="B597" s="5" t="s">
        <v>1785</v>
      </c>
      <c r="C597" s="5" t="s">
        <v>1786</v>
      </c>
      <c r="D597" s="5" t="s">
        <v>52</v>
      </c>
      <c r="E597" s="6" t="s">
        <v>16</v>
      </c>
      <c r="F597" s="6" t="s">
        <v>17</v>
      </c>
      <c r="G597" s="6">
        <v>4.0</v>
      </c>
      <c r="H597" s="7">
        <v>15.0</v>
      </c>
      <c r="I597" s="6">
        <v>39.0</v>
      </c>
      <c r="J597" s="6">
        <v>58.0</v>
      </c>
      <c r="K597" s="6">
        <v>596.0</v>
      </c>
      <c r="L597" s="6">
        <v>54.0</v>
      </c>
    </row>
    <row r="598">
      <c r="A598" s="5" t="s">
        <v>1787</v>
      </c>
      <c r="B598" s="5" t="s">
        <v>1788</v>
      </c>
      <c r="C598" s="5" t="s">
        <v>1789</v>
      </c>
      <c r="D598" s="5" t="s">
        <v>52</v>
      </c>
      <c r="E598" s="6" t="s">
        <v>16</v>
      </c>
      <c r="F598" s="6" t="s">
        <v>16</v>
      </c>
      <c r="G598" s="6">
        <v>3.0</v>
      </c>
      <c r="H598" s="7">
        <v>15.0</v>
      </c>
      <c r="I598" s="6">
        <v>40.0</v>
      </c>
      <c r="J598" s="6">
        <v>58.0</v>
      </c>
      <c r="K598" s="6">
        <v>597.0</v>
      </c>
      <c r="L598" s="6">
        <v>55.0</v>
      </c>
    </row>
    <row r="599">
      <c r="A599" s="5" t="s">
        <v>1790</v>
      </c>
      <c r="B599" s="5" t="s">
        <v>1791</v>
      </c>
      <c r="C599" s="5" t="s">
        <v>1792</v>
      </c>
      <c r="D599" s="5" t="s">
        <v>21</v>
      </c>
      <c r="E599" s="6" t="s">
        <v>16</v>
      </c>
      <c r="F599" s="6" t="s">
        <v>17</v>
      </c>
      <c r="G599" s="6">
        <v>5.0</v>
      </c>
      <c r="H599" s="7">
        <v>10.63125</v>
      </c>
      <c r="I599" s="6">
        <v>42.3</v>
      </c>
      <c r="J599" s="6">
        <v>57.9</v>
      </c>
      <c r="K599" s="6">
        <v>598.0</v>
      </c>
      <c r="L599" s="6">
        <v>73.0</v>
      </c>
    </row>
    <row r="600">
      <c r="A600" s="5" t="s">
        <v>1793</v>
      </c>
      <c r="B600" s="5" t="s">
        <v>1794</v>
      </c>
      <c r="C600" s="5" t="s">
        <v>1795</v>
      </c>
      <c r="D600" s="5" t="s">
        <v>52</v>
      </c>
      <c r="E600" s="6" t="s">
        <v>16</v>
      </c>
      <c r="F600" s="6" t="s">
        <v>16</v>
      </c>
      <c r="G600" s="6">
        <v>13.0</v>
      </c>
      <c r="H600" s="7">
        <v>9.84375</v>
      </c>
      <c r="I600" s="6">
        <v>35.0</v>
      </c>
      <c r="J600" s="6">
        <v>57.8</v>
      </c>
      <c r="K600" s="6">
        <v>599.0</v>
      </c>
      <c r="L600" s="6">
        <v>56.0</v>
      </c>
    </row>
    <row r="601">
      <c r="A601" s="5" t="s">
        <v>1796</v>
      </c>
      <c r="B601" s="5" t="s">
        <v>1797</v>
      </c>
      <c r="C601" s="5" t="s">
        <v>1798</v>
      </c>
      <c r="D601" s="5" t="s">
        <v>38</v>
      </c>
      <c r="E601" s="6" t="s">
        <v>16</v>
      </c>
      <c r="F601" s="6" t="s">
        <v>16</v>
      </c>
      <c r="G601" s="6">
        <v>5.0</v>
      </c>
      <c r="H601" s="7">
        <v>12.84375</v>
      </c>
      <c r="I601" s="6">
        <v>40.0</v>
      </c>
      <c r="J601" s="6">
        <v>57.8</v>
      </c>
      <c r="K601" s="6">
        <v>600.0</v>
      </c>
      <c r="L601" s="6">
        <v>87.0</v>
      </c>
    </row>
    <row r="602">
      <c r="A602" s="5" t="s">
        <v>1799</v>
      </c>
      <c r="B602" s="5" t="s">
        <v>1800</v>
      </c>
      <c r="C602" s="5" t="s">
        <v>1801</v>
      </c>
      <c r="D602" s="5" t="s">
        <v>34</v>
      </c>
      <c r="E602" s="6" t="s">
        <v>16</v>
      </c>
      <c r="F602" s="6" t="s">
        <v>17</v>
      </c>
      <c r="G602" s="6">
        <v>5.0</v>
      </c>
      <c r="H602" s="7">
        <v>12.787500000000001</v>
      </c>
      <c r="I602" s="6">
        <v>40.0</v>
      </c>
      <c r="J602" s="6">
        <v>57.8</v>
      </c>
      <c r="K602" s="6">
        <v>601.0</v>
      </c>
      <c r="L602" s="6">
        <v>44.0</v>
      </c>
    </row>
    <row r="603">
      <c r="A603" s="5" t="s">
        <v>1802</v>
      </c>
      <c r="B603" s="5" t="s">
        <v>1803</v>
      </c>
      <c r="C603" s="5" t="s">
        <v>1804</v>
      </c>
      <c r="D603" s="5" t="s">
        <v>268</v>
      </c>
      <c r="E603" s="6" t="s">
        <v>16</v>
      </c>
      <c r="F603" s="6" t="s">
        <v>16</v>
      </c>
      <c r="G603" s="6">
        <v>13.0</v>
      </c>
      <c r="H603" s="7">
        <v>14.671875</v>
      </c>
      <c r="I603" s="6">
        <v>30.0</v>
      </c>
      <c r="J603" s="6">
        <v>57.7</v>
      </c>
      <c r="K603" s="6">
        <v>602.0</v>
      </c>
      <c r="L603" s="6">
        <v>38.0</v>
      </c>
    </row>
    <row r="604">
      <c r="A604" s="5" t="s">
        <v>1805</v>
      </c>
      <c r="B604" s="5" t="s">
        <v>1806</v>
      </c>
      <c r="C604" s="5" t="s">
        <v>1807</v>
      </c>
      <c r="D604" s="5" t="s">
        <v>268</v>
      </c>
      <c r="E604" s="6" t="s">
        <v>16</v>
      </c>
      <c r="F604" s="6" t="s">
        <v>17</v>
      </c>
      <c r="G604" s="6">
        <v>3.0</v>
      </c>
      <c r="H604" s="7">
        <v>13.375000000000002</v>
      </c>
      <c r="I604" s="6">
        <v>41.3</v>
      </c>
      <c r="J604" s="6">
        <v>57.7</v>
      </c>
      <c r="K604" s="6">
        <v>603.0</v>
      </c>
      <c r="L604" s="6">
        <v>39.0</v>
      </c>
    </row>
    <row r="605">
      <c r="A605" s="5" t="s">
        <v>1808</v>
      </c>
      <c r="B605" s="5" t="s">
        <v>1809</v>
      </c>
      <c r="C605" s="5" t="s">
        <v>1810</v>
      </c>
      <c r="D605" s="5" t="s">
        <v>177</v>
      </c>
      <c r="E605" s="6" t="s">
        <v>16</v>
      </c>
      <c r="F605" s="6" t="s">
        <v>16</v>
      </c>
      <c r="G605" s="6">
        <v>12.0</v>
      </c>
      <c r="H605" s="7">
        <v>9.5625</v>
      </c>
      <c r="I605" s="6">
        <v>36.0</v>
      </c>
      <c r="J605" s="6">
        <v>57.6</v>
      </c>
      <c r="K605" s="6">
        <v>604.0</v>
      </c>
      <c r="L605" s="6">
        <v>18.0</v>
      </c>
    </row>
    <row r="606">
      <c r="A606" s="5" t="s">
        <v>1811</v>
      </c>
      <c r="B606" s="5">
        <v>3.2895466E7</v>
      </c>
      <c r="C606" s="5" t="s">
        <v>1812</v>
      </c>
      <c r="D606" s="5" t="s">
        <v>38</v>
      </c>
      <c r="E606" s="6" t="s">
        <v>16</v>
      </c>
      <c r="F606" s="6" t="s">
        <v>17</v>
      </c>
      <c r="G606" s="6">
        <v>3.0</v>
      </c>
      <c r="H606" s="7">
        <v>13.59375</v>
      </c>
      <c r="I606" s="6">
        <v>41.0</v>
      </c>
      <c r="J606" s="6">
        <v>57.6</v>
      </c>
      <c r="K606" s="6">
        <v>605.0</v>
      </c>
      <c r="L606" s="6">
        <v>88.0</v>
      </c>
    </row>
    <row r="607">
      <c r="A607" s="5" t="s">
        <v>1813</v>
      </c>
      <c r="B607" s="5" t="s">
        <v>1814</v>
      </c>
      <c r="C607" s="5" t="s">
        <v>1815</v>
      </c>
      <c r="D607" s="5" t="s">
        <v>15</v>
      </c>
      <c r="E607" s="6" t="s">
        <v>16</v>
      </c>
      <c r="F607" s="6" t="s">
        <v>16</v>
      </c>
      <c r="G607" s="6">
        <v>5.0</v>
      </c>
      <c r="H607" s="7">
        <v>10.5</v>
      </c>
      <c r="I607" s="6">
        <v>42.0</v>
      </c>
      <c r="J607" s="6">
        <v>57.5</v>
      </c>
      <c r="K607" s="6">
        <v>606.0</v>
      </c>
      <c r="L607" s="6">
        <v>56.0</v>
      </c>
    </row>
    <row r="608">
      <c r="A608" s="5" t="s">
        <v>1816</v>
      </c>
      <c r="B608" s="5" t="s">
        <v>1817</v>
      </c>
      <c r="C608" s="5" t="s">
        <v>1818</v>
      </c>
      <c r="D608" s="5" t="s">
        <v>42</v>
      </c>
      <c r="E608" s="6" t="s">
        <v>16</v>
      </c>
      <c r="F608" s="6" t="s">
        <v>17</v>
      </c>
      <c r="G608" s="6">
        <v>4.0</v>
      </c>
      <c r="H608" s="7">
        <v>13.5</v>
      </c>
      <c r="I608" s="6">
        <v>40.0</v>
      </c>
      <c r="J608" s="6">
        <v>57.5</v>
      </c>
      <c r="K608" s="6">
        <v>607.0</v>
      </c>
      <c r="L608" s="6">
        <v>43.0</v>
      </c>
    </row>
    <row r="609">
      <c r="A609" s="5" t="s">
        <v>1819</v>
      </c>
      <c r="B609" s="5" t="s">
        <v>1820</v>
      </c>
      <c r="C609" s="5" t="s">
        <v>1821</v>
      </c>
      <c r="D609" s="5" t="s">
        <v>268</v>
      </c>
      <c r="E609" s="6" t="s">
        <v>16</v>
      </c>
      <c r="F609" s="6" t="s">
        <v>17</v>
      </c>
      <c r="G609" s="6">
        <v>3.0</v>
      </c>
      <c r="H609" s="7">
        <v>9.28125</v>
      </c>
      <c r="I609" s="6">
        <v>45.0</v>
      </c>
      <c r="J609" s="6">
        <v>57.3</v>
      </c>
      <c r="K609" s="6">
        <v>608.0</v>
      </c>
      <c r="L609" s="6">
        <v>40.0</v>
      </c>
    </row>
    <row r="610">
      <c r="A610" s="5" t="s">
        <v>1822</v>
      </c>
      <c r="B610" s="5" t="s">
        <v>1823</v>
      </c>
      <c r="C610" s="5" t="s">
        <v>1824</v>
      </c>
      <c r="D610" s="5" t="s">
        <v>118</v>
      </c>
      <c r="E610" s="6" t="s">
        <v>16</v>
      </c>
      <c r="F610" s="6" t="s">
        <v>17</v>
      </c>
      <c r="G610" s="6">
        <v>4.0</v>
      </c>
      <c r="H610" s="7">
        <v>14.0625</v>
      </c>
      <c r="I610" s="6">
        <v>39.0</v>
      </c>
      <c r="J610" s="6">
        <v>57.1</v>
      </c>
      <c r="K610" s="6">
        <v>609.0</v>
      </c>
      <c r="L610" s="6">
        <v>47.0</v>
      </c>
    </row>
    <row r="611">
      <c r="A611" s="5" t="s">
        <v>1825</v>
      </c>
      <c r="B611" s="5" t="s">
        <v>1826</v>
      </c>
      <c r="C611" s="5" t="s">
        <v>1827</v>
      </c>
      <c r="D611" s="5" t="s">
        <v>118</v>
      </c>
      <c r="E611" s="6" t="s">
        <v>16</v>
      </c>
      <c r="F611" s="6" t="s">
        <v>17</v>
      </c>
      <c r="G611" s="6">
        <v>13.0</v>
      </c>
      <c r="H611" s="7">
        <v>15.0</v>
      </c>
      <c r="I611" s="6">
        <v>29.0</v>
      </c>
      <c r="J611" s="6">
        <v>57.0</v>
      </c>
      <c r="K611" s="6">
        <v>610.0</v>
      </c>
      <c r="L611" s="6">
        <v>48.0</v>
      </c>
    </row>
    <row r="612">
      <c r="A612" s="5" t="s">
        <v>1828</v>
      </c>
      <c r="B612" s="5" t="s">
        <v>1829</v>
      </c>
      <c r="C612" s="5" t="s">
        <v>1830</v>
      </c>
      <c r="D612" s="5" t="s">
        <v>15</v>
      </c>
      <c r="E612" s="6" t="s">
        <v>16</v>
      </c>
      <c r="F612" s="6" t="s">
        <v>17</v>
      </c>
      <c r="G612" s="6">
        <v>7.0</v>
      </c>
      <c r="H612" s="7">
        <v>15.0</v>
      </c>
      <c r="I612" s="6">
        <v>35.0</v>
      </c>
      <c r="J612" s="6">
        <v>57.0</v>
      </c>
      <c r="K612" s="6">
        <v>611.0</v>
      </c>
      <c r="L612" s="6">
        <v>57.0</v>
      </c>
    </row>
    <row r="613">
      <c r="A613" s="5" t="s">
        <v>1831</v>
      </c>
      <c r="B613" s="5" t="s">
        <v>1832</v>
      </c>
      <c r="C613" s="5" t="s">
        <v>1833</v>
      </c>
      <c r="D613" s="5" t="s">
        <v>38</v>
      </c>
      <c r="E613" s="6" t="s">
        <v>16</v>
      </c>
      <c r="F613" s="6" t="s">
        <v>16</v>
      </c>
      <c r="G613" s="6">
        <v>5.0</v>
      </c>
      <c r="H613" s="7">
        <v>9.0</v>
      </c>
      <c r="I613" s="6">
        <v>43.0</v>
      </c>
      <c r="J613" s="6">
        <v>57.0</v>
      </c>
      <c r="K613" s="6">
        <v>612.0</v>
      </c>
      <c r="L613" s="6">
        <v>89.0</v>
      </c>
    </row>
    <row r="614">
      <c r="A614" s="5" t="s">
        <v>1834</v>
      </c>
      <c r="B614" s="5" t="s">
        <v>1835</v>
      </c>
      <c r="C614" s="5" t="s">
        <v>1836</v>
      </c>
      <c r="D614" s="5" t="s">
        <v>42</v>
      </c>
      <c r="E614" s="6" t="s">
        <v>16</v>
      </c>
      <c r="F614" s="6" t="s">
        <v>17</v>
      </c>
      <c r="G614" s="6">
        <v>4.0</v>
      </c>
      <c r="H614" s="7">
        <v>12.984375</v>
      </c>
      <c r="I614" s="6">
        <v>40.0</v>
      </c>
      <c r="J614" s="6">
        <v>57.0</v>
      </c>
      <c r="K614" s="6">
        <v>613.0</v>
      </c>
      <c r="L614" s="6">
        <v>44.0</v>
      </c>
    </row>
    <row r="615">
      <c r="A615" s="5" t="s">
        <v>1837</v>
      </c>
      <c r="B615" s="5" t="s">
        <v>1838</v>
      </c>
      <c r="C615" s="5" t="s">
        <v>1839</v>
      </c>
      <c r="D615" s="5" t="s">
        <v>52</v>
      </c>
      <c r="E615" s="6" t="s">
        <v>16</v>
      </c>
      <c r="F615" s="6" t="s">
        <v>17</v>
      </c>
      <c r="G615" s="6">
        <v>3.0</v>
      </c>
      <c r="H615" s="7">
        <v>12.0</v>
      </c>
      <c r="I615" s="6">
        <v>42.0</v>
      </c>
      <c r="J615" s="6">
        <v>57.0</v>
      </c>
      <c r="K615" s="6">
        <v>614.0</v>
      </c>
      <c r="L615" s="6">
        <v>57.0</v>
      </c>
    </row>
    <row r="616">
      <c r="A616" s="5" t="s">
        <v>1840</v>
      </c>
      <c r="B616" s="5" t="s">
        <v>1841</v>
      </c>
      <c r="C616" s="5" t="s">
        <v>1842</v>
      </c>
      <c r="D616" s="5" t="s">
        <v>21</v>
      </c>
      <c r="E616" s="6" t="s">
        <v>16</v>
      </c>
      <c r="F616" s="6" t="s">
        <v>16</v>
      </c>
      <c r="G616" s="6">
        <v>5.0</v>
      </c>
      <c r="H616" s="7">
        <v>12.16875</v>
      </c>
      <c r="I616" s="6">
        <v>39.8</v>
      </c>
      <c r="J616" s="6">
        <v>56.9</v>
      </c>
      <c r="K616" s="6">
        <v>615.0</v>
      </c>
      <c r="L616" s="6">
        <v>74.0</v>
      </c>
    </row>
    <row r="617">
      <c r="A617" s="5" t="s">
        <v>1843</v>
      </c>
      <c r="B617" s="5" t="s">
        <v>1844</v>
      </c>
      <c r="C617" s="5" t="s">
        <v>1845</v>
      </c>
      <c r="D617" s="5" t="s">
        <v>21</v>
      </c>
      <c r="E617" s="6" t="s">
        <v>16</v>
      </c>
      <c r="F617" s="6" t="s">
        <v>16</v>
      </c>
      <c r="G617" s="6">
        <v>5.0</v>
      </c>
      <c r="H617" s="7">
        <v>13.36875</v>
      </c>
      <c r="I617" s="6">
        <v>38.5</v>
      </c>
      <c r="J617" s="6">
        <v>56.9</v>
      </c>
      <c r="K617" s="6">
        <v>616.0</v>
      </c>
      <c r="L617" s="6">
        <v>75.0</v>
      </c>
    </row>
    <row r="618">
      <c r="A618" s="5" t="s">
        <v>1846</v>
      </c>
      <c r="B618" s="5" t="s">
        <v>1847</v>
      </c>
      <c r="C618" s="5" t="s">
        <v>1848</v>
      </c>
      <c r="D618" s="5" t="s">
        <v>34</v>
      </c>
      <c r="E618" s="6" t="s">
        <v>16</v>
      </c>
      <c r="F618" s="6" t="s">
        <v>16</v>
      </c>
      <c r="G618" s="6">
        <v>3.0</v>
      </c>
      <c r="H618" s="7">
        <v>13.9453125</v>
      </c>
      <c r="I618" s="6">
        <v>40.0</v>
      </c>
      <c r="J618" s="6">
        <v>56.9</v>
      </c>
      <c r="K618" s="6">
        <v>617.0</v>
      </c>
      <c r="L618" s="6">
        <v>45.0</v>
      </c>
    </row>
    <row r="619">
      <c r="A619" s="5" t="s">
        <v>1849</v>
      </c>
      <c r="B619" s="5" t="s">
        <v>1850</v>
      </c>
      <c r="C619" s="5" t="s">
        <v>1851</v>
      </c>
      <c r="D619" s="5" t="s">
        <v>177</v>
      </c>
      <c r="E619" s="6" t="s">
        <v>16</v>
      </c>
      <c r="F619" s="6" t="s">
        <v>17</v>
      </c>
      <c r="G619" s="6">
        <v>12.0</v>
      </c>
      <c r="H619" s="7">
        <v>5.765625</v>
      </c>
      <c r="I619" s="6">
        <v>39.0</v>
      </c>
      <c r="J619" s="6">
        <v>56.8</v>
      </c>
      <c r="K619" s="6">
        <v>618.0</v>
      </c>
      <c r="L619" s="6">
        <v>19.0</v>
      </c>
    </row>
    <row r="620">
      <c r="A620" s="5" t="s">
        <v>1852</v>
      </c>
      <c r="B620" s="5" t="s">
        <v>1853</v>
      </c>
      <c r="C620" s="5" t="s">
        <v>1854</v>
      </c>
      <c r="D620" s="5" t="s">
        <v>34</v>
      </c>
      <c r="E620" s="6" t="s">
        <v>17</v>
      </c>
      <c r="F620" s="6" t="s">
        <v>17</v>
      </c>
      <c r="G620" s="6">
        <v>3.0</v>
      </c>
      <c r="H620" s="7">
        <v>13.424999999999999</v>
      </c>
      <c r="I620" s="6">
        <v>40.0</v>
      </c>
      <c r="J620" s="6">
        <v>56.4</v>
      </c>
      <c r="K620" s="6">
        <v>619.0</v>
      </c>
      <c r="L620" s="6">
        <v>46.0</v>
      </c>
    </row>
    <row r="621">
      <c r="A621" s="5" t="s">
        <v>1855</v>
      </c>
      <c r="B621" s="5" t="s">
        <v>1856</v>
      </c>
      <c r="C621" s="5" t="s">
        <v>1857</v>
      </c>
      <c r="D621" s="5" t="s">
        <v>21</v>
      </c>
      <c r="E621" s="6" t="s">
        <v>16</v>
      </c>
      <c r="F621" s="6" t="s">
        <v>16</v>
      </c>
      <c r="G621" s="6">
        <v>5.0</v>
      </c>
      <c r="H621" s="7">
        <v>11.175</v>
      </c>
      <c r="I621" s="6">
        <v>40.0</v>
      </c>
      <c r="J621" s="6">
        <v>56.2</v>
      </c>
      <c r="K621" s="6">
        <v>620.0</v>
      </c>
      <c r="L621" s="6">
        <v>76.0</v>
      </c>
    </row>
    <row r="622">
      <c r="A622" s="5" t="s">
        <v>1858</v>
      </c>
      <c r="B622" s="5" t="s">
        <v>1859</v>
      </c>
      <c r="C622" s="5" t="s">
        <v>1860</v>
      </c>
      <c r="D622" s="5" t="s">
        <v>52</v>
      </c>
      <c r="E622" s="6" t="s">
        <v>16</v>
      </c>
      <c r="F622" s="6" t="s">
        <v>17</v>
      </c>
      <c r="G622" s="6">
        <v>4.0</v>
      </c>
      <c r="H622" s="7">
        <v>15.0</v>
      </c>
      <c r="I622" s="6">
        <v>37.0</v>
      </c>
      <c r="J622" s="6">
        <v>56.0</v>
      </c>
      <c r="K622" s="6">
        <v>621.0</v>
      </c>
      <c r="L622" s="6">
        <v>58.0</v>
      </c>
    </row>
    <row r="623">
      <c r="A623" s="5" t="s">
        <v>1861</v>
      </c>
      <c r="B623" s="5" t="s">
        <v>1862</v>
      </c>
      <c r="C623" s="5" t="s">
        <v>1863</v>
      </c>
      <c r="D623" s="5" t="s">
        <v>34</v>
      </c>
      <c r="E623" s="6" t="s">
        <v>16</v>
      </c>
      <c r="F623" s="6" t="s">
        <v>17</v>
      </c>
      <c r="G623" s="6">
        <v>15.0</v>
      </c>
      <c r="H623" s="7">
        <v>10.856250000000001</v>
      </c>
      <c r="I623" s="6">
        <v>30.0</v>
      </c>
      <c r="J623" s="6">
        <v>55.9</v>
      </c>
      <c r="K623" s="6">
        <v>622.0</v>
      </c>
      <c r="L623" s="6">
        <v>47.0</v>
      </c>
    </row>
    <row r="624">
      <c r="A624" s="5" t="s">
        <v>1864</v>
      </c>
      <c r="B624" s="5" t="s">
        <v>1865</v>
      </c>
      <c r="C624" s="5" t="s">
        <v>1866</v>
      </c>
      <c r="D624" s="5" t="s">
        <v>15</v>
      </c>
      <c r="E624" s="6" t="s">
        <v>16</v>
      </c>
      <c r="F624" s="6" t="s">
        <v>16</v>
      </c>
      <c r="G624" s="6">
        <v>12.0</v>
      </c>
      <c r="H624" s="7">
        <v>9.375</v>
      </c>
      <c r="I624" s="6">
        <v>34.0</v>
      </c>
      <c r="J624" s="6">
        <v>55.4</v>
      </c>
      <c r="K624" s="6">
        <v>623.0</v>
      </c>
      <c r="L624" s="6">
        <v>58.0</v>
      </c>
    </row>
    <row r="625">
      <c r="A625" s="5" t="s">
        <v>1867</v>
      </c>
      <c r="B625" s="5" t="s">
        <v>1868</v>
      </c>
      <c r="C625" s="5" t="s">
        <v>1869</v>
      </c>
      <c r="D625" s="5" t="s">
        <v>268</v>
      </c>
      <c r="E625" s="6" t="s">
        <v>16</v>
      </c>
      <c r="F625" s="6" t="s">
        <v>16</v>
      </c>
      <c r="G625" s="6">
        <v>5.0</v>
      </c>
      <c r="H625" s="7">
        <v>9.328125</v>
      </c>
      <c r="I625" s="6">
        <v>41.0</v>
      </c>
      <c r="J625" s="6">
        <v>55.3</v>
      </c>
      <c r="K625" s="6">
        <v>624.0</v>
      </c>
      <c r="L625" s="6">
        <v>41.0</v>
      </c>
    </row>
    <row r="626">
      <c r="A626" s="5" t="s">
        <v>1870</v>
      </c>
      <c r="B626" s="5" t="s">
        <v>1871</v>
      </c>
      <c r="C626" s="5" t="s">
        <v>1872</v>
      </c>
      <c r="D626" s="5" t="s">
        <v>38</v>
      </c>
      <c r="E626" s="6" t="s">
        <v>16</v>
      </c>
      <c r="F626" s="6" t="s">
        <v>16</v>
      </c>
      <c r="G626" s="6">
        <v>3.0</v>
      </c>
      <c r="H626" s="7">
        <v>12.0</v>
      </c>
      <c r="I626" s="6">
        <v>40.0</v>
      </c>
      <c r="J626" s="6">
        <v>55.0</v>
      </c>
      <c r="K626" s="6">
        <v>625.0</v>
      </c>
      <c r="L626" s="6">
        <v>90.0</v>
      </c>
    </row>
    <row r="627">
      <c r="A627" s="5" t="s">
        <v>1873</v>
      </c>
      <c r="B627" s="5" t="s">
        <v>1874</v>
      </c>
      <c r="C627" s="5" t="s">
        <v>1875</v>
      </c>
      <c r="D627" s="5" t="s">
        <v>38</v>
      </c>
      <c r="E627" s="6" t="s">
        <v>16</v>
      </c>
      <c r="F627" s="6" t="s">
        <v>17</v>
      </c>
      <c r="G627" s="6">
        <v>5.0</v>
      </c>
      <c r="H627" s="7">
        <v>12.0</v>
      </c>
      <c r="I627" s="6">
        <v>38.0</v>
      </c>
      <c r="J627" s="6">
        <v>55.0</v>
      </c>
      <c r="K627" s="6">
        <v>626.0</v>
      </c>
      <c r="L627" s="6">
        <v>91.0</v>
      </c>
    </row>
    <row r="628">
      <c r="A628" s="5" t="s">
        <v>1876</v>
      </c>
      <c r="B628" s="5" t="s">
        <v>1877</v>
      </c>
      <c r="C628" s="5" t="s">
        <v>1878</v>
      </c>
      <c r="D628" s="5" t="s">
        <v>34</v>
      </c>
      <c r="E628" s="6" t="s">
        <v>16</v>
      </c>
      <c r="F628" s="6" t="s">
        <v>17</v>
      </c>
      <c r="G628" s="6">
        <v>13.0</v>
      </c>
      <c r="H628" s="7">
        <v>11.7421875</v>
      </c>
      <c r="I628" s="6">
        <v>30.0</v>
      </c>
      <c r="J628" s="6">
        <v>54.7</v>
      </c>
      <c r="K628" s="6">
        <v>627.0</v>
      </c>
      <c r="L628" s="6">
        <v>48.0</v>
      </c>
    </row>
    <row r="629">
      <c r="A629" s="5" t="s">
        <v>1879</v>
      </c>
      <c r="B629" s="5" t="s">
        <v>1880</v>
      </c>
      <c r="C629" s="5" t="s">
        <v>1881</v>
      </c>
      <c r="D629" s="5" t="s">
        <v>34</v>
      </c>
      <c r="E629" s="6" t="s">
        <v>16</v>
      </c>
      <c r="F629" s="6" t="s">
        <v>16</v>
      </c>
      <c r="G629" s="6">
        <v>6.0</v>
      </c>
      <c r="H629" s="7">
        <v>11.64375</v>
      </c>
      <c r="I629" s="6">
        <v>37.0</v>
      </c>
      <c r="J629" s="6">
        <v>54.6</v>
      </c>
      <c r="K629" s="6">
        <v>628.0</v>
      </c>
      <c r="L629" s="6">
        <v>49.0</v>
      </c>
    </row>
    <row r="630">
      <c r="A630" s="5" t="s">
        <v>1882</v>
      </c>
      <c r="B630" s="5" t="s">
        <v>1883</v>
      </c>
      <c r="C630" s="5" t="s">
        <v>1860</v>
      </c>
      <c r="D630" s="5" t="s">
        <v>42</v>
      </c>
      <c r="E630" s="6" t="s">
        <v>17</v>
      </c>
      <c r="F630" s="6" t="s">
        <v>16</v>
      </c>
      <c r="G630" s="6">
        <v>6.0</v>
      </c>
      <c r="H630" s="7">
        <v>13.462499999999999</v>
      </c>
      <c r="I630" s="6">
        <v>35.0</v>
      </c>
      <c r="J630" s="6">
        <v>54.5</v>
      </c>
      <c r="K630" s="6">
        <v>629.0</v>
      </c>
      <c r="L630" s="6">
        <v>45.0</v>
      </c>
    </row>
    <row r="631">
      <c r="A631" s="5" t="s">
        <v>1884</v>
      </c>
      <c r="B631" s="5" t="s">
        <v>1885</v>
      </c>
      <c r="C631" s="5" t="s">
        <v>1886</v>
      </c>
      <c r="D631" s="5" t="s">
        <v>34</v>
      </c>
      <c r="E631" s="6" t="s">
        <v>16</v>
      </c>
      <c r="F631" s="6" t="s">
        <v>17</v>
      </c>
      <c r="G631" s="6">
        <v>5.0</v>
      </c>
      <c r="H631" s="7">
        <v>12.50625</v>
      </c>
      <c r="I631" s="6">
        <v>37.0</v>
      </c>
      <c r="J631" s="6">
        <v>54.5</v>
      </c>
      <c r="K631" s="6">
        <v>630.0</v>
      </c>
      <c r="L631" s="6">
        <v>50.0</v>
      </c>
    </row>
    <row r="632">
      <c r="A632" s="5" t="s">
        <v>1887</v>
      </c>
      <c r="B632" s="5" t="s">
        <v>1888</v>
      </c>
      <c r="C632" s="5" t="s">
        <v>1889</v>
      </c>
      <c r="D632" s="5" t="s">
        <v>177</v>
      </c>
      <c r="E632" s="6" t="s">
        <v>16</v>
      </c>
      <c r="F632" s="6" t="s">
        <v>16</v>
      </c>
      <c r="G632" s="6">
        <v>12.0</v>
      </c>
      <c r="H632" s="7">
        <v>9.421875</v>
      </c>
      <c r="I632" s="6">
        <v>33.0</v>
      </c>
      <c r="J632" s="6">
        <v>54.4</v>
      </c>
      <c r="K632" s="6">
        <v>631.0</v>
      </c>
      <c r="L632" s="6">
        <v>20.0</v>
      </c>
    </row>
    <row r="633">
      <c r="A633" s="5" t="s">
        <v>1890</v>
      </c>
      <c r="B633" s="5" t="s">
        <v>1891</v>
      </c>
      <c r="C633" s="5" t="s">
        <v>1892</v>
      </c>
      <c r="D633" s="5" t="s">
        <v>34</v>
      </c>
      <c r="E633" s="6" t="s">
        <v>16</v>
      </c>
      <c r="F633" s="6" t="s">
        <v>16</v>
      </c>
      <c r="G633" s="6">
        <v>12.0</v>
      </c>
      <c r="H633" s="7">
        <v>12.318750000000001</v>
      </c>
      <c r="I633" s="6">
        <v>30.0</v>
      </c>
      <c r="J633" s="6">
        <v>54.3</v>
      </c>
      <c r="K633" s="6">
        <v>632.0</v>
      </c>
      <c r="L633" s="6">
        <v>51.0</v>
      </c>
    </row>
    <row r="634">
      <c r="A634" s="5" t="s">
        <v>1893</v>
      </c>
      <c r="B634" s="5" t="s">
        <v>1894</v>
      </c>
      <c r="C634" s="5" t="s">
        <v>1895</v>
      </c>
      <c r="D634" s="5" t="s">
        <v>222</v>
      </c>
      <c r="E634" s="6" t="s">
        <v>16</v>
      </c>
      <c r="F634" s="6" t="s">
        <v>16</v>
      </c>
      <c r="G634" s="6">
        <v>3.0</v>
      </c>
      <c r="H634" s="7">
        <v>11.296875</v>
      </c>
      <c r="I634" s="6">
        <v>40.0</v>
      </c>
      <c r="J634" s="6">
        <v>54.3</v>
      </c>
      <c r="K634" s="6">
        <v>633.0</v>
      </c>
      <c r="L634" s="6">
        <v>42.0</v>
      </c>
    </row>
    <row r="635">
      <c r="A635" s="5" t="s">
        <v>1896</v>
      </c>
      <c r="B635" s="5" t="s">
        <v>1897</v>
      </c>
      <c r="C635" s="5" t="s">
        <v>1898</v>
      </c>
      <c r="D635" s="5" t="s">
        <v>222</v>
      </c>
      <c r="E635" s="6" t="s">
        <v>16</v>
      </c>
      <c r="F635" s="6" t="s">
        <v>17</v>
      </c>
      <c r="G635" s="6">
        <v>3.0</v>
      </c>
      <c r="H635" s="7">
        <v>13.5</v>
      </c>
      <c r="I635" s="6">
        <v>36.6</v>
      </c>
      <c r="J635" s="6">
        <v>53.1</v>
      </c>
      <c r="K635" s="6">
        <v>634.0</v>
      </c>
      <c r="L635" s="6">
        <v>43.0</v>
      </c>
    </row>
    <row r="636">
      <c r="A636" s="5" t="s">
        <v>1899</v>
      </c>
      <c r="B636" s="5" t="s">
        <v>1900</v>
      </c>
      <c r="C636" s="5" t="s">
        <v>1901</v>
      </c>
      <c r="D636" s="5" t="s">
        <v>268</v>
      </c>
      <c r="E636" s="6" t="s">
        <v>16</v>
      </c>
      <c r="F636" s="6" t="s">
        <v>16</v>
      </c>
      <c r="G636" s="6">
        <v>3.0</v>
      </c>
      <c r="H636" s="7">
        <v>11.687499999999998</v>
      </c>
      <c r="I636" s="6">
        <v>38.0</v>
      </c>
      <c r="J636" s="6">
        <v>52.7</v>
      </c>
      <c r="K636" s="6">
        <v>635.0</v>
      </c>
      <c r="L636" s="6">
        <v>42.0</v>
      </c>
    </row>
    <row r="637">
      <c r="A637" s="5" t="s">
        <v>1902</v>
      </c>
      <c r="B637" s="5" t="s">
        <v>1903</v>
      </c>
      <c r="C637" s="5" t="s">
        <v>1904</v>
      </c>
      <c r="D637" s="5" t="s">
        <v>15</v>
      </c>
      <c r="E637" s="6" t="s">
        <v>16</v>
      </c>
      <c r="F637" s="6" t="s">
        <v>16</v>
      </c>
      <c r="G637" s="6">
        <v>12.0</v>
      </c>
      <c r="H637" s="7">
        <v>12.0</v>
      </c>
      <c r="I637" s="6">
        <v>28.0</v>
      </c>
      <c r="J637" s="6">
        <v>52.0</v>
      </c>
      <c r="K637" s="6">
        <v>636.0</v>
      </c>
      <c r="L637" s="6">
        <v>59.0</v>
      </c>
    </row>
    <row r="638">
      <c r="A638" s="5" t="s">
        <v>1905</v>
      </c>
      <c r="B638" s="5" t="s">
        <v>1906</v>
      </c>
      <c r="C638" s="5" t="s">
        <v>1907</v>
      </c>
      <c r="D638" s="5" t="s">
        <v>75</v>
      </c>
      <c r="E638" s="6" t="s">
        <v>16</v>
      </c>
      <c r="F638" s="6" t="s">
        <v>17</v>
      </c>
      <c r="G638" s="6">
        <v>5.0</v>
      </c>
      <c r="H638" s="7">
        <v>7.996875000000001</v>
      </c>
      <c r="I638" s="6">
        <v>39.0</v>
      </c>
      <c r="J638" s="6">
        <v>52.0</v>
      </c>
      <c r="K638" s="6">
        <v>637.0</v>
      </c>
      <c r="L638" s="6">
        <v>50.0</v>
      </c>
    </row>
    <row r="639">
      <c r="A639" s="5" t="s">
        <v>1908</v>
      </c>
      <c r="B639" s="5" t="s">
        <v>1909</v>
      </c>
      <c r="C639" s="5" t="s">
        <v>1910</v>
      </c>
      <c r="D639" s="5" t="s">
        <v>34</v>
      </c>
      <c r="E639" s="6" t="s">
        <v>16</v>
      </c>
      <c r="F639" s="6" t="s">
        <v>16</v>
      </c>
      <c r="G639" s="6">
        <v>13.0</v>
      </c>
      <c r="H639" s="7">
        <v>10.4625</v>
      </c>
      <c r="I639" s="6">
        <v>28.0</v>
      </c>
      <c r="J639" s="6">
        <v>51.5</v>
      </c>
      <c r="K639" s="6">
        <v>638.0</v>
      </c>
      <c r="L639" s="6">
        <v>52.0</v>
      </c>
    </row>
    <row r="640">
      <c r="A640" s="5" t="s">
        <v>1911</v>
      </c>
      <c r="B640" s="5" t="s">
        <v>1912</v>
      </c>
      <c r="C640" s="5" t="s">
        <v>1913</v>
      </c>
      <c r="D640" s="5" t="s">
        <v>268</v>
      </c>
      <c r="E640" s="6" t="s">
        <v>17</v>
      </c>
      <c r="F640" s="6" t="s">
        <v>17</v>
      </c>
      <c r="G640" s="6">
        <v>3.0</v>
      </c>
      <c r="H640" s="7">
        <v>12.437500000000002</v>
      </c>
      <c r="I640" s="6">
        <v>36.0</v>
      </c>
      <c r="J640" s="6">
        <v>51.4</v>
      </c>
      <c r="K640" s="6">
        <v>639.0</v>
      </c>
      <c r="L640" s="6">
        <v>43.0</v>
      </c>
    </row>
    <row r="641">
      <c r="A641" s="5" t="s">
        <v>1914</v>
      </c>
      <c r="B641" s="5" t="s">
        <v>1915</v>
      </c>
      <c r="C641" s="5" t="s">
        <v>1916</v>
      </c>
      <c r="D641" s="5" t="s">
        <v>42</v>
      </c>
      <c r="E641" s="6" t="s">
        <v>16</v>
      </c>
      <c r="F641" s="6" t="s">
        <v>16</v>
      </c>
      <c r="G641" s="6">
        <v>4.0</v>
      </c>
      <c r="H641" s="7">
        <v>13.143749999999999</v>
      </c>
      <c r="I641" s="6">
        <v>33.0</v>
      </c>
      <c r="J641" s="6">
        <v>50.1</v>
      </c>
      <c r="K641" s="6">
        <v>640.0</v>
      </c>
      <c r="L641" s="6">
        <v>46.0</v>
      </c>
    </row>
    <row r="642">
      <c r="A642" s="5" t="s">
        <v>1917</v>
      </c>
      <c r="B642" s="5" t="s">
        <v>1918</v>
      </c>
      <c r="C642" s="5" t="s">
        <v>1919</v>
      </c>
      <c r="D642" s="5" t="s">
        <v>38</v>
      </c>
      <c r="E642" s="6" t="s">
        <v>16</v>
      </c>
      <c r="F642" s="6" t="s">
        <v>17</v>
      </c>
      <c r="G642" s="6">
        <v>3.0</v>
      </c>
      <c r="H642" s="7">
        <v>9.0</v>
      </c>
      <c r="I642" s="6">
        <v>38.0</v>
      </c>
      <c r="J642" s="6">
        <v>50.0</v>
      </c>
      <c r="K642" s="6">
        <v>641.0</v>
      </c>
      <c r="L642" s="6">
        <v>92.0</v>
      </c>
    </row>
    <row r="643">
      <c r="A643" s="5" t="s">
        <v>1920</v>
      </c>
      <c r="B643" s="5" t="s">
        <v>1921</v>
      </c>
      <c r="C643" s="5" t="s">
        <v>1922</v>
      </c>
      <c r="D643" s="5" t="s">
        <v>34</v>
      </c>
      <c r="E643" s="6" t="s">
        <v>16</v>
      </c>
      <c r="F643" s="6" t="s">
        <v>17</v>
      </c>
      <c r="G643" s="6">
        <v>3.0</v>
      </c>
      <c r="H643" s="7">
        <v>13.03125</v>
      </c>
      <c r="I643" s="6">
        <v>34.0</v>
      </c>
      <c r="J643" s="6">
        <v>50.0</v>
      </c>
      <c r="K643" s="6">
        <v>642.0</v>
      </c>
      <c r="L643" s="6">
        <v>53.0</v>
      </c>
    </row>
    <row r="644">
      <c r="A644" s="5" t="s">
        <v>1923</v>
      </c>
      <c r="B644" s="5" t="s">
        <v>1924</v>
      </c>
      <c r="C644" s="5" t="s">
        <v>1925</v>
      </c>
      <c r="D644" s="5" t="s">
        <v>268</v>
      </c>
      <c r="E644" s="6" t="s">
        <v>16</v>
      </c>
      <c r="F644" s="6" t="s">
        <v>16</v>
      </c>
      <c r="G644" s="6">
        <v>3.0</v>
      </c>
      <c r="H644" s="7">
        <v>11.8125</v>
      </c>
      <c r="I644" s="6">
        <v>35.0</v>
      </c>
      <c r="J644" s="6">
        <v>49.8</v>
      </c>
      <c r="K644" s="6">
        <v>643.0</v>
      </c>
      <c r="L644" s="6">
        <v>44.0</v>
      </c>
    </row>
    <row r="645">
      <c r="A645" s="5" t="s">
        <v>1926</v>
      </c>
      <c r="B645" s="5" t="s">
        <v>1927</v>
      </c>
      <c r="C645" s="5" t="s">
        <v>1928</v>
      </c>
      <c r="D645" s="5" t="s">
        <v>59</v>
      </c>
      <c r="E645" s="6" t="s">
        <v>16</v>
      </c>
      <c r="F645" s="6" t="s">
        <v>17</v>
      </c>
      <c r="G645" s="6">
        <v>3.0</v>
      </c>
      <c r="H645" s="7">
        <v>13.6875</v>
      </c>
      <c r="I645" s="6">
        <v>33.0</v>
      </c>
      <c r="J645" s="6">
        <v>49.7</v>
      </c>
      <c r="K645" s="6">
        <v>644.0</v>
      </c>
      <c r="L645" s="6">
        <v>55.0</v>
      </c>
    </row>
    <row r="646">
      <c r="A646" s="5" t="s">
        <v>1929</v>
      </c>
      <c r="B646" s="5" t="s">
        <v>1930</v>
      </c>
      <c r="C646" s="5" t="s">
        <v>1931</v>
      </c>
      <c r="D646" s="5" t="s">
        <v>222</v>
      </c>
      <c r="E646" s="6" t="s">
        <v>16</v>
      </c>
      <c r="F646" s="6" t="s">
        <v>16</v>
      </c>
      <c r="G646" s="6">
        <v>12.0</v>
      </c>
      <c r="H646" s="7">
        <v>12.1875</v>
      </c>
      <c r="I646" s="6">
        <v>25.0</v>
      </c>
      <c r="J646" s="6">
        <v>49.2</v>
      </c>
      <c r="K646" s="6">
        <v>645.0</v>
      </c>
      <c r="L646" s="6">
        <v>44.0</v>
      </c>
    </row>
    <row r="647">
      <c r="A647" s="5" t="s">
        <v>1932</v>
      </c>
      <c r="B647" s="5" t="s">
        <v>1933</v>
      </c>
      <c r="C647" s="5" t="s">
        <v>1934</v>
      </c>
      <c r="D647" s="5" t="s">
        <v>118</v>
      </c>
      <c r="E647" s="6" t="s">
        <v>16</v>
      </c>
      <c r="F647" s="6" t="s">
        <v>17</v>
      </c>
      <c r="G647" s="6">
        <v>14.0</v>
      </c>
      <c r="H647" s="7">
        <v>12.65625</v>
      </c>
      <c r="I647" s="6">
        <v>21.0</v>
      </c>
      <c r="J647" s="6">
        <v>47.7</v>
      </c>
      <c r="K647" s="6">
        <v>646.0</v>
      </c>
      <c r="L647" s="6">
        <v>49.0</v>
      </c>
    </row>
    <row r="648">
      <c r="A648" s="5" t="s">
        <v>1935</v>
      </c>
      <c r="B648" s="5" t="s">
        <v>1936</v>
      </c>
      <c r="C648" s="5" t="s">
        <v>1937</v>
      </c>
      <c r="D648" s="5" t="s">
        <v>118</v>
      </c>
      <c r="E648" s="6" t="s">
        <v>16</v>
      </c>
      <c r="F648" s="6" t="s">
        <v>16</v>
      </c>
      <c r="G648" s="6">
        <v>4.0</v>
      </c>
      <c r="H648" s="7">
        <v>14.0625</v>
      </c>
      <c r="I648" s="6">
        <v>26.0</v>
      </c>
      <c r="J648" s="6">
        <v>44.1</v>
      </c>
      <c r="K648" s="6">
        <v>647.0</v>
      </c>
      <c r="L648" s="6">
        <v>50.0</v>
      </c>
    </row>
    <row r="649">
      <c r="A649" s="5" t="s">
        <v>1938</v>
      </c>
      <c r="B649" s="5" t="s">
        <v>1939</v>
      </c>
      <c r="C649" s="5" t="s">
        <v>1940</v>
      </c>
      <c r="D649" s="5" t="s">
        <v>42</v>
      </c>
      <c r="E649" s="6" t="s">
        <v>16</v>
      </c>
      <c r="F649" s="6" t="s">
        <v>16</v>
      </c>
      <c r="G649" s="6">
        <v>4.0</v>
      </c>
      <c r="H649" s="7">
        <v>9.984375</v>
      </c>
      <c r="I649" s="6">
        <v>30.0</v>
      </c>
      <c r="J649" s="6">
        <v>44.0</v>
      </c>
      <c r="K649" s="6">
        <v>648.0</v>
      </c>
      <c r="L649" s="6">
        <v>47.0</v>
      </c>
    </row>
    <row r="650">
      <c r="A650" s="5" t="s">
        <v>1941</v>
      </c>
      <c r="B650" s="5" t="s">
        <v>1942</v>
      </c>
      <c r="C650" s="5" t="s">
        <v>1943</v>
      </c>
      <c r="D650" s="5" t="s">
        <v>38</v>
      </c>
      <c r="E650" s="6" t="s">
        <v>16</v>
      </c>
      <c r="F650" s="6" t="s">
        <v>16</v>
      </c>
      <c r="G650" s="6">
        <v>3.0</v>
      </c>
      <c r="H650" s="7">
        <v>14.15625</v>
      </c>
      <c r="I650" s="6">
        <v>25.0</v>
      </c>
      <c r="J650" s="6">
        <v>42.2</v>
      </c>
      <c r="K650" s="6">
        <v>649.0</v>
      </c>
      <c r="L650" s="6">
        <v>93.0</v>
      </c>
    </row>
    <row r="651">
      <c r="A651" s="5" t="s">
        <v>1944</v>
      </c>
      <c r="B651" s="5" t="s">
        <v>1945</v>
      </c>
      <c r="C651" s="5" t="s">
        <v>1946</v>
      </c>
      <c r="D651" s="5" t="s">
        <v>34</v>
      </c>
      <c r="E651" s="6" t="s">
        <v>16</v>
      </c>
      <c r="F651" s="6" t="s">
        <v>16</v>
      </c>
      <c r="G651" s="6">
        <v>3.0</v>
      </c>
      <c r="H651" s="7">
        <v>12.590625000000001</v>
      </c>
      <c r="I651" s="6">
        <v>26.0</v>
      </c>
      <c r="J651" s="6">
        <v>41.6</v>
      </c>
      <c r="K651" s="6">
        <v>650.0</v>
      </c>
      <c r="L651" s="6">
        <v>54.0</v>
      </c>
    </row>
    <row r="652">
      <c r="A652" s="5" t="s">
        <v>1947</v>
      </c>
      <c r="B652" s="5" t="s">
        <v>1948</v>
      </c>
      <c r="C652" s="5" t="s">
        <v>1949</v>
      </c>
      <c r="D652" s="5" t="s">
        <v>34</v>
      </c>
      <c r="E652" s="6" t="s">
        <v>16</v>
      </c>
      <c r="F652" s="6" t="s">
        <v>16</v>
      </c>
      <c r="G652" s="6">
        <v>3.0</v>
      </c>
      <c r="H652" s="7">
        <v>12.50625</v>
      </c>
      <c r="I652" s="6">
        <v>25.0</v>
      </c>
      <c r="J652" s="6">
        <v>40.5</v>
      </c>
      <c r="K652" s="6">
        <v>651.0</v>
      </c>
      <c r="L652" s="6">
        <v>55.0</v>
      </c>
    </row>
    <row r="653">
      <c r="A653" s="5" t="s">
        <v>1950</v>
      </c>
      <c r="B653" s="5" t="s">
        <v>1951</v>
      </c>
      <c r="C653" s="5" t="s">
        <v>1952</v>
      </c>
      <c r="D653" s="5" t="s">
        <v>38</v>
      </c>
      <c r="E653" s="6" t="s">
        <v>16</v>
      </c>
      <c r="F653" s="6" t="s">
        <v>16</v>
      </c>
      <c r="G653" s="6">
        <v>3.0</v>
      </c>
      <c r="H653" s="7">
        <v>12.0</v>
      </c>
      <c r="I653" s="6">
        <v>18.0</v>
      </c>
      <c r="J653" s="6">
        <v>33.0</v>
      </c>
      <c r="K653" s="6">
        <v>652.0</v>
      </c>
      <c r="L653" s="6">
        <v>94.0</v>
      </c>
    </row>
  </sheetData>
  <autoFilter ref="$A$1:$L$65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59" width="5.0"/>
  </cols>
  <sheetData>
    <row r="1" ht="146.25" customHeight="1">
      <c r="A1" s="10" t="s">
        <v>1953</v>
      </c>
      <c r="B1" s="10" t="s">
        <v>1954</v>
      </c>
      <c r="C1" s="10" t="s">
        <v>1955</v>
      </c>
      <c r="D1" s="10" t="s">
        <v>1956</v>
      </c>
      <c r="E1" s="10" t="s">
        <v>1957</v>
      </c>
      <c r="F1" s="10" t="s">
        <v>1958</v>
      </c>
      <c r="G1" s="10" t="s">
        <v>1959</v>
      </c>
      <c r="H1" s="10" t="s">
        <v>1960</v>
      </c>
      <c r="I1" s="10" t="s">
        <v>1961</v>
      </c>
      <c r="J1" s="10" t="s">
        <v>1962</v>
      </c>
      <c r="K1" s="10" t="s">
        <v>1963</v>
      </c>
      <c r="L1" s="10" t="s">
        <v>1964</v>
      </c>
      <c r="M1" s="10" t="s">
        <v>1965</v>
      </c>
      <c r="N1" s="10" t="s">
        <v>1966</v>
      </c>
      <c r="O1" s="10" t="s">
        <v>1967</v>
      </c>
      <c r="P1" s="10" t="s">
        <v>1968</v>
      </c>
      <c r="Q1" s="10" t="s">
        <v>1969</v>
      </c>
      <c r="R1" s="11" t="s">
        <v>1970</v>
      </c>
      <c r="S1" s="10" t="s">
        <v>1971</v>
      </c>
      <c r="T1" s="10" t="s">
        <v>1972</v>
      </c>
      <c r="U1" s="10" t="s">
        <v>1973</v>
      </c>
      <c r="V1" s="10" t="s">
        <v>1974</v>
      </c>
      <c r="W1" s="10" t="s">
        <v>1975</v>
      </c>
      <c r="X1" s="12" t="s">
        <v>1976</v>
      </c>
      <c r="Y1" s="13" t="s">
        <v>1977</v>
      </c>
      <c r="Z1" s="13" t="s">
        <v>1978</v>
      </c>
      <c r="AA1" s="10" t="s">
        <v>1979</v>
      </c>
      <c r="AB1" s="10" t="s">
        <v>1980</v>
      </c>
      <c r="AC1" s="10" t="s">
        <v>1981</v>
      </c>
      <c r="AD1" s="10" t="s">
        <v>1982</v>
      </c>
      <c r="AE1" s="10" t="s">
        <v>1983</v>
      </c>
      <c r="AF1" s="10" t="s">
        <v>1984</v>
      </c>
      <c r="AG1" s="10" t="s">
        <v>1985</v>
      </c>
      <c r="AH1" s="10" t="s">
        <v>1986</v>
      </c>
      <c r="AI1" s="14" t="s">
        <v>1987</v>
      </c>
      <c r="AJ1" s="10" t="s">
        <v>1988</v>
      </c>
      <c r="AK1" s="10" t="s">
        <v>1989</v>
      </c>
      <c r="AL1" s="10" t="s">
        <v>1990</v>
      </c>
      <c r="AM1" s="15" t="s">
        <v>1991</v>
      </c>
      <c r="AN1" s="10" t="s">
        <v>1992</v>
      </c>
      <c r="AO1" s="12" t="s">
        <v>1993</v>
      </c>
      <c r="AP1" s="10" t="s">
        <v>1994</v>
      </c>
      <c r="AQ1" s="16" t="s">
        <v>1995</v>
      </c>
      <c r="AR1" s="16" t="s">
        <v>1996</v>
      </c>
      <c r="AS1" s="10" t="s">
        <v>1997</v>
      </c>
      <c r="AT1" s="10" t="s">
        <v>1998</v>
      </c>
      <c r="AU1" s="10" t="s">
        <v>1999</v>
      </c>
      <c r="AV1" s="10" t="s">
        <v>2000</v>
      </c>
      <c r="AW1" s="10" t="s">
        <v>2001</v>
      </c>
      <c r="AX1" s="10" t="s">
        <v>2002</v>
      </c>
      <c r="AY1" s="10" t="s">
        <v>2003</v>
      </c>
      <c r="AZ1" s="10" t="s">
        <v>2004</v>
      </c>
      <c r="BA1" s="10" t="s">
        <v>2005</v>
      </c>
      <c r="BB1" s="10" t="s">
        <v>2006</v>
      </c>
      <c r="BC1" s="10" t="s">
        <v>2007</v>
      </c>
      <c r="BD1" s="10" t="s">
        <v>2008</v>
      </c>
      <c r="BE1" s="10" t="s">
        <v>2009</v>
      </c>
      <c r="BF1" s="10" t="s">
        <v>2010</v>
      </c>
      <c r="BG1" s="10" t="s">
        <v>2011</v>
      </c>
      <c r="BH1" s="10" t="s">
        <v>2012</v>
      </c>
      <c r="BI1" s="10" t="s">
        <v>2013</v>
      </c>
      <c r="BJ1" s="10" t="s">
        <v>2014</v>
      </c>
      <c r="BK1" s="10" t="s">
        <v>2015</v>
      </c>
      <c r="BL1" s="10" t="s">
        <v>2016</v>
      </c>
      <c r="BM1" s="10" t="s">
        <v>2017</v>
      </c>
      <c r="BN1" s="10" t="s">
        <v>2018</v>
      </c>
      <c r="BO1" s="10" t="s">
        <v>2019</v>
      </c>
      <c r="BP1" s="10" t="s">
        <v>2020</v>
      </c>
      <c r="BQ1" s="10" t="s">
        <v>2021</v>
      </c>
      <c r="BR1" s="10" t="s">
        <v>2022</v>
      </c>
      <c r="BS1" s="10" t="s">
        <v>2023</v>
      </c>
      <c r="BT1" s="17" t="s">
        <v>2024</v>
      </c>
      <c r="BU1" s="10" t="s">
        <v>2025</v>
      </c>
      <c r="BV1" s="10" t="s">
        <v>2026</v>
      </c>
      <c r="BW1" s="10" t="s">
        <v>2027</v>
      </c>
      <c r="BX1" s="10" t="s">
        <v>2028</v>
      </c>
      <c r="BY1" s="10" t="s">
        <v>2029</v>
      </c>
      <c r="BZ1" s="10" t="s">
        <v>2030</v>
      </c>
      <c r="CA1" s="10" t="s">
        <v>2031</v>
      </c>
      <c r="CB1" s="10" t="s">
        <v>2032</v>
      </c>
      <c r="CC1" s="10" t="s">
        <v>2033</v>
      </c>
      <c r="CD1" s="10" t="s">
        <v>2034</v>
      </c>
      <c r="CE1" s="10" t="s">
        <v>2035</v>
      </c>
      <c r="CF1" s="10" t="s">
        <v>2036</v>
      </c>
      <c r="CG1" s="10" t="s">
        <v>2037</v>
      </c>
      <c r="CH1" s="10" t="s">
        <v>2038</v>
      </c>
      <c r="CI1" s="10" t="s">
        <v>2039</v>
      </c>
      <c r="CJ1" s="10" t="s">
        <v>2040</v>
      </c>
      <c r="CK1" s="10" t="s">
        <v>2041</v>
      </c>
      <c r="CL1" s="10" t="s">
        <v>2042</v>
      </c>
      <c r="CM1" s="10" t="s">
        <v>2043</v>
      </c>
      <c r="CN1" s="10" t="s">
        <v>2044</v>
      </c>
      <c r="CO1" s="10" t="s">
        <v>2045</v>
      </c>
      <c r="CP1" s="10" t="s">
        <v>2046</v>
      </c>
      <c r="CQ1" s="10" t="s">
        <v>2047</v>
      </c>
      <c r="CR1" s="10" t="s">
        <v>2048</v>
      </c>
      <c r="CS1" s="10" t="s">
        <v>2049</v>
      </c>
      <c r="CT1" s="10" t="s">
        <v>2050</v>
      </c>
      <c r="CU1" s="10" t="s">
        <v>2051</v>
      </c>
      <c r="CV1" s="10" t="s">
        <v>2052</v>
      </c>
      <c r="CW1" s="10" t="s">
        <v>2053</v>
      </c>
      <c r="CX1" s="10" t="s">
        <v>2054</v>
      </c>
      <c r="CY1" s="10" t="s">
        <v>2055</v>
      </c>
      <c r="CZ1" s="10" t="s">
        <v>2056</v>
      </c>
      <c r="DA1" s="10" t="s">
        <v>2057</v>
      </c>
      <c r="DB1" s="10" t="s">
        <v>2058</v>
      </c>
      <c r="DC1" s="10" t="s">
        <v>2059</v>
      </c>
      <c r="DD1" s="10" t="s">
        <v>2060</v>
      </c>
      <c r="DE1" s="10" t="s">
        <v>2061</v>
      </c>
      <c r="DF1" s="10" t="s">
        <v>2062</v>
      </c>
      <c r="DG1" s="10" t="s">
        <v>2063</v>
      </c>
      <c r="DH1" s="10" t="s">
        <v>2064</v>
      </c>
      <c r="DI1" s="10" t="s">
        <v>2065</v>
      </c>
      <c r="DJ1" s="10" t="s">
        <v>2066</v>
      </c>
      <c r="DK1" s="10" t="s">
        <v>2067</v>
      </c>
      <c r="DL1" s="10" t="s">
        <v>2068</v>
      </c>
      <c r="DM1" s="10" t="s">
        <v>2069</v>
      </c>
      <c r="DN1" s="10" t="s">
        <v>2070</v>
      </c>
      <c r="DO1" s="10" t="s">
        <v>2071</v>
      </c>
      <c r="DP1" s="10" t="s">
        <v>2072</v>
      </c>
      <c r="DQ1" s="10" t="s">
        <v>2073</v>
      </c>
      <c r="DR1" s="10" t="s">
        <v>2074</v>
      </c>
      <c r="DS1" s="10" t="s">
        <v>2075</v>
      </c>
      <c r="DT1" s="10" t="s">
        <v>2076</v>
      </c>
      <c r="DU1" s="10" t="s">
        <v>2077</v>
      </c>
      <c r="DV1" s="10" t="s">
        <v>2078</v>
      </c>
      <c r="DW1" s="10" t="s">
        <v>2079</v>
      </c>
      <c r="DX1" s="10" t="s">
        <v>2080</v>
      </c>
      <c r="DY1" s="10" t="s">
        <v>2081</v>
      </c>
      <c r="DZ1" s="18" t="s">
        <v>2082</v>
      </c>
      <c r="EA1" s="10" t="s">
        <v>2083</v>
      </c>
      <c r="EB1" s="13" t="s">
        <v>2084</v>
      </c>
      <c r="EC1" s="10" t="s">
        <v>2085</v>
      </c>
      <c r="ED1" s="10" t="s">
        <v>2086</v>
      </c>
      <c r="EE1" s="10" t="s">
        <v>2087</v>
      </c>
      <c r="EF1" s="10" t="s">
        <v>2088</v>
      </c>
      <c r="EG1" s="10" t="s">
        <v>2089</v>
      </c>
      <c r="EH1" s="10" t="s">
        <v>2090</v>
      </c>
      <c r="EI1" s="10" t="s">
        <v>2091</v>
      </c>
      <c r="EJ1" s="10" t="s">
        <v>2092</v>
      </c>
      <c r="EK1" s="10" t="s">
        <v>2093</v>
      </c>
      <c r="EL1" s="10" t="s">
        <v>2094</v>
      </c>
      <c r="EM1" s="10" t="s">
        <v>2095</v>
      </c>
      <c r="EN1" s="10" t="s">
        <v>2096</v>
      </c>
      <c r="EO1" s="10" t="s">
        <v>2097</v>
      </c>
      <c r="EP1" s="10" t="s">
        <v>2098</v>
      </c>
      <c r="EQ1" s="10" t="s">
        <v>2099</v>
      </c>
      <c r="ER1" s="10" t="s">
        <v>2100</v>
      </c>
      <c r="ES1" s="10" t="s">
        <v>2101</v>
      </c>
      <c r="ET1" s="10" t="s">
        <v>2102</v>
      </c>
      <c r="EU1" s="10" t="s">
        <v>2103</v>
      </c>
      <c r="EV1" s="10" t="s">
        <v>2104</v>
      </c>
      <c r="EW1" s="10" t="s">
        <v>2105</v>
      </c>
      <c r="EX1" s="10" t="s">
        <v>2106</v>
      </c>
      <c r="EY1" s="10" t="s">
        <v>2107</v>
      </c>
      <c r="EZ1" s="10" t="s">
        <v>2108</v>
      </c>
      <c r="FA1" s="10" t="s">
        <v>2109</v>
      </c>
      <c r="FB1" s="10" t="s">
        <v>2110</v>
      </c>
      <c r="FC1" s="10" t="s">
        <v>2111</v>
      </c>
    </row>
    <row r="2">
      <c r="A2" s="19" t="s">
        <v>2112</v>
      </c>
      <c r="B2" s="19" t="s">
        <v>2113</v>
      </c>
      <c r="C2" s="19" t="s">
        <v>2113</v>
      </c>
      <c r="D2" s="19" t="s">
        <v>12</v>
      </c>
      <c r="E2" s="19" t="s">
        <v>12</v>
      </c>
      <c r="F2" s="19" t="s">
        <v>12</v>
      </c>
      <c r="G2" s="19" t="s">
        <v>12</v>
      </c>
      <c r="H2" s="19" t="s">
        <v>12</v>
      </c>
      <c r="I2" s="19" t="s">
        <v>14</v>
      </c>
      <c r="J2" s="19" t="s">
        <v>2114</v>
      </c>
      <c r="K2" s="19" t="s">
        <v>2115</v>
      </c>
      <c r="L2" s="20">
        <v>45446.0</v>
      </c>
      <c r="M2" s="20">
        <v>45447.0</v>
      </c>
      <c r="N2" s="20">
        <v>45447.0</v>
      </c>
      <c r="O2" s="19" t="s">
        <v>13</v>
      </c>
      <c r="P2" s="19">
        <v>0.0</v>
      </c>
      <c r="Q2" s="19">
        <v>23.0</v>
      </c>
      <c r="R2" s="19">
        <v>8548.0</v>
      </c>
      <c r="S2" s="20" t="s">
        <v>2116</v>
      </c>
      <c r="T2" s="20">
        <v>45461.0</v>
      </c>
      <c r="U2" s="19" t="s">
        <v>12</v>
      </c>
      <c r="V2" s="19"/>
      <c r="W2" s="19"/>
      <c r="X2" s="21">
        <v>20.0</v>
      </c>
      <c r="Y2" s="21">
        <v>10.0</v>
      </c>
      <c r="Z2" s="21">
        <v>5.0</v>
      </c>
      <c r="AA2" s="21">
        <v>3.0</v>
      </c>
      <c r="AB2" s="5">
        <v>38.0</v>
      </c>
      <c r="AC2" s="19">
        <v>5.0</v>
      </c>
      <c r="AD2" s="19">
        <v>5.0</v>
      </c>
      <c r="AE2" s="19">
        <v>5.0</v>
      </c>
      <c r="AF2" s="19">
        <v>5.0</v>
      </c>
      <c r="AG2" s="19">
        <v>5.0</v>
      </c>
      <c r="AH2" s="19">
        <v>5.0</v>
      </c>
      <c r="AI2" s="22">
        <v>15.0</v>
      </c>
      <c r="AJ2" s="19">
        <v>15.0</v>
      </c>
      <c r="AK2" s="19">
        <v>15.0</v>
      </c>
      <c r="AL2" s="19">
        <v>15.0</v>
      </c>
      <c r="AM2" s="19">
        <v>45.0</v>
      </c>
      <c r="AN2" s="19">
        <v>60.0</v>
      </c>
      <c r="AO2" s="19">
        <v>98.0</v>
      </c>
      <c r="AP2" s="19">
        <v>9.0</v>
      </c>
      <c r="AQ2" s="23">
        <v>1.0</v>
      </c>
      <c r="AR2" s="23">
        <v>1.0</v>
      </c>
      <c r="AS2" s="22"/>
      <c r="AT2" s="19" t="s">
        <v>2117</v>
      </c>
      <c r="AU2" s="19" t="s">
        <v>2118</v>
      </c>
      <c r="AV2" s="19" t="s">
        <v>2119</v>
      </c>
      <c r="AW2" s="19" t="s">
        <v>2120</v>
      </c>
      <c r="AX2" s="20">
        <v>36913.0</v>
      </c>
      <c r="AY2" s="19" t="s">
        <v>2121</v>
      </c>
      <c r="AZ2" s="19" t="s">
        <v>2122</v>
      </c>
      <c r="BA2" s="19" t="s">
        <v>2123</v>
      </c>
      <c r="BB2" s="19" t="s">
        <v>2120</v>
      </c>
      <c r="BC2" s="19" t="s">
        <v>2124</v>
      </c>
      <c r="BD2" s="19" t="s">
        <v>2125</v>
      </c>
      <c r="BE2" s="19" t="s">
        <v>2126</v>
      </c>
      <c r="BF2" s="19">
        <v>1.1988443014E10</v>
      </c>
      <c r="BG2" s="19" t="s">
        <v>2127</v>
      </c>
      <c r="BH2" s="19" t="s">
        <v>2128</v>
      </c>
      <c r="BI2" s="19"/>
      <c r="BJ2" s="19" t="s">
        <v>2129</v>
      </c>
      <c r="BK2" s="19" t="s">
        <v>17</v>
      </c>
      <c r="BL2" s="19"/>
      <c r="BM2" s="19" t="s">
        <v>2130</v>
      </c>
      <c r="BN2" s="19" t="s">
        <v>2131</v>
      </c>
      <c r="BO2" s="19" t="s">
        <v>2132</v>
      </c>
      <c r="BP2" s="19"/>
      <c r="BQ2" s="19" t="s">
        <v>2133</v>
      </c>
      <c r="BR2" s="19" t="s">
        <v>2133</v>
      </c>
      <c r="BS2" s="19" t="s">
        <v>2134</v>
      </c>
      <c r="BT2" s="19" t="s">
        <v>15</v>
      </c>
      <c r="BU2" s="19" t="s">
        <v>2135</v>
      </c>
      <c r="BV2" s="19" t="s">
        <v>2136</v>
      </c>
      <c r="BW2" s="19"/>
      <c r="BX2" s="19"/>
      <c r="BY2" s="19" t="s">
        <v>2113</v>
      </c>
      <c r="BZ2" s="19"/>
      <c r="CA2" s="19"/>
      <c r="CB2" s="19"/>
      <c r="CC2" s="19"/>
      <c r="CD2" s="19" t="s">
        <v>2137</v>
      </c>
      <c r="CE2" s="19" t="s">
        <v>16</v>
      </c>
      <c r="CF2" s="19"/>
      <c r="CG2" s="19"/>
      <c r="CH2" s="19" t="s">
        <v>17</v>
      </c>
      <c r="CI2" s="21">
        <v>3.0</v>
      </c>
      <c r="CJ2" s="19" t="s">
        <v>17</v>
      </c>
      <c r="CK2" s="19"/>
      <c r="CL2" s="19"/>
      <c r="CM2" s="19" t="s">
        <v>2138</v>
      </c>
      <c r="CN2" s="19" t="s">
        <v>2139</v>
      </c>
      <c r="CO2" s="19"/>
      <c r="CP2" s="19" t="s">
        <v>2140</v>
      </c>
      <c r="CQ2" s="19"/>
      <c r="CR2" s="19"/>
      <c r="CS2" s="19"/>
      <c r="CT2" s="19" t="s">
        <v>2113</v>
      </c>
      <c r="CU2" s="19" t="s">
        <v>2113</v>
      </c>
      <c r="CV2" s="19" t="s">
        <v>2141</v>
      </c>
      <c r="CW2" s="19" t="s">
        <v>2113</v>
      </c>
      <c r="CX2" s="19" t="s">
        <v>2113</v>
      </c>
      <c r="CY2" s="19" t="s">
        <v>2113</v>
      </c>
      <c r="CZ2" s="19" t="s">
        <v>2113</v>
      </c>
      <c r="DA2" s="19" t="s">
        <v>16</v>
      </c>
      <c r="DB2" s="19" t="s">
        <v>17</v>
      </c>
      <c r="DC2" s="19" t="s">
        <v>2142</v>
      </c>
      <c r="DD2" s="19" t="s">
        <v>2113</v>
      </c>
      <c r="DE2" s="19" t="s">
        <v>2113</v>
      </c>
      <c r="DF2" s="19" t="s">
        <v>2143</v>
      </c>
      <c r="DG2" s="19" t="s">
        <v>2142</v>
      </c>
      <c r="DH2" s="19" t="s">
        <v>2144</v>
      </c>
      <c r="DI2" s="24">
        <v>45533.0</v>
      </c>
      <c r="DJ2" s="19" t="s">
        <v>2133</v>
      </c>
      <c r="DK2" s="19" t="s">
        <v>2145</v>
      </c>
      <c r="DL2" s="19" t="s">
        <v>2146</v>
      </c>
      <c r="DM2" s="19" t="s">
        <v>2147</v>
      </c>
      <c r="DN2" s="19">
        <v>17.0</v>
      </c>
      <c r="DO2" s="19">
        <v>17.0</v>
      </c>
      <c r="DP2" s="19" t="s">
        <v>2148</v>
      </c>
      <c r="DQ2" s="19" t="s">
        <v>2149</v>
      </c>
      <c r="DR2" s="19" t="s">
        <v>2150</v>
      </c>
      <c r="DS2" s="19" t="s">
        <v>2151</v>
      </c>
      <c r="DT2" s="19" t="s">
        <v>2152</v>
      </c>
      <c r="DU2" s="19"/>
      <c r="DV2" s="19"/>
      <c r="DW2" s="19" t="s">
        <v>2153</v>
      </c>
      <c r="DX2" s="19">
        <v>12.0</v>
      </c>
      <c r="DY2" s="19">
        <v>10.0</v>
      </c>
      <c r="DZ2" s="19">
        <v>0.0</v>
      </c>
      <c r="EA2" s="19">
        <v>10.0</v>
      </c>
      <c r="EB2" s="19">
        <v>3.0</v>
      </c>
      <c r="EC2" s="19">
        <v>20.0</v>
      </c>
      <c r="ED2" s="19" t="s">
        <v>2133</v>
      </c>
      <c r="EE2" s="24">
        <v>45533.0</v>
      </c>
      <c r="EF2" s="19" t="s">
        <v>2133</v>
      </c>
      <c r="EG2" s="19" t="s">
        <v>2145</v>
      </c>
      <c r="EH2" s="19" t="s">
        <v>2146</v>
      </c>
      <c r="EI2" s="22">
        <v>15.0</v>
      </c>
      <c r="EJ2" s="19">
        <v>45.0</v>
      </c>
      <c r="EK2" s="19" t="s">
        <v>2113</v>
      </c>
      <c r="EL2" s="19" t="s">
        <v>2117</v>
      </c>
      <c r="EM2" s="19" t="s">
        <v>2118</v>
      </c>
      <c r="EN2" s="19" t="s">
        <v>14</v>
      </c>
      <c r="EO2" s="19" t="s">
        <v>2121</v>
      </c>
      <c r="EP2" s="19" t="s">
        <v>2122</v>
      </c>
      <c r="EQ2" s="19" t="s">
        <v>2139</v>
      </c>
      <c r="ER2" s="19"/>
      <c r="ES2" s="19" t="s">
        <v>14</v>
      </c>
      <c r="ET2" s="19" t="s">
        <v>14</v>
      </c>
      <c r="EU2" s="19" t="s">
        <v>2115</v>
      </c>
      <c r="EV2" s="19">
        <v>8548.0</v>
      </c>
      <c r="EW2" s="19" t="s">
        <v>16</v>
      </c>
      <c r="EX2" s="19">
        <v>5.0</v>
      </c>
      <c r="EY2" s="25" t="s">
        <v>13</v>
      </c>
      <c r="EZ2" s="19" t="s">
        <v>2154</v>
      </c>
      <c r="FA2" s="5" t="s">
        <v>2155</v>
      </c>
      <c r="FB2" s="26" t="s">
        <v>2156</v>
      </c>
      <c r="FC2" s="26"/>
    </row>
    <row r="3">
      <c r="A3" s="19" t="s">
        <v>2112</v>
      </c>
      <c r="B3" s="19" t="s">
        <v>2113</v>
      </c>
      <c r="C3" s="19" t="s">
        <v>2113</v>
      </c>
      <c r="D3" s="19" t="s">
        <v>18</v>
      </c>
      <c r="E3" s="19" t="s">
        <v>2157</v>
      </c>
      <c r="F3" s="19" t="s">
        <v>2158</v>
      </c>
      <c r="G3" s="19" t="s">
        <v>2159</v>
      </c>
      <c r="H3" s="19" t="s">
        <v>18</v>
      </c>
      <c r="I3" s="19" t="s">
        <v>20</v>
      </c>
      <c r="J3" s="19" t="s">
        <v>2160</v>
      </c>
      <c r="K3" s="19" t="s">
        <v>2161</v>
      </c>
      <c r="L3" s="20">
        <v>45400.0</v>
      </c>
      <c r="M3" s="20">
        <v>45411.0</v>
      </c>
      <c r="N3" s="20">
        <v>45411.0</v>
      </c>
      <c r="O3" s="19" t="s">
        <v>19</v>
      </c>
      <c r="P3" s="19">
        <v>0.0</v>
      </c>
      <c r="Q3" s="19">
        <v>20.0</v>
      </c>
      <c r="R3" s="19">
        <v>7305.0</v>
      </c>
      <c r="S3" s="20" t="s">
        <v>2162</v>
      </c>
      <c r="T3" s="20">
        <v>45461.0</v>
      </c>
      <c r="U3" s="19" t="s">
        <v>2158</v>
      </c>
      <c r="V3" s="19"/>
      <c r="W3" s="19"/>
      <c r="X3" s="21">
        <v>20.0</v>
      </c>
      <c r="Y3" s="21">
        <v>10.0</v>
      </c>
      <c r="Z3" s="21">
        <v>5.0</v>
      </c>
      <c r="AA3" s="21">
        <v>3.0</v>
      </c>
      <c r="AB3" s="5">
        <v>38.0</v>
      </c>
      <c r="AC3" s="19">
        <v>4.8</v>
      </c>
      <c r="AD3" s="19">
        <v>4.8</v>
      </c>
      <c r="AE3" s="19">
        <v>4.8</v>
      </c>
      <c r="AF3" s="19">
        <v>4.8</v>
      </c>
      <c r="AG3" s="19">
        <v>4.4</v>
      </c>
      <c r="AH3" s="19">
        <v>4.8</v>
      </c>
      <c r="AI3" s="22">
        <v>14.25</v>
      </c>
      <c r="AJ3" s="19">
        <v>15.0</v>
      </c>
      <c r="AK3" s="19">
        <v>15.0</v>
      </c>
      <c r="AL3" s="19">
        <v>15.0</v>
      </c>
      <c r="AM3" s="19">
        <v>45.0</v>
      </c>
      <c r="AN3" s="19">
        <v>59.3</v>
      </c>
      <c r="AO3" s="19">
        <v>97.3</v>
      </c>
      <c r="AP3" s="19">
        <v>14.0</v>
      </c>
      <c r="AQ3" s="23">
        <v>2.0</v>
      </c>
      <c r="AR3" s="23">
        <v>1.0</v>
      </c>
      <c r="AS3" s="22"/>
      <c r="AT3" s="19" t="s">
        <v>2163</v>
      </c>
      <c r="AU3" s="19" t="s">
        <v>2164</v>
      </c>
      <c r="AV3" s="19" t="s">
        <v>2165</v>
      </c>
      <c r="AW3" s="19" t="s">
        <v>2166</v>
      </c>
      <c r="AX3" s="20">
        <v>38156.0</v>
      </c>
      <c r="AY3" s="19" t="s">
        <v>2167</v>
      </c>
      <c r="AZ3" s="19" t="s">
        <v>2122</v>
      </c>
      <c r="BA3" s="19" t="s">
        <v>2168</v>
      </c>
      <c r="BB3" s="19" t="s">
        <v>2169</v>
      </c>
      <c r="BC3" s="19" t="s">
        <v>2170</v>
      </c>
      <c r="BD3" s="19" t="s">
        <v>2171</v>
      </c>
      <c r="BE3" s="19"/>
      <c r="BF3" s="19"/>
      <c r="BG3" s="19" t="s">
        <v>2127</v>
      </c>
      <c r="BH3" s="19" t="s">
        <v>2128</v>
      </c>
      <c r="BI3" s="19"/>
      <c r="BJ3" s="19" t="s">
        <v>2128</v>
      </c>
      <c r="BK3" s="19" t="s">
        <v>17</v>
      </c>
      <c r="BL3" s="19" t="s">
        <v>2113</v>
      </c>
      <c r="BM3" s="19" t="s">
        <v>2130</v>
      </c>
      <c r="BN3" s="19" t="s">
        <v>2172</v>
      </c>
      <c r="BO3" s="19" t="s">
        <v>2132</v>
      </c>
      <c r="BP3" s="19" t="s">
        <v>2173</v>
      </c>
      <c r="BQ3" s="19" t="s">
        <v>2174</v>
      </c>
      <c r="BR3" s="19" t="s">
        <v>2174</v>
      </c>
      <c r="BS3" s="19" t="s">
        <v>2134</v>
      </c>
      <c r="BT3" s="19" t="s">
        <v>21</v>
      </c>
      <c r="BU3" s="19"/>
      <c r="BV3" s="19" t="s">
        <v>2175</v>
      </c>
      <c r="BW3" s="19"/>
      <c r="BX3" s="19"/>
      <c r="BY3" s="19" t="s">
        <v>2113</v>
      </c>
      <c r="BZ3" s="19" t="s">
        <v>2113</v>
      </c>
      <c r="CA3" s="19"/>
      <c r="CB3" s="19" t="s">
        <v>2113</v>
      </c>
      <c r="CC3" s="19"/>
      <c r="CD3" s="19" t="s">
        <v>2137</v>
      </c>
      <c r="CE3" s="19" t="s">
        <v>16</v>
      </c>
      <c r="CF3" s="19"/>
      <c r="CG3" s="19"/>
      <c r="CH3" s="19" t="s">
        <v>17</v>
      </c>
      <c r="CI3" s="21">
        <v>3.0</v>
      </c>
      <c r="CJ3" s="19" t="s">
        <v>17</v>
      </c>
      <c r="CK3" s="19"/>
      <c r="CL3" s="19"/>
      <c r="CM3" s="19" t="s">
        <v>2138</v>
      </c>
      <c r="CN3" s="19" t="s">
        <v>2176</v>
      </c>
      <c r="CO3" s="19" t="s">
        <v>2177</v>
      </c>
      <c r="CP3" s="19" t="s">
        <v>2178</v>
      </c>
      <c r="CQ3" s="19"/>
      <c r="CR3" s="19"/>
      <c r="CS3" s="19"/>
      <c r="CT3" s="19" t="s">
        <v>2113</v>
      </c>
      <c r="CU3" s="19" t="s">
        <v>2113</v>
      </c>
      <c r="CV3" s="19" t="s">
        <v>2179</v>
      </c>
      <c r="CW3" s="19" t="s">
        <v>2113</v>
      </c>
      <c r="CX3" s="19" t="s">
        <v>2113</v>
      </c>
      <c r="CY3" s="19"/>
      <c r="CZ3" s="19"/>
      <c r="DA3" s="19" t="s">
        <v>16</v>
      </c>
      <c r="DB3" s="19" t="s">
        <v>17</v>
      </c>
      <c r="DC3" s="19" t="s">
        <v>2180</v>
      </c>
      <c r="DD3" s="19" t="s">
        <v>2113</v>
      </c>
      <c r="DE3" s="19" t="s">
        <v>2113</v>
      </c>
      <c r="DF3" s="19" t="s">
        <v>2181</v>
      </c>
      <c r="DG3" s="19" t="s">
        <v>2182</v>
      </c>
      <c r="DH3" s="19" t="s">
        <v>2144</v>
      </c>
      <c r="DI3" s="24">
        <v>45517.0</v>
      </c>
      <c r="DJ3" s="19" t="s">
        <v>2174</v>
      </c>
      <c r="DK3" s="19" t="s">
        <v>2145</v>
      </c>
      <c r="DL3" s="19" t="s">
        <v>2183</v>
      </c>
      <c r="DM3" s="19" t="s">
        <v>2184</v>
      </c>
      <c r="DN3" s="19">
        <v>1.0</v>
      </c>
      <c r="DO3" s="19">
        <v>1.0</v>
      </c>
      <c r="DP3" s="19"/>
      <c r="DQ3" s="19"/>
      <c r="DR3" s="19"/>
      <c r="DS3" s="19" t="s">
        <v>2185</v>
      </c>
      <c r="DT3" s="19" t="s">
        <v>2186</v>
      </c>
      <c r="DU3" s="19" t="s">
        <v>2187</v>
      </c>
      <c r="DV3" s="19"/>
      <c r="DW3" s="19" t="s">
        <v>2188</v>
      </c>
      <c r="DX3" s="19">
        <v>5.0</v>
      </c>
      <c r="DY3" s="19">
        <v>10.0</v>
      </c>
      <c r="DZ3" s="19">
        <v>0.0</v>
      </c>
      <c r="EA3" s="19">
        <v>10.0</v>
      </c>
      <c r="EB3" s="19">
        <v>3.0</v>
      </c>
      <c r="EC3" s="19">
        <v>20.0</v>
      </c>
      <c r="ED3" s="19" t="s">
        <v>2174</v>
      </c>
      <c r="EE3" s="24">
        <v>45517.0</v>
      </c>
      <c r="EF3" s="19" t="s">
        <v>2174</v>
      </c>
      <c r="EG3" s="19" t="s">
        <v>2145</v>
      </c>
      <c r="EH3" s="19" t="s">
        <v>2183</v>
      </c>
      <c r="EI3" s="22">
        <v>14.25</v>
      </c>
      <c r="EJ3" s="19">
        <v>45.0</v>
      </c>
      <c r="EK3" s="19" t="s">
        <v>2113</v>
      </c>
      <c r="EL3" s="19" t="s">
        <v>2163</v>
      </c>
      <c r="EM3" s="19" t="s">
        <v>2164</v>
      </c>
      <c r="EN3" s="19" t="s">
        <v>20</v>
      </c>
      <c r="EO3" s="19" t="s">
        <v>2167</v>
      </c>
      <c r="EP3" s="19" t="s">
        <v>2122</v>
      </c>
      <c r="EQ3" s="19" t="s">
        <v>2176</v>
      </c>
      <c r="ER3" s="19" t="s">
        <v>2177</v>
      </c>
      <c r="ES3" s="19" t="s">
        <v>20</v>
      </c>
      <c r="ET3" s="19" t="s">
        <v>20</v>
      </c>
      <c r="EU3" s="19" t="s">
        <v>2161</v>
      </c>
      <c r="EV3" s="19">
        <v>7305.0</v>
      </c>
      <c r="EW3" s="19" t="s">
        <v>16</v>
      </c>
      <c r="EX3" s="19">
        <v>5.0</v>
      </c>
      <c r="EY3" s="25" t="s">
        <v>19</v>
      </c>
      <c r="EZ3" s="19" t="s">
        <v>2154</v>
      </c>
      <c r="FA3" s="5" t="s">
        <v>2189</v>
      </c>
      <c r="FB3" s="26" t="s">
        <v>2156</v>
      </c>
      <c r="FC3" s="26"/>
    </row>
    <row r="4">
      <c r="A4" s="19" t="s">
        <v>2112</v>
      </c>
      <c r="B4" s="19" t="s">
        <v>2113</v>
      </c>
      <c r="C4" s="19" t="s">
        <v>2113</v>
      </c>
      <c r="D4" s="19" t="s">
        <v>22</v>
      </c>
      <c r="E4" s="19" t="s">
        <v>2190</v>
      </c>
      <c r="F4" s="19" t="s">
        <v>22</v>
      </c>
      <c r="G4" s="19"/>
      <c r="H4" s="19" t="s">
        <v>22</v>
      </c>
      <c r="I4" s="19" t="s">
        <v>24</v>
      </c>
      <c r="J4" s="19" t="s">
        <v>2191</v>
      </c>
      <c r="K4" s="19" t="s">
        <v>2192</v>
      </c>
      <c r="L4" s="20">
        <v>45446.0</v>
      </c>
      <c r="M4" s="20">
        <v>45447.0</v>
      </c>
      <c r="N4" s="20">
        <v>45447.0</v>
      </c>
      <c r="O4" s="19" t="s">
        <v>23</v>
      </c>
      <c r="P4" s="19">
        <v>0.0</v>
      </c>
      <c r="Q4" s="19">
        <v>26.0</v>
      </c>
      <c r="R4" s="19">
        <v>9538.0</v>
      </c>
      <c r="S4" s="20" t="s">
        <v>2193</v>
      </c>
      <c r="T4" s="20">
        <v>45461.0</v>
      </c>
      <c r="U4" s="19" t="s">
        <v>22</v>
      </c>
      <c r="V4" s="19"/>
      <c r="W4" s="19"/>
      <c r="X4" s="21">
        <v>20.0</v>
      </c>
      <c r="Y4" s="21">
        <v>10.0</v>
      </c>
      <c r="Z4" s="21">
        <v>5.0</v>
      </c>
      <c r="AA4" s="21">
        <v>3.0</v>
      </c>
      <c r="AB4" s="5">
        <v>38.0</v>
      </c>
      <c r="AC4" s="19">
        <v>4.0</v>
      </c>
      <c r="AD4" s="19">
        <v>5.0</v>
      </c>
      <c r="AE4" s="19">
        <v>5.0</v>
      </c>
      <c r="AF4" s="19">
        <v>5.0</v>
      </c>
      <c r="AG4" s="19">
        <v>4.5</v>
      </c>
      <c r="AH4" s="19">
        <v>4.5</v>
      </c>
      <c r="AI4" s="22">
        <v>14.15625</v>
      </c>
      <c r="AJ4" s="19">
        <v>15.0</v>
      </c>
      <c r="AK4" s="19">
        <v>15.0</v>
      </c>
      <c r="AL4" s="19">
        <v>15.0</v>
      </c>
      <c r="AM4" s="19">
        <v>45.0</v>
      </c>
      <c r="AN4" s="19">
        <v>59.2</v>
      </c>
      <c r="AO4" s="19">
        <v>97.2</v>
      </c>
      <c r="AP4" s="19">
        <v>3.0</v>
      </c>
      <c r="AQ4" s="23">
        <v>3.0</v>
      </c>
      <c r="AR4" s="23">
        <v>2.0</v>
      </c>
      <c r="AS4" s="19"/>
      <c r="AT4" s="19" t="s">
        <v>2117</v>
      </c>
      <c r="AU4" s="19" t="s">
        <v>2194</v>
      </c>
      <c r="AV4" s="19" t="s">
        <v>2195</v>
      </c>
      <c r="AW4" s="19"/>
      <c r="AX4" s="20">
        <v>35923.0</v>
      </c>
      <c r="AY4" s="19" t="s">
        <v>2196</v>
      </c>
      <c r="AZ4" s="19" t="s">
        <v>2122</v>
      </c>
      <c r="BA4" s="19" t="s">
        <v>2197</v>
      </c>
      <c r="BB4" s="19" t="s">
        <v>2198</v>
      </c>
      <c r="BC4" s="19" t="s">
        <v>2199</v>
      </c>
      <c r="BD4" s="19" t="s">
        <v>2200</v>
      </c>
      <c r="BE4" s="19" t="s">
        <v>2201</v>
      </c>
      <c r="BF4" s="19">
        <v>1.1949501561E10</v>
      </c>
      <c r="BG4" s="19" t="s">
        <v>2127</v>
      </c>
      <c r="BH4" s="19" t="s">
        <v>2128</v>
      </c>
      <c r="BI4" s="19"/>
      <c r="BJ4" s="19"/>
      <c r="BK4" s="19" t="s">
        <v>16</v>
      </c>
      <c r="BL4" s="19" t="s">
        <v>2113</v>
      </c>
      <c r="BM4" s="19" t="s">
        <v>2130</v>
      </c>
      <c r="BN4" s="19" t="s">
        <v>2172</v>
      </c>
      <c r="BO4" s="19" t="s">
        <v>2132</v>
      </c>
      <c r="BP4" s="19" t="s">
        <v>2202</v>
      </c>
      <c r="BQ4" s="19" t="s">
        <v>2174</v>
      </c>
      <c r="BR4" s="19" t="s">
        <v>2174</v>
      </c>
      <c r="BS4" s="19" t="s">
        <v>2134</v>
      </c>
      <c r="BT4" s="19" t="s">
        <v>21</v>
      </c>
      <c r="BU4" s="19"/>
      <c r="BV4" s="19" t="s">
        <v>2203</v>
      </c>
      <c r="BW4" s="19"/>
      <c r="BX4" s="19"/>
      <c r="BY4" s="19" t="s">
        <v>2113</v>
      </c>
      <c r="BZ4" s="19"/>
      <c r="CA4" s="19"/>
      <c r="CB4" s="19" t="s">
        <v>2113</v>
      </c>
      <c r="CC4" s="19"/>
      <c r="CD4" s="19" t="s">
        <v>2137</v>
      </c>
      <c r="CE4" s="19" t="s">
        <v>16</v>
      </c>
      <c r="CF4" s="19"/>
      <c r="CG4" s="19"/>
      <c r="CH4" s="19" t="s">
        <v>17</v>
      </c>
      <c r="CI4" s="21">
        <v>3.0</v>
      </c>
      <c r="CJ4" s="19" t="s">
        <v>16</v>
      </c>
      <c r="CK4" s="19"/>
      <c r="CL4" s="19"/>
      <c r="CM4" s="19" t="s">
        <v>2138</v>
      </c>
      <c r="CN4" s="19" t="s">
        <v>2204</v>
      </c>
      <c r="CO4" s="19"/>
      <c r="CP4" s="19"/>
      <c r="CQ4" s="19"/>
      <c r="CR4" s="19"/>
      <c r="CS4" s="19"/>
      <c r="CT4" s="19"/>
      <c r="CU4" s="19"/>
      <c r="CV4" s="19" t="s">
        <v>2179</v>
      </c>
      <c r="CW4" s="19" t="s">
        <v>2113</v>
      </c>
      <c r="CX4" s="19" t="s">
        <v>2113</v>
      </c>
      <c r="CY4" s="19"/>
      <c r="CZ4" s="19"/>
      <c r="DA4" s="19" t="s">
        <v>16</v>
      </c>
      <c r="DB4" s="19" t="s">
        <v>16</v>
      </c>
      <c r="DC4" s="19" t="s">
        <v>2180</v>
      </c>
      <c r="DD4" s="19"/>
      <c r="DE4" s="19"/>
      <c r="DF4" s="19" t="s">
        <v>2205</v>
      </c>
      <c r="DG4" s="19" t="s">
        <v>2206</v>
      </c>
      <c r="DH4" s="19" t="s">
        <v>2144</v>
      </c>
      <c r="DI4" s="24">
        <v>45533.0</v>
      </c>
      <c r="DJ4" s="19" t="s">
        <v>2174</v>
      </c>
      <c r="DK4" s="19" t="s">
        <v>2145</v>
      </c>
      <c r="DL4" s="19" t="s">
        <v>2207</v>
      </c>
      <c r="DM4" s="19" t="s">
        <v>2208</v>
      </c>
      <c r="DN4" s="19">
        <v>5.0</v>
      </c>
      <c r="DO4" s="19">
        <v>5.0</v>
      </c>
      <c r="DP4" s="19"/>
      <c r="DQ4" s="19"/>
      <c r="DR4" s="19"/>
      <c r="DS4" s="19" t="s">
        <v>2151</v>
      </c>
      <c r="DT4" s="19" t="s">
        <v>2209</v>
      </c>
      <c r="DU4" s="19" t="s">
        <v>2210</v>
      </c>
      <c r="DV4" s="19" t="s">
        <v>2211</v>
      </c>
      <c r="DW4" s="19" t="s">
        <v>2153</v>
      </c>
      <c r="DX4" s="19">
        <v>13.0</v>
      </c>
      <c r="DY4" s="19">
        <v>10.0</v>
      </c>
      <c r="DZ4" s="19">
        <v>0.0</v>
      </c>
      <c r="EA4" s="19">
        <v>10.0</v>
      </c>
      <c r="EB4" s="19">
        <v>3.0</v>
      </c>
      <c r="EC4" s="19">
        <v>20.0</v>
      </c>
      <c r="ED4" s="19" t="s">
        <v>2174</v>
      </c>
      <c r="EE4" s="24">
        <v>45533.0</v>
      </c>
      <c r="EF4" s="19" t="s">
        <v>2174</v>
      </c>
      <c r="EG4" s="19" t="s">
        <v>2145</v>
      </c>
      <c r="EH4" s="19" t="s">
        <v>2207</v>
      </c>
      <c r="EI4" s="22">
        <v>14.15625</v>
      </c>
      <c r="EJ4" s="19">
        <v>45.0</v>
      </c>
      <c r="EK4" s="19"/>
      <c r="EL4" s="19" t="s">
        <v>2117</v>
      </c>
      <c r="EM4" s="19" t="s">
        <v>2194</v>
      </c>
      <c r="EN4" s="19" t="s">
        <v>24</v>
      </c>
      <c r="EO4" s="19" t="s">
        <v>2196</v>
      </c>
      <c r="EP4" s="19" t="s">
        <v>2122</v>
      </c>
      <c r="EQ4" s="19" t="s">
        <v>2204</v>
      </c>
      <c r="ER4" s="19"/>
      <c r="ES4" s="19" t="s">
        <v>24</v>
      </c>
      <c r="ET4" s="19" t="s">
        <v>24</v>
      </c>
      <c r="EU4" s="19" t="s">
        <v>2192</v>
      </c>
      <c r="EV4" s="19">
        <v>9538.0</v>
      </c>
      <c r="EW4" s="19" t="s">
        <v>16</v>
      </c>
      <c r="EX4" s="19">
        <v>5.0</v>
      </c>
      <c r="EY4" s="25" t="s">
        <v>23</v>
      </c>
      <c r="EZ4" s="19" t="s">
        <v>2154</v>
      </c>
      <c r="FA4" s="5" t="s">
        <v>2212</v>
      </c>
      <c r="FB4" s="26" t="s">
        <v>2156</v>
      </c>
      <c r="FC4" s="26"/>
    </row>
    <row r="5">
      <c r="A5" s="19" t="s">
        <v>2112</v>
      </c>
      <c r="B5" s="19" t="s">
        <v>2113</v>
      </c>
      <c r="C5" s="19" t="s">
        <v>2113</v>
      </c>
      <c r="D5" s="19" t="s">
        <v>25</v>
      </c>
      <c r="E5" s="19" t="s">
        <v>2213</v>
      </c>
      <c r="F5" s="19" t="s">
        <v>25</v>
      </c>
      <c r="G5" s="19"/>
      <c r="H5" s="19" t="s">
        <v>25</v>
      </c>
      <c r="I5" s="19" t="s">
        <v>27</v>
      </c>
      <c r="J5" s="19" t="s">
        <v>2214</v>
      </c>
      <c r="K5" s="19" t="s">
        <v>2215</v>
      </c>
      <c r="L5" s="20">
        <v>45443.0</v>
      </c>
      <c r="M5" s="20">
        <v>45446.0</v>
      </c>
      <c r="N5" s="20">
        <v>45446.0</v>
      </c>
      <c r="O5" s="19" t="s">
        <v>26</v>
      </c>
      <c r="P5" s="19">
        <v>0.0</v>
      </c>
      <c r="Q5" s="19">
        <v>23.0</v>
      </c>
      <c r="R5" s="19">
        <v>8535.0</v>
      </c>
      <c r="S5" s="20" t="s">
        <v>2216</v>
      </c>
      <c r="T5" s="20">
        <v>45461.0</v>
      </c>
      <c r="U5" s="19" t="s">
        <v>25</v>
      </c>
      <c r="V5" s="19"/>
      <c r="W5" s="19"/>
      <c r="X5" s="21">
        <v>20.0</v>
      </c>
      <c r="Y5" s="21">
        <v>10.0</v>
      </c>
      <c r="Z5" s="21">
        <v>5.0</v>
      </c>
      <c r="AA5" s="21">
        <v>3.0</v>
      </c>
      <c r="AB5" s="5">
        <v>38.0</v>
      </c>
      <c r="AC5" s="19">
        <v>4.6</v>
      </c>
      <c r="AD5" s="19">
        <v>4.4</v>
      </c>
      <c r="AE5" s="19">
        <v>5.0</v>
      </c>
      <c r="AF5" s="19">
        <v>4.6</v>
      </c>
      <c r="AG5" s="19">
        <v>4.4</v>
      </c>
      <c r="AH5" s="19">
        <v>5.0</v>
      </c>
      <c r="AI5" s="22">
        <v>14.043750000000001</v>
      </c>
      <c r="AJ5" s="19">
        <v>15.0</v>
      </c>
      <c r="AK5" s="19">
        <v>15.0</v>
      </c>
      <c r="AL5" s="19">
        <v>15.0</v>
      </c>
      <c r="AM5" s="19">
        <v>45.0</v>
      </c>
      <c r="AN5" s="19">
        <v>59.0</v>
      </c>
      <c r="AO5" s="19">
        <v>97.0</v>
      </c>
      <c r="AP5" s="19">
        <v>10.0</v>
      </c>
      <c r="AQ5" s="23">
        <v>4.0</v>
      </c>
      <c r="AR5" s="23">
        <v>3.0</v>
      </c>
      <c r="AS5" s="22"/>
      <c r="AT5" s="19" t="s">
        <v>2117</v>
      </c>
      <c r="AU5" s="19" t="s">
        <v>2217</v>
      </c>
      <c r="AV5" s="19" t="s">
        <v>2218</v>
      </c>
      <c r="AW5" s="19"/>
      <c r="AX5" s="20">
        <v>36926.0</v>
      </c>
      <c r="AY5" s="19" t="s">
        <v>2167</v>
      </c>
      <c r="AZ5" s="19" t="s">
        <v>2122</v>
      </c>
      <c r="BA5" s="19" t="s">
        <v>2219</v>
      </c>
      <c r="BB5" s="19" t="s">
        <v>2220</v>
      </c>
      <c r="BC5" s="19" t="s">
        <v>2221</v>
      </c>
      <c r="BD5" s="19" t="s">
        <v>2222</v>
      </c>
      <c r="BE5" s="19" t="s">
        <v>2214</v>
      </c>
      <c r="BF5" s="19">
        <v>1.1914178545E10</v>
      </c>
      <c r="BG5" s="19" t="s">
        <v>2127</v>
      </c>
      <c r="BH5" s="19" t="s">
        <v>2128</v>
      </c>
      <c r="BI5" s="19"/>
      <c r="BJ5" s="19" t="s">
        <v>2129</v>
      </c>
      <c r="BK5" s="19" t="s">
        <v>17</v>
      </c>
      <c r="BL5" s="19" t="s">
        <v>2113</v>
      </c>
      <c r="BM5" s="19" t="s">
        <v>2130</v>
      </c>
      <c r="BN5" s="19" t="s">
        <v>17</v>
      </c>
      <c r="BO5" s="19" t="s">
        <v>2132</v>
      </c>
      <c r="BP5" s="19"/>
      <c r="BQ5" s="19" t="s">
        <v>2174</v>
      </c>
      <c r="BR5" s="19" t="s">
        <v>2174</v>
      </c>
      <c r="BS5" s="19" t="s">
        <v>2134</v>
      </c>
      <c r="BT5" s="19" t="s">
        <v>21</v>
      </c>
      <c r="BU5" s="19" t="s">
        <v>2223</v>
      </c>
      <c r="BV5" s="19" t="s">
        <v>2224</v>
      </c>
      <c r="BW5" s="19"/>
      <c r="BX5" s="19"/>
      <c r="BY5" s="19" t="s">
        <v>2113</v>
      </c>
      <c r="BZ5" s="19" t="s">
        <v>2113</v>
      </c>
      <c r="CA5" s="19" t="s">
        <v>2113</v>
      </c>
      <c r="CB5" s="19" t="s">
        <v>2113</v>
      </c>
      <c r="CC5" s="19"/>
      <c r="CD5" s="19" t="s">
        <v>2137</v>
      </c>
      <c r="CE5" s="19" t="s">
        <v>16</v>
      </c>
      <c r="CF5" s="19"/>
      <c r="CG5" s="19"/>
      <c r="CH5" s="19" t="s">
        <v>17</v>
      </c>
      <c r="CI5" s="21">
        <v>3.0</v>
      </c>
      <c r="CJ5" s="19" t="s">
        <v>16</v>
      </c>
      <c r="CK5" s="19"/>
      <c r="CL5" s="19"/>
      <c r="CM5" s="19" t="s">
        <v>2138</v>
      </c>
      <c r="CN5" s="19" t="s">
        <v>2176</v>
      </c>
      <c r="CO5" s="19"/>
      <c r="CP5" s="19" t="s">
        <v>2225</v>
      </c>
      <c r="CQ5" s="19" t="s">
        <v>2113</v>
      </c>
      <c r="CR5" s="19" t="s">
        <v>2113</v>
      </c>
      <c r="CS5" s="19" t="s">
        <v>2113</v>
      </c>
      <c r="CT5" s="19"/>
      <c r="CU5" s="19"/>
      <c r="CV5" s="19" t="s">
        <v>2179</v>
      </c>
      <c r="CW5" s="19" t="s">
        <v>2113</v>
      </c>
      <c r="CX5" s="19" t="s">
        <v>2113</v>
      </c>
      <c r="CY5" s="19" t="s">
        <v>2113</v>
      </c>
      <c r="CZ5" s="19" t="s">
        <v>2113</v>
      </c>
      <c r="DA5" s="19" t="s">
        <v>16</v>
      </c>
      <c r="DB5" s="19" t="s">
        <v>16</v>
      </c>
      <c r="DC5" s="19" t="s">
        <v>2226</v>
      </c>
      <c r="DD5" s="19" t="s">
        <v>2113</v>
      </c>
      <c r="DE5" s="19" t="s">
        <v>2113</v>
      </c>
      <c r="DF5" s="19" t="s">
        <v>2180</v>
      </c>
      <c r="DG5" s="19" t="s">
        <v>2227</v>
      </c>
      <c r="DH5" s="19" t="s">
        <v>2144</v>
      </c>
      <c r="DI5" s="24">
        <v>45518.0</v>
      </c>
      <c r="DJ5" s="19" t="s">
        <v>2174</v>
      </c>
      <c r="DK5" s="19" t="s">
        <v>2145</v>
      </c>
      <c r="DL5" s="19" t="s">
        <v>2183</v>
      </c>
      <c r="DM5" s="19" t="s">
        <v>2228</v>
      </c>
      <c r="DN5" s="19">
        <v>3.0</v>
      </c>
      <c r="DO5" s="19">
        <v>3.0</v>
      </c>
      <c r="DP5" s="19"/>
      <c r="DQ5" s="19"/>
      <c r="DR5" s="19"/>
      <c r="DS5" s="19" t="s">
        <v>2151</v>
      </c>
      <c r="DT5" s="19" t="s">
        <v>2229</v>
      </c>
      <c r="DU5" s="19" t="s">
        <v>2230</v>
      </c>
      <c r="DV5" s="19"/>
      <c r="DW5" s="19" t="s">
        <v>2153</v>
      </c>
      <c r="DX5" s="19">
        <v>13.0</v>
      </c>
      <c r="DY5" s="19">
        <v>10.0</v>
      </c>
      <c r="DZ5" s="19">
        <v>0.0</v>
      </c>
      <c r="EA5" s="19">
        <v>10.0</v>
      </c>
      <c r="EB5" s="19">
        <v>3.0</v>
      </c>
      <c r="EC5" s="19">
        <v>20.0</v>
      </c>
      <c r="ED5" s="19" t="s">
        <v>2174</v>
      </c>
      <c r="EE5" s="24">
        <v>45518.0</v>
      </c>
      <c r="EF5" s="19" t="s">
        <v>2174</v>
      </c>
      <c r="EG5" s="19" t="s">
        <v>2145</v>
      </c>
      <c r="EH5" s="19" t="s">
        <v>2183</v>
      </c>
      <c r="EI5" s="22">
        <v>14.043750000000001</v>
      </c>
      <c r="EJ5" s="19">
        <v>45.0</v>
      </c>
      <c r="EK5" s="19"/>
      <c r="EL5" s="19" t="s">
        <v>2117</v>
      </c>
      <c r="EM5" s="19" t="s">
        <v>2217</v>
      </c>
      <c r="EN5" s="19" t="s">
        <v>27</v>
      </c>
      <c r="EO5" s="19" t="s">
        <v>2167</v>
      </c>
      <c r="EP5" s="19" t="s">
        <v>2122</v>
      </c>
      <c r="EQ5" s="19" t="s">
        <v>2176</v>
      </c>
      <c r="ER5" s="19"/>
      <c r="ES5" s="19" t="s">
        <v>27</v>
      </c>
      <c r="ET5" s="19" t="s">
        <v>27</v>
      </c>
      <c r="EU5" s="19" t="s">
        <v>2215</v>
      </c>
      <c r="EV5" s="19">
        <v>8535.0</v>
      </c>
      <c r="EW5" s="19" t="s">
        <v>16</v>
      </c>
      <c r="EX5" s="19">
        <v>5.0</v>
      </c>
      <c r="EY5" s="25" t="s">
        <v>26</v>
      </c>
      <c r="EZ5" s="19" t="s">
        <v>2154</v>
      </c>
      <c r="FA5" s="5" t="s">
        <v>2231</v>
      </c>
      <c r="FB5" s="26" t="s">
        <v>2156</v>
      </c>
      <c r="FC5" s="26"/>
    </row>
    <row r="6">
      <c r="A6" s="19" t="s">
        <v>2112</v>
      </c>
      <c r="B6" s="19" t="s">
        <v>2113</v>
      </c>
      <c r="C6" s="19" t="s">
        <v>2113</v>
      </c>
      <c r="D6" s="19" t="s">
        <v>28</v>
      </c>
      <c r="E6" s="19" t="s">
        <v>2232</v>
      </c>
      <c r="F6" s="19" t="s">
        <v>28</v>
      </c>
      <c r="G6" s="19" t="s">
        <v>2232</v>
      </c>
      <c r="H6" s="19" t="s">
        <v>28</v>
      </c>
      <c r="I6" s="19" t="s">
        <v>30</v>
      </c>
      <c r="J6" s="19" t="s">
        <v>2233</v>
      </c>
      <c r="K6" s="19" t="s">
        <v>2234</v>
      </c>
      <c r="L6" s="20">
        <v>45442.0</v>
      </c>
      <c r="M6" s="20">
        <v>45446.0</v>
      </c>
      <c r="N6" s="20">
        <v>45446.0</v>
      </c>
      <c r="O6" s="19" t="s">
        <v>29</v>
      </c>
      <c r="P6" s="19">
        <v>0.0</v>
      </c>
      <c r="Q6" s="19">
        <v>22.0</v>
      </c>
      <c r="R6" s="19">
        <v>8254.0</v>
      </c>
      <c r="S6" s="20" t="s">
        <v>2235</v>
      </c>
      <c r="T6" s="20">
        <v>45461.0</v>
      </c>
      <c r="U6" s="19" t="s">
        <v>28</v>
      </c>
      <c r="V6" s="19"/>
      <c r="W6" s="19"/>
      <c r="X6" s="21">
        <v>20.0</v>
      </c>
      <c r="Y6" s="21">
        <v>10.0</v>
      </c>
      <c r="Z6" s="21">
        <v>5.0</v>
      </c>
      <c r="AA6" s="21">
        <v>3.0</v>
      </c>
      <c r="AB6" s="5">
        <v>38.0</v>
      </c>
      <c r="AC6" s="19">
        <v>4.0</v>
      </c>
      <c r="AD6" s="19">
        <v>5.0</v>
      </c>
      <c r="AE6" s="19">
        <v>5.0</v>
      </c>
      <c r="AF6" s="19">
        <v>4.0</v>
      </c>
      <c r="AG6" s="19">
        <v>4.0</v>
      </c>
      <c r="AH6" s="19">
        <v>5.0</v>
      </c>
      <c r="AI6" s="22">
        <v>13.78125</v>
      </c>
      <c r="AJ6" s="19">
        <v>15.0</v>
      </c>
      <c r="AK6" s="19">
        <v>15.0</v>
      </c>
      <c r="AL6" s="19">
        <v>15.0</v>
      </c>
      <c r="AM6" s="19">
        <v>45.0</v>
      </c>
      <c r="AN6" s="19">
        <v>58.8</v>
      </c>
      <c r="AO6" s="19">
        <v>96.8</v>
      </c>
      <c r="AP6" s="19">
        <v>12.0</v>
      </c>
      <c r="AQ6" s="23">
        <v>5.0</v>
      </c>
      <c r="AR6" s="23">
        <v>4.0</v>
      </c>
      <c r="AS6" s="22"/>
      <c r="AT6" s="19" t="s">
        <v>2117</v>
      </c>
      <c r="AU6" s="19" t="s">
        <v>2236</v>
      </c>
      <c r="AV6" s="19" t="s">
        <v>2237</v>
      </c>
      <c r="AW6" s="19" t="s">
        <v>2166</v>
      </c>
      <c r="AX6" s="20">
        <v>37207.0</v>
      </c>
      <c r="AY6" s="19" t="s">
        <v>2167</v>
      </c>
      <c r="AZ6" s="19" t="s">
        <v>2122</v>
      </c>
      <c r="BA6" s="19" t="s">
        <v>2238</v>
      </c>
      <c r="BB6" s="19" t="s">
        <v>2239</v>
      </c>
      <c r="BC6" s="19" t="s">
        <v>2240</v>
      </c>
      <c r="BD6" s="19" t="s">
        <v>2241</v>
      </c>
      <c r="BE6" s="19" t="s">
        <v>2233</v>
      </c>
      <c r="BF6" s="19">
        <v>1.1974021757E10</v>
      </c>
      <c r="BG6" s="19" t="s">
        <v>2127</v>
      </c>
      <c r="BH6" s="19" t="s">
        <v>2128</v>
      </c>
      <c r="BI6" s="19"/>
      <c r="BJ6" s="19" t="s">
        <v>2128</v>
      </c>
      <c r="BK6" s="19" t="s">
        <v>17</v>
      </c>
      <c r="BL6" s="19" t="s">
        <v>2113</v>
      </c>
      <c r="BM6" s="19" t="s">
        <v>2130</v>
      </c>
      <c r="BN6" s="19" t="s">
        <v>17</v>
      </c>
      <c r="BO6" s="19" t="s">
        <v>2132</v>
      </c>
      <c r="BP6" s="19" t="s">
        <v>2242</v>
      </c>
      <c r="BQ6" s="19" t="s">
        <v>2174</v>
      </c>
      <c r="BR6" s="19" t="s">
        <v>2174</v>
      </c>
      <c r="BS6" s="19" t="s">
        <v>2243</v>
      </c>
      <c r="BT6" s="19" t="s">
        <v>21</v>
      </c>
      <c r="BU6" s="19" t="s">
        <v>2244</v>
      </c>
      <c r="BV6" s="19" t="s">
        <v>2245</v>
      </c>
      <c r="BW6" s="19"/>
      <c r="BX6" s="19" t="s">
        <v>2113</v>
      </c>
      <c r="BY6" s="19"/>
      <c r="BZ6" s="19"/>
      <c r="CA6" s="19" t="s">
        <v>2113</v>
      </c>
      <c r="CB6" s="19" t="s">
        <v>2113</v>
      </c>
      <c r="CC6" s="19"/>
      <c r="CD6" s="19" t="s">
        <v>2137</v>
      </c>
      <c r="CE6" s="19" t="s">
        <v>16</v>
      </c>
      <c r="CF6" s="19"/>
      <c r="CG6" s="19"/>
      <c r="CH6" s="19" t="s">
        <v>17</v>
      </c>
      <c r="CI6" s="21">
        <v>3.0</v>
      </c>
      <c r="CJ6" s="19" t="s">
        <v>17</v>
      </c>
      <c r="CK6" s="19"/>
      <c r="CL6" s="19"/>
      <c r="CM6" s="19" t="s">
        <v>2138</v>
      </c>
      <c r="CN6" s="19" t="s">
        <v>2176</v>
      </c>
      <c r="CO6" s="19"/>
      <c r="CP6" s="19" t="s">
        <v>2246</v>
      </c>
      <c r="CQ6" s="19"/>
      <c r="CR6" s="19" t="s">
        <v>2113</v>
      </c>
      <c r="CS6" s="19" t="s">
        <v>2113</v>
      </c>
      <c r="CT6" s="19" t="s">
        <v>2113</v>
      </c>
      <c r="CU6" s="19" t="s">
        <v>2113</v>
      </c>
      <c r="CV6" s="19" t="s">
        <v>2179</v>
      </c>
      <c r="CW6" s="19" t="s">
        <v>2113</v>
      </c>
      <c r="CX6" s="19" t="s">
        <v>2113</v>
      </c>
      <c r="CY6" s="19" t="s">
        <v>2113</v>
      </c>
      <c r="CZ6" s="19" t="s">
        <v>2113</v>
      </c>
      <c r="DA6" s="19" t="s">
        <v>16</v>
      </c>
      <c r="DB6" s="19" t="s">
        <v>17</v>
      </c>
      <c r="DC6" s="19" t="s">
        <v>2247</v>
      </c>
      <c r="DD6" s="19" t="s">
        <v>2113</v>
      </c>
      <c r="DE6" s="19" t="s">
        <v>2113</v>
      </c>
      <c r="DF6" s="19" t="s">
        <v>2248</v>
      </c>
      <c r="DG6" s="19" t="s">
        <v>2181</v>
      </c>
      <c r="DH6" s="19" t="s">
        <v>2144</v>
      </c>
      <c r="DI6" s="24">
        <v>45525.0</v>
      </c>
      <c r="DJ6" s="19" t="s">
        <v>2174</v>
      </c>
      <c r="DK6" s="19" t="s">
        <v>2145</v>
      </c>
      <c r="DL6" s="19" t="s">
        <v>2183</v>
      </c>
      <c r="DM6" s="19" t="s">
        <v>2249</v>
      </c>
      <c r="DN6" s="19">
        <v>9.0</v>
      </c>
      <c r="DO6" s="19">
        <v>9.0</v>
      </c>
      <c r="DP6" s="19"/>
      <c r="DQ6" s="19"/>
      <c r="DR6" s="19"/>
      <c r="DS6" s="19" t="s">
        <v>2151</v>
      </c>
      <c r="DT6" s="19" t="s">
        <v>2229</v>
      </c>
      <c r="DU6" s="19" t="s">
        <v>2250</v>
      </c>
      <c r="DV6" s="19"/>
      <c r="DW6" s="19" t="s">
        <v>2188</v>
      </c>
      <c r="DX6" s="19">
        <v>15.0</v>
      </c>
      <c r="DY6" s="19">
        <v>10.0</v>
      </c>
      <c r="DZ6" s="19">
        <v>0.0</v>
      </c>
      <c r="EA6" s="19">
        <v>10.0</v>
      </c>
      <c r="EB6" s="19">
        <v>3.0</v>
      </c>
      <c r="EC6" s="19">
        <v>20.0</v>
      </c>
      <c r="ED6" s="19" t="s">
        <v>2174</v>
      </c>
      <c r="EE6" s="24">
        <v>45525.0</v>
      </c>
      <c r="EF6" s="19" t="s">
        <v>2174</v>
      </c>
      <c r="EG6" s="19" t="s">
        <v>2145</v>
      </c>
      <c r="EH6" s="19" t="s">
        <v>2183</v>
      </c>
      <c r="EI6" s="22">
        <v>13.78125</v>
      </c>
      <c r="EJ6" s="19">
        <v>45.0</v>
      </c>
      <c r="EK6" s="19" t="s">
        <v>2113</v>
      </c>
      <c r="EL6" s="19" t="s">
        <v>2117</v>
      </c>
      <c r="EM6" s="19" t="s">
        <v>2236</v>
      </c>
      <c r="EN6" s="19" t="s">
        <v>30</v>
      </c>
      <c r="EO6" s="19" t="s">
        <v>2167</v>
      </c>
      <c r="EP6" s="19" t="s">
        <v>2122</v>
      </c>
      <c r="EQ6" s="19" t="s">
        <v>2176</v>
      </c>
      <c r="ER6" s="19"/>
      <c r="ES6" s="19" t="s">
        <v>30</v>
      </c>
      <c r="ET6" s="19" t="s">
        <v>30</v>
      </c>
      <c r="EU6" s="19" t="s">
        <v>2234</v>
      </c>
      <c r="EV6" s="19">
        <v>8254.0</v>
      </c>
      <c r="EW6" s="19" t="s">
        <v>16</v>
      </c>
      <c r="EX6" s="19">
        <v>5.0</v>
      </c>
      <c r="EY6" s="25" t="s">
        <v>29</v>
      </c>
      <c r="EZ6" s="19" t="s">
        <v>2154</v>
      </c>
      <c r="FA6" s="5" t="s">
        <v>2251</v>
      </c>
      <c r="FB6" s="26" t="s">
        <v>2156</v>
      </c>
      <c r="FC6" s="26"/>
    </row>
    <row r="7">
      <c r="A7" s="19" t="s">
        <v>2112</v>
      </c>
      <c r="B7" s="19" t="s">
        <v>2113</v>
      </c>
      <c r="C7" s="19" t="s">
        <v>2113</v>
      </c>
      <c r="D7" s="19" t="s">
        <v>31</v>
      </c>
      <c r="E7" s="19" t="s">
        <v>31</v>
      </c>
      <c r="F7" s="19" t="s">
        <v>31</v>
      </c>
      <c r="G7" s="19" t="s">
        <v>31</v>
      </c>
      <c r="H7" s="19" t="s">
        <v>31</v>
      </c>
      <c r="I7" s="19" t="s">
        <v>33</v>
      </c>
      <c r="J7" s="19" t="s">
        <v>2252</v>
      </c>
      <c r="K7" s="19" t="s">
        <v>2253</v>
      </c>
      <c r="L7" s="20">
        <v>45428.0</v>
      </c>
      <c r="M7" s="20">
        <v>45429.0</v>
      </c>
      <c r="N7" s="20">
        <v>45429.0</v>
      </c>
      <c r="O7" s="19" t="s">
        <v>32</v>
      </c>
      <c r="P7" s="19">
        <v>0.0</v>
      </c>
      <c r="Q7" s="19">
        <v>28.0</v>
      </c>
      <c r="R7" s="19">
        <v>10342.0</v>
      </c>
      <c r="S7" s="20" t="s">
        <v>2254</v>
      </c>
      <c r="T7" s="20">
        <v>45461.0</v>
      </c>
      <c r="U7" s="19" t="s">
        <v>31</v>
      </c>
      <c r="V7" s="19"/>
      <c r="W7" s="19"/>
      <c r="X7" s="21">
        <v>20.0</v>
      </c>
      <c r="Y7" s="21">
        <v>10.0</v>
      </c>
      <c r="Z7" s="21">
        <v>5.0</v>
      </c>
      <c r="AA7" s="21">
        <v>3.0</v>
      </c>
      <c r="AB7" s="5">
        <v>38.0</v>
      </c>
      <c r="AC7" s="19">
        <v>4.0</v>
      </c>
      <c r="AD7" s="19">
        <v>4.6</v>
      </c>
      <c r="AE7" s="19">
        <v>4.4</v>
      </c>
      <c r="AF7" s="19">
        <v>4.4</v>
      </c>
      <c r="AG7" s="19">
        <v>4.0</v>
      </c>
      <c r="AH7" s="19">
        <v>4.4</v>
      </c>
      <c r="AI7" s="22">
        <v>12.993749999999999</v>
      </c>
      <c r="AJ7" s="19">
        <v>15.0</v>
      </c>
      <c r="AK7" s="19">
        <v>15.0</v>
      </c>
      <c r="AL7" s="19">
        <v>15.0</v>
      </c>
      <c r="AM7" s="19">
        <v>45.0</v>
      </c>
      <c r="AN7" s="19">
        <v>58.0</v>
      </c>
      <c r="AO7" s="19">
        <v>96.0</v>
      </c>
      <c r="AP7" s="19">
        <v>2.0</v>
      </c>
      <c r="AQ7" s="23">
        <v>6.0</v>
      </c>
      <c r="AR7" s="23">
        <v>1.0</v>
      </c>
      <c r="AS7" s="22"/>
      <c r="AT7" s="19" t="s">
        <v>2117</v>
      </c>
      <c r="AU7" s="19" t="s">
        <v>2255</v>
      </c>
      <c r="AV7" s="19" t="s">
        <v>2256</v>
      </c>
      <c r="AW7" s="19" t="s">
        <v>2257</v>
      </c>
      <c r="AX7" s="20">
        <v>35119.0</v>
      </c>
      <c r="AY7" s="19" t="s">
        <v>2258</v>
      </c>
      <c r="AZ7" s="19" t="s">
        <v>2122</v>
      </c>
      <c r="BA7" s="19" t="s">
        <v>2259</v>
      </c>
      <c r="BB7" s="19" t="s">
        <v>2260</v>
      </c>
      <c r="BC7" s="19" t="s">
        <v>2261</v>
      </c>
      <c r="BD7" s="19" t="s">
        <v>2262</v>
      </c>
      <c r="BE7" s="19" t="s">
        <v>2252</v>
      </c>
      <c r="BF7" s="19">
        <v>1.1987509718E10</v>
      </c>
      <c r="BG7" s="19" t="s">
        <v>2127</v>
      </c>
      <c r="BH7" s="19" t="s">
        <v>2128</v>
      </c>
      <c r="BI7" s="19"/>
      <c r="BJ7" s="19"/>
      <c r="BK7" s="19" t="s">
        <v>16</v>
      </c>
      <c r="BL7" s="19"/>
      <c r="BM7" s="19" t="s">
        <v>2130</v>
      </c>
      <c r="BN7" s="19" t="s">
        <v>17</v>
      </c>
      <c r="BO7" s="19" t="s">
        <v>2132</v>
      </c>
      <c r="BP7" s="19" t="s">
        <v>2263</v>
      </c>
      <c r="BQ7" s="19" t="s">
        <v>2174</v>
      </c>
      <c r="BR7" s="19" t="s">
        <v>2174</v>
      </c>
      <c r="BS7" s="19" t="s">
        <v>2243</v>
      </c>
      <c r="BT7" s="19" t="s">
        <v>34</v>
      </c>
      <c r="BU7" s="19" t="s">
        <v>2264</v>
      </c>
      <c r="BV7" s="19" t="s">
        <v>2265</v>
      </c>
      <c r="BW7" s="19"/>
      <c r="BX7" s="19"/>
      <c r="BY7" s="19"/>
      <c r="BZ7" s="19"/>
      <c r="CA7" s="19"/>
      <c r="CB7" s="19" t="s">
        <v>2113</v>
      </c>
      <c r="CC7" s="19" t="s">
        <v>2113</v>
      </c>
      <c r="CD7" s="19" t="s">
        <v>2137</v>
      </c>
      <c r="CE7" s="19" t="s">
        <v>16</v>
      </c>
      <c r="CF7" s="19"/>
      <c r="CG7" s="19"/>
      <c r="CH7" s="19" t="s">
        <v>17</v>
      </c>
      <c r="CI7" s="21">
        <v>3.0</v>
      </c>
      <c r="CJ7" s="19" t="s">
        <v>17</v>
      </c>
      <c r="CK7" s="19"/>
      <c r="CL7" s="19"/>
      <c r="CM7" s="19" t="s">
        <v>2138</v>
      </c>
      <c r="CN7" s="19" t="s">
        <v>2266</v>
      </c>
      <c r="CO7" s="19"/>
      <c r="CP7" s="19" t="s">
        <v>2267</v>
      </c>
      <c r="CQ7" s="19"/>
      <c r="CR7" s="19"/>
      <c r="CS7" s="19"/>
      <c r="CT7" s="19" t="s">
        <v>2113</v>
      </c>
      <c r="CU7" s="19" t="s">
        <v>2113</v>
      </c>
      <c r="CV7" s="19" t="s">
        <v>2141</v>
      </c>
      <c r="CW7" s="19" t="s">
        <v>2113</v>
      </c>
      <c r="CX7" s="19" t="s">
        <v>2113</v>
      </c>
      <c r="CY7" s="19" t="s">
        <v>2113</v>
      </c>
      <c r="CZ7" s="19" t="s">
        <v>2113</v>
      </c>
      <c r="DA7" s="19" t="s">
        <v>16</v>
      </c>
      <c r="DB7" s="19" t="s">
        <v>17</v>
      </c>
      <c r="DC7" s="19" t="s">
        <v>2268</v>
      </c>
      <c r="DD7" s="19" t="s">
        <v>2113</v>
      </c>
      <c r="DE7" s="19" t="s">
        <v>2113</v>
      </c>
      <c r="DF7" s="19" t="s">
        <v>2269</v>
      </c>
      <c r="DG7" s="19" t="s">
        <v>2270</v>
      </c>
      <c r="DH7" s="19" t="s">
        <v>2144</v>
      </c>
      <c r="DI7" s="24">
        <v>45519.0</v>
      </c>
      <c r="DJ7" s="19" t="s">
        <v>2174</v>
      </c>
      <c r="DK7" s="19" t="s">
        <v>2271</v>
      </c>
      <c r="DL7" s="19" t="s">
        <v>2183</v>
      </c>
      <c r="DM7" s="19" t="s">
        <v>2272</v>
      </c>
      <c r="DN7" s="19">
        <v>6.0</v>
      </c>
      <c r="DO7" s="19">
        <v>6.0</v>
      </c>
      <c r="DP7" s="19" t="s">
        <v>2273</v>
      </c>
      <c r="DQ7" s="19" t="s">
        <v>2274</v>
      </c>
      <c r="DR7" s="19" t="s">
        <v>2275</v>
      </c>
      <c r="DS7" s="19" t="s">
        <v>2151</v>
      </c>
      <c r="DT7" s="19" t="s">
        <v>2209</v>
      </c>
      <c r="DU7" s="19"/>
      <c r="DV7" s="19"/>
      <c r="DW7" s="19" t="s">
        <v>2153</v>
      </c>
      <c r="DX7" s="19">
        <v>14.0</v>
      </c>
      <c r="DY7" s="19">
        <v>10.0</v>
      </c>
      <c r="DZ7" s="19">
        <v>0.0</v>
      </c>
      <c r="EA7" s="19">
        <v>10.0</v>
      </c>
      <c r="EB7" s="19">
        <v>3.0</v>
      </c>
      <c r="EC7" s="19">
        <v>20.0</v>
      </c>
      <c r="ED7" s="19" t="s">
        <v>2174</v>
      </c>
      <c r="EE7" s="24">
        <v>45519.0</v>
      </c>
      <c r="EF7" s="19" t="s">
        <v>2174</v>
      </c>
      <c r="EG7" s="19" t="s">
        <v>2271</v>
      </c>
      <c r="EH7" s="19" t="s">
        <v>2183</v>
      </c>
      <c r="EI7" s="22">
        <v>12.993749999999999</v>
      </c>
      <c r="EJ7" s="19">
        <v>45.0</v>
      </c>
      <c r="EK7" s="19" t="s">
        <v>2113</v>
      </c>
      <c r="EL7" s="19" t="s">
        <v>2117</v>
      </c>
      <c r="EM7" s="19" t="s">
        <v>2255</v>
      </c>
      <c r="EN7" s="19" t="s">
        <v>33</v>
      </c>
      <c r="EO7" s="19" t="s">
        <v>2258</v>
      </c>
      <c r="EP7" s="19" t="s">
        <v>2122</v>
      </c>
      <c r="EQ7" s="19" t="s">
        <v>2266</v>
      </c>
      <c r="ER7" s="19"/>
      <c r="ES7" s="19" t="s">
        <v>33</v>
      </c>
      <c r="ET7" s="19" t="s">
        <v>33</v>
      </c>
      <c r="EU7" s="19" t="s">
        <v>2253</v>
      </c>
      <c r="EV7" s="19">
        <v>10342.0</v>
      </c>
      <c r="EW7" s="19" t="s">
        <v>16</v>
      </c>
      <c r="EX7" s="19">
        <v>5.0</v>
      </c>
      <c r="EY7" s="25" t="s">
        <v>32</v>
      </c>
      <c r="EZ7" s="19" t="s">
        <v>2154</v>
      </c>
      <c r="FA7" s="5" t="s">
        <v>2276</v>
      </c>
      <c r="FB7" s="26" t="s">
        <v>2156</v>
      </c>
      <c r="FC7" s="26"/>
    </row>
    <row r="8">
      <c r="A8" s="19" t="s">
        <v>2156</v>
      </c>
      <c r="B8" s="19" t="s">
        <v>2113</v>
      </c>
      <c r="C8" s="19" t="s">
        <v>2113</v>
      </c>
      <c r="D8" s="19" t="s">
        <v>35</v>
      </c>
      <c r="E8" s="19" t="s">
        <v>2277</v>
      </c>
      <c r="F8" s="19" t="s">
        <v>35</v>
      </c>
      <c r="G8" s="19"/>
      <c r="H8" s="19" t="s">
        <v>35</v>
      </c>
      <c r="I8" s="19" t="s">
        <v>37</v>
      </c>
      <c r="J8" s="19" t="s">
        <v>2278</v>
      </c>
      <c r="K8" s="19" t="s">
        <v>2279</v>
      </c>
      <c r="L8" s="20">
        <v>45406.0</v>
      </c>
      <c r="M8" s="20">
        <v>45411.0</v>
      </c>
      <c r="N8" s="20">
        <v>45411.0</v>
      </c>
      <c r="O8" s="19" t="s">
        <v>36</v>
      </c>
      <c r="P8" s="19">
        <v>0.0</v>
      </c>
      <c r="Q8" s="19">
        <v>22.0</v>
      </c>
      <c r="R8" s="19">
        <v>8321.0</v>
      </c>
      <c r="S8" s="20" t="s">
        <v>2280</v>
      </c>
      <c r="T8" s="20">
        <v>45461.0</v>
      </c>
      <c r="U8" s="19" t="s">
        <v>35</v>
      </c>
      <c r="V8" s="19"/>
      <c r="W8" s="19" t="s">
        <v>2281</v>
      </c>
      <c r="X8" s="21">
        <v>20.0</v>
      </c>
      <c r="Y8" s="21">
        <v>10.0</v>
      </c>
      <c r="Z8" s="21">
        <v>5.0</v>
      </c>
      <c r="AA8" s="21">
        <v>3.0</v>
      </c>
      <c r="AB8" s="5">
        <v>38.0</v>
      </c>
      <c r="AC8" s="19">
        <v>5.0</v>
      </c>
      <c r="AD8" s="19">
        <v>5.0</v>
      </c>
      <c r="AE8" s="19">
        <v>5.0</v>
      </c>
      <c r="AF8" s="19">
        <v>5.0</v>
      </c>
      <c r="AG8" s="19">
        <v>5.0</v>
      </c>
      <c r="AH8" s="19">
        <v>5.0</v>
      </c>
      <c r="AI8" s="22">
        <v>15.0</v>
      </c>
      <c r="AJ8" s="19">
        <v>15.0</v>
      </c>
      <c r="AK8" s="19">
        <v>14.0</v>
      </c>
      <c r="AL8" s="19">
        <v>14.0</v>
      </c>
      <c r="AM8" s="19">
        <v>43.0</v>
      </c>
      <c r="AN8" s="19">
        <v>58.0</v>
      </c>
      <c r="AO8" s="19">
        <v>96.0</v>
      </c>
      <c r="AP8" s="19">
        <v>11.0</v>
      </c>
      <c r="AQ8" s="23">
        <v>7.0</v>
      </c>
      <c r="AR8" s="23">
        <v>1.0</v>
      </c>
      <c r="AS8" s="22"/>
      <c r="AT8" s="19" t="s">
        <v>2282</v>
      </c>
      <c r="AU8" s="19" t="s">
        <v>2283</v>
      </c>
      <c r="AV8" s="19" t="s">
        <v>2284</v>
      </c>
      <c r="AW8" s="19" t="s">
        <v>2285</v>
      </c>
      <c r="AX8" s="20">
        <v>37140.0</v>
      </c>
      <c r="AY8" s="19" t="s">
        <v>2286</v>
      </c>
      <c r="AZ8" s="19" t="s">
        <v>2122</v>
      </c>
      <c r="BA8" s="19" t="s">
        <v>2287</v>
      </c>
      <c r="BB8" s="19" t="s">
        <v>2288</v>
      </c>
      <c r="BC8" s="19" t="s">
        <v>2289</v>
      </c>
      <c r="BD8" s="19" t="s">
        <v>2290</v>
      </c>
      <c r="BE8" s="19" t="s">
        <v>2278</v>
      </c>
      <c r="BF8" s="19">
        <v>1.1949605018E10</v>
      </c>
      <c r="BG8" s="19" t="s">
        <v>2127</v>
      </c>
      <c r="BH8" s="19" t="s">
        <v>2128</v>
      </c>
      <c r="BI8" s="19"/>
      <c r="BJ8" s="19" t="s">
        <v>2128</v>
      </c>
      <c r="BK8" s="19" t="s">
        <v>17</v>
      </c>
      <c r="BL8" s="19"/>
      <c r="BM8" s="19" t="s">
        <v>2130</v>
      </c>
      <c r="BN8" s="19" t="s">
        <v>2291</v>
      </c>
      <c r="BO8" s="19" t="s">
        <v>2132</v>
      </c>
      <c r="BP8" s="19"/>
      <c r="BQ8" s="19" t="s">
        <v>2133</v>
      </c>
      <c r="BR8" s="19" t="s">
        <v>2133</v>
      </c>
      <c r="BS8" s="19" t="s">
        <v>2134</v>
      </c>
      <c r="BT8" s="19" t="s">
        <v>38</v>
      </c>
      <c r="BU8" s="19" t="s">
        <v>2292</v>
      </c>
      <c r="BV8" s="19" t="s">
        <v>2293</v>
      </c>
      <c r="BW8" s="19" t="s">
        <v>2113</v>
      </c>
      <c r="BX8" s="19"/>
      <c r="BY8" s="19"/>
      <c r="BZ8" s="19"/>
      <c r="CA8" s="19"/>
      <c r="CB8" s="19" t="s">
        <v>2113</v>
      </c>
      <c r="CC8" s="19"/>
      <c r="CD8" s="19" t="s">
        <v>2137</v>
      </c>
      <c r="CE8" s="19" t="s">
        <v>16</v>
      </c>
      <c r="CF8" s="19"/>
      <c r="CG8" s="19"/>
      <c r="CH8" s="19" t="s">
        <v>17</v>
      </c>
      <c r="CI8" s="21">
        <v>3.0</v>
      </c>
      <c r="CJ8" s="19" t="s">
        <v>16</v>
      </c>
      <c r="CK8" s="19"/>
      <c r="CL8" s="19"/>
      <c r="CM8" s="19" t="s">
        <v>2138</v>
      </c>
      <c r="CN8" s="19" t="s">
        <v>2294</v>
      </c>
      <c r="CO8" s="19"/>
      <c r="CP8" s="19" t="s">
        <v>2225</v>
      </c>
      <c r="CQ8" s="19"/>
      <c r="CR8" s="19" t="s">
        <v>2113</v>
      </c>
      <c r="CS8" s="19" t="s">
        <v>2113</v>
      </c>
      <c r="CT8" s="19" t="s">
        <v>2113</v>
      </c>
      <c r="CU8" s="19" t="s">
        <v>2113</v>
      </c>
      <c r="CV8" s="19" t="s">
        <v>2141</v>
      </c>
      <c r="CW8" s="19" t="s">
        <v>2113</v>
      </c>
      <c r="CX8" s="19" t="s">
        <v>2113</v>
      </c>
      <c r="CY8" s="19" t="s">
        <v>2113</v>
      </c>
      <c r="CZ8" s="19" t="s">
        <v>2113</v>
      </c>
      <c r="DA8" s="19" t="s">
        <v>16</v>
      </c>
      <c r="DB8" s="19" t="s">
        <v>16</v>
      </c>
      <c r="DC8" s="19" t="s">
        <v>2295</v>
      </c>
      <c r="DD8" s="19" t="s">
        <v>2113</v>
      </c>
      <c r="DE8" s="19" t="s">
        <v>2113</v>
      </c>
      <c r="DF8" s="19" t="s">
        <v>2296</v>
      </c>
      <c r="DG8" s="19" t="s">
        <v>2297</v>
      </c>
      <c r="DH8" s="19" t="s">
        <v>2144</v>
      </c>
      <c r="DI8" s="24">
        <v>45518.0</v>
      </c>
      <c r="DJ8" s="19" t="s">
        <v>2133</v>
      </c>
      <c r="DK8" s="19" t="s">
        <v>2271</v>
      </c>
      <c r="DL8" s="19" t="s">
        <v>2146</v>
      </c>
      <c r="DM8" s="19"/>
      <c r="DN8" s="19">
        <v>4.0</v>
      </c>
      <c r="DO8" s="19">
        <v>4.0</v>
      </c>
      <c r="DP8" s="19" t="s">
        <v>2298</v>
      </c>
      <c r="DQ8" s="19" t="s">
        <v>2299</v>
      </c>
      <c r="DR8" s="19" t="s">
        <v>2300</v>
      </c>
      <c r="DS8" s="19" t="s">
        <v>2185</v>
      </c>
      <c r="DT8" s="19" t="s">
        <v>2301</v>
      </c>
      <c r="DU8" s="19"/>
      <c r="DV8" s="19"/>
      <c r="DW8" s="19" t="s">
        <v>2153</v>
      </c>
      <c r="DX8" s="19">
        <v>1.0</v>
      </c>
      <c r="DY8" s="19">
        <v>10.0</v>
      </c>
      <c r="DZ8" s="19">
        <v>0.0</v>
      </c>
      <c r="EA8" s="19">
        <v>10.0</v>
      </c>
      <c r="EB8" s="19">
        <v>3.0</v>
      </c>
      <c r="EC8" s="19">
        <v>20.0</v>
      </c>
      <c r="ED8" s="19" t="s">
        <v>2133</v>
      </c>
      <c r="EE8" s="24">
        <v>45518.0</v>
      </c>
      <c r="EF8" s="19" t="s">
        <v>2133</v>
      </c>
      <c r="EG8" s="19" t="s">
        <v>2271</v>
      </c>
      <c r="EH8" s="19" t="s">
        <v>2146</v>
      </c>
      <c r="EI8" s="22">
        <v>15.0</v>
      </c>
      <c r="EJ8" s="19">
        <v>43.0</v>
      </c>
      <c r="EK8" s="19"/>
      <c r="EL8" s="19" t="s">
        <v>2282</v>
      </c>
      <c r="EM8" s="19" t="s">
        <v>2283</v>
      </c>
      <c r="EN8" s="19" t="s">
        <v>37</v>
      </c>
      <c r="EO8" s="19" t="s">
        <v>2286</v>
      </c>
      <c r="EP8" s="19" t="s">
        <v>2122</v>
      </c>
      <c r="EQ8" s="19" t="s">
        <v>2294</v>
      </c>
      <c r="ER8" s="19"/>
      <c r="ES8" s="19" t="s">
        <v>37</v>
      </c>
      <c r="ET8" s="19" t="s">
        <v>37</v>
      </c>
      <c r="EU8" s="19" t="s">
        <v>2279</v>
      </c>
      <c r="EV8" s="19">
        <v>8321.0</v>
      </c>
      <c r="EW8" s="19" t="s">
        <v>16</v>
      </c>
      <c r="EX8" s="19">
        <v>5.0</v>
      </c>
      <c r="EY8" s="25" t="s">
        <v>36</v>
      </c>
      <c r="EZ8" s="19" t="s">
        <v>2154</v>
      </c>
      <c r="FA8" s="5" t="s">
        <v>2302</v>
      </c>
      <c r="FB8" s="26" t="s">
        <v>2156</v>
      </c>
      <c r="FC8" s="26"/>
    </row>
    <row r="9">
      <c r="A9" s="19" t="s">
        <v>2156</v>
      </c>
      <c r="B9" s="19" t="s">
        <v>2113</v>
      </c>
      <c r="C9" s="19" t="s">
        <v>2113</v>
      </c>
      <c r="D9" s="19" t="s">
        <v>39</v>
      </c>
      <c r="E9" s="19" t="s">
        <v>2303</v>
      </c>
      <c r="F9" s="19" t="s">
        <v>39</v>
      </c>
      <c r="G9" s="19"/>
      <c r="H9" s="19" t="s">
        <v>39</v>
      </c>
      <c r="I9" s="19" t="s">
        <v>41</v>
      </c>
      <c r="J9" s="19" t="s">
        <v>2304</v>
      </c>
      <c r="K9" s="19" t="s">
        <v>2305</v>
      </c>
      <c r="L9" s="20">
        <v>45395.0</v>
      </c>
      <c r="M9" s="20">
        <v>45411.0</v>
      </c>
      <c r="N9" s="20">
        <v>45411.0</v>
      </c>
      <c r="O9" s="19" t="s">
        <v>40</v>
      </c>
      <c r="P9" s="19">
        <v>0.0</v>
      </c>
      <c r="Q9" s="19">
        <v>27.0</v>
      </c>
      <c r="R9" s="19">
        <v>10213.0</v>
      </c>
      <c r="S9" s="20" t="s">
        <v>2306</v>
      </c>
      <c r="T9" s="20">
        <v>45461.0</v>
      </c>
      <c r="U9" s="19" t="s">
        <v>39</v>
      </c>
      <c r="V9" s="19"/>
      <c r="W9" s="19"/>
      <c r="X9" s="21">
        <v>20.0</v>
      </c>
      <c r="Y9" s="21">
        <v>10.0</v>
      </c>
      <c r="Z9" s="21">
        <v>4.0</v>
      </c>
      <c r="AA9" s="21">
        <v>3.0</v>
      </c>
      <c r="AB9" s="5">
        <v>37.0</v>
      </c>
      <c r="AC9" s="19">
        <v>5.0</v>
      </c>
      <c r="AD9" s="19">
        <v>4.5</v>
      </c>
      <c r="AE9" s="19">
        <v>5.0</v>
      </c>
      <c r="AF9" s="19">
        <v>4.5</v>
      </c>
      <c r="AG9" s="19">
        <v>3.5</v>
      </c>
      <c r="AH9" s="19">
        <v>5.0</v>
      </c>
      <c r="AI9" s="22">
        <v>13.921875</v>
      </c>
      <c r="AJ9" s="19">
        <v>15.0</v>
      </c>
      <c r="AK9" s="19">
        <v>15.0</v>
      </c>
      <c r="AL9" s="19">
        <v>15.0</v>
      </c>
      <c r="AM9" s="19">
        <v>45.0</v>
      </c>
      <c r="AN9" s="19">
        <v>58.9</v>
      </c>
      <c r="AO9" s="19">
        <v>95.9</v>
      </c>
      <c r="AP9" s="19">
        <v>23.0</v>
      </c>
      <c r="AQ9" s="23">
        <v>8.0</v>
      </c>
      <c r="AR9" s="23">
        <v>1.0</v>
      </c>
      <c r="AS9" s="22"/>
      <c r="AT9" s="19" t="s">
        <v>2163</v>
      </c>
      <c r="AU9" s="19" t="s">
        <v>2307</v>
      </c>
      <c r="AV9" s="19" t="s">
        <v>2308</v>
      </c>
      <c r="AW9" s="19" t="s">
        <v>2166</v>
      </c>
      <c r="AX9" s="20">
        <v>35248.0</v>
      </c>
      <c r="AY9" s="19" t="s">
        <v>2309</v>
      </c>
      <c r="AZ9" s="19" t="s">
        <v>2310</v>
      </c>
      <c r="BA9" s="19" t="s">
        <v>2311</v>
      </c>
      <c r="BB9" s="19" t="s">
        <v>2312</v>
      </c>
      <c r="BC9" s="19" t="s">
        <v>2313</v>
      </c>
      <c r="BD9" s="19" t="s">
        <v>2314</v>
      </c>
      <c r="BE9" s="19" t="s">
        <v>2315</v>
      </c>
      <c r="BF9" s="19" t="s">
        <v>2316</v>
      </c>
      <c r="BG9" s="19" t="s">
        <v>2127</v>
      </c>
      <c r="BH9" s="19" t="s">
        <v>2128</v>
      </c>
      <c r="BI9" s="19"/>
      <c r="BJ9" s="19" t="s">
        <v>2128</v>
      </c>
      <c r="BK9" s="19" t="s">
        <v>16</v>
      </c>
      <c r="BL9" s="19"/>
      <c r="BM9" s="19" t="s">
        <v>2130</v>
      </c>
      <c r="BN9" s="19" t="s">
        <v>2172</v>
      </c>
      <c r="BO9" s="19" t="s">
        <v>2317</v>
      </c>
      <c r="BP9" s="19"/>
      <c r="BQ9" s="19" t="s">
        <v>2318</v>
      </c>
      <c r="BR9" s="19" t="s">
        <v>2318</v>
      </c>
      <c r="BS9" s="19" t="s">
        <v>2134</v>
      </c>
      <c r="BT9" s="19" t="s">
        <v>42</v>
      </c>
      <c r="BU9" s="19" t="s">
        <v>2319</v>
      </c>
      <c r="BV9" s="19" t="s">
        <v>2320</v>
      </c>
      <c r="BW9" s="19" t="s">
        <v>2113</v>
      </c>
      <c r="BX9" s="19"/>
      <c r="BY9" s="19"/>
      <c r="BZ9" s="19"/>
      <c r="CA9" s="19"/>
      <c r="CB9" s="19" t="s">
        <v>2113</v>
      </c>
      <c r="CC9" s="19"/>
      <c r="CD9" s="19" t="s">
        <v>2137</v>
      </c>
      <c r="CE9" s="19" t="s">
        <v>16</v>
      </c>
      <c r="CF9" s="19"/>
      <c r="CG9" s="19"/>
      <c r="CH9" s="19" t="s">
        <v>17</v>
      </c>
      <c r="CI9" s="21">
        <v>3.0</v>
      </c>
      <c r="CJ9" s="19" t="s">
        <v>17</v>
      </c>
      <c r="CK9" s="19"/>
      <c r="CL9" s="19"/>
      <c r="CM9" s="19" t="s">
        <v>2138</v>
      </c>
      <c r="CN9" s="19" t="s">
        <v>2321</v>
      </c>
      <c r="CO9" s="19"/>
      <c r="CP9" s="19" t="s">
        <v>2134</v>
      </c>
      <c r="CQ9" s="19"/>
      <c r="CR9" s="19" t="s">
        <v>2113</v>
      </c>
      <c r="CS9" s="19" t="s">
        <v>2113</v>
      </c>
      <c r="CT9" s="19" t="s">
        <v>2113</v>
      </c>
      <c r="CU9" s="19" t="s">
        <v>2113</v>
      </c>
      <c r="CV9" s="19" t="s">
        <v>2141</v>
      </c>
      <c r="CW9" s="19" t="s">
        <v>2113</v>
      </c>
      <c r="CX9" s="19" t="s">
        <v>2113</v>
      </c>
      <c r="CY9" s="19" t="s">
        <v>2113</v>
      </c>
      <c r="CZ9" s="19" t="s">
        <v>2113</v>
      </c>
      <c r="DA9" s="19" t="s">
        <v>16</v>
      </c>
      <c r="DB9" s="19" t="s">
        <v>17</v>
      </c>
      <c r="DC9" s="19" t="s">
        <v>2322</v>
      </c>
      <c r="DD9" s="19" t="s">
        <v>2113</v>
      </c>
      <c r="DE9" s="19" t="s">
        <v>2113</v>
      </c>
      <c r="DF9" s="19" t="s">
        <v>2323</v>
      </c>
      <c r="DG9" s="19" t="s">
        <v>2324</v>
      </c>
      <c r="DH9" s="19" t="s">
        <v>2144</v>
      </c>
      <c r="DI9" s="24">
        <v>45519.0</v>
      </c>
      <c r="DJ9" s="19" t="s">
        <v>2325</v>
      </c>
      <c r="DK9" s="19" t="s">
        <v>2145</v>
      </c>
      <c r="DL9" s="19" t="s">
        <v>2326</v>
      </c>
      <c r="DM9" s="19"/>
      <c r="DN9" s="19">
        <v>5.0</v>
      </c>
      <c r="DO9" s="19">
        <v>5.0</v>
      </c>
      <c r="DP9" s="19" t="s">
        <v>2327</v>
      </c>
      <c r="DQ9" s="19" t="s">
        <v>2327</v>
      </c>
      <c r="DR9" s="19" t="s">
        <v>2327</v>
      </c>
      <c r="DS9" s="19" t="s">
        <v>2185</v>
      </c>
      <c r="DT9" s="19" t="s">
        <v>2209</v>
      </c>
      <c r="DU9" s="19"/>
      <c r="DV9" s="19"/>
      <c r="DW9" s="19" t="s">
        <v>2188</v>
      </c>
      <c r="DX9" s="19">
        <v>5.0</v>
      </c>
      <c r="DY9" s="19">
        <v>10.0</v>
      </c>
      <c r="DZ9" s="19">
        <v>0.0</v>
      </c>
      <c r="EA9" s="19">
        <v>10.0</v>
      </c>
      <c r="EB9" s="19">
        <v>3.0</v>
      </c>
      <c r="EC9" s="19">
        <v>20.0</v>
      </c>
      <c r="ED9" s="19" t="s">
        <v>2325</v>
      </c>
      <c r="EE9" s="24">
        <v>45519.0</v>
      </c>
      <c r="EF9" s="19" t="s">
        <v>2325</v>
      </c>
      <c r="EG9" s="19" t="s">
        <v>2145</v>
      </c>
      <c r="EH9" s="19" t="s">
        <v>2326</v>
      </c>
      <c r="EI9" s="22">
        <v>13.921875</v>
      </c>
      <c r="EJ9" s="19">
        <v>45.0</v>
      </c>
      <c r="EK9" s="19" t="s">
        <v>2113</v>
      </c>
      <c r="EL9" s="19" t="s">
        <v>2163</v>
      </c>
      <c r="EM9" s="19" t="s">
        <v>2307</v>
      </c>
      <c r="EN9" s="19" t="s">
        <v>41</v>
      </c>
      <c r="EO9" s="19" t="s">
        <v>2309</v>
      </c>
      <c r="EP9" s="19" t="s">
        <v>2310</v>
      </c>
      <c r="EQ9" s="19" t="s">
        <v>2321</v>
      </c>
      <c r="ER9" s="19"/>
      <c r="ES9" s="19" t="s">
        <v>41</v>
      </c>
      <c r="ET9" s="19" t="s">
        <v>41</v>
      </c>
      <c r="EU9" s="19" t="s">
        <v>2305</v>
      </c>
      <c r="EV9" s="19">
        <v>10213.0</v>
      </c>
      <c r="EW9" s="19" t="s">
        <v>16</v>
      </c>
      <c r="EX9" s="19">
        <v>4.0</v>
      </c>
      <c r="EY9" s="25" t="s">
        <v>40</v>
      </c>
      <c r="EZ9" s="19" t="s">
        <v>2154</v>
      </c>
      <c r="FA9" s="5" t="s">
        <v>2328</v>
      </c>
      <c r="FB9" s="26" t="s">
        <v>2156</v>
      </c>
      <c r="FC9" s="26"/>
    </row>
    <row r="10">
      <c r="A10" s="19" t="s">
        <v>2112</v>
      </c>
      <c r="B10" s="19" t="s">
        <v>2113</v>
      </c>
      <c r="C10" s="19" t="s">
        <v>2113</v>
      </c>
      <c r="D10" s="19" t="s">
        <v>43</v>
      </c>
      <c r="E10" s="19" t="s">
        <v>2329</v>
      </c>
      <c r="F10" s="19" t="s">
        <v>2330</v>
      </c>
      <c r="G10" s="19" t="s">
        <v>2331</v>
      </c>
      <c r="H10" s="19" t="s">
        <v>43</v>
      </c>
      <c r="I10" s="19" t="s">
        <v>45</v>
      </c>
      <c r="J10" s="19" t="s">
        <v>2332</v>
      </c>
      <c r="K10" s="19" t="s">
        <v>2333</v>
      </c>
      <c r="L10" s="20">
        <v>45460.0</v>
      </c>
      <c r="M10" s="20">
        <v>45462.0</v>
      </c>
      <c r="N10" s="20">
        <v>45462.0</v>
      </c>
      <c r="O10" s="19" t="s">
        <v>44</v>
      </c>
      <c r="P10" s="19">
        <v>0.0</v>
      </c>
      <c r="Q10" s="19">
        <v>24.0</v>
      </c>
      <c r="R10" s="19">
        <v>9076.0</v>
      </c>
      <c r="S10" s="20" t="s">
        <v>2334</v>
      </c>
      <c r="T10" s="20">
        <v>45461.0</v>
      </c>
      <c r="U10" s="19" t="s">
        <v>2330</v>
      </c>
      <c r="V10" s="19"/>
      <c r="W10" s="19"/>
      <c r="X10" s="21">
        <v>20.0</v>
      </c>
      <c r="Y10" s="21">
        <v>10.0</v>
      </c>
      <c r="Z10" s="21">
        <v>5.0</v>
      </c>
      <c r="AA10" s="21">
        <v>0.0</v>
      </c>
      <c r="AB10" s="5">
        <v>35.0</v>
      </c>
      <c r="AC10" s="19">
        <v>5.0</v>
      </c>
      <c r="AD10" s="19">
        <v>5.0</v>
      </c>
      <c r="AE10" s="19">
        <v>5.0</v>
      </c>
      <c r="AF10" s="19">
        <v>5.0</v>
      </c>
      <c r="AG10" s="19">
        <v>5.0</v>
      </c>
      <c r="AH10" s="19">
        <v>5.0</v>
      </c>
      <c r="AI10" s="22">
        <v>15.0</v>
      </c>
      <c r="AJ10" s="19">
        <v>15.0</v>
      </c>
      <c r="AK10" s="19">
        <v>15.0</v>
      </c>
      <c r="AL10" s="19">
        <v>15.0</v>
      </c>
      <c r="AM10" s="19">
        <v>45.0</v>
      </c>
      <c r="AN10" s="19">
        <v>60.0</v>
      </c>
      <c r="AO10" s="19">
        <v>95.0</v>
      </c>
      <c r="AP10" s="19">
        <v>55.0</v>
      </c>
      <c r="AQ10" s="23">
        <v>9.0</v>
      </c>
      <c r="AR10" s="23">
        <v>5.0</v>
      </c>
      <c r="AS10" s="22"/>
      <c r="AT10" s="19" t="s">
        <v>2117</v>
      </c>
      <c r="AU10" s="19" t="s">
        <v>2335</v>
      </c>
      <c r="AV10" s="19" t="s">
        <v>2336</v>
      </c>
      <c r="AW10" s="19" t="s">
        <v>2337</v>
      </c>
      <c r="AX10" s="20">
        <v>36385.0</v>
      </c>
      <c r="AY10" s="19" t="s">
        <v>2338</v>
      </c>
      <c r="AZ10" s="19" t="s">
        <v>2122</v>
      </c>
      <c r="BA10" s="19" t="s">
        <v>2339</v>
      </c>
      <c r="BB10" s="19" t="s">
        <v>2340</v>
      </c>
      <c r="BC10" s="19" t="s">
        <v>2341</v>
      </c>
      <c r="BD10" s="19" t="s">
        <v>2342</v>
      </c>
      <c r="BE10" s="19" t="s">
        <v>2332</v>
      </c>
      <c r="BF10" s="19">
        <v>1.1914468328E10</v>
      </c>
      <c r="BG10" s="19" t="s">
        <v>2127</v>
      </c>
      <c r="BH10" s="19" t="s">
        <v>2128</v>
      </c>
      <c r="BI10" s="19"/>
      <c r="BJ10" s="19"/>
      <c r="BK10" s="19" t="s">
        <v>16</v>
      </c>
      <c r="BL10" s="19" t="s">
        <v>2113</v>
      </c>
      <c r="BM10" s="19" t="s">
        <v>2130</v>
      </c>
      <c r="BN10" s="19" t="s">
        <v>2172</v>
      </c>
      <c r="BO10" s="19" t="s">
        <v>2132</v>
      </c>
      <c r="BP10" s="19"/>
      <c r="BQ10" s="19" t="s">
        <v>2174</v>
      </c>
      <c r="BR10" s="19" t="s">
        <v>2174</v>
      </c>
      <c r="BS10" s="19" t="s">
        <v>2134</v>
      </c>
      <c r="BT10" s="19" t="s">
        <v>21</v>
      </c>
      <c r="BU10" s="19"/>
      <c r="BV10" s="19" t="s">
        <v>2343</v>
      </c>
      <c r="BW10" s="19"/>
      <c r="BX10" s="19"/>
      <c r="BY10" s="19"/>
      <c r="BZ10" s="19"/>
      <c r="CA10" s="19"/>
      <c r="CB10" s="19" t="s">
        <v>2113</v>
      </c>
      <c r="CC10" s="19"/>
      <c r="CD10" s="19" t="s">
        <v>2137</v>
      </c>
      <c r="CE10" s="19" t="s">
        <v>16</v>
      </c>
      <c r="CF10" s="19"/>
      <c r="CG10" s="19"/>
      <c r="CH10" s="19" t="s">
        <v>16</v>
      </c>
      <c r="CI10" s="21">
        <v>0.0</v>
      </c>
      <c r="CJ10" s="19" t="s">
        <v>17</v>
      </c>
      <c r="CK10" s="19"/>
      <c r="CL10" s="19"/>
      <c r="CM10" s="19" t="s">
        <v>2344</v>
      </c>
      <c r="CN10" s="19" t="s">
        <v>2204</v>
      </c>
      <c r="CO10" s="19"/>
      <c r="CP10" s="19"/>
      <c r="CQ10" s="19"/>
      <c r="CR10" s="19" t="s">
        <v>2113</v>
      </c>
      <c r="CS10" s="19" t="s">
        <v>2113</v>
      </c>
      <c r="CT10" s="19" t="s">
        <v>2113</v>
      </c>
      <c r="CU10" s="19" t="s">
        <v>2113</v>
      </c>
      <c r="CV10" s="19" t="s">
        <v>2141</v>
      </c>
      <c r="CW10" s="19" t="s">
        <v>2113</v>
      </c>
      <c r="CX10" s="19" t="s">
        <v>2113</v>
      </c>
      <c r="CY10" s="19"/>
      <c r="CZ10" s="19"/>
      <c r="DA10" s="19" t="s">
        <v>16</v>
      </c>
      <c r="DB10" s="19" t="s">
        <v>17</v>
      </c>
      <c r="DC10" s="19" t="s">
        <v>2181</v>
      </c>
      <c r="DD10" s="19"/>
      <c r="DE10" s="19"/>
      <c r="DF10" s="19" t="s">
        <v>2247</v>
      </c>
      <c r="DG10" s="19" t="s">
        <v>2345</v>
      </c>
      <c r="DH10" s="19" t="s">
        <v>2144</v>
      </c>
      <c r="DI10" s="24">
        <v>45518.0</v>
      </c>
      <c r="DJ10" s="19" t="s">
        <v>2174</v>
      </c>
      <c r="DK10" s="19" t="s">
        <v>2271</v>
      </c>
      <c r="DL10" s="19" t="s">
        <v>2183</v>
      </c>
      <c r="DM10" s="19" t="s">
        <v>2346</v>
      </c>
      <c r="DN10" s="19">
        <v>4.0</v>
      </c>
      <c r="DO10" s="19">
        <v>4.0</v>
      </c>
      <c r="DP10" s="19" t="s">
        <v>2347</v>
      </c>
      <c r="DQ10" s="19" t="s">
        <v>2348</v>
      </c>
      <c r="DR10" s="19" t="s">
        <v>2349</v>
      </c>
      <c r="DS10" s="19" t="s">
        <v>2151</v>
      </c>
      <c r="DT10" s="19" t="s">
        <v>2350</v>
      </c>
      <c r="DU10" s="19"/>
      <c r="DV10" s="19"/>
      <c r="DW10" s="19" t="s">
        <v>2153</v>
      </c>
      <c r="DX10" s="19">
        <v>13.0</v>
      </c>
      <c r="DY10" s="19">
        <v>10.0</v>
      </c>
      <c r="DZ10" s="19">
        <v>0.0</v>
      </c>
      <c r="EA10" s="19">
        <v>10.0</v>
      </c>
      <c r="EB10" s="19">
        <v>0.0</v>
      </c>
      <c r="EC10" s="19">
        <v>20.0</v>
      </c>
      <c r="ED10" s="19" t="s">
        <v>2174</v>
      </c>
      <c r="EE10" s="24">
        <v>45518.0</v>
      </c>
      <c r="EF10" s="19" t="s">
        <v>2174</v>
      </c>
      <c r="EG10" s="19" t="s">
        <v>2271</v>
      </c>
      <c r="EH10" s="19" t="s">
        <v>2183</v>
      </c>
      <c r="EI10" s="22">
        <v>15.0</v>
      </c>
      <c r="EJ10" s="19">
        <v>45.0</v>
      </c>
      <c r="EK10" s="19" t="s">
        <v>2113</v>
      </c>
      <c r="EL10" s="19" t="s">
        <v>2117</v>
      </c>
      <c r="EM10" s="19" t="s">
        <v>2335</v>
      </c>
      <c r="EN10" s="19" t="s">
        <v>45</v>
      </c>
      <c r="EO10" s="19" t="s">
        <v>2338</v>
      </c>
      <c r="EP10" s="19" t="s">
        <v>2122</v>
      </c>
      <c r="EQ10" s="19" t="s">
        <v>2204</v>
      </c>
      <c r="ER10" s="19"/>
      <c r="ES10" s="19" t="s">
        <v>45</v>
      </c>
      <c r="ET10" s="19" t="s">
        <v>45</v>
      </c>
      <c r="EU10" s="19" t="s">
        <v>2333</v>
      </c>
      <c r="EV10" s="19">
        <v>9076.0</v>
      </c>
      <c r="EW10" s="19" t="s">
        <v>16</v>
      </c>
      <c r="EX10" s="19">
        <v>5.0</v>
      </c>
      <c r="EY10" s="25" t="s">
        <v>44</v>
      </c>
      <c r="EZ10" s="19" t="s">
        <v>2154</v>
      </c>
      <c r="FA10" s="5" t="s">
        <v>2351</v>
      </c>
      <c r="FB10" s="26" t="s">
        <v>2156</v>
      </c>
      <c r="FC10" s="26"/>
    </row>
    <row r="11">
      <c r="A11" s="19" t="s">
        <v>2112</v>
      </c>
      <c r="B11" s="19" t="s">
        <v>2113</v>
      </c>
      <c r="C11" s="19" t="s">
        <v>2113</v>
      </c>
      <c r="D11" s="19" t="s">
        <v>46</v>
      </c>
      <c r="E11" s="19" t="s">
        <v>2352</v>
      </c>
      <c r="F11" s="19" t="s">
        <v>46</v>
      </c>
      <c r="G11" s="19"/>
      <c r="H11" s="19" t="s">
        <v>46</v>
      </c>
      <c r="I11" s="19" t="s">
        <v>48</v>
      </c>
      <c r="J11" s="19" t="s">
        <v>2353</v>
      </c>
      <c r="K11" s="19" t="s">
        <v>2354</v>
      </c>
      <c r="L11" s="20">
        <v>45446.0</v>
      </c>
      <c r="M11" s="20">
        <v>45446.0</v>
      </c>
      <c r="N11" s="20">
        <v>45446.0</v>
      </c>
      <c r="O11" s="19" t="s">
        <v>47</v>
      </c>
      <c r="P11" s="19">
        <v>0.0</v>
      </c>
      <c r="Q11" s="19">
        <v>27.0</v>
      </c>
      <c r="R11" s="19">
        <v>10002.0</v>
      </c>
      <c r="S11" s="20" t="s">
        <v>2355</v>
      </c>
      <c r="T11" s="20">
        <v>45461.0</v>
      </c>
      <c r="U11" s="19" t="s">
        <v>46</v>
      </c>
      <c r="V11" s="19"/>
      <c r="W11" s="19"/>
      <c r="X11" s="21">
        <v>20.0</v>
      </c>
      <c r="Y11" s="21">
        <v>10.0</v>
      </c>
      <c r="Z11" s="21">
        <v>5.0</v>
      </c>
      <c r="AA11" s="21">
        <v>0.0</v>
      </c>
      <c r="AB11" s="5">
        <v>35.0</v>
      </c>
      <c r="AC11" s="19">
        <v>5.0</v>
      </c>
      <c r="AD11" s="19">
        <v>5.0</v>
      </c>
      <c r="AE11" s="19">
        <v>5.0</v>
      </c>
      <c r="AF11" s="19">
        <v>4.8</v>
      </c>
      <c r="AG11" s="19">
        <v>5.0</v>
      </c>
      <c r="AH11" s="19">
        <v>4.8</v>
      </c>
      <c r="AI11" s="22">
        <v>14.849999999999998</v>
      </c>
      <c r="AJ11" s="19">
        <v>15.0</v>
      </c>
      <c r="AK11" s="19">
        <v>15.0</v>
      </c>
      <c r="AL11" s="19">
        <v>15.0</v>
      </c>
      <c r="AM11" s="19">
        <v>45.0</v>
      </c>
      <c r="AN11" s="19">
        <v>59.9</v>
      </c>
      <c r="AO11" s="19">
        <v>94.9</v>
      </c>
      <c r="AP11" s="19">
        <v>49.0</v>
      </c>
      <c r="AQ11" s="23">
        <v>10.0</v>
      </c>
      <c r="AR11" s="23">
        <v>2.0</v>
      </c>
      <c r="AS11" s="22"/>
      <c r="AT11" s="19" t="s">
        <v>2163</v>
      </c>
      <c r="AU11" s="19" t="s">
        <v>2255</v>
      </c>
      <c r="AV11" s="19" t="s">
        <v>2356</v>
      </c>
      <c r="AW11" s="19" t="s">
        <v>2357</v>
      </c>
      <c r="AX11" s="20">
        <v>35459.0</v>
      </c>
      <c r="AY11" s="19" t="s">
        <v>2358</v>
      </c>
      <c r="AZ11" s="19" t="s">
        <v>2122</v>
      </c>
      <c r="BA11" s="19" t="s">
        <v>2359</v>
      </c>
      <c r="BB11" s="19" t="s">
        <v>2360</v>
      </c>
      <c r="BC11" s="19" t="s">
        <v>2361</v>
      </c>
      <c r="BD11" s="19" t="s">
        <v>2362</v>
      </c>
      <c r="BE11" s="19" t="s">
        <v>2353</v>
      </c>
      <c r="BF11" s="19">
        <v>1.1959943506E10</v>
      </c>
      <c r="BG11" s="19" t="s">
        <v>2127</v>
      </c>
      <c r="BH11" s="19" t="s">
        <v>2128</v>
      </c>
      <c r="BI11" s="19"/>
      <c r="BJ11" s="19" t="s">
        <v>2128</v>
      </c>
      <c r="BK11" s="19" t="s">
        <v>17</v>
      </c>
      <c r="BL11" s="19" t="s">
        <v>2113</v>
      </c>
      <c r="BM11" s="19" t="s">
        <v>2130</v>
      </c>
      <c r="BN11" s="19" t="s">
        <v>2172</v>
      </c>
      <c r="BO11" s="19" t="s">
        <v>2132</v>
      </c>
      <c r="BP11" s="19"/>
      <c r="BQ11" s="19" t="s">
        <v>2174</v>
      </c>
      <c r="BR11" s="19" t="s">
        <v>2174</v>
      </c>
      <c r="BS11" s="19" t="s">
        <v>2134</v>
      </c>
      <c r="BT11" s="19" t="s">
        <v>34</v>
      </c>
      <c r="BU11" s="19"/>
      <c r="BV11" s="19" t="s">
        <v>2363</v>
      </c>
      <c r="BW11" s="19"/>
      <c r="BX11" s="19"/>
      <c r="BY11" s="19"/>
      <c r="BZ11" s="19" t="s">
        <v>2113</v>
      </c>
      <c r="CA11" s="19"/>
      <c r="CB11" s="19" t="s">
        <v>2113</v>
      </c>
      <c r="CC11" s="19"/>
      <c r="CD11" s="19" t="s">
        <v>2137</v>
      </c>
      <c r="CE11" s="19" t="s">
        <v>16</v>
      </c>
      <c r="CF11" s="19"/>
      <c r="CG11" s="19"/>
      <c r="CH11" s="19" t="s">
        <v>16</v>
      </c>
      <c r="CI11" s="21">
        <v>0.0</v>
      </c>
      <c r="CJ11" s="19" t="s">
        <v>17</v>
      </c>
      <c r="CK11" s="19"/>
      <c r="CL11" s="19"/>
      <c r="CM11" s="19" t="s">
        <v>2138</v>
      </c>
      <c r="CN11" s="19" t="s">
        <v>2266</v>
      </c>
      <c r="CO11" s="19"/>
      <c r="CP11" s="19" t="s">
        <v>2178</v>
      </c>
      <c r="CQ11" s="19"/>
      <c r="CR11" s="19" t="s">
        <v>2113</v>
      </c>
      <c r="CS11" s="19" t="s">
        <v>2113</v>
      </c>
      <c r="CT11" s="19" t="s">
        <v>2113</v>
      </c>
      <c r="CU11" s="19" t="s">
        <v>2113</v>
      </c>
      <c r="CV11" s="19" t="s">
        <v>2179</v>
      </c>
      <c r="CW11" s="19" t="s">
        <v>2113</v>
      </c>
      <c r="CX11" s="19" t="s">
        <v>2113</v>
      </c>
      <c r="CY11" s="19" t="s">
        <v>2113</v>
      </c>
      <c r="CZ11" s="19" t="s">
        <v>2113</v>
      </c>
      <c r="DA11" s="19" t="s">
        <v>16</v>
      </c>
      <c r="DB11" s="19" t="s">
        <v>17</v>
      </c>
      <c r="DC11" s="19" t="s">
        <v>2270</v>
      </c>
      <c r="DD11" s="19" t="s">
        <v>2113</v>
      </c>
      <c r="DE11" s="19" t="s">
        <v>2113</v>
      </c>
      <c r="DF11" s="19" t="s">
        <v>2268</v>
      </c>
      <c r="DG11" s="19" t="s">
        <v>2364</v>
      </c>
      <c r="DH11" s="19" t="s">
        <v>2144</v>
      </c>
      <c r="DI11" s="24">
        <v>45518.0</v>
      </c>
      <c r="DJ11" s="19" t="s">
        <v>2174</v>
      </c>
      <c r="DK11" s="19" t="s">
        <v>2145</v>
      </c>
      <c r="DL11" s="19" t="s">
        <v>2183</v>
      </c>
      <c r="DM11" s="19" t="s">
        <v>2228</v>
      </c>
      <c r="DN11" s="19">
        <v>3.0</v>
      </c>
      <c r="DO11" s="19">
        <v>3.0</v>
      </c>
      <c r="DP11" s="19"/>
      <c r="DQ11" s="19"/>
      <c r="DR11" s="19"/>
      <c r="DS11" s="19" t="s">
        <v>2365</v>
      </c>
      <c r="DT11" s="19" t="s">
        <v>2366</v>
      </c>
      <c r="DU11" s="19" t="s">
        <v>2367</v>
      </c>
      <c r="DV11" s="19"/>
      <c r="DW11" s="19" t="s">
        <v>2153</v>
      </c>
      <c r="DX11" s="19">
        <v>9.0</v>
      </c>
      <c r="DY11" s="19">
        <v>10.0</v>
      </c>
      <c r="DZ11" s="19">
        <v>0.0</v>
      </c>
      <c r="EA11" s="19">
        <v>10.0</v>
      </c>
      <c r="EB11" s="19">
        <v>0.0</v>
      </c>
      <c r="EC11" s="19">
        <v>20.0</v>
      </c>
      <c r="ED11" s="19" t="s">
        <v>2174</v>
      </c>
      <c r="EE11" s="24">
        <v>45518.0</v>
      </c>
      <c r="EF11" s="19" t="s">
        <v>2174</v>
      </c>
      <c r="EG11" s="19" t="s">
        <v>2145</v>
      </c>
      <c r="EH11" s="19" t="s">
        <v>2183</v>
      </c>
      <c r="EI11" s="22">
        <v>14.849999999999998</v>
      </c>
      <c r="EJ11" s="19">
        <v>45.0</v>
      </c>
      <c r="EK11" s="19" t="s">
        <v>2113</v>
      </c>
      <c r="EL11" s="19" t="s">
        <v>2163</v>
      </c>
      <c r="EM11" s="19" t="s">
        <v>2255</v>
      </c>
      <c r="EN11" s="19" t="s">
        <v>48</v>
      </c>
      <c r="EO11" s="19" t="s">
        <v>2358</v>
      </c>
      <c r="EP11" s="19" t="s">
        <v>2122</v>
      </c>
      <c r="EQ11" s="19" t="s">
        <v>2266</v>
      </c>
      <c r="ER11" s="19"/>
      <c r="ES11" s="19" t="s">
        <v>48</v>
      </c>
      <c r="ET11" s="19" t="s">
        <v>48</v>
      </c>
      <c r="EU11" s="19" t="s">
        <v>2354</v>
      </c>
      <c r="EV11" s="19">
        <v>10002.0</v>
      </c>
      <c r="EW11" s="19" t="s">
        <v>16</v>
      </c>
      <c r="EX11" s="19">
        <v>5.0</v>
      </c>
      <c r="EY11" s="25" t="s">
        <v>47</v>
      </c>
      <c r="EZ11" s="19" t="s">
        <v>2154</v>
      </c>
      <c r="FA11" s="5" t="s">
        <v>2368</v>
      </c>
      <c r="FB11" s="26" t="s">
        <v>2156</v>
      </c>
      <c r="FC11" s="26"/>
    </row>
    <row r="12">
      <c r="A12" s="19" t="s">
        <v>2156</v>
      </c>
      <c r="B12" s="19" t="s">
        <v>2113</v>
      </c>
      <c r="C12" s="19" t="s">
        <v>2113</v>
      </c>
      <c r="D12" s="19" t="s">
        <v>49</v>
      </c>
      <c r="E12" s="19" t="s">
        <v>2369</v>
      </c>
      <c r="F12" s="19" t="s">
        <v>49</v>
      </c>
      <c r="G12" s="19"/>
      <c r="H12" s="19" t="s">
        <v>49</v>
      </c>
      <c r="I12" s="19" t="s">
        <v>51</v>
      </c>
      <c r="J12" s="19" t="s">
        <v>2370</v>
      </c>
      <c r="K12" s="19" t="s">
        <v>2371</v>
      </c>
      <c r="L12" s="20">
        <v>45427.0</v>
      </c>
      <c r="M12" s="20">
        <v>45428.0</v>
      </c>
      <c r="N12" s="20">
        <v>45428.0</v>
      </c>
      <c r="O12" s="19" t="s">
        <v>50</v>
      </c>
      <c r="P12" s="19">
        <v>0.0</v>
      </c>
      <c r="Q12" s="19">
        <v>22.0</v>
      </c>
      <c r="R12" s="19">
        <v>8265.0</v>
      </c>
      <c r="S12" s="20" t="s">
        <v>2372</v>
      </c>
      <c r="T12" s="20">
        <v>45461.0</v>
      </c>
      <c r="U12" s="19" t="s">
        <v>49</v>
      </c>
      <c r="V12" s="19"/>
      <c r="W12" s="19"/>
      <c r="X12" s="21">
        <v>20.0</v>
      </c>
      <c r="Y12" s="21">
        <v>10.0</v>
      </c>
      <c r="Z12" s="21">
        <v>4.0</v>
      </c>
      <c r="AA12" s="21">
        <v>3.0</v>
      </c>
      <c r="AB12" s="5">
        <v>37.0</v>
      </c>
      <c r="AC12" s="19">
        <v>5.0</v>
      </c>
      <c r="AD12" s="19">
        <v>4.0</v>
      </c>
      <c r="AE12" s="19">
        <v>4.0</v>
      </c>
      <c r="AF12" s="19">
        <v>5.0</v>
      </c>
      <c r="AG12" s="19">
        <v>4.0</v>
      </c>
      <c r="AH12" s="19">
        <v>4.0</v>
      </c>
      <c r="AI12" s="22">
        <v>12.84375</v>
      </c>
      <c r="AJ12" s="19">
        <v>15.0</v>
      </c>
      <c r="AK12" s="19">
        <v>15.0</v>
      </c>
      <c r="AL12" s="19">
        <v>15.0</v>
      </c>
      <c r="AM12" s="19">
        <v>45.0</v>
      </c>
      <c r="AN12" s="19">
        <v>57.8</v>
      </c>
      <c r="AO12" s="19">
        <v>94.8</v>
      </c>
      <c r="AP12" s="19">
        <v>27.0</v>
      </c>
      <c r="AQ12" s="23">
        <v>11.0</v>
      </c>
      <c r="AR12" s="23">
        <v>1.0</v>
      </c>
      <c r="AS12" s="22"/>
      <c r="AT12" s="19" t="s">
        <v>2282</v>
      </c>
      <c r="AU12" s="19" t="s">
        <v>2373</v>
      </c>
      <c r="AV12" s="19" t="s">
        <v>2374</v>
      </c>
      <c r="AW12" s="19"/>
      <c r="AX12" s="20">
        <v>37196.0</v>
      </c>
      <c r="AY12" s="19" t="s">
        <v>2375</v>
      </c>
      <c r="AZ12" s="19" t="s">
        <v>2122</v>
      </c>
      <c r="BA12" s="19" t="s">
        <v>2376</v>
      </c>
      <c r="BB12" s="19" t="s">
        <v>2377</v>
      </c>
      <c r="BC12" s="19" t="s">
        <v>2378</v>
      </c>
      <c r="BD12" s="19" t="s">
        <v>2379</v>
      </c>
      <c r="BE12" s="19" t="s">
        <v>2380</v>
      </c>
      <c r="BF12" s="19">
        <v>1.1974477914E10</v>
      </c>
      <c r="BG12" s="19" t="s">
        <v>2127</v>
      </c>
      <c r="BH12" s="19" t="s">
        <v>2128</v>
      </c>
      <c r="BI12" s="19"/>
      <c r="BJ12" s="19"/>
      <c r="BK12" s="19" t="s">
        <v>16</v>
      </c>
      <c r="BL12" s="19"/>
      <c r="BM12" s="19" t="s">
        <v>2130</v>
      </c>
      <c r="BN12" s="19" t="s">
        <v>2172</v>
      </c>
      <c r="BO12" s="19" t="s">
        <v>2317</v>
      </c>
      <c r="BP12" s="19"/>
      <c r="BQ12" s="19" t="s">
        <v>2133</v>
      </c>
      <c r="BR12" s="19" t="s">
        <v>2133</v>
      </c>
      <c r="BS12" s="19" t="s">
        <v>2134</v>
      </c>
      <c r="BT12" s="19" t="s">
        <v>52</v>
      </c>
      <c r="BU12" s="19" t="s">
        <v>16</v>
      </c>
      <c r="BV12" s="19" t="s">
        <v>2381</v>
      </c>
      <c r="BW12" s="19" t="s">
        <v>2113</v>
      </c>
      <c r="BX12" s="19"/>
      <c r="BY12" s="19"/>
      <c r="BZ12" s="19"/>
      <c r="CA12" s="19"/>
      <c r="CB12" s="19" t="s">
        <v>2113</v>
      </c>
      <c r="CC12" s="19"/>
      <c r="CD12" s="19" t="s">
        <v>2137</v>
      </c>
      <c r="CE12" s="19" t="s">
        <v>16</v>
      </c>
      <c r="CF12" s="19"/>
      <c r="CG12" s="19"/>
      <c r="CH12" s="19" t="s">
        <v>17</v>
      </c>
      <c r="CI12" s="21">
        <v>3.0</v>
      </c>
      <c r="CJ12" s="19" t="s">
        <v>16</v>
      </c>
      <c r="CK12" s="19"/>
      <c r="CL12" s="19"/>
      <c r="CM12" s="19" t="s">
        <v>2138</v>
      </c>
      <c r="CN12" s="19" t="s">
        <v>2382</v>
      </c>
      <c r="CO12" s="19"/>
      <c r="CP12" s="19"/>
      <c r="CQ12" s="19"/>
      <c r="CR12" s="19" t="s">
        <v>2113</v>
      </c>
      <c r="CS12" s="19" t="s">
        <v>2113</v>
      </c>
      <c r="CT12" s="19" t="s">
        <v>2113</v>
      </c>
      <c r="CU12" s="19" t="s">
        <v>2113</v>
      </c>
      <c r="CV12" s="19" t="s">
        <v>2141</v>
      </c>
      <c r="CW12" s="19" t="s">
        <v>2113</v>
      </c>
      <c r="CX12" s="19" t="s">
        <v>2113</v>
      </c>
      <c r="CY12" s="19" t="s">
        <v>2113</v>
      </c>
      <c r="CZ12" s="19" t="s">
        <v>2113</v>
      </c>
      <c r="DA12" s="19" t="s">
        <v>16</v>
      </c>
      <c r="DB12" s="19" t="s">
        <v>16</v>
      </c>
      <c r="DC12" s="19" t="s">
        <v>2383</v>
      </c>
      <c r="DD12" s="19" t="s">
        <v>2113</v>
      </c>
      <c r="DE12" s="19" t="s">
        <v>2113</v>
      </c>
      <c r="DF12" s="19" t="s">
        <v>2297</v>
      </c>
      <c r="DG12" s="19" t="s">
        <v>2384</v>
      </c>
      <c r="DH12" s="19" t="s">
        <v>2144</v>
      </c>
      <c r="DI12" s="24">
        <v>45519.0</v>
      </c>
      <c r="DJ12" s="19" t="s">
        <v>2133</v>
      </c>
      <c r="DK12" s="19" t="s">
        <v>2145</v>
      </c>
      <c r="DL12" s="19" t="s">
        <v>2146</v>
      </c>
      <c r="DM12" s="19"/>
      <c r="DN12" s="19">
        <v>5.0</v>
      </c>
      <c r="DO12" s="19">
        <v>5.0</v>
      </c>
      <c r="DP12" s="19" t="s">
        <v>2385</v>
      </c>
      <c r="DQ12" s="19" t="s">
        <v>2386</v>
      </c>
      <c r="DR12" s="19" t="s">
        <v>2387</v>
      </c>
      <c r="DS12" s="19" t="s">
        <v>2365</v>
      </c>
      <c r="DT12" s="19" t="s">
        <v>2229</v>
      </c>
      <c r="DU12" s="19"/>
      <c r="DV12" s="19"/>
      <c r="DW12" s="19" t="s">
        <v>2153</v>
      </c>
      <c r="DX12" s="19">
        <v>9.0</v>
      </c>
      <c r="DY12" s="19">
        <v>10.0</v>
      </c>
      <c r="DZ12" s="19">
        <v>0.0</v>
      </c>
      <c r="EA12" s="19">
        <v>10.0</v>
      </c>
      <c r="EB12" s="19">
        <v>3.0</v>
      </c>
      <c r="EC12" s="19">
        <v>20.0</v>
      </c>
      <c r="ED12" s="19" t="s">
        <v>2133</v>
      </c>
      <c r="EE12" s="24">
        <v>45519.0</v>
      </c>
      <c r="EF12" s="19" t="s">
        <v>2133</v>
      </c>
      <c r="EG12" s="19" t="s">
        <v>2145</v>
      </c>
      <c r="EH12" s="19" t="s">
        <v>2146</v>
      </c>
      <c r="EI12" s="22">
        <v>12.84375</v>
      </c>
      <c r="EJ12" s="19">
        <v>45.0</v>
      </c>
      <c r="EK12" s="19"/>
      <c r="EL12" s="19" t="s">
        <v>2282</v>
      </c>
      <c r="EM12" s="19" t="s">
        <v>2373</v>
      </c>
      <c r="EN12" s="19" t="s">
        <v>51</v>
      </c>
      <c r="EO12" s="19" t="s">
        <v>2375</v>
      </c>
      <c r="EP12" s="19" t="s">
        <v>2122</v>
      </c>
      <c r="EQ12" s="19" t="s">
        <v>2382</v>
      </c>
      <c r="ER12" s="19"/>
      <c r="ES12" s="19" t="s">
        <v>51</v>
      </c>
      <c r="ET12" s="19" t="s">
        <v>51</v>
      </c>
      <c r="EU12" s="19" t="s">
        <v>2371</v>
      </c>
      <c r="EV12" s="19">
        <v>8265.0</v>
      </c>
      <c r="EW12" s="19" t="s">
        <v>16</v>
      </c>
      <c r="EX12" s="19">
        <v>4.0</v>
      </c>
      <c r="EY12" s="25" t="s">
        <v>50</v>
      </c>
      <c r="EZ12" s="19" t="s">
        <v>2154</v>
      </c>
      <c r="FA12" s="5" t="s">
        <v>2388</v>
      </c>
      <c r="FB12" s="26" t="s">
        <v>2156</v>
      </c>
      <c r="FC12" s="26"/>
    </row>
    <row r="13">
      <c r="A13" s="19" t="s">
        <v>2112</v>
      </c>
      <c r="B13" s="19" t="s">
        <v>2113</v>
      </c>
      <c r="C13" s="19" t="s">
        <v>2113</v>
      </c>
      <c r="D13" s="19" t="s">
        <v>2389</v>
      </c>
      <c r="E13" s="19" t="s">
        <v>2389</v>
      </c>
      <c r="F13" s="19" t="s">
        <v>2389</v>
      </c>
      <c r="G13" s="19"/>
      <c r="H13" s="19" t="s">
        <v>53</v>
      </c>
      <c r="I13" s="19" t="s">
        <v>55</v>
      </c>
      <c r="J13" s="19" t="s">
        <v>2390</v>
      </c>
      <c r="K13" s="19" t="s">
        <v>2391</v>
      </c>
      <c r="L13" s="20">
        <v>45397.0</v>
      </c>
      <c r="M13" s="20">
        <v>45411.0</v>
      </c>
      <c r="N13" s="20">
        <v>45411.0</v>
      </c>
      <c r="O13" s="19" t="s">
        <v>54</v>
      </c>
      <c r="P13" s="19">
        <v>0.0</v>
      </c>
      <c r="Q13" s="19">
        <v>19.0</v>
      </c>
      <c r="R13" s="19">
        <v>7210.0</v>
      </c>
      <c r="S13" s="20" t="s">
        <v>2392</v>
      </c>
      <c r="T13" s="20">
        <v>45461.0</v>
      </c>
      <c r="U13" s="19" t="s">
        <v>2389</v>
      </c>
      <c r="V13" s="19"/>
      <c r="W13" s="19" t="s">
        <v>2393</v>
      </c>
      <c r="X13" s="21">
        <v>20.0</v>
      </c>
      <c r="Y13" s="21">
        <v>10.0</v>
      </c>
      <c r="Z13" s="21">
        <v>5.0</v>
      </c>
      <c r="AA13" s="21">
        <v>0.0</v>
      </c>
      <c r="AB13" s="5">
        <v>35.0</v>
      </c>
      <c r="AC13" s="19">
        <v>5.0</v>
      </c>
      <c r="AD13" s="19">
        <v>5.0</v>
      </c>
      <c r="AE13" s="19">
        <v>5.0</v>
      </c>
      <c r="AF13" s="19">
        <v>5.0</v>
      </c>
      <c r="AG13" s="19">
        <v>5.0</v>
      </c>
      <c r="AH13" s="19">
        <v>4.0</v>
      </c>
      <c r="AI13" s="22">
        <v>14.625</v>
      </c>
      <c r="AJ13" s="19">
        <v>15.0</v>
      </c>
      <c r="AK13" s="19">
        <v>15.0</v>
      </c>
      <c r="AL13" s="19">
        <v>15.0</v>
      </c>
      <c r="AM13" s="19">
        <v>45.0</v>
      </c>
      <c r="AN13" s="19">
        <v>59.6</v>
      </c>
      <c r="AO13" s="19">
        <v>94.6</v>
      </c>
      <c r="AP13" s="19">
        <v>85.0</v>
      </c>
      <c r="AQ13" s="23">
        <v>12.0</v>
      </c>
      <c r="AR13" s="23">
        <v>2.0</v>
      </c>
      <c r="AS13" s="22"/>
      <c r="AT13" s="19" t="s">
        <v>2282</v>
      </c>
      <c r="AU13" s="19" t="s">
        <v>2394</v>
      </c>
      <c r="AV13" s="19" t="s">
        <v>2395</v>
      </c>
      <c r="AW13" s="19" t="s">
        <v>2166</v>
      </c>
      <c r="AX13" s="20">
        <v>38251.0</v>
      </c>
      <c r="AY13" s="19" t="s">
        <v>2121</v>
      </c>
      <c r="AZ13" s="19" t="s">
        <v>2122</v>
      </c>
      <c r="BA13" s="19" t="s">
        <v>2396</v>
      </c>
      <c r="BB13" s="19" t="s">
        <v>2397</v>
      </c>
      <c r="BC13" s="19" t="s">
        <v>2398</v>
      </c>
      <c r="BD13" s="19" t="s">
        <v>2399</v>
      </c>
      <c r="BE13" s="19" t="s">
        <v>2400</v>
      </c>
      <c r="BF13" s="19">
        <v>1.1985619031E10</v>
      </c>
      <c r="BG13" s="19" t="s">
        <v>2127</v>
      </c>
      <c r="BH13" s="19" t="s">
        <v>2128</v>
      </c>
      <c r="BI13" s="19"/>
      <c r="BJ13" s="19"/>
      <c r="BK13" s="19" t="s">
        <v>16</v>
      </c>
      <c r="BL13" s="19" t="s">
        <v>2113</v>
      </c>
      <c r="BM13" s="19" t="s">
        <v>2130</v>
      </c>
      <c r="BN13" s="19" t="s">
        <v>2401</v>
      </c>
      <c r="BO13" s="19" t="s">
        <v>2132</v>
      </c>
      <c r="BP13" s="19" t="s">
        <v>2402</v>
      </c>
      <c r="BQ13" s="19" t="s">
        <v>2133</v>
      </c>
      <c r="BR13" s="19" t="s">
        <v>2133</v>
      </c>
      <c r="BS13" s="19" t="s">
        <v>2134</v>
      </c>
      <c r="BT13" s="19" t="s">
        <v>15</v>
      </c>
      <c r="BU13" s="19" t="s">
        <v>2403</v>
      </c>
      <c r="BV13" s="19" t="s">
        <v>2404</v>
      </c>
      <c r="BW13" s="19"/>
      <c r="BX13" s="19" t="s">
        <v>2113</v>
      </c>
      <c r="BY13" s="19" t="s">
        <v>2113</v>
      </c>
      <c r="BZ13" s="19"/>
      <c r="CA13" s="19" t="s">
        <v>2113</v>
      </c>
      <c r="CB13" s="19" t="s">
        <v>2113</v>
      </c>
      <c r="CC13" s="19" t="s">
        <v>2113</v>
      </c>
      <c r="CD13" s="19" t="s">
        <v>2137</v>
      </c>
      <c r="CE13" s="19" t="s">
        <v>16</v>
      </c>
      <c r="CF13" s="19" t="s">
        <v>2113</v>
      </c>
      <c r="CG13" s="19"/>
      <c r="CH13" s="19" t="s">
        <v>16</v>
      </c>
      <c r="CI13" s="21">
        <v>0.0</v>
      </c>
      <c r="CJ13" s="19" t="s">
        <v>16</v>
      </c>
      <c r="CK13" s="19" t="s">
        <v>2113</v>
      </c>
      <c r="CL13" s="19"/>
      <c r="CM13" s="19" t="s">
        <v>2138</v>
      </c>
      <c r="CN13" s="19" t="s">
        <v>2139</v>
      </c>
      <c r="CO13" s="19"/>
      <c r="CP13" s="19"/>
      <c r="CQ13" s="19"/>
      <c r="CR13" s="19" t="s">
        <v>2113</v>
      </c>
      <c r="CS13" s="19" t="s">
        <v>2113</v>
      </c>
      <c r="CT13" s="19" t="s">
        <v>2113</v>
      </c>
      <c r="CU13" s="19" t="s">
        <v>2113</v>
      </c>
      <c r="CV13" s="19" t="s">
        <v>2141</v>
      </c>
      <c r="CW13" s="19" t="s">
        <v>2113</v>
      </c>
      <c r="CX13" s="19" t="s">
        <v>2113</v>
      </c>
      <c r="CY13" s="19" t="s">
        <v>2113</v>
      </c>
      <c r="CZ13" s="19" t="s">
        <v>2113</v>
      </c>
      <c r="DA13" s="19" t="s">
        <v>16</v>
      </c>
      <c r="DB13" s="19" t="s">
        <v>16</v>
      </c>
      <c r="DC13" s="19" t="s">
        <v>2405</v>
      </c>
      <c r="DD13" s="19" t="s">
        <v>2113</v>
      </c>
      <c r="DE13" s="19" t="s">
        <v>2113</v>
      </c>
      <c r="DF13" s="19" t="s">
        <v>2406</v>
      </c>
      <c r="DG13" s="19" t="s">
        <v>2407</v>
      </c>
      <c r="DH13" s="19" t="s">
        <v>2144</v>
      </c>
      <c r="DI13" s="24">
        <v>45525.0</v>
      </c>
      <c r="DJ13" s="19" t="s">
        <v>2133</v>
      </c>
      <c r="DK13" s="19" t="s">
        <v>2271</v>
      </c>
      <c r="DL13" s="19" t="s">
        <v>2146</v>
      </c>
      <c r="DM13" s="19" t="s">
        <v>2408</v>
      </c>
      <c r="DN13" s="19">
        <v>10.0</v>
      </c>
      <c r="DO13" s="19">
        <v>10.0</v>
      </c>
      <c r="DP13" s="19" t="s">
        <v>2409</v>
      </c>
      <c r="DQ13" s="19" t="s">
        <v>2410</v>
      </c>
      <c r="DR13" s="19" t="s">
        <v>2411</v>
      </c>
      <c r="DS13" s="19" t="s">
        <v>2365</v>
      </c>
      <c r="DT13" s="19" t="s">
        <v>2209</v>
      </c>
      <c r="DU13" s="19"/>
      <c r="DV13" s="19"/>
      <c r="DW13" s="19" t="s">
        <v>2153</v>
      </c>
      <c r="DX13" s="19">
        <v>8.0</v>
      </c>
      <c r="DY13" s="19">
        <v>10.0</v>
      </c>
      <c r="DZ13" s="19">
        <v>0.0</v>
      </c>
      <c r="EA13" s="19">
        <v>10.0</v>
      </c>
      <c r="EB13" s="19">
        <v>0.0</v>
      </c>
      <c r="EC13" s="19">
        <v>20.0</v>
      </c>
      <c r="ED13" s="19" t="s">
        <v>2133</v>
      </c>
      <c r="EE13" s="24">
        <v>45525.0</v>
      </c>
      <c r="EF13" s="19" t="s">
        <v>2133</v>
      </c>
      <c r="EG13" s="19" t="s">
        <v>2271</v>
      </c>
      <c r="EH13" s="19" t="s">
        <v>2146</v>
      </c>
      <c r="EI13" s="22">
        <v>14.625</v>
      </c>
      <c r="EJ13" s="19">
        <v>45.0</v>
      </c>
      <c r="EK13" s="19"/>
      <c r="EL13" s="19" t="s">
        <v>2282</v>
      </c>
      <c r="EM13" s="19" t="s">
        <v>2394</v>
      </c>
      <c r="EN13" s="19" t="s">
        <v>55</v>
      </c>
      <c r="EO13" s="19" t="s">
        <v>2121</v>
      </c>
      <c r="EP13" s="19" t="s">
        <v>2122</v>
      </c>
      <c r="EQ13" s="19" t="s">
        <v>2139</v>
      </c>
      <c r="ER13" s="19"/>
      <c r="ES13" s="19" t="s">
        <v>55</v>
      </c>
      <c r="ET13" s="19" t="s">
        <v>55</v>
      </c>
      <c r="EU13" s="19" t="s">
        <v>2391</v>
      </c>
      <c r="EV13" s="19">
        <v>7210.0</v>
      </c>
      <c r="EW13" s="19" t="s">
        <v>16</v>
      </c>
      <c r="EX13" s="19">
        <v>5.0</v>
      </c>
      <c r="EY13" s="25" t="s">
        <v>54</v>
      </c>
      <c r="EZ13" s="19" t="s">
        <v>2154</v>
      </c>
      <c r="FA13" s="5" t="s">
        <v>2412</v>
      </c>
      <c r="FB13" s="26" t="s">
        <v>2156</v>
      </c>
      <c r="FC13" s="26"/>
    </row>
    <row r="14">
      <c r="A14" s="19" t="s">
        <v>2156</v>
      </c>
      <c r="B14" s="19" t="s">
        <v>2113</v>
      </c>
      <c r="C14" s="19" t="s">
        <v>2113</v>
      </c>
      <c r="D14" s="19" t="s">
        <v>2413</v>
      </c>
      <c r="E14" s="19" t="s">
        <v>2414</v>
      </c>
      <c r="F14" s="19" t="s">
        <v>56</v>
      </c>
      <c r="G14" s="19" t="s">
        <v>2415</v>
      </c>
      <c r="H14" s="19" t="s">
        <v>56</v>
      </c>
      <c r="I14" s="19" t="s">
        <v>58</v>
      </c>
      <c r="J14" s="19" t="s">
        <v>2416</v>
      </c>
      <c r="K14" s="19" t="s">
        <v>2417</v>
      </c>
      <c r="L14" s="20">
        <v>45446.0</v>
      </c>
      <c r="M14" s="20">
        <v>45447.0</v>
      </c>
      <c r="N14" s="20">
        <v>45447.0</v>
      </c>
      <c r="O14" s="19" t="s">
        <v>57</v>
      </c>
      <c r="P14" s="19">
        <v>0.0</v>
      </c>
      <c r="Q14" s="19">
        <v>20.0</v>
      </c>
      <c r="R14" s="19">
        <v>7419.0</v>
      </c>
      <c r="S14" s="20" t="s">
        <v>2418</v>
      </c>
      <c r="T14" s="20">
        <v>45461.0</v>
      </c>
      <c r="U14" s="19" t="s">
        <v>56</v>
      </c>
      <c r="V14" s="19"/>
      <c r="W14" s="19"/>
      <c r="X14" s="21">
        <v>20.0</v>
      </c>
      <c r="Y14" s="21">
        <v>10.0</v>
      </c>
      <c r="Z14" s="21">
        <v>5.0</v>
      </c>
      <c r="AA14" s="21">
        <v>2.0</v>
      </c>
      <c r="AB14" s="5">
        <v>37.0</v>
      </c>
      <c r="AC14" s="19">
        <v>4.5</v>
      </c>
      <c r="AD14" s="19">
        <v>5.0</v>
      </c>
      <c r="AE14" s="19">
        <v>5.0</v>
      </c>
      <c r="AF14" s="19">
        <v>4.5</v>
      </c>
      <c r="AG14" s="19">
        <v>4.5</v>
      </c>
      <c r="AH14" s="19">
        <v>5.0</v>
      </c>
      <c r="AI14" s="22">
        <v>14.390625</v>
      </c>
      <c r="AJ14" s="19">
        <v>14.0</v>
      </c>
      <c r="AK14" s="19">
        <v>15.0</v>
      </c>
      <c r="AL14" s="19">
        <v>14.0</v>
      </c>
      <c r="AM14" s="19">
        <v>43.0</v>
      </c>
      <c r="AN14" s="19">
        <v>57.4</v>
      </c>
      <c r="AO14" s="19">
        <v>94.4</v>
      </c>
      <c r="AP14" s="19">
        <v>19.0</v>
      </c>
      <c r="AQ14" s="23">
        <v>13.0</v>
      </c>
      <c r="AR14" s="23">
        <v>1.0</v>
      </c>
      <c r="AS14" s="22"/>
      <c r="AT14" s="19" t="s">
        <v>2117</v>
      </c>
      <c r="AU14" s="19" t="s">
        <v>2419</v>
      </c>
      <c r="AV14" s="19" t="s">
        <v>2420</v>
      </c>
      <c r="AW14" s="19"/>
      <c r="AX14" s="20">
        <v>38042.0</v>
      </c>
      <c r="AY14" s="19" t="s">
        <v>2421</v>
      </c>
      <c r="AZ14" s="19" t="s">
        <v>2422</v>
      </c>
      <c r="BA14" s="19" t="s">
        <v>2423</v>
      </c>
      <c r="BB14" s="19" t="s">
        <v>2288</v>
      </c>
      <c r="BC14" s="19" t="s">
        <v>2424</v>
      </c>
      <c r="BD14" s="19" t="s">
        <v>2425</v>
      </c>
      <c r="BE14" s="19" t="s">
        <v>2416</v>
      </c>
      <c r="BF14" s="19" t="s">
        <v>2426</v>
      </c>
      <c r="BG14" s="19" t="s">
        <v>2127</v>
      </c>
      <c r="BH14" s="19" t="s">
        <v>2128</v>
      </c>
      <c r="BI14" s="19"/>
      <c r="BJ14" s="19" t="s">
        <v>2427</v>
      </c>
      <c r="BK14" s="19" t="s">
        <v>17</v>
      </c>
      <c r="BL14" s="19" t="s">
        <v>2113</v>
      </c>
      <c r="BM14" s="19" t="s">
        <v>2130</v>
      </c>
      <c r="BN14" s="19" t="s">
        <v>17</v>
      </c>
      <c r="BO14" s="19" t="s">
        <v>2132</v>
      </c>
      <c r="BP14" s="19" t="s">
        <v>2428</v>
      </c>
      <c r="BQ14" s="19" t="s">
        <v>2325</v>
      </c>
      <c r="BR14" s="19" t="s">
        <v>2325</v>
      </c>
      <c r="BS14" s="19" t="s">
        <v>2134</v>
      </c>
      <c r="BT14" s="19" t="s">
        <v>59</v>
      </c>
      <c r="BU14" s="19" t="s">
        <v>2429</v>
      </c>
      <c r="BV14" s="19" t="s">
        <v>2430</v>
      </c>
      <c r="BW14" s="19"/>
      <c r="BX14" s="19"/>
      <c r="BY14" s="19" t="s">
        <v>2113</v>
      </c>
      <c r="BZ14" s="19"/>
      <c r="CA14" s="19"/>
      <c r="CB14" s="19" t="s">
        <v>2113</v>
      </c>
      <c r="CC14" s="19"/>
      <c r="CD14" s="19" t="s">
        <v>2137</v>
      </c>
      <c r="CE14" s="19" t="s">
        <v>16</v>
      </c>
      <c r="CF14" s="19"/>
      <c r="CG14" s="19"/>
      <c r="CH14" s="19" t="s">
        <v>16</v>
      </c>
      <c r="CI14" s="21">
        <v>0.0</v>
      </c>
      <c r="CJ14" s="19" t="s">
        <v>17</v>
      </c>
      <c r="CK14" s="19"/>
      <c r="CL14" s="19"/>
      <c r="CM14" s="19" t="s">
        <v>2138</v>
      </c>
      <c r="CN14" s="19" t="s">
        <v>2431</v>
      </c>
      <c r="CO14" s="19"/>
      <c r="CP14" s="19" t="s">
        <v>2140</v>
      </c>
      <c r="CQ14" s="19"/>
      <c r="CR14" s="19" t="s">
        <v>2113</v>
      </c>
      <c r="CS14" s="19" t="s">
        <v>2113</v>
      </c>
      <c r="CT14" s="19"/>
      <c r="CU14" s="19"/>
      <c r="CV14" s="19" t="s">
        <v>2179</v>
      </c>
      <c r="CW14" s="19" t="s">
        <v>2113</v>
      </c>
      <c r="CX14" s="19" t="s">
        <v>2113</v>
      </c>
      <c r="CY14" s="19" t="s">
        <v>2113</v>
      </c>
      <c r="CZ14" s="19" t="s">
        <v>2113</v>
      </c>
      <c r="DA14" s="19" t="s">
        <v>16</v>
      </c>
      <c r="DB14" s="19" t="s">
        <v>17</v>
      </c>
      <c r="DC14" s="19" t="s">
        <v>2432</v>
      </c>
      <c r="DD14" s="19" t="s">
        <v>2113</v>
      </c>
      <c r="DE14" s="19" t="s">
        <v>2113</v>
      </c>
      <c r="DF14" s="19" t="s">
        <v>2433</v>
      </c>
      <c r="DG14" s="19" t="s">
        <v>2248</v>
      </c>
      <c r="DH14" s="19" t="s">
        <v>2144</v>
      </c>
      <c r="DI14" s="24">
        <v>45518.0</v>
      </c>
      <c r="DJ14" s="19" t="s">
        <v>2325</v>
      </c>
      <c r="DK14" s="19" t="s">
        <v>2145</v>
      </c>
      <c r="DL14" s="19" t="s">
        <v>2326</v>
      </c>
      <c r="DM14" s="19"/>
      <c r="DN14" s="19">
        <v>3.0</v>
      </c>
      <c r="DO14" s="19">
        <v>3.0</v>
      </c>
      <c r="DP14" s="19"/>
      <c r="DQ14" s="19"/>
      <c r="DR14" s="19"/>
      <c r="DS14" s="19" t="s">
        <v>2185</v>
      </c>
      <c r="DT14" s="19" t="s">
        <v>2350</v>
      </c>
      <c r="DU14" s="19" t="s">
        <v>2434</v>
      </c>
      <c r="DV14" s="19"/>
      <c r="DW14" s="19" t="s">
        <v>2153</v>
      </c>
      <c r="DX14" s="19">
        <v>3.0</v>
      </c>
      <c r="DY14" s="19">
        <v>10.0</v>
      </c>
      <c r="DZ14" s="19">
        <v>2.0</v>
      </c>
      <c r="EA14" s="19">
        <v>10.0</v>
      </c>
      <c r="EB14" s="19">
        <v>0.0</v>
      </c>
      <c r="EC14" s="19">
        <v>20.0</v>
      </c>
      <c r="ED14" s="19" t="s">
        <v>2325</v>
      </c>
      <c r="EE14" s="24">
        <v>45518.0</v>
      </c>
      <c r="EF14" s="19" t="s">
        <v>2325</v>
      </c>
      <c r="EG14" s="19" t="s">
        <v>2145</v>
      </c>
      <c r="EH14" s="19" t="s">
        <v>2326</v>
      </c>
      <c r="EI14" s="22">
        <v>14.390625</v>
      </c>
      <c r="EJ14" s="19">
        <v>43.0</v>
      </c>
      <c r="EK14" s="19" t="s">
        <v>2113</v>
      </c>
      <c r="EL14" s="19" t="s">
        <v>2117</v>
      </c>
      <c r="EM14" s="19" t="s">
        <v>2419</v>
      </c>
      <c r="EN14" s="19" t="s">
        <v>58</v>
      </c>
      <c r="EO14" s="19" t="s">
        <v>2421</v>
      </c>
      <c r="EP14" s="19" t="s">
        <v>2422</v>
      </c>
      <c r="EQ14" s="19" t="s">
        <v>2431</v>
      </c>
      <c r="ER14" s="19"/>
      <c r="ES14" s="19" t="s">
        <v>58</v>
      </c>
      <c r="ET14" s="19" t="s">
        <v>58</v>
      </c>
      <c r="EU14" s="19" t="s">
        <v>2417</v>
      </c>
      <c r="EV14" s="19">
        <v>7419.0</v>
      </c>
      <c r="EW14" s="19" t="s">
        <v>16</v>
      </c>
      <c r="EX14" s="19">
        <v>5.0</v>
      </c>
      <c r="EY14" s="25" t="s">
        <v>57</v>
      </c>
      <c r="EZ14" s="19" t="s">
        <v>2154</v>
      </c>
      <c r="FA14" s="5" t="s">
        <v>2435</v>
      </c>
      <c r="FB14" s="26" t="s">
        <v>2156</v>
      </c>
      <c r="FC14" s="26"/>
    </row>
    <row r="15">
      <c r="A15" s="19" t="s">
        <v>2156</v>
      </c>
      <c r="B15" s="19" t="s">
        <v>2113</v>
      </c>
      <c r="C15" s="19" t="s">
        <v>2113</v>
      </c>
      <c r="D15" s="19" t="s">
        <v>2436</v>
      </c>
      <c r="E15" s="19" t="s">
        <v>2437</v>
      </c>
      <c r="F15" s="19" t="s">
        <v>60</v>
      </c>
      <c r="G15" s="19" t="s">
        <v>2438</v>
      </c>
      <c r="H15" s="19" t="s">
        <v>60</v>
      </c>
      <c r="I15" s="19" t="s">
        <v>62</v>
      </c>
      <c r="J15" s="19" t="s">
        <v>2439</v>
      </c>
      <c r="K15" s="19" t="s">
        <v>2440</v>
      </c>
      <c r="L15" s="20">
        <v>45405.0</v>
      </c>
      <c r="M15" s="20">
        <v>45411.0</v>
      </c>
      <c r="N15" s="20">
        <v>45411.0</v>
      </c>
      <c r="O15" s="19" t="s">
        <v>61</v>
      </c>
      <c r="P15" s="19">
        <v>0.0</v>
      </c>
      <c r="Q15" s="19">
        <v>21.0</v>
      </c>
      <c r="R15" s="19">
        <v>7765.0</v>
      </c>
      <c r="S15" s="20" t="s">
        <v>2441</v>
      </c>
      <c r="T15" s="20">
        <v>45461.0</v>
      </c>
      <c r="U15" s="19" t="s">
        <v>60</v>
      </c>
      <c r="V15" s="19"/>
      <c r="W15" s="19"/>
      <c r="X15" s="21">
        <v>20.0</v>
      </c>
      <c r="Y15" s="21">
        <v>10.0</v>
      </c>
      <c r="Z15" s="21">
        <v>5.0</v>
      </c>
      <c r="AA15" s="21">
        <v>0.0</v>
      </c>
      <c r="AB15" s="5">
        <v>35.0</v>
      </c>
      <c r="AC15" s="19">
        <v>5.0</v>
      </c>
      <c r="AD15" s="19">
        <v>5.0</v>
      </c>
      <c r="AE15" s="19">
        <v>5.0</v>
      </c>
      <c r="AF15" s="19">
        <v>5.0</v>
      </c>
      <c r="AG15" s="19">
        <v>4.0</v>
      </c>
      <c r="AH15" s="19">
        <v>4.5</v>
      </c>
      <c r="AI15" s="22">
        <v>14.4375</v>
      </c>
      <c r="AJ15" s="19">
        <v>15.0</v>
      </c>
      <c r="AK15" s="19">
        <v>15.0</v>
      </c>
      <c r="AL15" s="19">
        <v>15.0</v>
      </c>
      <c r="AM15" s="19">
        <v>45.0</v>
      </c>
      <c r="AN15" s="19">
        <v>59.4</v>
      </c>
      <c r="AO15" s="19">
        <v>94.4</v>
      </c>
      <c r="AP15" s="19">
        <v>74.0</v>
      </c>
      <c r="AQ15" s="23">
        <v>14.0</v>
      </c>
      <c r="AR15" s="23">
        <v>2.0</v>
      </c>
      <c r="AS15" s="22"/>
      <c r="AT15" s="19" t="s">
        <v>2117</v>
      </c>
      <c r="AU15" s="19" t="s">
        <v>2442</v>
      </c>
      <c r="AV15" s="19" t="s">
        <v>2443</v>
      </c>
      <c r="AW15" s="19" t="s">
        <v>2444</v>
      </c>
      <c r="AX15" s="20">
        <v>37696.0</v>
      </c>
      <c r="AY15" s="19" t="s">
        <v>2421</v>
      </c>
      <c r="AZ15" s="19" t="s">
        <v>2445</v>
      </c>
      <c r="BA15" s="19" t="s">
        <v>2446</v>
      </c>
      <c r="BB15" s="19" t="s">
        <v>2447</v>
      </c>
      <c r="BC15" s="19" t="s">
        <v>2448</v>
      </c>
      <c r="BD15" s="19" t="s">
        <v>2449</v>
      </c>
      <c r="BE15" s="19" t="s">
        <v>2439</v>
      </c>
      <c r="BF15" s="19" t="s">
        <v>2450</v>
      </c>
      <c r="BG15" s="19" t="s">
        <v>2127</v>
      </c>
      <c r="BH15" s="19" t="s">
        <v>2128</v>
      </c>
      <c r="BI15" s="19"/>
      <c r="BJ15" s="19"/>
      <c r="BK15" s="19" t="s">
        <v>16</v>
      </c>
      <c r="BL15" s="19"/>
      <c r="BM15" s="19" t="s">
        <v>2130</v>
      </c>
      <c r="BN15" s="19" t="s">
        <v>2451</v>
      </c>
      <c r="BO15" s="19" t="s">
        <v>2132</v>
      </c>
      <c r="BP15" s="19"/>
      <c r="BQ15" s="19" t="s">
        <v>2325</v>
      </c>
      <c r="BR15" s="19" t="s">
        <v>2325</v>
      </c>
      <c r="BS15" s="19" t="s">
        <v>2243</v>
      </c>
      <c r="BT15" s="19" t="s">
        <v>59</v>
      </c>
      <c r="BU15" s="19" t="s">
        <v>2452</v>
      </c>
      <c r="BV15" s="19" t="s">
        <v>2453</v>
      </c>
      <c r="BW15" s="19"/>
      <c r="BX15" s="19"/>
      <c r="BY15" s="19" t="s">
        <v>2113</v>
      </c>
      <c r="BZ15" s="19" t="s">
        <v>2113</v>
      </c>
      <c r="CA15" s="19" t="s">
        <v>2113</v>
      </c>
      <c r="CB15" s="19" t="s">
        <v>2113</v>
      </c>
      <c r="CC15" s="19" t="s">
        <v>2113</v>
      </c>
      <c r="CD15" s="19" t="s">
        <v>2137</v>
      </c>
      <c r="CE15" s="19" t="s">
        <v>16</v>
      </c>
      <c r="CF15" s="19"/>
      <c r="CG15" s="19"/>
      <c r="CH15" s="19" t="s">
        <v>16</v>
      </c>
      <c r="CI15" s="21">
        <v>0.0</v>
      </c>
      <c r="CJ15" s="19" t="s">
        <v>16</v>
      </c>
      <c r="CK15" s="19"/>
      <c r="CL15" s="19"/>
      <c r="CM15" s="19" t="s">
        <v>2344</v>
      </c>
      <c r="CN15" s="19" t="s">
        <v>2431</v>
      </c>
      <c r="CO15" s="19"/>
      <c r="CP15" s="19"/>
      <c r="CQ15" s="19"/>
      <c r="CR15" s="19"/>
      <c r="CS15" s="19"/>
      <c r="CT15" s="19" t="s">
        <v>2113</v>
      </c>
      <c r="CU15" s="19" t="s">
        <v>2113</v>
      </c>
      <c r="CV15" s="19" t="s">
        <v>2141</v>
      </c>
      <c r="CW15" s="19"/>
      <c r="CX15" s="19"/>
      <c r="CY15" s="19"/>
      <c r="CZ15" s="19"/>
      <c r="DA15" s="19" t="s">
        <v>16</v>
      </c>
      <c r="DB15" s="19" t="s">
        <v>16</v>
      </c>
      <c r="DC15" s="19" t="s">
        <v>2454</v>
      </c>
      <c r="DD15" s="19"/>
      <c r="DE15" s="19"/>
      <c r="DF15" s="19" t="s">
        <v>2432</v>
      </c>
      <c r="DG15" s="19" t="s">
        <v>2455</v>
      </c>
      <c r="DH15" s="19" t="s">
        <v>2144</v>
      </c>
      <c r="DI15" s="24">
        <v>45518.0</v>
      </c>
      <c r="DJ15" s="19" t="s">
        <v>2325</v>
      </c>
      <c r="DK15" s="19" t="s">
        <v>2271</v>
      </c>
      <c r="DL15" s="19" t="s">
        <v>2326</v>
      </c>
      <c r="DM15" s="19"/>
      <c r="DN15" s="19">
        <v>4.0</v>
      </c>
      <c r="DO15" s="19">
        <v>4.0</v>
      </c>
      <c r="DP15" s="19" t="s">
        <v>2456</v>
      </c>
      <c r="DQ15" s="19" t="s">
        <v>2457</v>
      </c>
      <c r="DR15" s="19" t="s">
        <v>2458</v>
      </c>
      <c r="DS15" s="19" t="s">
        <v>2185</v>
      </c>
      <c r="DT15" s="19" t="s">
        <v>2350</v>
      </c>
      <c r="DU15" s="19"/>
      <c r="DV15" s="19"/>
      <c r="DW15" s="19" t="s">
        <v>2153</v>
      </c>
      <c r="DX15" s="19">
        <v>3.0</v>
      </c>
      <c r="DY15" s="19">
        <v>10.0</v>
      </c>
      <c r="DZ15" s="19">
        <v>0.0</v>
      </c>
      <c r="EA15" s="19">
        <v>10.0</v>
      </c>
      <c r="EB15" s="19">
        <v>0.0</v>
      </c>
      <c r="EC15" s="19">
        <v>20.0</v>
      </c>
      <c r="ED15" s="19" t="s">
        <v>2325</v>
      </c>
      <c r="EE15" s="24">
        <v>45518.0</v>
      </c>
      <c r="EF15" s="19" t="s">
        <v>2325</v>
      </c>
      <c r="EG15" s="19" t="s">
        <v>2271</v>
      </c>
      <c r="EH15" s="19" t="s">
        <v>2326</v>
      </c>
      <c r="EI15" s="22">
        <v>14.4375</v>
      </c>
      <c r="EJ15" s="19">
        <v>45.0</v>
      </c>
      <c r="EK15" s="19"/>
      <c r="EL15" s="19" t="s">
        <v>2117</v>
      </c>
      <c r="EM15" s="19" t="s">
        <v>2442</v>
      </c>
      <c r="EN15" s="19" t="s">
        <v>62</v>
      </c>
      <c r="EO15" s="19" t="s">
        <v>2421</v>
      </c>
      <c r="EP15" s="19" t="s">
        <v>2445</v>
      </c>
      <c r="EQ15" s="19" t="s">
        <v>2431</v>
      </c>
      <c r="ER15" s="19"/>
      <c r="ES15" s="19" t="s">
        <v>62</v>
      </c>
      <c r="ET15" s="19" t="s">
        <v>62</v>
      </c>
      <c r="EU15" s="19" t="s">
        <v>2440</v>
      </c>
      <c r="EV15" s="19">
        <v>7765.0</v>
      </c>
      <c r="EW15" s="19" t="s">
        <v>16</v>
      </c>
      <c r="EX15" s="19">
        <v>5.0</v>
      </c>
      <c r="EY15" s="25" t="s">
        <v>61</v>
      </c>
      <c r="EZ15" s="19" t="s">
        <v>2154</v>
      </c>
      <c r="FA15" s="5" t="s">
        <v>2459</v>
      </c>
      <c r="FB15" s="26" t="s">
        <v>2156</v>
      </c>
      <c r="FC15" s="26"/>
    </row>
    <row r="16">
      <c r="A16" s="19" t="s">
        <v>2112</v>
      </c>
      <c r="B16" s="19" t="s">
        <v>2113</v>
      </c>
      <c r="C16" s="19" t="s">
        <v>2113</v>
      </c>
      <c r="D16" s="19" t="s">
        <v>63</v>
      </c>
      <c r="E16" s="19" t="s">
        <v>2460</v>
      </c>
      <c r="F16" s="19" t="s">
        <v>63</v>
      </c>
      <c r="G16" s="19"/>
      <c r="H16" s="19" t="s">
        <v>63</v>
      </c>
      <c r="I16" s="19" t="s">
        <v>65</v>
      </c>
      <c r="J16" s="19" t="s">
        <v>2461</v>
      </c>
      <c r="K16" s="19" t="s">
        <v>2462</v>
      </c>
      <c r="L16" s="20">
        <v>45446.0</v>
      </c>
      <c r="M16" s="20">
        <v>45447.0</v>
      </c>
      <c r="N16" s="20">
        <v>45447.0</v>
      </c>
      <c r="O16" s="19" t="s">
        <v>64</v>
      </c>
      <c r="P16" s="19">
        <v>0.0</v>
      </c>
      <c r="Q16" s="19">
        <v>24.0</v>
      </c>
      <c r="R16" s="19">
        <v>8989.0</v>
      </c>
      <c r="S16" s="20" t="s">
        <v>2463</v>
      </c>
      <c r="T16" s="20">
        <v>45461.0</v>
      </c>
      <c r="U16" s="19" t="s">
        <v>63</v>
      </c>
      <c r="V16" s="19"/>
      <c r="W16" s="19"/>
      <c r="X16" s="21">
        <v>20.0</v>
      </c>
      <c r="Y16" s="21">
        <v>10.0</v>
      </c>
      <c r="Z16" s="21">
        <v>3.0</v>
      </c>
      <c r="AA16" s="21">
        <v>3.0</v>
      </c>
      <c r="AB16" s="5">
        <v>36.0</v>
      </c>
      <c r="AC16" s="19">
        <v>5.0</v>
      </c>
      <c r="AD16" s="19">
        <v>5.0</v>
      </c>
      <c r="AE16" s="19">
        <v>5.0</v>
      </c>
      <c r="AF16" s="19">
        <v>5.0</v>
      </c>
      <c r="AG16" s="19">
        <v>4.0</v>
      </c>
      <c r="AH16" s="19">
        <v>4.0</v>
      </c>
      <c r="AI16" s="22">
        <v>14.25</v>
      </c>
      <c r="AJ16" s="19">
        <v>15.0</v>
      </c>
      <c r="AK16" s="19">
        <v>15.0</v>
      </c>
      <c r="AL16" s="19">
        <v>14.0</v>
      </c>
      <c r="AM16" s="19">
        <v>44.0</v>
      </c>
      <c r="AN16" s="19">
        <v>58.3</v>
      </c>
      <c r="AO16" s="19">
        <v>94.3</v>
      </c>
      <c r="AP16" s="19">
        <v>37.0</v>
      </c>
      <c r="AQ16" s="23">
        <v>15.0</v>
      </c>
      <c r="AR16" s="23">
        <v>2.0</v>
      </c>
      <c r="AS16" s="22"/>
      <c r="AT16" s="19" t="s">
        <v>2117</v>
      </c>
      <c r="AU16" s="19" t="s">
        <v>2464</v>
      </c>
      <c r="AV16" s="19" t="s">
        <v>2465</v>
      </c>
      <c r="AW16" s="19" t="s">
        <v>2466</v>
      </c>
      <c r="AX16" s="20">
        <v>36472.0</v>
      </c>
      <c r="AY16" s="19" t="s">
        <v>2467</v>
      </c>
      <c r="AZ16" s="19" t="s">
        <v>2122</v>
      </c>
      <c r="BA16" s="19" t="s">
        <v>2468</v>
      </c>
      <c r="BB16" s="19" t="s">
        <v>2469</v>
      </c>
      <c r="BC16" s="19" t="s">
        <v>2470</v>
      </c>
      <c r="BD16" s="19" t="s">
        <v>2471</v>
      </c>
      <c r="BE16" s="19" t="s">
        <v>2472</v>
      </c>
      <c r="BF16" s="19">
        <v>1.1994233793E10</v>
      </c>
      <c r="BG16" s="19" t="s">
        <v>2127</v>
      </c>
      <c r="BH16" s="19" t="s">
        <v>2128</v>
      </c>
      <c r="BI16" s="19"/>
      <c r="BJ16" s="19"/>
      <c r="BK16" s="19" t="s">
        <v>16</v>
      </c>
      <c r="BL16" s="19"/>
      <c r="BM16" s="19" t="s">
        <v>2130</v>
      </c>
      <c r="BN16" s="19" t="s">
        <v>2172</v>
      </c>
      <c r="BO16" s="19" t="s">
        <v>2473</v>
      </c>
      <c r="BP16" s="19"/>
      <c r="BQ16" s="19" t="s">
        <v>2133</v>
      </c>
      <c r="BR16" s="19" t="s">
        <v>2133</v>
      </c>
      <c r="BS16" s="19" t="s">
        <v>2134</v>
      </c>
      <c r="BT16" s="19" t="s">
        <v>38</v>
      </c>
      <c r="BU16" s="19"/>
      <c r="BV16" s="19" t="s">
        <v>2474</v>
      </c>
      <c r="BW16" s="19" t="s">
        <v>2113</v>
      </c>
      <c r="BX16" s="19"/>
      <c r="BY16" s="19"/>
      <c r="BZ16" s="19"/>
      <c r="CA16" s="19"/>
      <c r="CB16" s="19" t="s">
        <v>2113</v>
      </c>
      <c r="CC16" s="19"/>
      <c r="CD16" s="19" t="s">
        <v>2137</v>
      </c>
      <c r="CE16" s="19" t="s">
        <v>16</v>
      </c>
      <c r="CF16" s="19"/>
      <c r="CG16" s="19"/>
      <c r="CH16" s="19" t="s">
        <v>17</v>
      </c>
      <c r="CI16" s="21">
        <v>3.0</v>
      </c>
      <c r="CJ16" s="19" t="s">
        <v>17</v>
      </c>
      <c r="CK16" s="19"/>
      <c r="CL16" s="19"/>
      <c r="CM16" s="19" t="s">
        <v>2138</v>
      </c>
      <c r="CN16" s="19" t="s">
        <v>2475</v>
      </c>
      <c r="CO16" s="19"/>
      <c r="CP16" s="19"/>
      <c r="CQ16" s="19"/>
      <c r="CR16" s="19" t="s">
        <v>2113</v>
      </c>
      <c r="CS16" s="19" t="s">
        <v>2113</v>
      </c>
      <c r="CT16" s="19" t="s">
        <v>2113</v>
      </c>
      <c r="CU16" s="19" t="s">
        <v>2113</v>
      </c>
      <c r="CV16" s="19" t="s">
        <v>2179</v>
      </c>
      <c r="CW16" s="19" t="s">
        <v>2113</v>
      </c>
      <c r="CX16" s="19" t="s">
        <v>2113</v>
      </c>
      <c r="CY16" s="19" t="s">
        <v>2113</v>
      </c>
      <c r="CZ16" s="19" t="s">
        <v>2113</v>
      </c>
      <c r="DA16" s="19" t="s">
        <v>16</v>
      </c>
      <c r="DB16" s="19" t="s">
        <v>17</v>
      </c>
      <c r="DC16" s="19" t="s">
        <v>2476</v>
      </c>
      <c r="DD16" s="19" t="s">
        <v>2113</v>
      </c>
      <c r="DE16" s="19" t="s">
        <v>2113</v>
      </c>
      <c r="DF16" s="19" t="s">
        <v>2142</v>
      </c>
      <c r="DG16" s="19" t="s">
        <v>2477</v>
      </c>
      <c r="DH16" s="19" t="s">
        <v>2144</v>
      </c>
      <c r="DI16" s="24">
        <v>45525.0</v>
      </c>
      <c r="DJ16" s="19" t="s">
        <v>2133</v>
      </c>
      <c r="DK16" s="19" t="s">
        <v>2271</v>
      </c>
      <c r="DL16" s="19" t="s">
        <v>2146</v>
      </c>
      <c r="DM16" s="19" t="s">
        <v>2408</v>
      </c>
      <c r="DN16" s="19">
        <v>10.0</v>
      </c>
      <c r="DO16" s="19">
        <v>10.0</v>
      </c>
      <c r="DP16" s="19"/>
      <c r="DQ16" s="19"/>
      <c r="DR16" s="19"/>
      <c r="DS16" s="19" t="s">
        <v>2185</v>
      </c>
      <c r="DT16" s="19" t="s">
        <v>2209</v>
      </c>
      <c r="DU16" s="19" t="s">
        <v>2478</v>
      </c>
      <c r="DV16" s="19"/>
      <c r="DW16" s="19" t="s">
        <v>2479</v>
      </c>
      <c r="DX16" s="19">
        <v>6.0</v>
      </c>
      <c r="DY16" s="19">
        <v>10.0</v>
      </c>
      <c r="DZ16" s="19">
        <v>0.0</v>
      </c>
      <c r="EA16" s="19">
        <v>10.0</v>
      </c>
      <c r="EB16" s="19">
        <v>3.0</v>
      </c>
      <c r="EC16" s="19">
        <v>20.0</v>
      </c>
      <c r="ED16" s="19" t="s">
        <v>2133</v>
      </c>
      <c r="EE16" s="24">
        <v>45525.0</v>
      </c>
      <c r="EF16" s="19" t="s">
        <v>2133</v>
      </c>
      <c r="EG16" s="19" t="s">
        <v>2271</v>
      </c>
      <c r="EH16" s="19" t="s">
        <v>2146</v>
      </c>
      <c r="EI16" s="22">
        <v>14.25</v>
      </c>
      <c r="EJ16" s="19">
        <v>44.0</v>
      </c>
      <c r="EK16" s="19" t="s">
        <v>2113</v>
      </c>
      <c r="EL16" s="19" t="s">
        <v>2117</v>
      </c>
      <c r="EM16" s="19" t="s">
        <v>2464</v>
      </c>
      <c r="EN16" s="19" t="s">
        <v>65</v>
      </c>
      <c r="EO16" s="19" t="s">
        <v>2467</v>
      </c>
      <c r="EP16" s="19" t="s">
        <v>2122</v>
      </c>
      <c r="EQ16" s="19" t="s">
        <v>2475</v>
      </c>
      <c r="ER16" s="19"/>
      <c r="ES16" s="19" t="s">
        <v>65</v>
      </c>
      <c r="ET16" s="19" t="s">
        <v>65</v>
      </c>
      <c r="EU16" s="19" t="s">
        <v>2462</v>
      </c>
      <c r="EV16" s="19">
        <v>8989.0</v>
      </c>
      <c r="EW16" s="19" t="s">
        <v>16</v>
      </c>
      <c r="EX16" s="19">
        <v>3.0</v>
      </c>
      <c r="EY16" s="25" t="s">
        <v>64</v>
      </c>
      <c r="EZ16" s="19" t="s">
        <v>2154</v>
      </c>
      <c r="FA16" s="5" t="s">
        <v>2480</v>
      </c>
      <c r="FB16" s="26" t="s">
        <v>2156</v>
      </c>
      <c r="FC16" s="26"/>
    </row>
    <row r="17">
      <c r="A17" s="19" t="s">
        <v>2156</v>
      </c>
      <c r="B17" s="19" t="s">
        <v>2113</v>
      </c>
      <c r="C17" s="19" t="s">
        <v>2113</v>
      </c>
      <c r="D17" s="19" t="s">
        <v>66</v>
      </c>
      <c r="E17" s="19" t="s">
        <v>2481</v>
      </c>
      <c r="F17" s="19" t="s">
        <v>66</v>
      </c>
      <c r="G17" s="19"/>
      <c r="H17" s="19" t="s">
        <v>66</v>
      </c>
      <c r="I17" s="19" t="s">
        <v>68</v>
      </c>
      <c r="J17" s="19" t="s">
        <v>2482</v>
      </c>
      <c r="K17" s="19" t="s">
        <v>2483</v>
      </c>
      <c r="L17" s="20">
        <v>45459.0</v>
      </c>
      <c r="M17" s="20">
        <v>45460.0</v>
      </c>
      <c r="N17" s="20">
        <v>45460.0</v>
      </c>
      <c r="O17" s="19" t="s">
        <v>67</v>
      </c>
      <c r="P17" s="19">
        <v>0.0</v>
      </c>
      <c r="Q17" s="19">
        <v>19.0</v>
      </c>
      <c r="R17" s="19">
        <v>7183.0</v>
      </c>
      <c r="S17" s="20" t="s">
        <v>2484</v>
      </c>
      <c r="T17" s="20">
        <v>45461.0</v>
      </c>
      <c r="U17" s="19" t="s">
        <v>66</v>
      </c>
      <c r="V17" s="19"/>
      <c r="W17" s="19"/>
      <c r="X17" s="21">
        <v>20.0</v>
      </c>
      <c r="Y17" s="21">
        <v>10.0</v>
      </c>
      <c r="Z17" s="21">
        <v>5.0</v>
      </c>
      <c r="AA17" s="21">
        <v>0.0</v>
      </c>
      <c r="AB17" s="5">
        <v>35.0</v>
      </c>
      <c r="AC17" s="19">
        <v>4.0</v>
      </c>
      <c r="AD17" s="19">
        <v>5.0</v>
      </c>
      <c r="AE17" s="19">
        <v>5.0</v>
      </c>
      <c r="AF17" s="19">
        <v>5.0</v>
      </c>
      <c r="AG17" s="19">
        <v>4.0</v>
      </c>
      <c r="AH17" s="19">
        <v>5.0</v>
      </c>
      <c r="AI17" s="22">
        <v>14.15625</v>
      </c>
      <c r="AJ17" s="19">
        <v>15.0</v>
      </c>
      <c r="AK17" s="19">
        <v>15.0</v>
      </c>
      <c r="AL17" s="19">
        <v>15.0</v>
      </c>
      <c r="AM17" s="19">
        <v>45.0</v>
      </c>
      <c r="AN17" s="19">
        <v>59.2</v>
      </c>
      <c r="AO17" s="19">
        <v>94.2</v>
      </c>
      <c r="AP17" s="19">
        <v>87.0</v>
      </c>
      <c r="AQ17" s="23">
        <v>16.0</v>
      </c>
      <c r="AR17" s="23">
        <v>3.0</v>
      </c>
      <c r="AS17" s="22"/>
      <c r="AT17" s="19" t="s">
        <v>2282</v>
      </c>
      <c r="AU17" s="19" t="s">
        <v>2485</v>
      </c>
      <c r="AV17" s="19" t="s">
        <v>2486</v>
      </c>
      <c r="AW17" s="19"/>
      <c r="AX17" s="20">
        <v>38278.0</v>
      </c>
      <c r="AY17" s="19" t="s">
        <v>2487</v>
      </c>
      <c r="AZ17" s="19" t="s">
        <v>2310</v>
      </c>
      <c r="BA17" s="19" t="s">
        <v>2488</v>
      </c>
      <c r="BB17" s="19" t="s">
        <v>2489</v>
      </c>
      <c r="BC17" s="19" t="s">
        <v>2490</v>
      </c>
      <c r="BD17" s="19" t="s">
        <v>2491</v>
      </c>
      <c r="BE17" s="19" t="s">
        <v>2482</v>
      </c>
      <c r="BF17" s="19" t="s">
        <v>2492</v>
      </c>
      <c r="BG17" s="19" t="s">
        <v>2127</v>
      </c>
      <c r="BH17" s="19" t="s">
        <v>2128</v>
      </c>
      <c r="BI17" s="19"/>
      <c r="BJ17" s="19" t="s">
        <v>2427</v>
      </c>
      <c r="BK17" s="19" t="s">
        <v>17</v>
      </c>
      <c r="BL17" s="19"/>
      <c r="BM17" s="19" t="s">
        <v>2130</v>
      </c>
      <c r="BN17" s="19" t="s">
        <v>17</v>
      </c>
      <c r="BO17" s="19" t="s">
        <v>2132</v>
      </c>
      <c r="BP17" s="19" t="s">
        <v>2493</v>
      </c>
      <c r="BQ17" s="19" t="s">
        <v>2325</v>
      </c>
      <c r="BR17" s="19" t="s">
        <v>2325</v>
      </c>
      <c r="BS17" s="19" t="s">
        <v>2243</v>
      </c>
      <c r="BT17" s="19" t="s">
        <v>59</v>
      </c>
      <c r="BU17" s="19" t="s">
        <v>2494</v>
      </c>
      <c r="BV17" s="19" t="s">
        <v>2495</v>
      </c>
      <c r="BW17" s="19" t="s">
        <v>2113</v>
      </c>
      <c r="BX17" s="19"/>
      <c r="BY17" s="19"/>
      <c r="BZ17" s="19"/>
      <c r="CA17" s="19"/>
      <c r="CB17" s="19" t="s">
        <v>2113</v>
      </c>
      <c r="CC17" s="19"/>
      <c r="CD17" s="19" t="s">
        <v>2137</v>
      </c>
      <c r="CE17" s="19" t="s">
        <v>16</v>
      </c>
      <c r="CF17" s="19"/>
      <c r="CG17" s="19"/>
      <c r="CH17" s="19" t="s">
        <v>16</v>
      </c>
      <c r="CI17" s="21">
        <v>0.0</v>
      </c>
      <c r="CJ17" s="19" t="s">
        <v>16</v>
      </c>
      <c r="CK17" s="19"/>
      <c r="CL17" s="19"/>
      <c r="CM17" s="19" t="s">
        <v>2138</v>
      </c>
      <c r="CN17" s="19" t="s">
        <v>2431</v>
      </c>
      <c r="CO17" s="19"/>
      <c r="CP17" s="19"/>
      <c r="CQ17" s="19"/>
      <c r="CR17" s="19"/>
      <c r="CS17" s="19"/>
      <c r="CT17" s="19"/>
      <c r="CU17" s="19"/>
      <c r="CV17" s="19" t="s">
        <v>2179</v>
      </c>
      <c r="CW17" s="19" t="s">
        <v>2113</v>
      </c>
      <c r="CX17" s="19" t="s">
        <v>2113</v>
      </c>
      <c r="CY17" s="19"/>
      <c r="CZ17" s="19"/>
      <c r="DA17" s="19" t="s">
        <v>16</v>
      </c>
      <c r="DB17" s="19" t="s">
        <v>16</v>
      </c>
      <c r="DC17" s="19" t="s">
        <v>2496</v>
      </c>
      <c r="DD17" s="19" t="s">
        <v>2113</v>
      </c>
      <c r="DE17" s="19" t="s">
        <v>2113</v>
      </c>
      <c r="DF17" s="19" t="s">
        <v>2497</v>
      </c>
      <c r="DG17" s="19" t="s">
        <v>2498</v>
      </c>
      <c r="DH17" s="19" t="s">
        <v>2144</v>
      </c>
      <c r="DI17" s="24">
        <v>45519.0</v>
      </c>
      <c r="DJ17" s="19" t="s">
        <v>2325</v>
      </c>
      <c r="DK17" s="19" t="s">
        <v>2145</v>
      </c>
      <c r="DL17" s="19" t="s">
        <v>2326</v>
      </c>
      <c r="DM17" s="19"/>
      <c r="DN17" s="19">
        <v>5.0</v>
      </c>
      <c r="DO17" s="19">
        <v>5.0</v>
      </c>
      <c r="DP17" s="19"/>
      <c r="DQ17" s="19"/>
      <c r="DR17" s="19"/>
      <c r="DS17" s="19" t="s">
        <v>2185</v>
      </c>
      <c r="DT17" s="19" t="s">
        <v>2209</v>
      </c>
      <c r="DU17" s="19" t="s">
        <v>2499</v>
      </c>
      <c r="DV17" s="19"/>
      <c r="DW17" s="19" t="s">
        <v>2153</v>
      </c>
      <c r="DX17" s="19">
        <v>3.0</v>
      </c>
      <c r="DY17" s="19">
        <v>10.0</v>
      </c>
      <c r="DZ17" s="19">
        <v>0.0</v>
      </c>
      <c r="EA17" s="19">
        <v>10.0</v>
      </c>
      <c r="EB17" s="19">
        <v>0.0</v>
      </c>
      <c r="EC17" s="19">
        <v>20.0</v>
      </c>
      <c r="ED17" s="19" t="s">
        <v>2325</v>
      </c>
      <c r="EE17" s="24">
        <v>45519.0</v>
      </c>
      <c r="EF17" s="19" t="s">
        <v>2325</v>
      </c>
      <c r="EG17" s="19" t="s">
        <v>2145</v>
      </c>
      <c r="EH17" s="19" t="s">
        <v>2326</v>
      </c>
      <c r="EI17" s="22">
        <v>14.15625</v>
      </c>
      <c r="EJ17" s="19">
        <v>45.0</v>
      </c>
      <c r="EK17" s="19"/>
      <c r="EL17" s="19" t="s">
        <v>2282</v>
      </c>
      <c r="EM17" s="19" t="s">
        <v>2485</v>
      </c>
      <c r="EN17" s="19" t="s">
        <v>68</v>
      </c>
      <c r="EO17" s="19" t="s">
        <v>2487</v>
      </c>
      <c r="EP17" s="19" t="s">
        <v>2310</v>
      </c>
      <c r="EQ17" s="19" t="s">
        <v>2431</v>
      </c>
      <c r="ER17" s="19"/>
      <c r="ES17" s="19" t="s">
        <v>68</v>
      </c>
      <c r="ET17" s="19" t="s">
        <v>68</v>
      </c>
      <c r="EU17" s="19" t="s">
        <v>2483</v>
      </c>
      <c r="EV17" s="19">
        <v>7183.0</v>
      </c>
      <c r="EW17" s="19" t="s">
        <v>16</v>
      </c>
      <c r="EX17" s="19">
        <v>5.0</v>
      </c>
      <c r="EY17" s="25" t="s">
        <v>67</v>
      </c>
      <c r="EZ17" s="19" t="s">
        <v>2154</v>
      </c>
      <c r="FA17" s="5" t="s">
        <v>2500</v>
      </c>
      <c r="FB17" s="26" t="s">
        <v>2156</v>
      </c>
      <c r="FC17" s="26"/>
    </row>
    <row r="18">
      <c r="A18" s="19" t="s">
        <v>2112</v>
      </c>
      <c r="B18" s="19" t="s">
        <v>2113</v>
      </c>
      <c r="C18" s="19" t="s">
        <v>2113</v>
      </c>
      <c r="D18" s="19" t="s">
        <v>69</v>
      </c>
      <c r="E18" s="19" t="s">
        <v>2501</v>
      </c>
      <c r="F18" s="19" t="s">
        <v>69</v>
      </c>
      <c r="G18" s="19"/>
      <c r="H18" s="19" t="s">
        <v>69</v>
      </c>
      <c r="I18" s="19" t="s">
        <v>71</v>
      </c>
      <c r="J18" s="19" t="s">
        <v>2502</v>
      </c>
      <c r="K18" s="19" t="s">
        <v>2503</v>
      </c>
      <c r="L18" s="20">
        <v>45460.0</v>
      </c>
      <c r="M18" s="20">
        <v>45462.0</v>
      </c>
      <c r="N18" s="20">
        <v>45462.0</v>
      </c>
      <c r="O18" s="19" t="s">
        <v>70</v>
      </c>
      <c r="P18" s="19">
        <v>0.0</v>
      </c>
      <c r="Q18" s="19">
        <v>20.0</v>
      </c>
      <c r="R18" s="19">
        <v>7464.0</v>
      </c>
      <c r="S18" s="20" t="s">
        <v>2504</v>
      </c>
      <c r="T18" s="20">
        <v>45461.0</v>
      </c>
      <c r="U18" s="19" t="s">
        <v>69</v>
      </c>
      <c r="V18" s="19"/>
      <c r="W18" s="19"/>
      <c r="X18" s="21">
        <v>20.0</v>
      </c>
      <c r="Y18" s="21">
        <v>10.0</v>
      </c>
      <c r="Z18" s="21">
        <v>5.0</v>
      </c>
      <c r="AA18" s="21">
        <v>0.0</v>
      </c>
      <c r="AB18" s="5">
        <v>35.0</v>
      </c>
      <c r="AC18" s="19">
        <v>5.0</v>
      </c>
      <c r="AD18" s="19">
        <v>5.0</v>
      </c>
      <c r="AE18" s="19">
        <v>5.0</v>
      </c>
      <c r="AF18" s="19">
        <v>5.0</v>
      </c>
      <c r="AG18" s="19">
        <v>4.5</v>
      </c>
      <c r="AH18" s="19">
        <v>5.0</v>
      </c>
      <c r="AI18" s="22">
        <v>14.8125</v>
      </c>
      <c r="AJ18" s="19">
        <v>14.5</v>
      </c>
      <c r="AK18" s="19">
        <v>15.0</v>
      </c>
      <c r="AL18" s="19">
        <v>14.8</v>
      </c>
      <c r="AM18" s="19">
        <v>44.3</v>
      </c>
      <c r="AN18" s="19">
        <v>59.1</v>
      </c>
      <c r="AO18" s="19">
        <v>94.1</v>
      </c>
      <c r="AP18" s="19">
        <v>77.0</v>
      </c>
      <c r="AQ18" s="23">
        <v>17.0</v>
      </c>
      <c r="AR18" s="23">
        <v>6.0</v>
      </c>
      <c r="AS18" s="22"/>
      <c r="AT18" s="19" t="s">
        <v>2163</v>
      </c>
      <c r="AU18" s="19" t="s">
        <v>2505</v>
      </c>
      <c r="AV18" s="19" t="s">
        <v>2506</v>
      </c>
      <c r="AW18" s="19" t="s">
        <v>2166</v>
      </c>
      <c r="AX18" s="20">
        <v>37997.0</v>
      </c>
      <c r="AY18" s="19" t="s">
        <v>2196</v>
      </c>
      <c r="AZ18" s="19" t="s">
        <v>2122</v>
      </c>
      <c r="BA18" s="19" t="s">
        <v>2507</v>
      </c>
      <c r="BB18" s="19" t="s">
        <v>2508</v>
      </c>
      <c r="BC18" s="19" t="s">
        <v>2509</v>
      </c>
      <c r="BD18" s="19" t="s">
        <v>2510</v>
      </c>
      <c r="BE18" s="19"/>
      <c r="BF18" s="19"/>
      <c r="BG18" s="19" t="s">
        <v>2127</v>
      </c>
      <c r="BH18" s="19" t="s">
        <v>2128</v>
      </c>
      <c r="BI18" s="19"/>
      <c r="BJ18" s="19" t="s">
        <v>2128</v>
      </c>
      <c r="BK18" s="19" t="s">
        <v>17</v>
      </c>
      <c r="BL18" s="19" t="s">
        <v>2113</v>
      </c>
      <c r="BM18" s="19" t="s">
        <v>2130</v>
      </c>
      <c r="BN18" s="19" t="s">
        <v>17</v>
      </c>
      <c r="BO18" s="19" t="s">
        <v>2132</v>
      </c>
      <c r="BP18" s="19" t="s">
        <v>2511</v>
      </c>
      <c r="BQ18" s="19" t="s">
        <v>2174</v>
      </c>
      <c r="BR18" s="19" t="s">
        <v>2174</v>
      </c>
      <c r="BS18" s="19" t="s">
        <v>2134</v>
      </c>
      <c r="BT18" s="19" t="s">
        <v>21</v>
      </c>
      <c r="BU18" s="19" t="s">
        <v>2512</v>
      </c>
      <c r="BV18" s="19" t="s">
        <v>2513</v>
      </c>
      <c r="BW18" s="19"/>
      <c r="BX18" s="19"/>
      <c r="BY18" s="19"/>
      <c r="BZ18" s="19"/>
      <c r="CA18" s="19"/>
      <c r="CB18" s="19" t="s">
        <v>2113</v>
      </c>
      <c r="CC18" s="19" t="s">
        <v>2113</v>
      </c>
      <c r="CD18" s="19" t="s">
        <v>2137</v>
      </c>
      <c r="CE18" s="19" t="s">
        <v>16</v>
      </c>
      <c r="CF18" s="19"/>
      <c r="CG18" s="19"/>
      <c r="CH18" s="19" t="s">
        <v>16</v>
      </c>
      <c r="CI18" s="21">
        <v>0.0</v>
      </c>
      <c r="CJ18" s="19" t="s">
        <v>17</v>
      </c>
      <c r="CK18" s="19"/>
      <c r="CL18" s="19"/>
      <c r="CM18" s="19" t="s">
        <v>2138</v>
      </c>
      <c r="CN18" s="19" t="s">
        <v>2204</v>
      </c>
      <c r="CO18" s="19" t="s">
        <v>2177</v>
      </c>
      <c r="CP18" s="19" t="s">
        <v>2140</v>
      </c>
      <c r="CQ18" s="19" t="s">
        <v>2113</v>
      </c>
      <c r="CR18" s="19"/>
      <c r="CS18" s="19"/>
      <c r="CT18" s="19"/>
      <c r="CU18" s="19"/>
      <c r="CV18" s="19" t="s">
        <v>2141</v>
      </c>
      <c r="CW18" s="19"/>
      <c r="CX18" s="19"/>
      <c r="CY18" s="19" t="s">
        <v>2113</v>
      </c>
      <c r="CZ18" s="19" t="s">
        <v>2113</v>
      </c>
      <c r="DA18" s="19" t="s">
        <v>16</v>
      </c>
      <c r="DB18" s="19" t="s">
        <v>17</v>
      </c>
      <c r="DC18" s="19" t="s">
        <v>2181</v>
      </c>
      <c r="DD18" s="19" t="s">
        <v>2113</v>
      </c>
      <c r="DE18" s="19" t="s">
        <v>2113</v>
      </c>
      <c r="DF18" s="19" t="s">
        <v>2514</v>
      </c>
      <c r="DG18" s="19" t="s">
        <v>2345</v>
      </c>
      <c r="DH18" s="19" t="s">
        <v>2144</v>
      </c>
      <c r="DI18" s="24">
        <v>45517.0</v>
      </c>
      <c r="DJ18" s="19" t="s">
        <v>2174</v>
      </c>
      <c r="DK18" s="19" t="s">
        <v>2271</v>
      </c>
      <c r="DL18" s="19" t="s">
        <v>2183</v>
      </c>
      <c r="DM18" s="19" t="s">
        <v>2515</v>
      </c>
      <c r="DN18" s="19">
        <v>2.0</v>
      </c>
      <c r="DO18" s="19">
        <v>2.0</v>
      </c>
      <c r="DP18" s="19" t="s">
        <v>2516</v>
      </c>
      <c r="DQ18" s="19" t="s">
        <v>2517</v>
      </c>
      <c r="DR18" s="19" t="s">
        <v>2518</v>
      </c>
      <c r="DS18" s="19" t="s">
        <v>2151</v>
      </c>
      <c r="DT18" s="19" t="s">
        <v>2366</v>
      </c>
      <c r="DU18" s="19"/>
      <c r="DV18" s="19"/>
      <c r="DW18" s="19" t="s">
        <v>2153</v>
      </c>
      <c r="DX18" s="19">
        <v>13.0</v>
      </c>
      <c r="DY18" s="19">
        <v>10.0</v>
      </c>
      <c r="DZ18" s="19">
        <v>0.0</v>
      </c>
      <c r="EA18" s="19">
        <v>10.0</v>
      </c>
      <c r="EB18" s="19">
        <v>0.0</v>
      </c>
      <c r="EC18" s="19">
        <v>20.0</v>
      </c>
      <c r="ED18" s="19" t="s">
        <v>2174</v>
      </c>
      <c r="EE18" s="24">
        <v>45517.0</v>
      </c>
      <c r="EF18" s="19" t="s">
        <v>2174</v>
      </c>
      <c r="EG18" s="19" t="s">
        <v>2271</v>
      </c>
      <c r="EH18" s="19" t="s">
        <v>2183</v>
      </c>
      <c r="EI18" s="22">
        <v>14.8125</v>
      </c>
      <c r="EJ18" s="19">
        <v>44.25</v>
      </c>
      <c r="EK18" s="19" t="s">
        <v>2113</v>
      </c>
      <c r="EL18" s="19" t="s">
        <v>2163</v>
      </c>
      <c r="EM18" s="19" t="s">
        <v>2505</v>
      </c>
      <c r="EN18" s="19" t="s">
        <v>71</v>
      </c>
      <c r="EO18" s="19" t="s">
        <v>2196</v>
      </c>
      <c r="EP18" s="19" t="s">
        <v>2122</v>
      </c>
      <c r="EQ18" s="19" t="s">
        <v>2204</v>
      </c>
      <c r="ER18" s="19" t="s">
        <v>2177</v>
      </c>
      <c r="ES18" s="19" t="s">
        <v>71</v>
      </c>
      <c r="ET18" s="19" t="s">
        <v>71</v>
      </c>
      <c r="EU18" s="19" t="s">
        <v>2503</v>
      </c>
      <c r="EV18" s="19">
        <v>7464.0</v>
      </c>
      <c r="EW18" s="19" t="s">
        <v>16</v>
      </c>
      <c r="EX18" s="19">
        <v>5.0</v>
      </c>
      <c r="EY18" s="25" t="s">
        <v>70</v>
      </c>
      <c r="EZ18" s="19" t="s">
        <v>2154</v>
      </c>
      <c r="FA18" s="5" t="s">
        <v>2519</v>
      </c>
      <c r="FB18" s="26" t="s">
        <v>2156</v>
      </c>
      <c r="FC18" s="26"/>
    </row>
    <row r="19">
      <c r="A19" s="19" t="s">
        <v>2112</v>
      </c>
      <c r="B19" s="19" t="s">
        <v>2113</v>
      </c>
      <c r="C19" s="19" t="s">
        <v>2113</v>
      </c>
      <c r="D19" s="19" t="s">
        <v>72</v>
      </c>
      <c r="E19" s="19" t="s">
        <v>2520</v>
      </c>
      <c r="F19" s="19" t="s">
        <v>2521</v>
      </c>
      <c r="G19" s="19" t="s">
        <v>2522</v>
      </c>
      <c r="H19" s="19" t="s">
        <v>72</v>
      </c>
      <c r="I19" s="19" t="s">
        <v>74</v>
      </c>
      <c r="J19" s="19" t="s">
        <v>2523</v>
      </c>
      <c r="K19" s="19" t="s">
        <v>2524</v>
      </c>
      <c r="L19" s="20">
        <v>45427.0</v>
      </c>
      <c r="M19" s="20">
        <v>45428.0</v>
      </c>
      <c r="N19" s="20">
        <v>45428.0</v>
      </c>
      <c r="O19" s="19" t="s">
        <v>73</v>
      </c>
      <c r="P19" s="19">
        <v>0.0</v>
      </c>
      <c r="Q19" s="19">
        <v>25.0</v>
      </c>
      <c r="R19" s="19">
        <v>9212.0</v>
      </c>
      <c r="S19" s="20" t="s">
        <v>2525</v>
      </c>
      <c r="T19" s="20">
        <v>45461.0</v>
      </c>
      <c r="U19" s="19" t="s">
        <v>2521</v>
      </c>
      <c r="V19" s="19"/>
      <c r="W19" s="19" t="s">
        <v>2526</v>
      </c>
      <c r="X19" s="21">
        <v>20.0</v>
      </c>
      <c r="Y19" s="21">
        <v>10.0</v>
      </c>
      <c r="Z19" s="21">
        <v>5.0</v>
      </c>
      <c r="AA19" s="21">
        <v>3.0</v>
      </c>
      <c r="AB19" s="5">
        <v>38.0</v>
      </c>
      <c r="AC19" s="19">
        <v>4.6</v>
      </c>
      <c r="AD19" s="19">
        <v>4.6</v>
      </c>
      <c r="AE19" s="19">
        <v>4.0</v>
      </c>
      <c r="AF19" s="19">
        <v>4.3</v>
      </c>
      <c r="AG19" s="19">
        <v>4.0</v>
      </c>
      <c r="AH19" s="19">
        <v>4.6</v>
      </c>
      <c r="AI19" s="22">
        <v>13.012500000000001</v>
      </c>
      <c r="AJ19" s="19">
        <v>13.0</v>
      </c>
      <c r="AK19" s="19">
        <v>15.0</v>
      </c>
      <c r="AL19" s="19">
        <v>15.0</v>
      </c>
      <c r="AM19" s="19">
        <v>43.0</v>
      </c>
      <c r="AN19" s="19">
        <v>56.0</v>
      </c>
      <c r="AO19" s="19">
        <v>94.0</v>
      </c>
      <c r="AP19" s="19">
        <v>6.0</v>
      </c>
      <c r="AQ19" s="23">
        <v>18.0</v>
      </c>
      <c r="AR19" s="23">
        <v>1.0</v>
      </c>
      <c r="AS19" s="22"/>
      <c r="AT19" s="19" t="s">
        <v>2282</v>
      </c>
      <c r="AU19" s="19" t="s">
        <v>2527</v>
      </c>
      <c r="AV19" s="19" t="s">
        <v>2528</v>
      </c>
      <c r="AW19" s="19" t="s">
        <v>2166</v>
      </c>
      <c r="AX19" s="20">
        <v>36249.0</v>
      </c>
      <c r="AY19" s="19" t="s">
        <v>2529</v>
      </c>
      <c r="AZ19" s="19" t="s">
        <v>2445</v>
      </c>
      <c r="BA19" s="19" t="s">
        <v>2530</v>
      </c>
      <c r="BB19" s="19" t="s">
        <v>2531</v>
      </c>
      <c r="BC19" s="19" t="s">
        <v>2532</v>
      </c>
      <c r="BD19" s="19" t="s">
        <v>2533</v>
      </c>
      <c r="BE19" s="19" t="s">
        <v>2523</v>
      </c>
      <c r="BF19" s="19">
        <v>1.1968413518E10</v>
      </c>
      <c r="BG19" s="19" t="s">
        <v>2127</v>
      </c>
      <c r="BH19" s="19" t="s">
        <v>2128</v>
      </c>
      <c r="BI19" s="19"/>
      <c r="BJ19" s="19"/>
      <c r="BK19" s="19" t="s">
        <v>16</v>
      </c>
      <c r="BL19" s="19"/>
      <c r="BM19" s="19" t="s">
        <v>2130</v>
      </c>
      <c r="BN19" s="19" t="s">
        <v>17</v>
      </c>
      <c r="BO19" s="19" t="s">
        <v>2132</v>
      </c>
      <c r="BP19" s="19" t="s">
        <v>2534</v>
      </c>
      <c r="BQ19" s="19" t="s">
        <v>2174</v>
      </c>
      <c r="BR19" s="19" t="s">
        <v>2174</v>
      </c>
      <c r="BS19" s="19" t="s">
        <v>2243</v>
      </c>
      <c r="BT19" s="19" t="s">
        <v>75</v>
      </c>
      <c r="BU19" s="19" t="s">
        <v>2535</v>
      </c>
      <c r="BV19" s="19" t="s">
        <v>2536</v>
      </c>
      <c r="BW19" s="19"/>
      <c r="BX19" s="19"/>
      <c r="BY19" s="19"/>
      <c r="BZ19" s="19"/>
      <c r="CA19" s="19"/>
      <c r="CB19" s="19" t="s">
        <v>2113</v>
      </c>
      <c r="CC19" s="19" t="s">
        <v>2113</v>
      </c>
      <c r="CD19" s="19" t="s">
        <v>2137</v>
      </c>
      <c r="CE19" s="19" t="s">
        <v>16</v>
      </c>
      <c r="CF19" s="19"/>
      <c r="CG19" s="19"/>
      <c r="CH19" s="19" t="s">
        <v>17</v>
      </c>
      <c r="CI19" s="21">
        <v>3.0</v>
      </c>
      <c r="CJ19" s="19" t="s">
        <v>16</v>
      </c>
      <c r="CK19" s="19"/>
      <c r="CL19" s="19"/>
      <c r="CM19" s="19" t="s">
        <v>2138</v>
      </c>
      <c r="CN19" s="19" t="s">
        <v>2537</v>
      </c>
      <c r="CO19" s="19"/>
      <c r="CP19" s="19"/>
      <c r="CQ19" s="19"/>
      <c r="CR19" s="19" t="s">
        <v>2113</v>
      </c>
      <c r="CS19" s="19" t="s">
        <v>2113</v>
      </c>
      <c r="CT19" s="19" t="s">
        <v>2113</v>
      </c>
      <c r="CU19" s="19" t="s">
        <v>2113</v>
      </c>
      <c r="CV19" s="19" t="s">
        <v>2141</v>
      </c>
      <c r="CW19" s="19" t="s">
        <v>2113</v>
      </c>
      <c r="CX19" s="19" t="s">
        <v>2113</v>
      </c>
      <c r="CY19" s="19" t="s">
        <v>2113</v>
      </c>
      <c r="CZ19" s="19" t="s">
        <v>2113</v>
      </c>
      <c r="DA19" s="19" t="s">
        <v>16</v>
      </c>
      <c r="DB19" s="19" t="s">
        <v>16</v>
      </c>
      <c r="DC19" s="19" t="s">
        <v>2538</v>
      </c>
      <c r="DD19" s="19" t="s">
        <v>2113</v>
      </c>
      <c r="DE19" s="19" t="s">
        <v>2113</v>
      </c>
      <c r="DF19" s="19" t="s">
        <v>2539</v>
      </c>
      <c r="DG19" s="19" t="s">
        <v>2540</v>
      </c>
      <c r="DH19" s="19" t="s">
        <v>2144</v>
      </c>
      <c r="DI19" s="24">
        <v>45531.0</v>
      </c>
      <c r="DJ19" s="19" t="s">
        <v>2174</v>
      </c>
      <c r="DK19" s="19" t="s">
        <v>2145</v>
      </c>
      <c r="DL19" s="19" t="s">
        <v>2183</v>
      </c>
      <c r="DM19" s="19"/>
      <c r="DN19" s="19">
        <v>7.0</v>
      </c>
      <c r="DO19" s="19">
        <v>7.0</v>
      </c>
      <c r="DP19" s="19" t="s">
        <v>2541</v>
      </c>
      <c r="DQ19" s="19" t="s">
        <v>2542</v>
      </c>
      <c r="DR19" s="19" t="s">
        <v>2543</v>
      </c>
      <c r="DS19" s="19" t="s">
        <v>2151</v>
      </c>
      <c r="DT19" s="19" t="s">
        <v>2301</v>
      </c>
      <c r="DU19" s="19"/>
      <c r="DV19" s="19"/>
      <c r="DW19" s="19" t="s">
        <v>2188</v>
      </c>
      <c r="DX19" s="19">
        <v>15.0</v>
      </c>
      <c r="DY19" s="19">
        <v>10.0</v>
      </c>
      <c r="DZ19" s="19">
        <v>0.0</v>
      </c>
      <c r="EA19" s="19">
        <v>10.0</v>
      </c>
      <c r="EB19" s="19">
        <v>3.0</v>
      </c>
      <c r="EC19" s="19">
        <v>20.0</v>
      </c>
      <c r="ED19" s="19" t="s">
        <v>2174</v>
      </c>
      <c r="EE19" s="24">
        <v>45531.0</v>
      </c>
      <c r="EF19" s="19" t="s">
        <v>2174</v>
      </c>
      <c r="EG19" s="19" t="s">
        <v>2145</v>
      </c>
      <c r="EH19" s="19" t="s">
        <v>2183</v>
      </c>
      <c r="EI19" s="22">
        <v>13.012500000000001</v>
      </c>
      <c r="EJ19" s="19">
        <v>43.0</v>
      </c>
      <c r="EK19" s="19"/>
      <c r="EL19" s="19" t="s">
        <v>2282</v>
      </c>
      <c r="EM19" s="19" t="s">
        <v>2527</v>
      </c>
      <c r="EN19" s="19" t="s">
        <v>74</v>
      </c>
      <c r="EO19" s="19" t="s">
        <v>2529</v>
      </c>
      <c r="EP19" s="19" t="s">
        <v>2445</v>
      </c>
      <c r="EQ19" s="19" t="s">
        <v>2537</v>
      </c>
      <c r="ER19" s="19"/>
      <c r="ES19" s="19" t="s">
        <v>74</v>
      </c>
      <c r="ET19" s="19" t="s">
        <v>74</v>
      </c>
      <c r="EU19" s="19" t="s">
        <v>2524</v>
      </c>
      <c r="EV19" s="19">
        <v>9212.0</v>
      </c>
      <c r="EW19" s="19" t="s">
        <v>16</v>
      </c>
      <c r="EX19" s="19">
        <v>5.0</v>
      </c>
      <c r="EY19" s="25" t="s">
        <v>73</v>
      </c>
      <c r="EZ19" s="19" t="s">
        <v>2154</v>
      </c>
      <c r="FA19" s="5" t="s">
        <v>2544</v>
      </c>
      <c r="FB19" s="26" t="s">
        <v>2156</v>
      </c>
      <c r="FC19" s="26"/>
    </row>
    <row r="20">
      <c r="A20" s="19" t="s">
        <v>2112</v>
      </c>
      <c r="B20" s="19" t="s">
        <v>2113</v>
      </c>
      <c r="C20" s="19" t="s">
        <v>2113</v>
      </c>
      <c r="D20" s="19" t="s">
        <v>2545</v>
      </c>
      <c r="E20" s="19" t="s">
        <v>2546</v>
      </c>
      <c r="F20" s="19" t="s">
        <v>76</v>
      </c>
      <c r="G20" s="19" t="s">
        <v>2547</v>
      </c>
      <c r="H20" s="19" t="s">
        <v>76</v>
      </c>
      <c r="I20" s="19" t="s">
        <v>78</v>
      </c>
      <c r="J20" s="19" t="s">
        <v>2548</v>
      </c>
      <c r="K20" s="19" t="s">
        <v>2549</v>
      </c>
      <c r="L20" s="20">
        <v>45445.0</v>
      </c>
      <c r="M20" s="20">
        <v>45446.0</v>
      </c>
      <c r="N20" s="20">
        <v>45446.0</v>
      </c>
      <c r="O20" s="19" t="s">
        <v>77</v>
      </c>
      <c r="P20" s="19">
        <v>0.0</v>
      </c>
      <c r="Q20" s="19">
        <v>25.0</v>
      </c>
      <c r="R20" s="19">
        <v>9420.0</v>
      </c>
      <c r="S20" s="20" t="s">
        <v>2550</v>
      </c>
      <c r="T20" s="20">
        <v>45461.0</v>
      </c>
      <c r="U20" s="19" t="s">
        <v>76</v>
      </c>
      <c r="V20" s="19"/>
      <c r="W20" s="19"/>
      <c r="X20" s="21">
        <v>20.0</v>
      </c>
      <c r="Y20" s="21">
        <v>10.0</v>
      </c>
      <c r="Z20" s="21">
        <v>5.0</v>
      </c>
      <c r="AA20" s="21">
        <v>2.0</v>
      </c>
      <c r="AB20" s="5">
        <v>37.0</v>
      </c>
      <c r="AC20" s="19">
        <v>4.0</v>
      </c>
      <c r="AD20" s="19">
        <v>4.1</v>
      </c>
      <c r="AE20" s="19">
        <v>3.8</v>
      </c>
      <c r="AF20" s="19">
        <v>4.1</v>
      </c>
      <c r="AG20" s="19">
        <v>4.0</v>
      </c>
      <c r="AH20" s="19">
        <v>4.0</v>
      </c>
      <c r="AI20" s="22">
        <v>11.953125</v>
      </c>
      <c r="AJ20" s="19">
        <v>15.0</v>
      </c>
      <c r="AK20" s="19">
        <v>15.0</v>
      </c>
      <c r="AL20" s="19">
        <v>15.0</v>
      </c>
      <c r="AM20" s="19">
        <v>45.0</v>
      </c>
      <c r="AN20" s="19">
        <v>57.0</v>
      </c>
      <c r="AO20" s="19">
        <v>94.0</v>
      </c>
      <c r="AP20" s="19">
        <v>16.0</v>
      </c>
      <c r="AQ20" s="23">
        <v>19.0</v>
      </c>
      <c r="AR20" s="23">
        <v>4.0</v>
      </c>
      <c r="AS20" s="22"/>
      <c r="AT20" s="19" t="s">
        <v>2163</v>
      </c>
      <c r="AU20" s="19" t="s">
        <v>2551</v>
      </c>
      <c r="AV20" s="19" t="s">
        <v>2552</v>
      </c>
      <c r="AW20" s="19" t="s">
        <v>2553</v>
      </c>
      <c r="AX20" s="20">
        <v>36041.0</v>
      </c>
      <c r="AY20" s="19" t="s">
        <v>2421</v>
      </c>
      <c r="AZ20" s="19" t="s">
        <v>2554</v>
      </c>
      <c r="BA20" s="19" t="s">
        <v>2555</v>
      </c>
      <c r="BB20" s="19" t="s">
        <v>2556</v>
      </c>
      <c r="BC20" s="19" t="s">
        <v>2557</v>
      </c>
      <c r="BD20" s="19" t="s">
        <v>2558</v>
      </c>
      <c r="BE20" s="19" t="s">
        <v>2559</v>
      </c>
      <c r="BF20" s="19">
        <v>1.1916676901E10</v>
      </c>
      <c r="BG20" s="19" t="s">
        <v>2127</v>
      </c>
      <c r="BH20" s="19" t="s">
        <v>2128</v>
      </c>
      <c r="BI20" s="19"/>
      <c r="BJ20" s="19"/>
      <c r="BK20" s="19" t="s">
        <v>16</v>
      </c>
      <c r="BL20" s="19"/>
      <c r="BM20" s="19" t="s">
        <v>2130</v>
      </c>
      <c r="BN20" s="19" t="s">
        <v>2172</v>
      </c>
      <c r="BO20" s="19" t="s">
        <v>2132</v>
      </c>
      <c r="BP20" s="19"/>
      <c r="BQ20" s="19" t="s">
        <v>2325</v>
      </c>
      <c r="BR20" s="19" t="s">
        <v>2325</v>
      </c>
      <c r="BS20" s="19" t="s">
        <v>2134</v>
      </c>
      <c r="BT20" s="19" t="s">
        <v>59</v>
      </c>
      <c r="BU20" s="19" t="s">
        <v>2560</v>
      </c>
      <c r="BV20" s="19" t="s">
        <v>2561</v>
      </c>
      <c r="BW20" s="19" t="s">
        <v>2113</v>
      </c>
      <c r="BX20" s="19"/>
      <c r="BY20" s="19"/>
      <c r="BZ20" s="19"/>
      <c r="CA20" s="19"/>
      <c r="CB20" s="19" t="s">
        <v>2113</v>
      </c>
      <c r="CC20" s="19"/>
      <c r="CD20" s="19" t="s">
        <v>2137</v>
      </c>
      <c r="CE20" s="19" t="s">
        <v>16</v>
      </c>
      <c r="CF20" s="19"/>
      <c r="CG20" s="19"/>
      <c r="CH20" s="19" t="s">
        <v>16</v>
      </c>
      <c r="CI20" s="21">
        <v>0.0</v>
      </c>
      <c r="CJ20" s="19" t="s">
        <v>17</v>
      </c>
      <c r="CK20" s="19"/>
      <c r="CL20" s="19"/>
      <c r="CM20" s="19" t="s">
        <v>2138</v>
      </c>
      <c r="CN20" s="19" t="s">
        <v>2431</v>
      </c>
      <c r="CO20" s="19"/>
      <c r="CP20" s="19"/>
      <c r="CQ20" s="19"/>
      <c r="CR20" s="19" t="s">
        <v>2113</v>
      </c>
      <c r="CS20" s="19" t="s">
        <v>2113</v>
      </c>
      <c r="CT20" s="19" t="s">
        <v>2113</v>
      </c>
      <c r="CU20" s="19" t="s">
        <v>2113</v>
      </c>
      <c r="CV20" s="19" t="s">
        <v>2141</v>
      </c>
      <c r="CW20" s="19" t="s">
        <v>2113</v>
      </c>
      <c r="CX20" s="19" t="s">
        <v>2113</v>
      </c>
      <c r="CY20" s="19" t="s">
        <v>2113</v>
      </c>
      <c r="CZ20" s="19" t="s">
        <v>2113</v>
      </c>
      <c r="DA20" s="19" t="s">
        <v>16</v>
      </c>
      <c r="DB20" s="19" t="s">
        <v>17</v>
      </c>
      <c r="DC20" s="19" t="s">
        <v>2562</v>
      </c>
      <c r="DD20" s="19" t="s">
        <v>2113</v>
      </c>
      <c r="DE20" s="19" t="s">
        <v>2113</v>
      </c>
      <c r="DF20" s="19" t="s">
        <v>2432</v>
      </c>
      <c r="DG20" s="19" t="s">
        <v>2432</v>
      </c>
      <c r="DH20" s="19" t="s">
        <v>2144</v>
      </c>
      <c r="DI20" s="24">
        <v>45525.0</v>
      </c>
      <c r="DJ20" s="19" t="s">
        <v>2325</v>
      </c>
      <c r="DK20" s="19" t="s">
        <v>2271</v>
      </c>
      <c r="DL20" s="19" t="s">
        <v>2326</v>
      </c>
      <c r="DM20" s="19"/>
      <c r="DN20" s="19">
        <v>10.0</v>
      </c>
      <c r="DO20" s="19">
        <v>10.0</v>
      </c>
      <c r="DP20" s="19" t="s">
        <v>2563</v>
      </c>
      <c r="DQ20" s="19" t="s">
        <v>2564</v>
      </c>
      <c r="DR20" s="19" t="s">
        <v>2565</v>
      </c>
      <c r="DS20" s="19" t="s">
        <v>2151</v>
      </c>
      <c r="DT20" s="19" t="s">
        <v>2229</v>
      </c>
      <c r="DU20" s="19"/>
      <c r="DV20" s="19"/>
      <c r="DW20" s="19" t="s">
        <v>2479</v>
      </c>
      <c r="DX20" s="19">
        <v>16.0</v>
      </c>
      <c r="DY20" s="19">
        <v>10.0</v>
      </c>
      <c r="DZ20" s="19">
        <v>2.0</v>
      </c>
      <c r="EA20" s="19">
        <v>10.0</v>
      </c>
      <c r="EB20" s="19">
        <v>0.0</v>
      </c>
      <c r="EC20" s="19">
        <v>20.0</v>
      </c>
      <c r="ED20" s="19" t="s">
        <v>2325</v>
      </c>
      <c r="EE20" s="24">
        <v>45525.0</v>
      </c>
      <c r="EF20" s="19" t="s">
        <v>2325</v>
      </c>
      <c r="EG20" s="19" t="s">
        <v>2271</v>
      </c>
      <c r="EH20" s="19" t="s">
        <v>2326</v>
      </c>
      <c r="EI20" s="22">
        <v>11.953125</v>
      </c>
      <c r="EJ20" s="19">
        <v>45.0</v>
      </c>
      <c r="EK20" s="19" t="s">
        <v>2113</v>
      </c>
      <c r="EL20" s="19" t="s">
        <v>2163</v>
      </c>
      <c r="EM20" s="19" t="s">
        <v>2551</v>
      </c>
      <c r="EN20" s="19" t="s">
        <v>78</v>
      </c>
      <c r="EO20" s="19" t="s">
        <v>2421</v>
      </c>
      <c r="EP20" s="19" t="s">
        <v>2554</v>
      </c>
      <c r="EQ20" s="19" t="s">
        <v>2431</v>
      </c>
      <c r="ER20" s="19"/>
      <c r="ES20" s="19" t="s">
        <v>78</v>
      </c>
      <c r="ET20" s="19" t="s">
        <v>78</v>
      </c>
      <c r="EU20" s="19" t="s">
        <v>2549</v>
      </c>
      <c r="EV20" s="19">
        <v>9420.0</v>
      </c>
      <c r="EW20" s="19" t="s">
        <v>16</v>
      </c>
      <c r="EX20" s="19">
        <v>5.0</v>
      </c>
      <c r="EY20" s="25" t="s">
        <v>77</v>
      </c>
      <c r="EZ20" s="19" t="s">
        <v>2154</v>
      </c>
      <c r="FA20" s="5" t="s">
        <v>2566</v>
      </c>
      <c r="FB20" s="26" t="s">
        <v>2156</v>
      </c>
      <c r="FC20" s="26"/>
    </row>
    <row r="21">
      <c r="A21" s="19" t="s">
        <v>2156</v>
      </c>
      <c r="B21" s="19" t="s">
        <v>2113</v>
      </c>
      <c r="C21" s="19" t="s">
        <v>2113</v>
      </c>
      <c r="D21" s="19" t="s">
        <v>79</v>
      </c>
      <c r="E21" s="19" t="s">
        <v>2567</v>
      </c>
      <c r="F21" s="19" t="s">
        <v>79</v>
      </c>
      <c r="G21" s="19"/>
      <c r="H21" s="19" t="s">
        <v>79</v>
      </c>
      <c r="I21" s="19" t="s">
        <v>80</v>
      </c>
      <c r="J21" s="19" t="s">
        <v>2568</v>
      </c>
      <c r="K21" s="19" t="s">
        <v>2569</v>
      </c>
      <c r="L21" s="20">
        <v>45446.0</v>
      </c>
      <c r="M21" s="20">
        <v>45446.0</v>
      </c>
      <c r="N21" s="20">
        <v>45446.0</v>
      </c>
      <c r="O21" s="19">
        <v>3.2831786E7</v>
      </c>
      <c r="P21" s="19">
        <v>0.0</v>
      </c>
      <c r="Q21" s="19">
        <v>21.0</v>
      </c>
      <c r="R21" s="19">
        <v>7995.0</v>
      </c>
      <c r="S21" s="20" t="s">
        <v>2570</v>
      </c>
      <c r="T21" s="20">
        <v>45461.0</v>
      </c>
      <c r="U21" s="19" t="s">
        <v>79</v>
      </c>
      <c r="V21" s="19"/>
      <c r="W21" s="19"/>
      <c r="X21" s="21">
        <v>20.0</v>
      </c>
      <c r="Y21" s="21">
        <v>10.0</v>
      </c>
      <c r="Z21" s="21">
        <v>5.0</v>
      </c>
      <c r="AA21" s="21">
        <v>0.0</v>
      </c>
      <c r="AB21" s="5">
        <v>35.0</v>
      </c>
      <c r="AC21" s="19">
        <v>5.0</v>
      </c>
      <c r="AD21" s="19">
        <v>5.0</v>
      </c>
      <c r="AE21" s="19">
        <v>5.0</v>
      </c>
      <c r="AF21" s="19">
        <v>5.0</v>
      </c>
      <c r="AG21" s="19">
        <v>5.0</v>
      </c>
      <c r="AH21" s="19">
        <v>5.0</v>
      </c>
      <c r="AI21" s="22">
        <v>15.0</v>
      </c>
      <c r="AJ21" s="19">
        <v>14.0</v>
      </c>
      <c r="AK21" s="19">
        <v>15.0</v>
      </c>
      <c r="AL21" s="19">
        <v>15.0</v>
      </c>
      <c r="AM21" s="19">
        <v>44.0</v>
      </c>
      <c r="AN21" s="19">
        <v>59.0</v>
      </c>
      <c r="AO21" s="19">
        <v>94.0</v>
      </c>
      <c r="AP21" s="19">
        <v>66.0</v>
      </c>
      <c r="AQ21" s="23">
        <v>20.0</v>
      </c>
      <c r="AR21" s="23">
        <v>3.0</v>
      </c>
      <c r="AS21" s="22"/>
      <c r="AT21" s="19" t="s">
        <v>2163</v>
      </c>
      <c r="AU21" s="19" t="s">
        <v>2571</v>
      </c>
      <c r="AV21" s="19" t="s">
        <v>2572</v>
      </c>
      <c r="AW21" s="19" t="s">
        <v>2573</v>
      </c>
      <c r="AX21" s="20">
        <v>37466.0</v>
      </c>
      <c r="AY21" s="19" t="s">
        <v>2286</v>
      </c>
      <c r="AZ21" s="19" t="s">
        <v>2310</v>
      </c>
      <c r="BA21" s="19" t="s">
        <v>2574</v>
      </c>
      <c r="BB21" s="19">
        <v>2115.0</v>
      </c>
      <c r="BC21" s="19">
        <v>5.41499841E8</v>
      </c>
      <c r="BD21" s="19" t="s">
        <v>2575</v>
      </c>
      <c r="BE21" s="19"/>
      <c r="BF21" s="19"/>
      <c r="BG21" s="19" t="s">
        <v>2127</v>
      </c>
      <c r="BH21" s="19" t="s">
        <v>2128</v>
      </c>
      <c r="BI21" s="19"/>
      <c r="BJ21" s="19" t="s">
        <v>2128</v>
      </c>
      <c r="BK21" s="19" t="s">
        <v>17</v>
      </c>
      <c r="BL21" s="19"/>
      <c r="BM21" s="19" t="s">
        <v>2130</v>
      </c>
      <c r="BN21" s="19" t="s">
        <v>2291</v>
      </c>
      <c r="BO21" s="19">
        <v>5.0</v>
      </c>
      <c r="BP21" s="19" t="s">
        <v>2576</v>
      </c>
      <c r="BQ21" s="19" t="s">
        <v>2133</v>
      </c>
      <c r="BR21" s="19" t="s">
        <v>2133</v>
      </c>
      <c r="BS21" s="19" t="s">
        <v>2134</v>
      </c>
      <c r="BT21" s="19" t="s">
        <v>38</v>
      </c>
      <c r="BU21" s="19" t="s">
        <v>2577</v>
      </c>
      <c r="BV21" s="19">
        <v>1.6122283011E10</v>
      </c>
      <c r="BW21" s="19" t="s">
        <v>2113</v>
      </c>
      <c r="BX21" s="19"/>
      <c r="BY21" s="19"/>
      <c r="BZ21" s="19"/>
      <c r="CA21" s="19"/>
      <c r="CB21" s="19" t="s">
        <v>2113</v>
      </c>
      <c r="CC21" s="19"/>
      <c r="CD21" s="19" t="s">
        <v>2137</v>
      </c>
      <c r="CE21" s="19" t="s">
        <v>16</v>
      </c>
      <c r="CF21" s="19"/>
      <c r="CG21" s="19"/>
      <c r="CH21" s="19" t="s">
        <v>16</v>
      </c>
      <c r="CI21" s="21">
        <v>0.0</v>
      </c>
      <c r="CJ21" s="19" t="s">
        <v>17</v>
      </c>
      <c r="CK21" s="19"/>
      <c r="CL21" s="19"/>
      <c r="CM21" s="19" t="s">
        <v>2138</v>
      </c>
      <c r="CN21" s="19" t="s">
        <v>2294</v>
      </c>
      <c r="CO21" s="19"/>
      <c r="CP21" s="19" t="s">
        <v>2140</v>
      </c>
      <c r="CQ21" s="19"/>
      <c r="CR21" s="19"/>
      <c r="CS21" s="19"/>
      <c r="CT21" s="19" t="s">
        <v>2113</v>
      </c>
      <c r="CU21" s="19" t="s">
        <v>2113</v>
      </c>
      <c r="CV21" s="19" t="s">
        <v>2141</v>
      </c>
      <c r="CW21" s="19"/>
      <c r="CX21" s="19"/>
      <c r="CY21" s="19" t="s">
        <v>2113</v>
      </c>
      <c r="CZ21" s="19" t="s">
        <v>2113</v>
      </c>
      <c r="DA21" s="19" t="s">
        <v>16</v>
      </c>
      <c r="DB21" s="19" t="s">
        <v>17</v>
      </c>
      <c r="DC21" s="19" t="s">
        <v>2578</v>
      </c>
      <c r="DD21" s="19"/>
      <c r="DE21" s="19"/>
      <c r="DF21" s="19" t="s">
        <v>2146</v>
      </c>
      <c r="DG21" s="19" t="s">
        <v>2579</v>
      </c>
      <c r="DH21" s="19" t="s">
        <v>2580</v>
      </c>
      <c r="DI21" s="24">
        <v>45517.0</v>
      </c>
      <c r="DJ21" s="19" t="s">
        <v>2133</v>
      </c>
      <c r="DK21" s="19" t="s">
        <v>2271</v>
      </c>
      <c r="DL21" s="19" t="s">
        <v>2146</v>
      </c>
      <c r="DM21" s="19"/>
      <c r="DN21" s="19">
        <v>2.0</v>
      </c>
      <c r="DO21" s="19">
        <v>2.0</v>
      </c>
      <c r="DP21" s="19" t="s">
        <v>2581</v>
      </c>
      <c r="DQ21" s="19" t="s">
        <v>2582</v>
      </c>
      <c r="DR21" s="19" t="s">
        <v>2583</v>
      </c>
      <c r="DS21" s="19" t="s">
        <v>2185</v>
      </c>
      <c r="DT21" s="19" t="s">
        <v>2229</v>
      </c>
      <c r="DU21" s="19"/>
      <c r="DV21" s="19"/>
      <c r="DW21" s="19" t="s">
        <v>2153</v>
      </c>
      <c r="DX21" s="19">
        <v>1.0</v>
      </c>
      <c r="DY21" s="19">
        <v>10.0</v>
      </c>
      <c r="DZ21" s="19">
        <v>0.0</v>
      </c>
      <c r="EA21" s="19">
        <v>10.0</v>
      </c>
      <c r="EB21" s="19">
        <v>0.0</v>
      </c>
      <c r="EC21" s="19">
        <v>20.0</v>
      </c>
      <c r="ED21" s="19" t="s">
        <v>2133</v>
      </c>
      <c r="EE21" s="24">
        <v>45517.0</v>
      </c>
      <c r="EF21" s="19" t="s">
        <v>2133</v>
      </c>
      <c r="EG21" s="19" t="s">
        <v>2271</v>
      </c>
      <c r="EH21" s="19" t="s">
        <v>2146</v>
      </c>
      <c r="EI21" s="22">
        <v>15.0</v>
      </c>
      <c r="EJ21" s="19">
        <v>44.0</v>
      </c>
      <c r="EK21" s="19" t="s">
        <v>2113</v>
      </c>
      <c r="EL21" s="19" t="s">
        <v>2163</v>
      </c>
      <c r="EM21" s="19" t="s">
        <v>2571</v>
      </c>
      <c r="EN21" s="19" t="s">
        <v>80</v>
      </c>
      <c r="EO21" s="19" t="s">
        <v>2286</v>
      </c>
      <c r="EP21" s="19" t="s">
        <v>2310</v>
      </c>
      <c r="EQ21" s="19" t="s">
        <v>2294</v>
      </c>
      <c r="ER21" s="19"/>
      <c r="ES21" s="19" t="s">
        <v>80</v>
      </c>
      <c r="ET21" s="19" t="s">
        <v>80</v>
      </c>
      <c r="EU21" s="19" t="s">
        <v>2569</v>
      </c>
      <c r="EV21" s="19">
        <v>7995.0</v>
      </c>
      <c r="EW21" s="19" t="s">
        <v>16</v>
      </c>
      <c r="EX21" s="19">
        <v>5.0</v>
      </c>
      <c r="EY21" s="25" t="s">
        <v>2584</v>
      </c>
      <c r="EZ21" s="19" t="s">
        <v>2154</v>
      </c>
      <c r="FA21" s="5" t="s">
        <v>2585</v>
      </c>
      <c r="FB21" s="26" t="s">
        <v>2156</v>
      </c>
      <c r="FC21" s="26"/>
    </row>
    <row r="22">
      <c r="A22" s="19" t="s">
        <v>2156</v>
      </c>
      <c r="B22" s="19" t="s">
        <v>2113</v>
      </c>
      <c r="C22" s="19" t="s">
        <v>2113</v>
      </c>
      <c r="D22" s="19" t="s">
        <v>81</v>
      </c>
      <c r="E22" s="19" t="s">
        <v>2586</v>
      </c>
      <c r="F22" s="19" t="s">
        <v>2587</v>
      </c>
      <c r="G22" s="19" t="s">
        <v>2588</v>
      </c>
      <c r="H22" s="19" t="s">
        <v>81</v>
      </c>
      <c r="I22" s="19" t="s">
        <v>82</v>
      </c>
      <c r="J22" s="19" t="s">
        <v>2589</v>
      </c>
      <c r="K22" s="19" t="s">
        <v>2590</v>
      </c>
      <c r="L22" s="20">
        <v>45445.0</v>
      </c>
      <c r="M22" s="20">
        <v>45446.0</v>
      </c>
      <c r="N22" s="20">
        <v>45446.0</v>
      </c>
      <c r="O22" s="19">
        <v>3.2831602E7</v>
      </c>
      <c r="P22" s="19">
        <v>0.0</v>
      </c>
      <c r="Q22" s="19">
        <v>21.0</v>
      </c>
      <c r="R22" s="19">
        <v>7871.0</v>
      </c>
      <c r="S22" s="19" t="s">
        <v>2591</v>
      </c>
      <c r="T22" s="20">
        <v>45461.0</v>
      </c>
      <c r="U22" s="19" t="s">
        <v>2587</v>
      </c>
      <c r="V22" s="19"/>
      <c r="W22" s="19"/>
      <c r="X22" s="21">
        <v>20.0</v>
      </c>
      <c r="Y22" s="21">
        <v>10.0</v>
      </c>
      <c r="Z22" s="21">
        <v>5.0</v>
      </c>
      <c r="AA22" s="21">
        <v>0.0</v>
      </c>
      <c r="AB22" s="5">
        <v>35.0</v>
      </c>
      <c r="AC22" s="19">
        <v>5.0</v>
      </c>
      <c r="AD22" s="19">
        <v>5.0</v>
      </c>
      <c r="AE22" s="19">
        <v>5.0</v>
      </c>
      <c r="AF22" s="19">
        <v>5.0</v>
      </c>
      <c r="AG22" s="19">
        <v>5.0</v>
      </c>
      <c r="AH22" s="19">
        <v>5.0</v>
      </c>
      <c r="AI22" s="22">
        <v>15.0</v>
      </c>
      <c r="AJ22" s="19">
        <v>15.0</v>
      </c>
      <c r="AK22" s="19">
        <v>14.0</v>
      </c>
      <c r="AL22" s="19">
        <v>15.0</v>
      </c>
      <c r="AM22" s="19">
        <v>44.0</v>
      </c>
      <c r="AN22" s="19">
        <v>59.0</v>
      </c>
      <c r="AO22" s="19">
        <v>94.0</v>
      </c>
      <c r="AP22" s="19">
        <v>70.0</v>
      </c>
      <c r="AQ22" s="23">
        <v>21.0</v>
      </c>
      <c r="AR22" s="23">
        <v>4.0</v>
      </c>
      <c r="AS22" s="22"/>
      <c r="AT22" s="19" t="s">
        <v>2117</v>
      </c>
      <c r="AU22" s="19" t="s">
        <v>2592</v>
      </c>
      <c r="AV22" s="19" t="s">
        <v>2593</v>
      </c>
      <c r="AW22" s="19" t="s">
        <v>2594</v>
      </c>
      <c r="AX22" s="20">
        <v>37590.0</v>
      </c>
      <c r="AY22" s="19" t="s">
        <v>2595</v>
      </c>
      <c r="AZ22" s="19" t="s">
        <v>2122</v>
      </c>
      <c r="BA22" s="19" t="s">
        <v>2596</v>
      </c>
      <c r="BB22" s="19">
        <v>415.0</v>
      </c>
      <c r="BC22" s="19" t="s">
        <v>2597</v>
      </c>
      <c r="BD22" s="19" t="s">
        <v>2598</v>
      </c>
      <c r="BE22" s="19"/>
      <c r="BF22" s="19"/>
      <c r="BG22" s="19" t="s">
        <v>2127</v>
      </c>
      <c r="BH22" s="19" t="s">
        <v>2128</v>
      </c>
      <c r="BI22" s="19"/>
      <c r="BJ22" s="19" t="s">
        <v>2128</v>
      </c>
      <c r="BK22" s="19" t="s">
        <v>17</v>
      </c>
      <c r="BL22" s="19" t="s">
        <v>2113</v>
      </c>
      <c r="BM22" s="19" t="s">
        <v>2130</v>
      </c>
      <c r="BN22" s="19" t="s">
        <v>17</v>
      </c>
      <c r="BO22" s="19">
        <v>5.0</v>
      </c>
      <c r="BP22" s="19" t="s">
        <v>2599</v>
      </c>
      <c r="BQ22" s="19" t="s">
        <v>2133</v>
      </c>
      <c r="BR22" s="19" t="s">
        <v>2133</v>
      </c>
      <c r="BS22" s="19" t="s">
        <v>2134</v>
      </c>
      <c r="BT22" s="19" t="s">
        <v>38</v>
      </c>
      <c r="BU22" s="19" t="s">
        <v>2600</v>
      </c>
      <c r="BV22" s="19">
        <v>2.3784788145E10</v>
      </c>
      <c r="BW22" s="19"/>
      <c r="BX22" s="19"/>
      <c r="BY22" s="19" t="s">
        <v>2113</v>
      </c>
      <c r="BZ22" s="19" t="s">
        <v>2113</v>
      </c>
      <c r="CA22" s="19" t="s">
        <v>2113</v>
      </c>
      <c r="CB22" s="19" t="s">
        <v>2113</v>
      </c>
      <c r="CC22" s="19"/>
      <c r="CD22" s="19" t="s">
        <v>2137</v>
      </c>
      <c r="CE22" s="19" t="s">
        <v>16</v>
      </c>
      <c r="CF22" s="19"/>
      <c r="CG22" s="19"/>
      <c r="CH22" s="19" t="s">
        <v>16</v>
      </c>
      <c r="CI22" s="21">
        <v>0.0</v>
      </c>
      <c r="CJ22" s="19" t="s">
        <v>17</v>
      </c>
      <c r="CK22" s="19"/>
      <c r="CL22" s="19"/>
      <c r="CM22" s="19" t="s">
        <v>2138</v>
      </c>
      <c r="CN22" s="19" t="s">
        <v>2294</v>
      </c>
      <c r="CO22" s="19"/>
      <c r="CP22" s="19" t="s">
        <v>2178</v>
      </c>
      <c r="CQ22" s="19"/>
      <c r="CR22" s="19"/>
      <c r="CS22" s="19"/>
      <c r="CT22" s="19"/>
      <c r="CU22" s="19"/>
      <c r="CV22" s="19" t="s">
        <v>2179</v>
      </c>
      <c r="CW22" s="19" t="s">
        <v>2113</v>
      </c>
      <c r="CX22" s="19" t="s">
        <v>2113</v>
      </c>
      <c r="CY22" s="19"/>
      <c r="CZ22" s="19"/>
      <c r="DA22" s="19" t="s">
        <v>16</v>
      </c>
      <c r="DB22" s="19" t="s">
        <v>17</v>
      </c>
      <c r="DC22" s="19" t="s">
        <v>2601</v>
      </c>
      <c r="DD22" s="19" t="s">
        <v>2113</v>
      </c>
      <c r="DE22" s="19" t="s">
        <v>2113</v>
      </c>
      <c r="DF22" s="19" t="s">
        <v>2578</v>
      </c>
      <c r="DG22" s="19" t="s">
        <v>2602</v>
      </c>
      <c r="DH22" s="19" t="s">
        <v>2144</v>
      </c>
      <c r="DI22" s="24">
        <v>45517.0</v>
      </c>
      <c r="DJ22" s="19" t="s">
        <v>2133</v>
      </c>
      <c r="DK22" s="19" t="s">
        <v>2271</v>
      </c>
      <c r="DL22" s="19" t="s">
        <v>2146</v>
      </c>
      <c r="DM22" s="19"/>
      <c r="DN22" s="19">
        <v>2.0</v>
      </c>
      <c r="DO22" s="19">
        <v>2.0</v>
      </c>
      <c r="DP22" s="19"/>
      <c r="DQ22" s="19"/>
      <c r="DR22" s="19"/>
      <c r="DS22" s="19" t="s">
        <v>2185</v>
      </c>
      <c r="DT22" s="19" t="s">
        <v>2229</v>
      </c>
      <c r="DU22" s="19" t="s">
        <v>2603</v>
      </c>
      <c r="DV22" s="19"/>
      <c r="DW22" s="19" t="s">
        <v>2153</v>
      </c>
      <c r="DX22" s="19">
        <v>1.0</v>
      </c>
      <c r="DY22" s="19">
        <v>10.0</v>
      </c>
      <c r="DZ22" s="19">
        <v>0.0</v>
      </c>
      <c r="EA22" s="19">
        <v>10.0</v>
      </c>
      <c r="EB22" s="19">
        <v>0.0</v>
      </c>
      <c r="EC22" s="19">
        <v>20.0</v>
      </c>
      <c r="ED22" s="19" t="s">
        <v>2133</v>
      </c>
      <c r="EE22" s="24">
        <v>45517.0</v>
      </c>
      <c r="EF22" s="19" t="s">
        <v>2133</v>
      </c>
      <c r="EG22" s="19" t="s">
        <v>2271</v>
      </c>
      <c r="EH22" s="19" t="s">
        <v>2146</v>
      </c>
      <c r="EI22" s="22">
        <v>15.0</v>
      </c>
      <c r="EJ22" s="19">
        <v>44.0</v>
      </c>
      <c r="EK22" s="19" t="s">
        <v>2113</v>
      </c>
      <c r="EL22" s="19" t="s">
        <v>2117</v>
      </c>
      <c r="EM22" s="19" t="s">
        <v>2592</v>
      </c>
      <c r="EN22" s="19" t="s">
        <v>82</v>
      </c>
      <c r="EO22" s="19" t="s">
        <v>2595</v>
      </c>
      <c r="EP22" s="19" t="s">
        <v>2122</v>
      </c>
      <c r="EQ22" s="19" t="s">
        <v>2294</v>
      </c>
      <c r="ER22" s="19"/>
      <c r="ES22" s="19" t="s">
        <v>82</v>
      </c>
      <c r="ET22" s="19" t="s">
        <v>82</v>
      </c>
      <c r="EU22" s="19" t="s">
        <v>2590</v>
      </c>
      <c r="EV22" s="19">
        <v>7871.0</v>
      </c>
      <c r="EW22" s="19" t="s">
        <v>16</v>
      </c>
      <c r="EX22" s="19">
        <v>5.0</v>
      </c>
      <c r="EY22" s="25" t="s">
        <v>2604</v>
      </c>
      <c r="EZ22" s="19" t="s">
        <v>2154</v>
      </c>
      <c r="FA22" s="5" t="s">
        <v>2605</v>
      </c>
      <c r="FB22" s="26" t="s">
        <v>2156</v>
      </c>
      <c r="FC22" s="26"/>
    </row>
    <row r="23" hidden="1">
      <c r="A23" s="19" t="s">
        <v>2112</v>
      </c>
      <c r="B23" s="19" t="s">
        <v>2113</v>
      </c>
      <c r="C23" s="19" t="s">
        <v>2113</v>
      </c>
      <c r="D23" s="27" t="s">
        <v>2606</v>
      </c>
      <c r="E23" s="19" t="s">
        <v>2607</v>
      </c>
      <c r="F23" s="19" t="s">
        <v>2608</v>
      </c>
      <c r="G23" s="19" t="s">
        <v>2609</v>
      </c>
      <c r="H23" s="27" t="s">
        <v>2606</v>
      </c>
      <c r="I23" s="19" t="s">
        <v>2610</v>
      </c>
      <c r="J23" s="19" t="s">
        <v>2611</v>
      </c>
      <c r="K23" s="19" t="s">
        <v>2612</v>
      </c>
      <c r="L23" s="20">
        <v>45411.0</v>
      </c>
      <c r="M23" s="20">
        <v>45411.0</v>
      </c>
      <c r="N23" s="20">
        <v>45411.0</v>
      </c>
      <c r="O23" s="19" t="s">
        <v>2613</v>
      </c>
      <c r="P23" s="19">
        <v>0.0</v>
      </c>
      <c r="Q23" s="19">
        <v>25.0</v>
      </c>
      <c r="R23" s="19">
        <v>9486.0</v>
      </c>
      <c r="S23" s="20" t="s">
        <v>2614</v>
      </c>
      <c r="T23" s="20">
        <v>45461.0</v>
      </c>
      <c r="U23" s="19" t="s">
        <v>2608</v>
      </c>
      <c r="V23" s="19" t="s">
        <v>2615</v>
      </c>
      <c r="W23" s="19" t="s">
        <v>2616</v>
      </c>
      <c r="X23" s="21">
        <v>20.0</v>
      </c>
      <c r="Y23" s="21">
        <v>10.0</v>
      </c>
      <c r="Z23" s="21">
        <v>4.0</v>
      </c>
      <c r="AA23" s="21">
        <v>5.0</v>
      </c>
      <c r="AB23" s="5">
        <v>39.0</v>
      </c>
      <c r="AC23" s="19">
        <v>4.0</v>
      </c>
      <c r="AD23" s="19">
        <v>4.0</v>
      </c>
      <c r="AE23" s="19">
        <v>4.0</v>
      </c>
      <c r="AF23" s="19">
        <v>4.0</v>
      </c>
      <c r="AG23" s="19">
        <v>3.0</v>
      </c>
      <c r="AH23" s="19">
        <v>5.0</v>
      </c>
      <c r="AI23" s="22">
        <v>12.0</v>
      </c>
      <c r="AJ23" s="19">
        <v>15.0</v>
      </c>
      <c r="AK23" s="19">
        <v>15.0</v>
      </c>
      <c r="AL23" s="19">
        <v>13.0</v>
      </c>
      <c r="AM23" s="19">
        <v>43.0</v>
      </c>
      <c r="AN23" s="19">
        <v>55.0</v>
      </c>
      <c r="AO23" s="19">
        <v>94.0</v>
      </c>
      <c r="AP23" s="19">
        <v>1.0</v>
      </c>
      <c r="AQ23" s="19">
        <v>22.0</v>
      </c>
      <c r="AR23" s="19">
        <v>2.0</v>
      </c>
      <c r="AS23" s="22"/>
      <c r="AT23" s="19" t="s">
        <v>2117</v>
      </c>
      <c r="AU23" s="19" t="s">
        <v>2617</v>
      </c>
      <c r="AV23" s="19" t="s">
        <v>2618</v>
      </c>
      <c r="AW23" s="19" t="s">
        <v>2257</v>
      </c>
      <c r="AX23" s="20">
        <v>35975.0</v>
      </c>
      <c r="AY23" s="19" t="s">
        <v>2619</v>
      </c>
      <c r="AZ23" s="19" t="s">
        <v>2422</v>
      </c>
      <c r="BA23" s="19" t="s">
        <v>2620</v>
      </c>
      <c r="BB23" s="19" t="s">
        <v>2621</v>
      </c>
      <c r="BC23" s="19" t="s">
        <v>2622</v>
      </c>
      <c r="BD23" s="19" t="s">
        <v>2623</v>
      </c>
      <c r="BE23" s="19" t="s">
        <v>2624</v>
      </c>
      <c r="BF23" s="19">
        <v>1.195347743E10</v>
      </c>
      <c r="BG23" s="19" t="s">
        <v>2127</v>
      </c>
      <c r="BH23" s="19" t="s">
        <v>2128</v>
      </c>
      <c r="BI23" s="19"/>
      <c r="BJ23" s="19"/>
      <c r="BK23" s="19" t="s">
        <v>16</v>
      </c>
      <c r="BL23" s="19"/>
      <c r="BM23" s="19" t="s">
        <v>2130</v>
      </c>
      <c r="BN23" s="19" t="s">
        <v>2172</v>
      </c>
      <c r="BO23" s="19" t="s">
        <v>2317</v>
      </c>
      <c r="BP23" s="19"/>
      <c r="BQ23" s="19" t="s">
        <v>2133</v>
      </c>
      <c r="BR23" s="19" t="s">
        <v>2133</v>
      </c>
      <c r="BS23" s="19" t="s">
        <v>2134</v>
      </c>
      <c r="BT23" s="19" t="s">
        <v>52</v>
      </c>
      <c r="BU23" s="19"/>
      <c r="BV23" s="19" t="s">
        <v>2625</v>
      </c>
      <c r="BW23" s="19" t="s">
        <v>2113</v>
      </c>
      <c r="BX23" s="19"/>
      <c r="BY23" s="19"/>
      <c r="BZ23" s="19"/>
      <c r="CA23" s="19"/>
      <c r="CB23" s="19" t="s">
        <v>2113</v>
      </c>
      <c r="CC23" s="19"/>
      <c r="CD23" s="19" t="s">
        <v>2137</v>
      </c>
      <c r="CE23" s="19" t="s">
        <v>16</v>
      </c>
      <c r="CF23" s="19"/>
      <c r="CG23" s="19"/>
      <c r="CH23" s="19" t="s">
        <v>17</v>
      </c>
      <c r="CI23" s="21">
        <v>3.0</v>
      </c>
      <c r="CJ23" s="19" t="s">
        <v>17</v>
      </c>
      <c r="CK23" s="19"/>
      <c r="CL23" s="19"/>
      <c r="CM23" s="19" t="s">
        <v>2138</v>
      </c>
      <c r="CN23" s="19" t="s">
        <v>2626</v>
      </c>
      <c r="CO23" s="19"/>
      <c r="CP23" s="19"/>
      <c r="CQ23" s="19"/>
      <c r="CR23" s="19"/>
      <c r="CS23" s="19"/>
      <c r="CT23" s="19" t="s">
        <v>2113</v>
      </c>
      <c r="CU23" s="19" t="s">
        <v>2113</v>
      </c>
      <c r="CV23" s="19" t="s">
        <v>2141</v>
      </c>
      <c r="CW23" s="19" t="s">
        <v>2113</v>
      </c>
      <c r="CX23" s="19" t="s">
        <v>2113</v>
      </c>
      <c r="CY23" s="19" t="s">
        <v>2113</v>
      </c>
      <c r="CZ23" s="19" t="s">
        <v>2113</v>
      </c>
      <c r="DA23" s="19" t="s">
        <v>16</v>
      </c>
      <c r="DB23" s="19" t="s">
        <v>17</v>
      </c>
      <c r="DC23" s="19" t="s">
        <v>2627</v>
      </c>
      <c r="DD23" s="19" t="s">
        <v>2113</v>
      </c>
      <c r="DE23" s="19" t="s">
        <v>2113</v>
      </c>
      <c r="DF23" s="19" t="s">
        <v>2297</v>
      </c>
      <c r="DG23" s="19" t="s">
        <v>2627</v>
      </c>
      <c r="DH23" s="19" t="s">
        <v>2144</v>
      </c>
      <c r="DI23" s="24">
        <v>45524.0</v>
      </c>
      <c r="DJ23" s="19" t="s">
        <v>2133</v>
      </c>
      <c r="DK23" s="19" t="s">
        <v>2271</v>
      </c>
      <c r="DL23" s="19" t="s">
        <v>2146</v>
      </c>
      <c r="DM23" s="19" t="s">
        <v>2628</v>
      </c>
      <c r="DN23" s="19">
        <v>8.0</v>
      </c>
      <c r="DO23" s="19">
        <v>8.0</v>
      </c>
      <c r="DP23" s="19" t="s">
        <v>2629</v>
      </c>
      <c r="DQ23" s="19" t="s">
        <v>2630</v>
      </c>
      <c r="DR23" s="19" t="s">
        <v>2631</v>
      </c>
      <c r="DS23" s="19" t="s">
        <v>2365</v>
      </c>
      <c r="DT23" s="19" t="s">
        <v>2301</v>
      </c>
      <c r="DU23" s="19"/>
      <c r="DV23" s="19"/>
      <c r="DW23" s="19" t="s">
        <v>2153</v>
      </c>
      <c r="DX23" s="19">
        <v>9.0</v>
      </c>
      <c r="DY23" s="19">
        <v>10.0</v>
      </c>
      <c r="DZ23" s="19">
        <v>2.0</v>
      </c>
      <c r="EA23" s="19">
        <v>10.0</v>
      </c>
      <c r="EB23" s="19">
        <v>3.0</v>
      </c>
      <c r="EC23" s="19">
        <v>20.0</v>
      </c>
      <c r="ED23" s="19" t="s">
        <v>2133</v>
      </c>
      <c r="EE23" s="24">
        <v>45524.0</v>
      </c>
      <c r="EF23" s="19" t="s">
        <v>2133</v>
      </c>
      <c r="EG23" s="19" t="s">
        <v>2271</v>
      </c>
      <c r="EH23" s="19" t="s">
        <v>2146</v>
      </c>
      <c r="EI23" s="22">
        <v>12.0</v>
      </c>
      <c r="EJ23" s="19">
        <v>43.0</v>
      </c>
      <c r="EK23" s="19" t="s">
        <v>2113</v>
      </c>
      <c r="EL23" s="19" t="s">
        <v>2117</v>
      </c>
      <c r="EM23" s="19" t="s">
        <v>2617</v>
      </c>
      <c r="EN23" s="19" t="s">
        <v>2610</v>
      </c>
      <c r="EO23" s="19" t="s">
        <v>2619</v>
      </c>
      <c r="EP23" s="19" t="s">
        <v>2422</v>
      </c>
      <c r="EQ23" s="19" t="s">
        <v>2626</v>
      </c>
      <c r="ER23" s="19"/>
      <c r="ES23" s="19" t="s">
        <v>2610</v>
      </c>
      <c r="ET23" s="19" t="s">
        <v>2610</v>
      </c>
      <c r="EU23" s="19" t="s">
        <v>2612</v>
      </c>
      <c r="EV23" s="19">
        <v>9486.0</v>
      </c>
      <c r="EW23" s="19" t="s">
        <v>16</v>
      </c>
      <c r="EX23" s="19">
        <v>4.0</v>
      </c>
      <c r="EY23" s="25" t="s">
        <v>2613</v>
      </c>
      <c r="EZ23" s="19" t="s">
        <v>2154</v>
      </c>
      <c r="FA23" s="5" t="s">
        <v>2632</v>
      </c>
      <c r="FB23" s="26" t="s">
        <v>2633</v>
      </c>
      <c r="FC23" s="26" t="s">
        <v>2634</v>
      </c>
    </row>
    <row r="24">
      <c r="A24" s="19" t="s">
        <v>2156</v>
      </c>
      <c r="B24" s="19" t="s">
        <v>2113</v>
      </c>
      <c r="C24" s="19" t="s">
        <v>2113</v>
      </c>
      <c r="D24" s="19" t="s">
        <v>2635</v>
      </c>
      <c r="E24" s="19" t="s">
        <v>2636</v>
      </c>
      <c r="F24" s="19" t="s">
        <v>2637</v>
      </c>
      <c r="G24" s="19" t="s">
        <v>2638</v>
      </c>
      <c r="H24" s="19" t="s">
        <v>83</v>
      </c>
      <c r="I24" s="19" t="s">
        <v>85</v>
      </c>
      <c r="J24" s="19" t="s">
        <v>2639</v>
      </c>
      <c r="K24" s="19" t="s">
        <v>2640</v>
      </c>
      <c r="L24" s="20">
        <v>45446.0</v>
      </c>
      <c r="M24" s="20">
        <v>45447.0</v>
      </c>
      <c r="N24" s="20">
        <v>45447.0</v>
      </c>
      <c r="O24" s="19" t="s">
        <v>84</v>
      </c>
      <c r="P24" s="19">
        <v>0.0</v>
      </c>
      <c r="Q24" s="19">
        <v>29.0</v>
      </c>
      <c r="R24" s="19">
        <v>10613.0</v>
      </c>
      <c r="S24" s="20" t="s">
        <v>2641</v>
      </c>
      <c r="T24" s="20">
        <v>45461.0</v>
      </c>
      <c r="U24" s="19" t="s">
        <v>2637</v>
      </c>
      <c r="V24" s="19"/>
      <c r="W24" s="19"/>
      <c r="X24" s="21">
        <v>20.0</v>
      </c>
      <c r="Y24" s="21">
        <v>10.0</v>
      </c>
      <c r="Z24" s="21">
        <v>5.0</v>
      </c>
      <c r="AA24" s="21">
        <v>0.0</v>
      </c>
      <c r="AB24" s="5">
        <v>35.0</v>
      </c>
      <c r="AC24" s="19">
        <v>5.0</v>
      </c>
      <c r="AD24" s="19">
        <v>5.0</v>
      </c>
      <c r="AE24" s="19">
        <v>4.5</v>
      </c>
      <c r="AF24" s="19">
        <v>4.0</v>
      </c>
      <c r="AG24" s="19">
        <v>4.5</v>
      </c>
      <c r="AH24" s="19">
        <v>4.5</v>
      </c>
      <c r="AI24" s="22">
        <v>13.875</v>
      </c>
      <c r="AJ24" s="19">
        <v>15.0</v>
      </c>
      <c r="AK24" s="19">
        <v>15.0</v>
      </c>
      <c r="AL24" s="19">
        <v>15.0</v>
      </c>
      <c r="AM24" s="19">
        <v>45.0</v>
      </c>
      <c r="AN24" s="19">
        <v>58.9</v>
      </c>
      <c r="AO24" s="19">
        <v>93.9</v>
      </c>
      <c r="AP24" s="19">
        <v>44.0</v>
      </c>
      <c r="AQ24" s="23">
        <v>22.0</v>
      </c>
      <c r="AR24" s="23">
        <v>5.0</v>
      </c>
      <c r="AS24" s="22" t="s">
        <v>2642</v>
      </c>
      <c r="AT24" s="19" t="s">
        <v>2117</v>
      </c>
      <c r="AU24" s="19" t="s">
        <v>2643</v>
      </c>
      <c r="AV24" s="19" t="s">
        <v>2644</v>
      </c>
      <c r="AW24" s="19"/>
      <c r="AX24" s="20">
        <v>34848.0</v>
      </c>
      <c r="AY24" s="19" t="s">
        <v>2421</v>
      </c>
      <c r="AZ24" s="19" t="s">
        <v>2122</v>
      </c>
      <c r="BA24" s="19" t="s">
        <v>2645</v>
      </c>
      <c r="BB24" s="19" t="s">
        <v>2646</v>
      </c>
      <c r="BC24" s="19" t="s">
        <v>2647</v>
      </c>
      <c r="BD24" s="19" t="s">
        <v>2648</v>
      </c>
      <c r="BE24" s="19"/>
      <c r="BF24" s="19"/>
      <c r="BG24" s="19" t="s">
        <v>2127</v>
      </c>
      <c r="BH24" s="19" t="s">
        <v>2649</v>
      </c>
      <c r="BI24" s="19"/>
      <c r="BJ24" s="19"/>
      <c r="BK24" s="19" t="s">
        <v>16</v>
      </c>
      <c r="BL24" s="19"/>
      <c r="BM24" s="19" t="s">
        <v>2130</v>
      </c>
      <c r="BN24" s="19" t="s">
        <v>2172</v>
      </c>
      <c r="BO24" s="19" t="s">
        <v>2132</v>
      </c>
      <c r="BP24" s="19" t="s">
        <v>2650</v>
      </c>
      <c r="BQ24" s="19" t="s">
        <v>2325</v>
      </c>
      <c r="BR24" s="19" t="s">
        <v>2325</v>
      </c>
      <c r="BS24" s="19" t="s">
        <v>2134</v>
      </c>
      <c r="BT24" s="19" t="s">
        <v>59</v>
      </c>
      <c r="BU24" s="19" t="s">
        <v>2651</v>
      </c>
      <c r="BV24" s="19" t="s">
        <v>2652</v>
      </c>
      <c r="BW24" s="19" t="s">
        <v>2113</v>
      </c>
      <c r="BX24" s="19"/>
      <c r="BY24" s="19"/>
      <c r="BZ24" s="19"/>
      <c r="CA24" s="19"/>
      <c r="CB24" s="19"/>
      <c r="CC24" s="19"/>
      <c r="CD24" s="19" t="s">
        <v>2137</v>
      </c>
      <c r="CE24" s="19" t="s">
        <v>16</v>
      </c>
      <c r="CF24" s="19"/>
      <c r="CG24" s="19"/>
      <c r="CH24" s="19" t="s">
        <v>16</v>
      </c>
      <c r="CI24" s="21">
        <v>0.0</v>
      </c>
      <c r="CJ24" s="19" t="s">
        <v>16</v>
      </c>
      <c r="CK24" s="19"/>
      <c r="CL24" s="19"/>
      <c r="CM24" s="19" t="s">
        <v>2344</v>
      </c>
      <c r="CN24" s="19" t="s">
        <v>2431</v>
      </c>
      <c r="CO24" s="19"/>
      <c r="CP24" s="19"/>
      <c r="CQ24" s="19"/>
      <c r="CR24" s="19" t="s">
        <v>2113</v>
      </c>
      <c r="CS24" s="19" t="s">
        <v>2113</v>
      </c>
      <c r="CT24" s="19"/>
      <c r="CU24" s="19"/>
      <c r="CV24" s="19" t="s">
        <v>2141</v>
      </c>
      <c r="CW24" s="19" t="s">
        <v>2113</v>
      </c>
      <c r="CX24" s="19" t="s">
        <v>2113</v>
      </c>
      <c r="CY24" s="19" t="s">
        <v>2113</v>
      </c>
      <c r="CZ24" s="19" t="s">
        <v>2113</v>
      </c>
      <c r="DA24" s="19" t="s">
        <v>16</v>
      </c>
      <c r="DB24" s="19" t="s">
        <v>16</v>
      </c>
      <c r="DC24" s="19" t="s">
        <v>2653</v>
      </c>
      <c r="DD24" s="19" t="s">
        <v>2113</v>
      </c>
      <c r="DE24" s="19" t="s">
        <v>2113</v>
      </c>
      <c r="DF24" s="19" t="s">
        <v>2654</v>
      </c>
      <c r="DG24" s="19" t="s">
        <v>2496</v>
      </c>
      <c r="DH24" s="19" t="s">
        <v>2144</v>
      </c>
      <c r="DI24" s="24">
        <v>45517.0</v>
      </c>
      <c r="DJ24" s="19" t="s">
        <v>2325</v>
      </c>
      <c r="DK24" s="19" t="s">
        <v>2145</v>
      </c>
      <c r="DL24" s="19" t="s">
        <v>2326</v>
      </c>
      <c r="DM24" s="19"/>
      <c r="DN24" s="19">
        <v>1.0</v>
      </c>
      <c r="DO24" s="19">
        <v>1.0</v>
      </c>
      <c r="DP24" s="19" t="s">
        <v>2655</v>
      </c>
      <c r="DQ24" s="19" t="s">
        <v>2656</v>
      </c>
      <c r="DR24" s="19" t="s">
        <v>2657</v>
      </c>
      <c r="DS24" s="19" t="s">
        <v>2185</v>
      </c>
      <c r="DT24" s="19" t="s">
        <v>2152</v>
      </c>
      <c r="DU24" s="19"/>
      <c r="DV24" s="19"/>
      <c r="DW24" s="19" t="s">
        <v>2153</v>
      </c>
      <c r="DX24" s="19">
        <v>2.0</v>
      </c>
      <c r="DY24" s="19">
        <v>10.0</v>
      </c>
      <c r="DZ24" s="19">
        <v>0.0</v>
      </c>
      <c r="EA24" s="19">
        <v>10.0</v>
      </c>
      <c r="EB24" s="19">
        <v>0.0</v>
      </c>
      <c r="EC24" s="19">
        <v>20.0</v>
      </c>
      <c r="ED24" s="19" t="s">
        <v>2325</v>
      </c>
      <c r="EE24" s="24">
        <v>45517.0</v>
      </c>
      <c r="EF24" s="19" t="s">
        <v>2325</v>
      </c>
      <c r="EG24" s="19" t="s">
        <v>2145</v>
      </c>
      <c r="EH24" s="19" t="s">
        <v>2326</v>
      </c>
      <c r="EI24" s="22">
        <v>13.875</v>
      </c>
      <c r="EJ24" s="19">
        <v>45.0</v>
      </c>
      <c r="EK24" s="19"/>
      <c r="EL24" s="19" t="s">
        <v>2117</v>
      </c>
      <c r="EM24" s="19" t="s">
        <v>2643</v>
      </c>
      <c r="EN24" s="19" t="s">
        <v>85</v>
      </c>
      <c r="EO24" s="19" t="s">
        <v>2421</v>
      </c>
      <c r="EP24" s="19" t="s">
        <v>2122</v>
      </c>
      <c r="EQ24" s="19" t="s">
        <v>2431</v>
      </c>
      <c r="ER24" s="19"/>
      <c r="ES24" s="19" t="s">
        <v>85</v>
      </c>
      <c r="ET24" s="19" t="s">
        <v>85</v>
      </c>
      <c r="EU24" s="19" t="s">
        <v>2640</v>
      </c>
      <c r="EV24" s="19">
        <v>10613.0</v>
      </c>
      <c r="EW24" s="19" t="s">
        <v>16</v>
      </c>
      <c r="EX24" s="19">
        <v>5.0</v>
      </c>
      <c r="EY24" s="25" t="s">
        <v>84</v>
      </c>
      <c r="EZ24" s="19" t="s">
        <v>2154</v>
      </c>
      <c r="FA24" s="5" t="s">
        <v>2658</v>
      </c>
      <c r="FB24" s="26" t="s">
        <v>2156</v>
      </c>
      <c r="FC24" s="26"/>
    </row>
    <row r="25">
      <c r="A25" s="19" t="s">
        <v>2156</v>
      </c>
      <c r="B25" s="19" t="s">
        <v>2113</v>
      </c>
      <c r="C25" s="19" t="s">
        <v>2113</v>
      </c>
      <c r="D25" s="19" t="s">
        <v>86</v>
      </c>
      <c r="E25" s="19" t="s">
        <v>2659</v>
      </c>
      <c r="F25" s="19" t="s">
        <v>86</v>
      </c>
      <c r="G25" s="19"/>
      <c r="H25" s="19" t="s">
        <v>86</v>
      </c>
      <c r="I25" s="19" t="s">
        <v>88</v>
      </c>
      <c r="J25" s="19" t="s">
        <v>2660</v>
      </c>
      <c r="K25" s="19" t="s">
        <v>2661</v>
      </c>
      <c r="L25" s="20">
        <v>45446.0</v>
      </c>
      <c r="M25" s="20">
        <v>45447.0</v>
      </c>
      <c r="N25" s="20">
        <v>45447.0</v>
      </c>
      <c r="O25" s="19" t="s">
        <v>87</v>
      </c>
      <c r="P25" s="19">
        <v>0.0</v>
      </c>
      <c r="Q25" s="19">
        <v>23.0</v>
      </c>
      <c r="R25" s="19">
        <v>8432.0</v>
      </c>
      <c r="S25" s="20" t="s">
        <v>2662</v>
      </c>
      <c r="T25" s="20">
        <v>45461.0</v>
      </c>
      <c r="U25" s="19" t="s">
        <v>86</v>
      </c>
      <c r="V25" s="19"/>
      <c r="W25" s="19" t="s">
        <v>2663</v>
      </c>
      <c r="X25" s="21">
        <v>20.0</v>
      </c>
      <c r="Y25" s="21">
        <v>10.0</v>
      </c>
      <c r="Z25" s="21">
        <v>4.0</v>
      </c>
      <c r="AA25" s="21">
        <v>0.0</v>
      </c>
      <c r="AB25" s="5">
        <v>34.0</v>
      </c>
      <c r="AC25" s="19">
        <v>5.0</v>
      </c>
      <c r="AD25" s="19">
        <v>5.0</v>
      </c>
      <c r="AE25" s="19">
        <v>5.0</v>
      </c>
      <c r="AF25" s="19">
        <v>5.0</v>
      </c>
      <c r="AG25" s="19">
        <v>4.0</v>
      </c>
      <c r="AH25" s="19">
        <v>5.0</v>
      </c>
      <c r="AI25" s="22">
        <v>14.625</v>
      </c>
      <c r="AJ25" s="19">
        <v>15.0</v>
      </c>
      <c r="AK25" s="19">
        <v>15.0</v>
      </c>
      <c r="AL25" s="19">
        <v>15.0</v>
      </c>
      <c r="AM25" s="19">
        <v>45.0</v>
      </c>
      <c r="AN25" s="19">
        <v>59.6</v>
      </c>
      <c r="AO25" s="19">
        <v>93.6</v>
      </c>
      <c r="AP25" s="19">
        <v>120.0</v>
      </c>
      <c r="AQ25" s="23">
        <v>23.0</v>
      </c>
      <c r="AR25" s="23">
        <v>2.0</v>
      </c>
      <c r="AS25" s="22"/>
      <c r="AT25" s="19" t="s">
        <v>2163</v>
      </c>
      <c r="AU25" s="19" t="s">
        <v>2664</v>
      </c>
      <c r="AV25" s="19" t="s">
        <v>2665</v>
      </c>
      <c r="AW25" s="19"/>
      <c r="AX25" s="20">
        <v>37029.0</v>
      </c>
      <c r="AY25" s="19" t="s">
        <v>2375</v>
      </c>
      <c r="AZ25" s="19" t="s">
        <v>2310</v>
      </c>
      <c r="BA25" s="19" t="s">
        <v>2666</v>
      </c>
      <c r="BB25" s="19" t="s">
        <v>2667</v>
      </c>
      <c r="BC25" s="19" t="s">
        <v>2668</v>
      </c>
      <c r="BD25" s="19" t="s">
        <v>2669</v>
      </c>
      <c r="BE25" s="19" t="s">
        <v>2660</v>
      </c>
      <c r="BF25" s="19">
        <v>1.1958943403E10</v>
      </c>
      <c r="BG25" s="19" t="s">
        <v>2127</v>
      </c>
      <c r="BH25" s="19" t="s">
        <v>2128</v>
      </c>
      <c r="BI25" s="19"/>
      <c r="BJ25" s="19"/>
      <c r="BK25" s="19" t="s">
        <v>16</v>
      </c>
      <c r="BL25" s="19"/>
      <c r="BM25" s="19" t="s">
        <v>2130</v>
      </c>
      <c r="BN25" s="19" t="s">
        <v>2172</v>
      </c>
      <c r="BO25" s="19" t="s">
        <v>2317</v>
      </c>
      <c r="BP25" s="19"/>
      <c r="BQ25" s="19" t="s">
        <v>2133</v>
      </c>
      <c r="BR25" s="19" t="s">
        <v>2133</v>
      </c>
      <c r="BS25" s="19" t="s">
        <v>2134</v>
      </c>
      <c r="BT25" s="19" t="s">
        <v>52</v>
      </c>
      <c r="BU25" s="19"/>
      <c r="BV25" s="19" t="s">
        <v>2670</v>
      </c>
      <c r="BW25" s="19" t="s">
        <v>2113</v>
      </c>
      <c r="BX25" s="19"/>
      <c r="BY25" s="19"/>
      <c r="BZ25" s="19"/>
      <c r="CA25" s="19"/>
      <c r="CB25" s="19" t="s">
        <v>2113</v>
      </c>
      <c r="CC25" s="19"/>
      <c r="CD25" s="19" t="s">
        <v>2137</v>
      </c>
      <c r="CE25" s="19" t="s">
        <v>16</v>
      </c>
      <c r="CF25" s="19"/>
      <c r="CG25" s="19"/>
      <c r="CH25" s="19" t="s">
        <v>16</v>
      </c>
      <c r="CI25" s="21">
        <v>0.0</v>
      </c>
      <c r="CJ25" s="19" t="s">
        <v>17</v>
      </c>
      <c r="CK25" s="19"/>
      <c r="CL25" s="19"/>
      <c r="CM25" s="19" t="s">
        <v>2138</v>
      </c>
      <c r="CN25" s="19" t="s">
        <v>2382</v>
      </c>
      <c r="CO25" s="19"/>
      <c r="CP25" s="19"/>
      <c r="CQ25" s="19"/>
      <c r="CR25" s="19" t="s">
        <v>2113</v>
      </c>
      <c r="CS25" s="19" t="s">
        <v>2113</v>
      </c>
      <c r="CT25" s="19" t="s">
        <v>2113</v>
      </c>
      <c r="CU25" s="19" t="s">
        <v>2113</v>
      </c>
      <c r="CV25" s="19" t="s">
        <v>2179</v>
      </c>
      <c r="CW25" s="19" t="s">
        <v>2113</v>
      </c>
      <c r="CX25" s="19" t="s">
        <v>2113</v>
      </c>
      <c r="CY25" s="19" t="s">
        <v>2113</v>
      </c>
      <c r="CZ25" s="19" t="s">
        <v>2113</v>
      </c>
      <c r="DA25" s="19" t="s">
        <v>16</v>
      </c>
      <c r="DB25" s="19" t="s">
        <v>17</v>
      </c>
      <c r="DC25" s="19" t="s">
        <v>2671</v>
      </c>
      <c r="DD25" s="19" t="s">
        <v>2113</v>
      </c>
      <c r="DE25" s="19" t="s">
        <v>2113</v>
      </c>
      <c r="DF25" s="19" t="s">
        <v>2627</v>
      </c>
      <c r="DG25" s="19" t="s">
        <v>2297</v>
      </c>
      <c r="DH25" s="19" t="s">
        <v>2144</v>
      </c>
      <c r="DI25" s="24">
        <v>45518.0</v>
      </c>
      <c r="DJ25" s="19" t="s">
        <v>2133</v>
      </c>
      <c r="DK25" s="19" t="s">
        <v>2145</v>
      </c>
      <c r="DL25" s="19" t="s">
        <v>2146</v>
      </c>
      <c r="DM25" s="19" t="s">
        <v>2672</v>
      </c>
      <c r="DN25" s="19">
        <v>3.0</v>
      </c>
      <c r="DO25" s="19">
        <v>3.0</v>
      </c>
      <c r="DP25" s="19"/>
      <c r="DQ25" s="19"/>
      <c r="DR25" s="19"/>
      <c r="DS25" s="19" t="s">
        <v>2365</v>
      </c>
      <c r="DT25" s="19" t="s">
        <v>2350</v>
      </c>
      <c r="DU25" s="19" t="s">
        <v>2673</v>
      </c>
      <c r="DV25" s="19"/>
      <c r="DW25" s="19" t="s">
        <v>2153</v>
      </c>
      <c r="DX25" s="19">
        <v>7.0</v>
      </c>
      <c r="DY25" s="19">
        <v>10.0</v>
      </c>
      <c r="DZ25" s="19">
        <v>0.0</v>
      </c>
      <c r="EA25" s="19">
        <v>10.0</v>
      </c>
      <c r="EB25" s="19">
        <v>0.0</v>
      </c>
      <c r="EC25" s="19">
        <v>20.0</v>
      </c>
      <c r="ED25" s="19" t="s">
        <v>2133</v>
      </c>
      <c r="EE25" s="24">
        <v>45518.0</v>
      </c>
      <c r="EF25" s="19" t="s">
        <v>2133</v>
      </c>
      <c r="EG25" s="19" t="s">
        <v>2145</v>
      </c>
      <c r="EH25" s="19" t="s">
        <v>2146</v>
      </c>
      <c r="EI25" s="22">
        <v>14.625</v>
      </c>
      <c r="EJ25" s="19">
        <v>45.0</v>
      </c>
      <c r="EK25" s="19" t="s">
        <v>2113</v>
      </c>
      <c r="EL25" s="19" t="s">
        <v>2163</v>
      </c>
      <c r="EM25" s="19" t="s">
        <v>2664</v>
      </c>
      <c r="EN25" s="19" t="s">
        <v>88</v>
      </c>
      <c r="EO25" s="19" t="s">
        <v>2375</v>
      </c>
      <c r="EP25" s="19" t="s">
        <v>2310</v>
      </c>
      <c r="EQ25" s="19" t="s">
        <v>2382</v>
      </c>
      <c r="ER25" s="19"/>
      <c r="ES25" s="19" t="s">
        <v>88</v>
      </c>
      <c r="ET25" s="19" t="s">
        <v>88</v>
      </c>
      <c r="EU25" s="19" t="s">
        <v>2661</v>
      </c>
      <c r="EV25" s="19">
        <v>8432.0</v>
      </c>
      <c r="EW25" s="19" t="s">
        <v>16</v>
      </c>
      <c r="EX25" s="19">
        <v>4.0</v>
      </c>
      <c r="EY25" s="25" t="s">
        <v>87</v>
      </c>
      <c r="EZ25" s="19" t="s">
        <v>2154</v>
      </c>
      <c r="FA25" s="5" t="s">
        <v>2674</v>
      </c>
      <c r="FB25" s="26" t="s">
        <v>2156</v>
      </c>
      <c r="FC25" s="26"/>
    </row>
    <row r="26">
      <c r="A26" s="19" t="s">
        <v>2112</v>
      </c>
      <c r="B26" s="19" t="s">
        <v>2113</v>
      </c>
      <c r="C26" s="19" t="s">
        <v>2113</v>
      </c>
      <c r="D26" s="19" t="s">
        <v>89</v>
      </c>
      <c r="E26" s="19" t="s">
        <v>2675</v>
      </c>
      <c r="F26" s="19" t="s">
        <v>2676</v>
      </c>
      <c r="G26" s="19" t="s">
        <v>2677</v>
      </c>
      <c r="H26" s="19" t="s">
        <v>89</v>
      </c>
      <c r="I26" s="19" t="s">
        <v>91</v>
      </c>
      <c r="J26" s="19" t="s">
        <v>2678</v>
      </c>
      <c r="K26" s="19" t="s">
        <v>2679</v>
      </c>
      <c r="L26" s="20">
        <v>45404.0</v>
      </c>
      <c r="M26" s="20">
        <v>45411.0</v>
      </c>
      <c r="N26" s="20">
        <v>45411.0</v>
      </c>
      <c r="O26" s="19" t="s">
        <v>90</v>
      </c>
      <c r="P26" s="19">
        <v>0.0</v>
      </c>
      <c r="Q26" s="19">
        <v>27.0</v>
      </c>
      <c r="R26" s="19">
        <v>10137.0</v>
      </c>
      <c r="S26" s="20" t="s">
        <v>2680</v>
      </c>
      <c r="T26" s="20">
        <v>45461.0</v>
      </c>
      <c r="U26" s="19" t="s">
        <v>2676</v>
      </c>
      <c r="V26" s="19"/>
      <c r="W26" s="19"/>
      <c r="X26" s="21">
        <v>20.0</v>
      </c>
      <c r="Y26" s="21">
        <v>10.0</v>
      </c>
      <c r="Z26" s="21">
        <v>5.0</v>
      </c>
      <c r="AA26" s="21">
        <v>0.0</v>
      </c>
      <c r="AB26" s="5">
        <v>35.0</v>
      </c>
      <c r="AC26" s="19">
        <v>4.8</v>
      </c>
      <c r="AD26" s="19">
        <v>4.0</v>
      </c>
      <c r="AE26" s="19">
        <v>4.6</v>
      </c>
      <c r="AF26" s="19">
        <v>4.5</v>
      </c>
      <c r="AG26" s="19">
        <v>4.3</v>
      </c>
      <c r="AH26" s="19">
        <v>4.6</v>
      </c>
      <c r="AI26" s="22">
        <v>13.35</v>
      </c>
      <c r="AJ26" s="19">
        <v>15.0</v>
      </c>
      <c r="AK26" s="19">
        <v>15.0</v>
      </c>
      <c r="AL26" s="19">
        <v>15.0</v>
      </c>
      <c r="AM26" s="19">
        <v>45.0</v>
      </c>
      <c r="AN26" s="19">
        <v>58.4</v>
      </c>
      <c r="AO26" s="19">
        <v>93.4</v>
      </c>
      <c r="AP26" s="19">
        <v>48.0</v>
      </c>
      <c r="AQ26" s="23">
        <v>24.0</v>
      </c>
      <c r="AR26" s="23">
        <v>6.0</v>
      </c>
      <c r="AS26" s="22"/>
      <c r="AT26" s="19" t="s">
        <v>2163</v>
      </c>
      <c r="AU26" s="19" t="s">
        <v>2681</v>
      </c>
      <c r="AV26" s="19" t="s">
        <v>2682</v>
      </c>
      <c r="AW26" s="19" t="s">
        <v>2683</v>
      </c>
      <c r="AX26" s="20">
        <v>35324.0</v>
      </c>
      <c r="AY26" s="19" t="s">
        <v>2487</v>
      </c>
      <c r="AZ26" s="19" t="s">
        <v>2310</v>
      </c>
      <c r="BA26" s="19" t="s">
        <v>2684</v>
      </c>
      <c r="BB26" s="19" t="s">
        <v>2685</v>
      </c>
      <c r="BC26" s="19" t="s">
        <v>2686</v>
      </c>
      <c r="BD26" s="19" t="s">
        <v>2687</v>
      </c>
      <c r="BE26" s="19" t="s">
        <v>2688</v>
      </c>
      <c r="BF26" s="19">
        <v>1.199266111E10</v>
      </c>
      <c r="BG26" s="19" t="s">
        <v>2127</v>
      </c>
      <c r="BH26" s="19" t="s">
        <v>2128</v>
      </c>
      <c r="BI26" s="19"/>
      <c r="BJ26" s="19"/>
      <c r="BK26" s="19" t="s">
        <v>16</v>
      </c>
      <c r="BL26" s="19" t="s">
        <v>2113</v>
      </c>
      <c r="BM26" s="19" t="s">
        <v>2130</v>
      </c>
      <c r="BN26" s="19" t="s">
        <v>2172</v>
      </c>
      <c r="BO26" s="19" t="s">
        <v>2132</v>
      </c>
      <c r="BP26" s="19" t="s">
        <v>2689</v>
      </c>
      <c r="BQ26" s="19" t="s">
        <v>2325</v>
      </c>
      <c r="BR26" s="19" t="s">
        <v>2325</v>
      </c>
      <c r="BS26" s="19" t="s">
        <v>2134</v>
      </c>
      <c r="BT26" s="19" t="s">
        <v>59</v>
      </c>
      <c r="BU26" s="19" t="s">
        <v>2560</v>
      </c>
      <c r="BV26" s="19" t="s">
        <v>2690</v>
      </c>
      <c r="BW26" s="19"/>
      <c r="BX26" s="19"/>
      <c r="BY26" s="19"/>
      <c r="BZ26" s="19"/>
      <c r="CA26" s="19"/>
      <c r="CB26" s="19" t="s">
        <v>2113</v>
      </c>
      <c r="CC26" s="19"/>
      <c r="CD26" s="19" t="s">
        <v>2137</v>
      </c>
      <c r="CE26" s="19" t="s">
        <v>16</v>
      </c>
      <c r="CF26" s="19"/>
      <c r="CG26" s="19"/>
      <c r="CH26" s="19" t="s">
        <v>16</v>
      </c>
      <c r="CI26" s="21">
        <v>0.0</v>
      </c>
      <c r="CJ26" s="19" t="s">
        <v>17</v>
      </c>
      <c r="CK26" s="19"/>
      <c r="CL26" s="19"/>
      <c r="CM26" s="19" t="s">
        <v>2138</v>
      </c>
      <c r="CN26" s="19" t="s">
        <v>2431</v>
      </c>
      <c r="CO26" s="19"/>
      <c r="CP26" s="19" t="s">
        <v>2225</v>
      </c>
      <c r="CQ26" s="19"/>
      <c r="CR26" s="19"/>
      <c r="CS26" s="19"/>
      <c r="CT26" s="19" t="s">
        <v>2113</v>
      </c>
      <c r="CU26" s="19" t="s">
        <v>2113</v>
      </c>
      <c r="CV26" s="19" t="s">
        <v>2141</v>
      </c>
      <c r="CW26" s="19"/>
      <c r="CX26" s="19"/>
      <c r="CY26" s="19"/>
      <c r="CZ26" s="19"/>
      <c r="DA26" s="19" t="s">
        <v>16</v>
      </c>
      <c r="DB26" s="19" t="s">
        <v>17</v>
      </c>
      <c r="DC26" s="19" t="s">
        <v>2432</v>
      </c>
      <c r="DD26" s="19" t="s">
        <v>2113</v>
      </c>
      <c r="DE26" s="19" t="s">
        <v>2113</v>
      </c>
      <c r="DF26" s="19" t="s">
        <v>2248</v>
      </c>
      <c r="DG26" s="19" t="s">
        <v>2455</v>
      </c>
      <c r="DH26" s="19" t="s">
        <v>2144</v>
      </c>
      <c r="DI26" s="24">
        <v>45525.0</v>
      </c>
      <c r="DJ26" s="19" t="s">
        <v>2325</v>
      </c>
      <c r="DK26" s="19" t="s">
        <v>2271</v>
      </c>
      <c r="DL26" s="19" t="s">
        <v>2326</v>
      </c>
      <c r="DM26" s="19"/>
      <c r="DN26" s="19">
        <v>10.0</v>
      </c>
      <c r="DO26" s="19">
        <v>10.0</v>
      </c>
      <c r="DP26" s="19" t="s">
        <v>2691</v>
      </c>
      <c r="DQ26" s="19" t="s">
        <v>2692</v>
      </c>
      <c r="DR26" s="19" t="s">
        <v>2693</v>
      </c>
      <c r="DS26" s="19" t="s">
        <v>2365</v>
      </c>
      <c r="DT26" s="19" t="s">
        <v>2229</v>
      </c>
      <c r="DU26" s="19"/>
      <c r="DV26" s="19"/>
      <c r="DW26" s="19" t="s">
        <v>2479</v>
      </c>
      <c r="DX26" s="19">
        <v>11.0</v>
      </c>
      <c r="DY26" s="19">
        <v>10.0</v>
      </c>
      <c r="DZ26" s="19">
        <v>0.0</v>
      </c>
      <c r="EA26" s="19">
        <v>10.0</v>
      </c>
      <c r="EB26" s="19">
        <v>0.0</v>
      </c>
      <c r="EC26" s="19">
        <v>20.0</v>
      </c>
      <c r="ED26" s="19" t="s">
        <v>2325</v>
      </c>
      <c r="EE26" s="24">
        <v>45525.0</v>
      </c>
      <c r="EF26" s="19" t="s">
        <v>2325</v>
      </c>
      <c r="EG26" s="19" t="s">
        <v>2271</v>
      </c>
      <c r="EH26" s="19" t="s">
        <v>2326</v>
      </c>
      <c r="EI26" s="22">
        <v>13.35</v>
      </c>
      <c r="EJ26" s="19">
        <v>45.0</v>
      </c>
      <c r="EK26" s="19" t="s">
        <v>2113</v>
      </c>
      <c r="EL26" s="19" t="s">
        <v>2163</v>
      </c>
      <c r="EM26" s="19" t="s">
        <v>2681</v>
      </c>
      <c r="EN26" s="19" t="s">
        <v>91</v>
      </c>
      <c r="EO26" s="19" t="s">
        <v>2487</v>
      </c>
      <c r="EP26" s="19" t="s">
        <v>2310</v>
      </c>
      <c r="EQ26" s="19" t="s">
        <v>2431</v>
      </c>
      <c r="ER26" s="19"/>
      <c r="ES26" s="19" t="s">
        <v>91</v>
      </c>
      <c r="ET26" s="19" t="s">
        <v>91</v>
      </c>
      <c r="EU26" s="19" t="s">
        <v>2679</v>
      </c>
      <c r="EV26" s="19">
        <v>10137.0</v>
      </c>
      <c r="EW26" s="19" t="s">
        <v>16</v>
      </c>
      <c r="EX26" s="19">
        <v>5.0</v>
      </c>
      <c r="EY26" s="25" t="s">
        <v>90</v>
      </c>
      <c r="EZ26" s="19" t="s">
        <v>2154</v>
      </c>
      <c r="FA26" s="5" t="s">
        <v>2694</v>
      </c>
      <c r="FB26" s="26" t="s">
        <v>2156</v>
      </c>
      <c r="FC26" s="26"/>
    </row>
    <row r="27">
      <c r="A27" s="19" t="s">
        <v>2112</v>
      </c>
      <c r="B27" s="19" t="s">
        <v>2113</v>
      </c>
      <c r="C27" s="19" t="s">
        <v>2113</v>
      </c>
      <c r="D27" s="19" t="s">
        <v>92</v>
      </c>
      <c r="E27" s="19" t="s">
        <v>92</v>
      </c>
      <c r="F27" s="19" t="s">
        <v>2695</v>
      </c>
      <c r="G27" s="19" t="s">
        <v>2695</v>
      </c>
      <c r="H27" s="19" t="s">
        <v>92</v>
      </c>
      <c r="I27" s="19" t="s">
        <v>94</v>
      </c>
      <c r="J27" s="19" t="s">
        <v>2696</v>
      </c>
      <c r="K27" s="19" t="s">
        <v>2697</v>
      </c>
      <c r="L27" s="20">
        <v>45427.0</v>
      </c>
      <c r="M27" s="20">
        <v>45428.0</v>
      </c>
      <c r="N27" s="20">
        <v>45428.0</v>
      </c>
      <c r="O27" s="19" t="s">
        <v>93</v>
      </c>
      <c r="P27" s="19">
        <v>0.0</v>
      </c>
      <c r="Q27" s="19">
        <v>25.0</v>
      </c>
      <c r="R27" s="19">
        <v>9455.0</v>
      </c>
      <c r="S27" s="20" t="s">
        <v>2698</v>
      </c>
      <c r="T27" s="20">
        <v>45461.0</v>
      </c>
      <c r="U27" s="19" t="s">
        <v>2695</v>
      </c>
      <c r="V27" s="19"/>
      <c r="W27" s="19"/>
      <c r="X27" s="21">
        <v>20.0</v>
      </c>
      <c r="Y27" s="21">
        <v>10.0</v>
      </c>
      <c r="Z27" s="21">
        <v>4.0</v>
      </c>
      <c r="AA27" s="21">
        <v>0.0</v>
      </c>
      <c r="AB27" s="5">
        <v>34.0</v>
      </c>
      <c r="AC27" s="19">
        <v>4.6</v>
      </c>
      <c r="AD27" s="19">
        <v>5.0</v>
      </c>
      <c r="AE27" s="19">
        <v>5.0</v>
      </c>
      <c r="AF27" s="19">
        <v>4.8</v>
      </c>
      <c r="AG27" s="19">
        <v>4.2</v>
      </c>
      <c r="AH27" s="19">
        <v>4.8</v>
      </c>
      <c r="AI27" s="22">
        <v>14.362499999999999</v>
      </c>
      <c r="AJ27" s="19">
        <v>15.0</v>
      </c>
      <c r="AK27" s="19">
        <v>15.0</v>
      </c>
      <c r="AL27" s="19">
        <v>15.0</v>
      </c>
      <c r="AM27" s="19">
        <v>45.0</v>
      </c>
      <c r="AN27" s="19">
        <v>59.4</v>
      </c>
      <c r="AO27" s="19">
        <v>93.4</v>
      </c>
      <c r="AP27" s="19">
        <v>114.0</v>
      </c>
      <c r="AQ27" s="23">
        <v>25.0</v>
      </c>
      <c r="AR27" s="23">
        <v>2.0</v>
      </c>
      <c r="AS27" s="22"/>
      <c r="AT27" s="19" t="s">
        <v>2163</v>
      </c>
      <c r="AU27" s="19" t="s">
        <v>2699</v>
      </c>
      <c r="AV27" s="19" t="s">
        <v>2700</v>
      </c>
      <c r="AW27" s="19" t="s">
        <v>2701</v>
      </c>
      <c r="AX27" s="20">
        <v>36006.0</v>
      </c>
      <c r="AY27" s="19" t="s">
        <v>2702</v>
      </c>
      <c r="AZ27" s="19" t="s">
        <v>2445</v>
      </c>
      <c r="BA27" s="19" t="s">
        <v>2703</v>
      </c>
      <c r="BB27" s="19" t="s">
        <v>2704</v>
      </c>
      <c r="BC27" s="19" t="s">
        <v>2705</v>
      </c>
      <c r="BD27" s="19" t="s">
        <v>2706</v>
      </c>
      <c r="BE27" s="19" t="s">
        <v>2707</v>
      </c>
      <c r="BF27" s="19">
        <v>1.1988429305E10</v>
      </c>
      <c r="BG27" s="19" t="s">
        <v>2127</v>
      </c>
      <c r="BH27" s="19" t="s">
        <v>2128</v>
      </c>
      <c r="BI27" s="19"/>
      <c r="BJ27" s="19"/>
      <c r="BK27" s="19" t="s">
        <v>16</v>
      </c>
      <c r="BL27" s="19" t="s">
        <v>2113</v>
      </c>
      <c r="BM27" s="19" t="s">
        <v>2130</v>
      </c>
      <c r="BN27" s="19" t="s">
        <v>2708</v>
      </c>
      <c r="BO27" s="19" t="s">
        <v>2317</v>
      </c>
      <c r="BP27" s="19" t="s">
        <v>2709</v>
      </c>
      <c r="BQ27" s="19" t="s">
        <v>2318</v>
      </c>
      <c r="BR27" s="19" t="s">
        <v>2318</v>
      </c>
      <c r="BS27" s="19" t="s">
        <v>2134</v>
      </c>
      <c r="BT27" s="19" t="s">
        <v>42</v>
      </c>
      <c r="BU27" s="19" t="s">
        <v>2710</v>
      </c>
      <c r="BV27" s="19" t="s">
        <v>2711</v>
      </c>
      <c r="BW27" s="19"/>
      <c r="BX27" s="19" t="s">
        <v>2113</v>
      </c>
      <c r="BY27" s="19" t="s">
        <v>2113</v>
      </c>
      <c r="BZ27" s="19" t="s">
        <v>2113</v>
      </c>
      <c r="CA27" s="19" t="s">
        <v>2113</v>
      </c>
      <c r="CB27" s="19" t="s">
        <v>2113</v>
      </c>
      <c r="CC27" s="19"/>
      <c r="CD27" s="19" t="s">
        <v>2137</v>
      </c>
      <c r="CE27" s="19" t="s">
        <v>16</v>
      </c>
      <c r="CF27" s="19"/>
      <c r="CG27" s="19"/>
      <c r="CH27" s="19" t="s">
        <v>16</v>
      </c>
      <c r="CI27" s="21">
        <v>0.0</v>
      </c>
      <c r="CJ27" s="19" t="s">
        <v>17</v>
      </c>
      <c r="CK27" s="19"/>
      <c r="CL27" s="19" t="s">
        <v>2113</v>
      </c>
      <c r="CM27" s="19" t="s">
        <v>2138</v>
      </c>
      <c r="CN27" s="19" t="s">
        <v>2321</v>
      </c>
      <c r="CO27" s="19"/>
      <c r="CP27" s="19" t="s">
        <v>2134</v>
      </c>
      <c r="CQ27" s="19"/>
      <c r="CR27" s="19" t="s">
        <v>2113</v>
      </c>
      <c r="CS27" s="19" t="s">
        <v>2113</v>
      </c>
      <c r="CT27" s="19" t="s">
        <v>2113</v>
      </c>
      <c r="CU27" s="19" t="s">
        <v>2113</v>
      </c>
      <c r="CV27" s="19" t="s">
        <v>2141</v>
      </c>
      <c r="CW27" s="19" t="s">
        <v>2113</v>
      </c>
      <c r="CX27" s="19" t="s">
        <v>2113</v>
      </c>
      <c r="CY27" s="19" t="s">
        <v>2113</v>
      </c>
      <c r="CZ27" s="19" t="s">
        <v>2113</v>
      </c>
      <c r="DA27" s="19" t="s">
        <v>16</v>
      </c>
      <c r="DB27" s="19" t="s">
        <v>17</v>
      </c>
      <c r="DC27" s="19" t="s">
        <v>2712</v>
      </c>
      <c r="DD27" s="19" t="s">
        <v>2113</v>
      </c>
      <c r="DE27" s="19" t="s">
        <v>2113</v>
      </c>
      <c r="DF27" s="19" t="s">
        <v>2433</v>
      </c>
      <c r="DG27" s="19" t="s">
        <v>2602</v>
      </c>
      <c r="DH27" s="19" t="s">
        <v>2144</v>
      </c>
      <c r="DI27" s="24">
        <v>45525.0</v>
      </c>
      <c r="DJ27" s="19" t="s">
        <v>2325</v>
      </c>
      <c r="DK27" s="19" t="s">
        <v>2145</v>
      </c>
      <c r="DL27" s="19" t="s">
        <v>2326</v>
      </c>
      <c r="DM27" s="19"/>
      <c r="DN27" s="19">
        <v>9.0</v>
      </c>
      <c r="DO27" s="19">
        <v>9.0</v>
      </c>
      <c r="DP27" s="19" t="s">
        <v>2713</v>
      </c>
      <c r="DQ27" s="19" t="s">
        <v>2713</v>
      </c>
      <c r="DR27" s="19" t="s">
        <v>2713</v>
      </c>
      <c r="DS27" s="19" t="s">
        <v>2185</v>
      </c>
      <c r="DT27" s="19" t="s">
        <v>2350</v>
      </c>
      <c r="DU27" s="19"/>
      <c r="DV27" s="19"/>
      <c r="DW27" s="19" t="s">
        <v>2479</v>
      </c>
      <c r="DX27" s="19">
        <v>6.0</v>
      </c>
      <c r="DY27" s="19">
        <v>10.0</v>
      </c>
      <c r="DZ27" s="19">
        <v>0.0</v>
      </c>
      <c r="EA27" s="19">
        <v>10.0</v>
      </c>
      <c r="EB27" s="19">
        <v>0.0</v>
      </c>
      <c r="EC27" s="19">
        <v>20.0</v>
      </c>
      <c r="ED27" s="19" t="s">
        <v>2325</v>
      </c>
      <c r="EE27" s="24">
        <v>45525.0</v>
      </c>
      <c r="EF27" s="19" t="s">
        <v>2325</v>
      </c>
      <c r="EG27" s="19" t="s">
        <v>2145</v>
      </c>
      <c r="EH27" s="19" t="s">
        <v>2326</v>
      </c>
      <c r="EI27" s="22">
        <v>14.362499999999999</v>
      </c>
      <c r="EJ27" s="19">
        <v>45.0</v>
      </c>
      <c r="EK27" s="19" t="s">
        <v>2113</v>
      </c>
      <c r="EL27" s="19" t="s">
        <v>2163</v>
      </c>
      <c r="EM27" s="19" t="s">
        <v>2699</v>
      </c>
      <c r="EN27" s="19" t="s">
        <v>94</v>
      </c>
      <c r="EO27" s="19" t="s">
        <v>2702</v>
      </c>
      <c r="EP27" s="19" t="s">
        <v>2445</v>
      </c>
      <c r="EQ27" s="19" t="s">
        <v>2321</v>
      </c>
      <c r="ER27" s="19"/>
      <c r="ES27" s="19" t="s">
        <v>94</v>
      </c>
      <c r="ET27" s="19" t="s">
        <v>94</v>
      </c>
      <c r="EU27" s="19" t="s">
        <v>2697</v>
      </c>
      <c r="EV27" s="19">
        <v>9455.0</v>
      </c>
      <c r="EW27" s="19" t="s">
        <v>16</v>
      </c>
      <c r="EX27" s="19">
        <v>4.0</v>
      </c>
      <c r="EY27" s="25" t="s">
        <v>93</v>
      </c>
      <c r="EZ27" s="19" t="s">
        <v>2154</v>
      </c>
      <c r="FA27" s="5" t="s">
        <v>2714</v>
      </c>
      <c r="FB27" s="26" t="s">
        <v>2156</v>
      </c>
      <c r="FC27" s="26"/>
    </row>
    <row r="28">
      <c r="A28" s="19" t="s">
        <v>2112</v>
      </c>
      <c r="B28" s="19" t="s">
        <v>2113</v>
      </c>
      <c r="C28" s="19" t="s">
        <v>2113</v>
      </c>
      <c r="D28" s="19" t="s">
        <v>2715</v>
      </c>
      <c r="E28" s="19" t="s">
        <v>2716</v>
      </c>
      <c r="F28" s="19" t="s">
        <v>2715</v>
      </c>
      <c r="G28" s="19"/>
      <c r="H28" s="19" t="s">
        <v>95</v>
      </c>
      <c r="I28" s="19" t="s">
        <v>97</v>
      </c>
      <c r="J28" s="19" t="s">
        <v>2717</v>
      </c>
      <c r="K28" s="19" t="s">
        <v>2718</v>
      </c>
      <c r="L28" s="20">
        <v>45446.0</v>
      </c>
      <c r="M28" s="20">
        <v>45447.0</v>
      </c>
      <c r="N28" s="20">
        <v>45447.0</v>
      </c>
      <c r="O28" s="19" t="s">
        <v>96</v>
      </c>
      <c r="P28" s="19">
        <v>0.0</v>
      </c>
      <c r="Q28" s="19">
        <v>22.0</v>
      </c>
      <c r="R28" s="19">
        <v>8224.0</v>
      </c>
      <c r="S28" s="20" t="s">
        <v>2719</v>
      </c>
      <c r="T28" s="20">
        <v>45461.0</v>
      </c>
      <c r="U28" s="19" t="s">
        <v>2715</v>
      </c>
      <c r="V28" s="19"/>
      <c r="W28" s="19" t="s">
        <v>2720</v>
      </c>
      <c r="X28" s="21">
        <v>20.0</v>
      </c>
      <c r="Y28" s="21">
        <v>10.0</v>
      </c>
      <c r="Z28" s="21">
        <v>4.0</v>
      </c>
      <c r="AA28" s="21">
        <v>0.0</v>
      </c>
      <c r="AB28" s="5">
        <v>34.0</v>
      </c>
      <c r="AC28" s="19">
        <v>5.0</v>
      </c>
      <c r="AD28" s="19">
        <v>5.0</v>
      </c>
      <c r="AE28" s="19">
        <v>5.0</v>
      </c>
      <c r="AF28" s="19">
        <v>5.0</v>
      </c>
      <c r="AG28" s="19">
        <v>4.0</v>
      </c>
      <c r="AH28" s="19">
        <v>4.0</v>
      </c>
      <c r="AI28" s="22">
        <v>14.25</v>
      </c>
      <c r="AJ28" s="19">
        <v>15.0</v>
      </c>
      <c r="AK28" s="19">
        <v>15.0</v>
      </c>
      <c r="AL28" s="19">
        <v>15.0</v>
      </c>
      <c r="AM28" s="19">
        <v>45.0</v>
      </c>
      <c r="AN28" s="19">
        <v>59.3</v>
      </c>
      <c r="AO28" s="19">
        <v>93.3</v>
      </c>
      <c r="AP28" s="19">
        <v>124.0</v>
      </c>
      <c r="AQ28" s="23">
        <v>26.0</v>
      </c>
      <c r="AR28" s="23">
        <v>3.0</v>
      </c>
      <c r="AS28" s="22"/>
      <c r="AT28" s="19" t="s">
        <v>2282</v>
      </c>
      <c r="AU28" s="19" t="s">
        <v>2721</v>
      </c>
      <c r="AV28" s="19" t="s">
        <v>2722</v>
      </c>
      <c r="AW28" s="19" t="s">
        <v>2166</v>
      </c>
      <c r="AX28" s="20">
        <v>37237.0</v>
      </c>
      <c r="AY28" s="19" t="s">
        <v>2619</v>
      </c>
      <c r="AZ28" s="19" t="s">
        <v>2310</v>
      </c>
      <c r="BA28" s="19" t="s">
        <v>2723</v>
      </c>
      <c r="BB28" s="19" t="s">
        <v>2685</v>
      </c>
      <c r="BC28" s="19" t="s">
        <v>2724</v>
      </c>
      <c r="BD28" s="19" t="s">
        <v>2725</v>
      </c>
      <c r="BE28" s="19" t="s">
        <v>2726</v>
      </c>
      <c r="BF28" s="19">
        <v>1.1960311498E10</v>
      </c>
      <c r="BG28" s="19" t="s">
        <v>2127</v>
      </c>
      <c r="BH28" s="19" t="s">
        <v>2128</v>
      </c>
      <c r="BI28" s="19"/>
      <c r="BJ28" s="19"/>
      <c r="BK28" s="19" t="s">
        <v>16</v>
      </c>
      <c r="BL28" s="19" t="s">
        <v>2113</v>
      </c>
      <c r="BM28" s="19" t="s">
        <v>2130</v>
      </c>
      <c r="BN28" s="19" t="s">
        <v>2401</v>
      </c>
      <c r="BO28" s="19" t="s">
        <v>2317</v>
      </c>
      <c r="BP28" s="19" t="s">
        <v>2727</v>
      </c>
      <c r="BQ28" s="19" t="s">
        <v>2133</v>
      </c>
      <c r="BR28" s="19" t="s">
        <v>2133</v>
      </c>
      <c r="BS28" s="19" t="s">
        <v>2243</v>
      </c>
      <c r="BT28" s="19" t="s">
        <v>52</v>
      </c>
      <c r="BU28" s="19" t="s">
        <v>2728</v>
      </c>
      <c r="BV28" s="19" t="s">
        <v>2729</v>
      </c>
      <c r="BW28" s="19"/>
      <c r="BX28" s="19"/>
      <c r="BY28" s="19"/>
      <c r="BZ28" s="19"/>
      <c r="CA28" s="19"/>
      <c r="CB28" s="19" t="s">
        <v>2113</v>
      </c>
      <c r="CC28" s="19"/>
      <c r="CD28" s="19" t="s">
        <v>2137</v>
      </c>
      <c r="CE28" s="19" t="s">
        <v>16</v>
      </c>
      <c r="CF28" s="19"/>
      <c r="CG28" s="19"/>
      <c r="CH28" s="19" t="s">
        <v>16</v>
      </c>
      <c r="CI28" s="21">
        <v>0.0</v>
      </c>
      <c r="CJ28" s="19" t="s">
        <v>16</v>
      </c>
      <c r="CK28" s="19"/>
      <c r="CL28" s="19"/>
      <c r="CM28" s="19" t="s">
        <v>2138</v>
      </c>
      <c r="CN28" s="19" t="s">
        <v>2626</v>
      </c>
      <c r="CO28" s="19"/>
      <c r="CP28" s="19"/>
      <c r="CQ28" s="19"/>
      <c r="CR28" s="19" t="s">
        <v>2113</v>
      </c>
      <c r="CS28" s="19" t="s">
        <v>2113</v>
      </c>
      <c r="CT28" s="19" t="s">
        <v>2113</v>
      </c>
      <c r="CU28" s="19" t="s">
        <v>2113</v>
      </c>
      <c r="CV28" s="19" t="s">
        <v>2141</v>
      </c>
      <c r="CW28" s="19" t="s">
        <v>2113</v>
      </c>
      <c r="CX28" s="19" t="s">
        <v>2113</v>
      </c>
      <c r="CY28" s="19" t="s">
        <v>2113</v>
      </c>
      <c r="CZ28" s="19" t="s">
        <v>2113</v>
      </c>
      <c r="DA28" s="19" t="s">
        <v>16</v>
      </c>
      <c r="DB28" s="19" t="s">
        <v>16</v>
      </c>
      <c r="DC28" s="19" t="s">
        <v>2579</v>
      </c>
      <c r="DD28" s="19" t="s">
        <v>2113</v>
      </c>
      <c r="DE28" s="19" t="s">
        <v>2113</v>
      </c>
      <c r="DF28" s="19" t="s">
        <v>2627</v>
      </c>
      <c r="DG28" s="19" t="s">
        <v>2730</v>
      </c>
      <c r="DH28" s="19" t="s">
        <v>2144</v>
      </c>
      <c r="DI28" s="24">
        <v>45525.0</v>
      </c>
      <c r="DJ28" s="19" t="s">
        <v>2133</v>
      </c>
      <c r="DK28" s="19" t="s">
        <v>2271</v>
      </c>
      <c r="DL28" s="19" t="s">
        <v>2146</v>
      </c>
      <c r="DM28" s="19" t="s">
        <v>2408</v>
      </c>
      <c r="DN28" s="19">
        <v>10.0</v>
      </c>
      <c r="DO28" s="19">
        <v>10.0</v>
      </c>
      <c r="DP28" s="19" t="s">
        <v>2731</v>
      </c>
      <c r="DQ28" s="19" t="s">
        <v>2732</v>
      </c>
      <c r="DR28" s="19" t="s">
        <v>2733</v>
      </c>
      <c r="DS28" s="19" t="s">
        <v>2365</v>
      </c>
      <c r="DT28" s="19" t="s">
        <v>2366</v>
      </c>
      <c r="DU28" s="19"/>
      <c r="DV28" s="19"/>
      <c r="DW28" s="19" t="s">
        <v>2188</v>
      </c>
      <c r="DX28" s="19">
        <v>10.0</v>
      </c>
      <c r="DY28" s="19">
        <v>10.0</v>
      </c>
      <c r="DZ28" s="19">
        <v>0.0</v>
      </c>
      <c r="EA28" s="19">
        <v>10.0</v>
      </c>
      <c r="EB28" s="19">
        <v>0.0</v>
      </c>
      <c r="EC28" s="19">
        <v>20.0</v>
      </c>
      <c r="ED28" s="19" t="s">
        <v>2133</v>
      </c>
      <c r="EE28" s="24">
        <v>45525.0</v>
      </c>
      <c r="EF28" s="19" t="s">
        <v>2133</v>
      </c>
      <c r="EG28" s="19" t="s">
        <v>2271</v>
      </c>
      <c r="EH28" s="19" t="s">
        <v>2146</v>
      </c>
      <c r="EI28" s="22">
        <v>14.25</v>
      </c>
      <c r="EJ28" s="19">
        <v>45.0</v>
      </c>
      <c r="EK28" s="19"/>
      <c r="EL28" s="19" t="s">
        <v>2282</v>
      </c>
      <c r="EM28" s="19" t="s">
        <v>2721</v>
      </c>
      <c r="EN28" s="19" t="s">
        <v>97</v>
      </c>
      <c r="EO28" s="19" t="s">
        <v>2619</v>
      </c>
      <c r="EP28" s="19" t="s">
        <v>2310</v>
      </c>
      <c r="EQ28" s="19" t="s">
        <v>2626</v>
      </c>
      <c r="ER28" s="19"/>
      <c r="ES28" s="19" t="s">
        <v>97</v>
      </c>
      <c r="ET28" s="19" t="s">
        <v>97</v>
      </c>
      <c r="EU28" s="19" t="s">
        <v>2718</v>
      </c>
      <c r="EV28" s="19">
        <v>8224.0</v>
      </c>
      <c r="EW28" s="19" t="s">
        <v>16</v>
      </c>
      <c r="EX28" s="19">
        <v>4.0</v>
      </c>
      <c r="EY28" s="25" t="s">
        <v>96</v>
      </c>
      <c r="EZ28" s="19" t="s">
        <v>2154</v>
      </c>
      <c r="FA28" s="5" t="s">
        <v>2734</v>
      </c>
      <c r="FB28" s="26" t="s">
        <v>2156</v>
      </c>
      <c r="FC28" s="26"/>
    </row>
    <row r="29">
      <c r="A29" s="19" t="s">
        <v>2156</v>
      </c>
      <c r="B29" s="19" t="s">
        <v>2113</v>
      </c>
      <c r="C29" s="19" t="s">
        <v>2113</v>
      </c>
      <c r="D29" s="19" t="s">
        <v>98</v>
      </c>
      <c r="E29" s="19" t="s">
        <v>2735</v>
      </c>
      <c r="F29" s="19" t="s">
        <v>98</v>
      </c>
      <c r="G29" s="19"/>
      <c r="H29" s="19" t="s">
        <v>98</v>
      </c>
      <c r="I29" s="19" t="s">
        <v>100</v>
      </c>
      <c r="J29" s="19" t="s">
        <v>2736</v>
      </c>
      <c r="K29" s="19" t="s">
        <v>2737</v>
      </c>
      <c r="L29" s="20">
        <v>45446.0</v>
      </c>
      <c r="M29" s="20">
        <v>45446.0</v>
      </c>
      <c r="N29" s="20">
        <v>45446.0</v>
      </c>
      <c r="O29" s="19" t="s">
        <v>99</v>
      </c>
      <c r="P29" s="19">
        <v>0.0</v>
      </c>
      <c r="Q29" s="19">
        <v>18.0</v>
      </c>
      <c r="R29" s="19">
        <v>6768.0</v>
      </c>
      <c r="S29" s="20" t="s">
        <v>2738</v>
      </c>
      <c r="T29" s="20">
        <v>45461.0</v>
      </c>
      <c r="U29" s="19" t="s">
        <v>98</v>
      </c>
      <c r="V29" s="19"/>
      <c r="W29" s="19" t="s">
        <v>2739</v>
      </c>
      <c r="X29" s="21">
        <v>20.0</v>
      </c>
      <c r="Y29" s="21">
        <v>10.0</v>
      </c>
      <c r="Z29" s="21">
        <v>4.0</v>
      </c>
      <c r="AA29" s="21">
        <v>0.0</v>
      </c>
      <c r="AB29" s="5">
        <v>34.0</v>
      </c>
      <c r="AC29" s="19">
        <v>5.0</v>
      </c>
      <c r="AD29" s="19">
        <v>5.0</v>
      </c>
      <c r="AE29" s="19">
        <v>5.0</v>
      </c>
      <c r="AF29" s="19">
        <v>5.0</v>
      </c>
      <c r="AG29" s="19">
        <v>4.0</v>
      </c>
      <c r="AH29" s="19">
        <v>4.0</v>
      </c>
      <c r="AI29" s="22">
        <v>14.25</v>
      </c>
      <c r="AJ29" s="19">
        <v>15.0</v>
      </c>
      <c r="AK29" s="19">
        <v>15.0</v>
      </c>
      <c r="AL29" s="19">
        <v>15.0</v>
      </c>
      <c r="AM29" s="19">
        <v>45.0</v>
      </c>
      <c r="AN29" s="19">
        <v>59.3</v>
      </c>
      <c r="AO29" s="19">
        <v>93.3</v>
      </c>
      <c r="AP29" s="19">
        <v>134.0</v>
      </c>
      <c r="AQ29" s="23">
        <v>27.0</v>
      </c>
      <c r="AR29" s="23">
        <v>4.0</v>
      </c>
      <c r="AS29" s="22"/>
      <c r="AT29" s="19" t="s">
        <v>2117</v>
      </c>
      <c r="AU29" s="19" t="s">
        <v>2740</v>
      </c>
      <c r="AV29" s="19" t="s">
        <v>2741</v>
      </c>
      <c r="AW29" s="19"/>
      <c r="AX29" s="20">
        <v>38693.0</v>
      </c>
      <c r="AY29" s="19" t="s">
        <v>2375</v>
      </c>
      <c r="AZ29" s="19" t="s">
        <v>2122</v>
      </c>
      <c r="BA29" s="19" t="s">
        <v>2742</v>
      </c>
      <c r="BB29" s="19" t="s">
        <v>2743</v>
      </c>
      <c r="BC29" s="19" t="s">
        <v>2744</v>
      </c>
      <c r="BD29" s="19" t="s">
        <v>2745</v>
      </c>
      <c r="BE29" s="19" t="s">
        <v>2736</v>
      </c>
      <c r="BF29" s="19">
        <v>1.111954623127E12</v>
      </c>
      <c r="BG29" s="19" t="s">
        <v>2127</v>
      </c>
      <c r="BH29" s="19" t="s">
        <v>2128</v>
      </c>
      <c r="BI29" s="19"/>
      <c r="BJ29" s="19" t="s">
        <v>2128</v>
      </c>
      <c r="BK29" s="19" t="s">
        <v>17</v>
      </c>
      <c r="BL29" s="19"/>
      <c r="BM29" s="19" t="s">
        <v>2130</v>
      </c>
      <c r="BN29" s="19" t="s">
        <v>2291</v>
      </c>
      <c r="BO29" s="19" t="s">
        <v>2317</v>
      </c>
      <c r="BP29" s="19" t="s">
        <v>2746</v>
      </c>
      <c r="BQ29" s="19" t="s">
        <v>2133</v>
      </c>
      <c r="BR29" s="19" t="s">
        <v>2133</v>
      </c>
      <c r="BS29" s="19" t="s">
        <v>2134</v>
      </c>
      <c r="BT29" s="19" t="s">
        <v>52</v>
      </c>
      <c r="BU29" s="19" t="s">
        <v>2747</v>
      </c>
      <c r="BV29" s="19" t="s">
        <v>2748</v>
      </c>
      <c r="BW29" s="19" t="s">
        <v>2113</v>
      </c>
      <c r="BX29" s="19"/>
      <c r="BY29" s="19"/>
      <c r="BZ29" s="19"/>
      <c r="CA29" s="19"/>
      <c r="CB29" s="19" t="s">
        <v>2113</v>
      </c>
      <c r="CC29" s="19"/>
      <c r="CD29" s="19" t="s">
        <v>2137</v>
      </c>
      <c r="CE29" s="19" t="s">
        <v>16</v>
      </c>
      <c r="CF29" s="19"/>
      <c r="CG29" s="19"/>
      <c r="CH29" s="19" t="s">
        <v>16</v>
      </c>
      <c r="CI29" s="21">
        <v>0.0</v>
      </c>
      <c r="CJ29" s="19" t="s">
        <v>17</v>
      </c>
      <c r="CK29" s="19"/>
      <c r="CL29" s="19"/>
      <c r="CM29" s="19" t="s">
        <v>2749</v>
      </c>
      <c r="CN29" s="19" t="s">
        <v>2382</v>
      </c>
      <c r="CO29" s="19"/>
      <c r="CP29" s="19" t="s">
        <v>2178</v>
      </c>
      <c r="CQ29" s="19"/>
      <c r="CR29" s="19"/>
      <c r="CS29" s="19"/>
      <c r="CT29" s="19"/>
      <c r="CU29" s="19"/>
      <c r="CV29" s="19" t="s">
        <v>2179</v>
      </c>
      <c r="CW29" s="19"/>
      <c r="CX29" s="19"/>
      <c r="CY29" s="19" t="s">
        <v>2113</v>
      </c>
      <c r="CZ29" s="19" t="s">
        <v>2113</v>
      </c>
      <c r="DA29" s="19" t="s">
        <v>16</v>
      </c>
      <c r="DB29" s="19" t="s">
        <v>17</v>
      </c>
      <c r="DC29" s="19" t="s">
        <v>2750</v>
      </c>
      <c r="DD29" s="19" t="s">
        <v>2113</v>
      </c>
      <c r="DE29" s="19" t="s">
        <v>2113</v>
      </c>
      <c r="DF29" s="19" t="s">
        <v>2579</v>
      </c>
      <c r="DG29" s="19" t="s">
        <v>2383</v>
      </c>
      <c r="DH29" s="19" t="s">
        <v>2144</v>
      </c>
      <c r="DI29" s="24">
        <v>45519.0</v>
      </c>
      <c r="DJ29" s="19" t="s">
        <v>2133</v>
      </c>
      <c r="DK29" s="19" t="s">
        <v>2271</v>
      </c>
      <c r="DL29" s="19" t="s">
        <v>2146</v>
      </c>
      <c r="DM29" s="19" t="s">
        <v>2751</v>
      </c>
      <c r="DN29" s="19">
        <v>6.0</v>
      </c>
      <c r="DO29" s="19">
        <v>6.0</v>
      </c>
      <c r="DP29" s="19"/>
      <c r="DQ29" s="19"/>
      <c r="DR29" s="19"/>
      <c r="DS29" s="19" t="s">
        <v>2365</v>
      </c>
      <c r="DT29" s="19" t="s">
        <v>2301</v>
      </c>
      <c r="DU29" s="19" t="s">
        <v>2752</v>
      </c>
      <c r="DV29" s="19"/>
      <c r="DW29" s="19" t="s">
        <v>2153</v>
      </c>
      <c r="DX29" s="19">
        <v>9.0</v>
      </c>
      <c r="DY29" s="19">
        <v>10.0</v>
      </c>
      <c r="DZ29" s="19">
        <v>0.0</v>
      </c>
      <c r="EA29" s="19">
        <v>10.0</v>
      </c>
      <c r="EB29" s="19">
        <v>0.0</v>
      </c>
      <c r="EC29" s="19">
        <v>20.0</v>
      </c>
      <c r="ED29" s="19" t="s">
        <v>2133</v>
      </c>
      <c r="EE29" s="24">
        <v>45519.0</v>
      </c>
      <c r="EF29" s="19" t="s">
        <v>2133</v>
      </c>
      <c r="EG29" s="19" t="s">
        <v>2271</v>
      </c>
      <c r="EH29" s="19" t="s">
        <v>2146</v>
      </c>
      <c r="EI29" s="22">
        <v>14.25</v>
      </c>
      <c r="EJ29" s="19">
        <v>45.0</v>
      </c>
      <c r="EK29" s="19" t="s">
        <v>2113</v>
      </c>
      <c r="EL29" s="19" t="s">
        <v>2117</v>
      </c>
      <c r="EM29" s="19" t="s">
        <v>2740</v>
      </c>
      <c r="EN29" s="19" t="s">
        <v>100</v>
      </c>
      <c r="EO29" s="19" t="s">
        <v>2375</v>
      </c>
      <c r="EP29" s="19" t="s">
        <v>2122</v>
      </c>
      <c r="EQ29" s="19" t="s">
        <v>2382</v>
      </c>
      <c r="ER29" s="19"/>
      <c r="ES29" s="19" t="s">
        <v>100</v>
      </c>
      <c r="ET29" s="19" t="s">
        <v>100</v>
      </c>
      <c r="EU29" s="19" t="s">
        <v>2737</v>
      </c>
      <c r="EV29" s="19">
        <v>6768.0</v>
      </c>
      <c r="EW29" s="19" t="s">
        <v>16</v>
      </c>
      <c r="EX29" s="19">
        <v>4.0</v>
      </c>
      <c r="EY29" s="25" t="s">
        <v>99</v>
      </c>
      <c r="EZ29" s="19" t="s">
        <v>2154</v>
      </c>
      <c r="FA29" s="5" t="s">
        <v>2753</v>
      </c>
      <c r="FB29" s="26" t="s">
        <v>2156</v>
      </c>
      <c r="FC29" s="26"/>
    </row>
    <row r="30">
      <c r="A30" s="19" t="s">
        <v>2112</v>
      </c>
      <c r="B30" s="19" t="s">
        <v>2113</v>
      </c>
      <c r="C30" s="19" t="s">
        <v>2113</v>
      </c>
      <c r="D30" s="19" t="s">
        <v>2754</v>
      </c>
      <c r="E30" s="19" t="s">
        <v>2755</v>
      </c>
      <c r="F30" s="19" t="s">
        <v>101</v>
      </c>
      <c r="G30" s="19" t="s">
        <v>2756</v>
      </c>
      <c r="H30" s="19" t="s">
        <v>101</v>
      </c>
      <c r="I30" s="19" t="s">
        <v>103</v>
      </c>
      <c r="J30" s="19" t="s">
        <v>2757</v>
      </c>
      <c r="K30" s="19" t="s">
        <v>2758</v>
      </c>
      <c r="L30" s="20">
        <v>45394.0</v>
      </c>
      <c r="M30" s="20">
        <v>45404.0</v>
      </c>
      <c r="N30" s="20">
        <v>45404.0</v>
      </c>
      <c r="O30" s="19" t="s">
        <v>102</v>
      </c>
      <c r="P30" s="19">
        <v>0.0</v>
      </c>
      <c r="Q30" s="19">
        <v>22.0</v>
      </c>
      <c r="R30" s="19">
        <v>8094.0</v>
      </c>
      <c r="S30" s="20" t="s">
        <v>2759</v>
      </c>
      <c r="T30" s="20">
        <v>45461.0</v>
      </c>
      <c r="U30" s="19" t="s">
        <v>101</v>
      </c>
      <c r="V30" s="19"/>
      <c r="W30" s="19" t="s">
        <v>2760</v>
      </c>
      <c r="X30" s="21">
        <v>20.0</v>
      </c>
      <c r="Y30" s="21">
        <v>10.0</v>
      </c>
      <c r="Z30" s="21">
        <v>5.0</v>
      </c>
      <c r="AA30" s="21">
        <v>0.0</v>
      </c>
      <c r="AB30" s="5">
        <v>35.0</v>
      </c>
      <c r="AC30" s="19">
        <v>4.6</v>
      </c>
      <c r="AD30" s="19">
        <v>3.6</v>
      </c>
      <c r="AE30" s="19">
        <v>5.0</v>
      </c>
      <c r="AF30" s="19">
        <v>4.4</v>
      </c>
      <c r="AG30" s="19">
        <v>4.4</v>
      </c>
      <c r="AH30" s="19">
        <v>4.4</v>
      </c>
      <c r="AI30" s="22">
        <v>13.21875</v>
      </c>
      <c r="AJ30" s="19">
        <v>15.0</v>
      </c>
      <c r="AK30" s="19">
        <v>15.0</v>
      </c>
      <c r="AL30" s="19">
        <v>15.0</v>
      </c>
      <c r="AM30" s="19">
        <v>45.0</v>
      </c>
      <c r="AN30" s="19">
        <v>58.2</v>
      </c>
      <c r="AO30" s="19">
        <v>93.2</v>
      </c>
      <c r="AP30" s="19">
        <v>64.0</v>
      </c>
      <c r="AQ30" s="23">
        <v>28.0</v>
      </c>
      <c r="AR30" s="23">
        <v>7.0</v>
      </c>
      <c r="AS30" s="22"/>
      <c r="AT30" s="19" t="s">
        <v>2163</v>
      </c>
      <c r="AU30" s="19" t="s">
        <v>2761</v>
      </c>
      <c r="AV30" s="19" t="s">
        <v>2762</v>
      </c>
      <c r="AW30" s="19" t="s">
        <v>2701</v>
      </c>
      <c r="AX30" s="20">
        <v>37367.0</v>
      </c>
      <c r="AY30" s="19" t="s">
        <v>2338</v>
      </c>
      <c r="AZ30" s="19" t="s">
        <v>2445</v>
      </c>
      <c r="BA30" s="19" t="s">
        <v>2763</v>
      </c>
      <c r="BB30" s="19" t="s">
        <v>2764</v>
      </c>
      <c r="BC30" s="19" t="s">
        <v>2765</v>
      </c>
      <c r="BD30" s="19" t="s">
        <v>2766</v>
      </c>
      <c r="BE30" s="19" t="s">
        <v>2757</v>
      </c>
      <c r="BF30" s="19">
        <v>1.1992489006E10</v>
      </c>
      <c r="BG30" s="19" t="s">
        <v>2127</v>
      </c>
      <c r="BH30" s="19" t="s">
        <v>2128</v>
      </c>
      <c r="BI30" s="19"/>
      <c r="BJ30" s="19"/>
      <c r="BK30" s="19" t="s">
        <v>16</v>
      </c>
      <c r="BL30" s="19"/>
      <c r="BM30" s="19" t="s">
        <v>2130</v>
      </c>
      <c r="BN30" s="19" t="s">
        <v>2172</v>
      </c>
      <c r="BO30" s="19" t="s">
        <v>2132</v>
      </c>
      <c r="BP30" s="19" t="s">
        <v>2767</v>
      </c>
      <c r="BQ30" s="19" t="s">
        <v>2174</v>
      </c>
      <c r="BR30" s="19" t="s">
        <v>2174</v>
      </c>
      <c r="BS30" s="19" t="s">
        <v>2134</v>
      </c>
      <c r="BT30" s="19" t="s">
        <v>21</v>
      </c>
      <c r="BU30" s="19"/>
      <c r="BV30" s="19" t="s">
        <v>2768</v>
      </c>
      <c r="BW30" s="19"/>
      <c r="BX30" s="19"/>
      <c r="BY30" s="19" t="s">
        <v>2113</v>
      </c>
      <c r="BZ30" s="19"/>
      <c r="CA30" s="19"/>
      <c r="CB30" s="19" t="s">
        <v>2113</v>
      </c>
      <c r="CC30" s="19"/>
      <c r="CD30" s="19" t="s">
        <v>2137</v>
      </c>
      <c r="CE30" s="19" t="s">
        <v>16</v>
      </c>
      <c r="CF30" s="19"/>
      <c r="CG30" s="19"/>
      <c r="CH30" s="19" t="s">
        <v>16</v>
      </c>
      <c r="CI30" s="21">
        <v>0.0</v>
      </c>
      <c r="CJ30" s="19" t="s">
        <v>17</v>
      </c>
      <c r="CK30" s="19"/>
      <c r="CL30" s="19"/>
      <c r="CM30" s="19" t="s">
        <v>2138</v>
      </c>
      <c r="CN30" s="19" t="s">
        <v>2204</v>
      </c>
      <c r="CO30" s="19"/>
      <c r="CP30" s="19" t="s">
        <v>2134</v>
      </c>
      <c r="CQ30" s="19" t="s">
        <v>2113</v>
      </c>
      <c r="CR30" s="19"/>
      <c r="CS30" s="19"/>
      <c r="CT30" s="19"/>
      <c r="CU30" s="19"/>
      <c r="CV30" s="19" t="s">
        <v>2141</v>
      </c>
      <c r="CW30" s="19" t="s">
        <v>2113</v>
      </c>
      <c r="CX30" s="19" t="s">
        <v>2113</v>
      </c>
      <c r="CY30" s="19" t="s">
        <v>2113</v>
      </c>
      <c r="CZ30" s="19" t="s">
        <v>2113</v>
      </c>
      <c r="DA30" s="19" t="s">
        <v>16</v>
      </c>
      <c r="DB30" s="19" t="s">
        <v>17</v>
      </c>
      <c r="DC30" s="19" t="s">
        <v>2181</v>
      </c>
      <c r="DD30" s="19" t="s">
        <v>2113</v>
      </c>
      <c r="DE30" s="19" t="s">
        <v>2113</v>
      </c>
      <c r="DF30" s="19" t="s">
        <v>2769</v>
      </c>
      <c r="DG30" s="19" t="s">
        <v>2514</v>
      </c>
      <c r="DH30" s="19" t="s">
        <v>2144</v>
      </c>
      <c r="DI30" s="24">
        <v>45519.0</v>
      </c>
      <c r="DJ30" s="19" t="s">
        <v>2174</v>
      </c>
      <c r="DK30" s="19" t="s">
        <v>2271</v>
      </c>
      <c r="DL30" s="19" t="s">
        <v>2183</v>
      </c>
      <c r="DM30" s="19" t="s">
        <v>2272</v>
      </c>
      <c r="DN30" s="19">
        <v>6.0</v>
      </c>
      <c r="DO30" s="19">
        <v>6.0</v>
      </c>
      <c r="DP30" s="19" t="s">
        <v>2770</v>
      </c>
      <c r="DQ30" s="19" t="s">
        <v>2771</v>
      </c>
      <c r="DR30" s="19" t="s">
        <v>2772</v>
      </c>
      <c r="DS30" s="19" t="s">
        <v>2151</v>
      </c>
      <c r="DT30" s="19" t="s">
        <v>2301</v>
      </c>
      <c r="DU30" s="19"/>
      <c r="DV30" s="19"/>
      <c r="DW30" s="19" t="s">
        <v>2153</v>
      </c>
      <c r="DX30" s="19">
        <v>14.0</v>
      </c>
      <c r="DY30" s="19">
        <v>10.0</v>
      </c>
      <c r="DZ30" s="19">
        <v>0.0</v>
      </c>
      <c r="EA30" s="19">
        <v>10.0</v>
      </c>
      <c r="EB30" s="19">
        <v>0.0</v>
      </c>
      <c r="EC30" s="19">
        <v>20.0</v>
      </c>
      <c r="ED30" s="19" t="s">
        <v>2174</v>
      </c>
      <c r="EE30" s="24">
        <v>45519.0</v>
      </c>
      <c r="EF30" s="19" t="s">
        <v>2174</v>
      </c>
      <c r="EG30" s="19" t="s">
        <v>2271</v>
      </c>
      <c r="EH30" s="19" t="s">
        <v>2183</v>
      </c>
      <c r="EI30" s="22">
        <v>13.21875</v>
      </c>
      <c r="EJ30" s="19">
        <v>45.0</v>
      </c>
      <c r="EK30" s="19" t="s">
        <v>2113</v>
      </c>
      <c r="EL30" s="19" t="s">
        <v>2163</v>
      </c>
      <c r="EM30" s="19" t="s">
        <v>2761</v>
      </c>
      <c r="EN30" s="19" t="s">
        <v>103</v>
      </c>
      <c r="EO30" s="19" t="s">
        <v>2338</v>
      </c>
      <c r="EP30" s="19" t="s">
        <v>2445</v>
      </c>
      <c r="EQ30" s="19" t="s">
        <v>2204</v>
      </c>
      <c r="ER30" s="19"/>
      <c r="ES30" s="19" t="s">
        <v>103</v>
      </c>
      <c r="ET30" s="19" t="s">
        <v>103</v>
      </c>
      <c r="EU30" s="19" t="s">
        <v>2758</v>
      </c>
      <c r="EV30" s="19">
        <v>8094.0</v>
      </c>
      <c r="EW30" s="19" t="s">
        <v>16</v>
      </c>
      <c r="EX30" s="19">
        <v>5.0</v>
      </c>
      <c r="EY30" s="25" t="s">
        <v>102</v>
      </c>
      <c r="EZ30" s="19" t="s">
        <v>2154</v>
      </c>
      <c r="FA30" s="5" t="s">
        <v>2773</v>
      </c>
      <c r="FB30" s="26" t="s">
        <v>2156</v>
      </c>
      <c r="FC30" s="26"/>
    </row>
    <row r="31">
      <c r="A31" s="19" t="s">
        <v>2112</v>
      </c>
      <c r="B31" s="19" t="s">
        <v>2113</v>
      </c>
      <c r="C31" s="19" t="s">
        <v>2113</v>
      </c>
      <c r="D31" s="19" t="s">
        <v>104</v>
      </c>
      <c r="E31" s="19" t="s">
        <v>2774</v>
      </c>
      <c r="F31" s="19" t="s">
        <v>104</v>
      </c>
      <c r="G31" s="19"/>
      <c r="H31" s="19" t="s">
        <v>104</v>
      </c>
      <c r="I31" s="19" t="s">
        <v>106</v>
      </c>
      <c r="J31" s="19" t="s">
        <v>2775</v>
      </c>
      <c r="K31" s="19" t="s">
        <v>2776</v>
      </c>
      <c r="L31" s="20">
        <v>45446.0</v>
      </c>
      <c r="M31" s="20">
        <v>45446.0</v>
      </c>
      <c r="N31" s="20">
        <v>45446.0</v>
      </c>
      <c r="O31" s="19" t="s">
        <v>105</v>
      </c>
      <c r="P31" s="19">
        <v>0.0</v>
      </c>
      <c r="Q31" s="19">
        <v>19.0</v>
      </c>
      <c r="R31" s="19">
        <v>7051.0</v>
      </c>
      <c r="S31" s="20" t="s">
        <v>2777</v>
      </c>
      <c r="T31" s="20">
        <v>45461.0</v>
      </c>
      <c r="U31" s="19" t="s">
        <v>104</v>
      </c>
      <c r="V31" s="19"/>
      <c r="W31" s="19" t="s">
        <v>2131</v>
      </c>
      <c r="X31" s="21">
        <v>20.0</v>
      </c>
      <c r="Y31" s="21">
        <v>10.0</v>
      </c>
      <c r="Z31" s="21">
        <v>5.0</v>
      </c>
      <c r="AA31" s="21">
        <v>0.0</v>
      </c>
      <c r="AB31" s="5">
        <v>35.0</v>
      </c>
      <c r="AC31" s="19">
        <v>4.2</v>
      </c>
      <c r="AD31" s="19">
        <v>4.6</v>
      </c>
      <c r="AE31" s="19">
        <v>4.2</v>
      </c>
      <c r="AF31" s="19">
        <v>4.4</v>
      </c>
      <c r="AG31" s="19">
        <v>4.2</v>
      </c>
      <c r="AH31" s="19">
        <v>4.8</v>
      </c>
      <c r="AI31" s="22">
        <v>13.162499999999998</v>
      </c>
      <c r="AJ31" s="19">
        <v>15.0</v>
      </c>
      <c r="AK31" s="19">
        <v>15.0</v>
      </c>
      <c r="AL31" s="19">
        <v>15.0</v>
      </c>
      <c r="AM31" s="19">
        <v>45.0</v>
      </c>
      <c r="AN31" s="19">
        <v>58.2</v>
      </c>
      <c r="AO31" s="19">
        <v>93.2</v>
      </c>
      <c r="AP31" s="19">
        <v>89.0</v>
      </c>
      <c r="AQ31" s="23">
        <v>29.0</v>
      </c>
      <c r="AR31" s="23">
        <v>3.0</v>
      </c>
      <c r="AS31" s="22"/>
      <c r="AT31" s="19" t="s">
        <v>2282</v>
      </c>
      <c r="AU31" s="19" t="s">
        <v>2778</v>
      </c>
      <c r="AV31" s="19" t="s">
        <v>2779</v>
      </c>
      <c r="AW31" s="19"/>
      <c r="AX31" s="20">
        <v>38410.0</v>
      </c>
      <c r="AY31" s="19" t="s">
        <v>2358</v>
      </c>
      <c r="AZ31" s="19" t="s">
        <v>2122</v>
      </c>
      <c r="BA31" s="19" t="s">
        <v>2780</v>
      </c>
      <c r="BB31" s="19" t="s">
        <v>2781</v>
      </c>
      <c r="BC31" s="19" t="s">
        <v>2782</v>
      </c>
      <c r="BD31" s="19" t="s">
        <v>2783</v>
      </c>
      <c r="BE31" s="19"/>
      <c r="BF31" s="19"/>
      <c r="BG31" s="19" t="s">
        <v>2127</v>
      </c>
      <c r="BH31" s="19" t="s">
        <v>2128</v>
      </c>
      <c r="BI31" s="19"/>
      <c r="BJ31" s="19" t="s">
        <v>2427</v>
      </c>
      <c r="BK31" s="19" t="s">
        <v>17</v>
      </c>
      <c r="BL31" s="19"/>
      <c r="BM31" s="19" t="s">
        <v>2130</v>
      </c>
      <c r="BN31" s="19" t="s">
        <v>17</v>
      </c>
      <c r="BO31" s="19" t="s">
        <v>2132</v>
      </c>
      <c r="BP31" s="19"/>
      <c r="BQ31" s="19" t="s">
        <v>2174</v>
      </c>
      <c r="BR31" s="19" t="s">
        <v>2174</v>
      </c>
      <c r="BS31" s="19" t="s">
        <v>2134</v>
      </c>
      <c r="BT31" s="19" t="s">
        <v>34</v>
      </c>
      <c r="BU31" s="19" t="s">
        <v>2512</v>
      </c>
      <c r="BV31" s="19" t="s">
        <v>2784</v>
      </c>
      <c r="BW31" s="19" t="s">
        <v>2113</v>
      </c>
      <c r="BX31" s="19"/>
      <c r="BY31" s="19"/>
      <c r="BZ31" s="19"/>
      <c r="CA31" s="19"/>
      <c r="CB31" s="19"/>
      <c r="CC31" s="19"/>
      <c r="CD31" s="19" t="s">
        <v>2137</v>
      </c>
      <c r="CE31" s="19" t="s">
        <v>16</v>
      </c>
      <c r="CF31" s="19"/>
      <c r="CG31" s="19"/>
      <c r="CH31" s="19" t="s">
        <v>16</v>
      </c>
      <c r="CI31" s="21">
        <v>0.0</v>
      </c>
      <c r="CJ31" s="19" t="s">
        <v>16</v>
      </c>
      <c r="CK31" s="19"/>
      <c r="CL31" s="19"/>
      <c r="CM31" s="19" t="s">
        <v>2344</v>
      </c>
      <c r="CN31" s="19" t="s">
        <v>2266</v>
      </c>
      <c r="CO31" s="19" t="s">
        <v>2177</v>
      </c>
      <c r="CP31" s="19" t="s">
        <v>2178</v>
      </c>
      <c r="CQ31" s="19"/>
      <c r="CR31" s="19" t="s">
        <v>2113</v>
      </c>
      <c r="CS31" s="19" t="s">
        <v>2113</v>
      </c>
      <c r="CT31" s="19"/>
      <c r="CU31" s="19"/>
      <c r="CV31" s="19" t="s">
        <v>2141</v>
      </c>
      <c r="CW31" s="19" t="s">
        <v>2113</v>
      </c>
      <c r="CX31" s="19" t="s">
        <v>2113</v>
      </c>
      <c r="CY31" s="19"/>
      <c r="CZ31" s="19"/>
      <c r="DA31" s="19" t="s">
        <v>16</v>
      </c>
      <c r="DB31" s="19" t="s">
        <v>16</v>
      </c>
      <c r="DC31" s="19" t="s">
        <v>2268</v>
      </c>
      <c r="DD31" s="19" t="s">
        <v>2113</v>
      </c>
      <c r="DE31" s="19" t="s">
        <v>2113</v>
      </c>
      <c r="DF31" s="19" t="s">
        <v>2785</v>
      </c>
      <c r="DG31" s="19" t="s">
        <v>2247</v>
      </c>
      <c r="DH31" s="19" t="s">
        <v>2144</v>
      </c>
      <c r="DI31" s="24">
        <v>45517.0</v>
      </c>
      <c r="DJ31" s="19" t="s">
        <v>2174</v>
      </c>
      <c r="DK31" s="19" t="s">
        <v>2145</v>
      </c>
      <c r="DL31" s="19" t="s">
        <v>2183</v>
      </c>
      <c r="DM31" s="19" t="s">
        <v>2184</v>
      </c>
      <c r="DN31" s="19">
        <v>1.0</v>
      </c>
      <c r="DO31" s="19">
        <v>1.0</v>
      </c>
      <c r="DP31" s="19" t="s">
        <v>2786</v>
      </c>
      <c r="DQ31" s="19" t="s">
        <v>2787</v>
      </c>
      <c r="DR31" s="19" t="s">
        <v>2788</v>
      </c>
      <c r="DS31" s="19" t="s">
        <v>2185</v>
      </c>
      <c r="DT31" s="19" t="s">
        <v>2186</v>
      </c>
      <c r="DU31" s="19"/>
      <c r="DV31" s="19"/>
      <c r="DW31" s="19" t="s">
        <v>2153</v>
      </c>
      <c r="DX31" s="19">
        <v>2.0</v>
      </c>
      <c r="DY31" s="19">
        <v>10.0</v>
      </c>
      <c r="DZ31" s="19">
        <v>0.0</v>
      </c>
      <c r="EA31" s="19">
        <v>10.0</v>
      </c>
      <c r="EB31" s="19">
        <v>0.0</v>
      </c>
      <c r="EC31" s="19">
        <v>20.0</v>
      </c>
      <c r="ED31" s="19" t="s">
        <v>2174</v>
      </c>
      <c r="EE31" s="24">
        <v>45517.0</v>
      </c>
      <c r="EF31" s="19" t="s">
        <v>2174</v>
      </c>
      <c r="EG31" s="19" t="s">
        <v>2145</v>
      </c>
      <c r="EH31" s="19" t="s">
        <v>2183</v>
      </c>
      <c r="EI31" s="22">
        <v>13.162499999999998</v>
      </c>
      <c r="EJ31" s="19">
        <v>45.0</v>
      </c>
      <c r="EK31" s="19"/>
      <c r="EL31" s="19" t="s">
        <v>2282</v>
      </c>
      <c r="EM31" s="19" t="s">
        <v>2778</v>
      </c>
      <c r="EN31" s="19" t="s">
        <v>106</v>
      </c>
      <c r="EO31" s="19" t="s">
        <v>2358</v>
      </c>
      <c r="EP31" s="19" t="s">
        <v>2122</v>
      </c>
      <c r="EQ31" s="19" t="s">
        <v>2266</v>
      </c>
      <c r="ER31" s="19" t="s">
        <v>2177</v>
      </c>
      <c r="ES31" s="19" t="s">
        <v>106</v>
      </c>
      <c r="ET31" s="19" t="s">
        <v>106</v>
      </c>
      <c r="EU31" s="19" t="s">
        <v>2776</v>
      </c>
      <c r="EV31" s="19">
        <v>7051.0</v>
      </c>
      <c r="EW31" s="19" t="s">
        <v>16</v>
      </c>
      <c r="EX31" s="19">
        <v>5.0</v>
      </c>
      <c r="EY31" s="25" t="s">
        <v>105</v>
      </c>
      <c r="EZ31" s="19" t="s">
        <v>2154</v>
      </c>
      <c r="FA31" s="5" t="s">
        <v>2789</v>
      </c>
      <c r="FB31" s="26" t="s">
        <v>2156</v>
      </c>
      <c r="FC31" s="26"/>
    </row>
    <row r="32">
      <c r="A32" s="19" t="s">
        <v>2112</v>
      </c>
      <c r="B32" s="19" t="s">
        <v>2113</v>
      </c>
      <c r="C32" s="19" t="s">
        <v>2113</v>
      </c>
      <c r="D32" s="19" t="s">
        <v>107</v>
      </c>
      <c r="E32" s="19" t="s">
        <v>2790</v>
      </c>
      <c r="F32" s="19" t="s">
        <v>107</v>
      </c>
      <c r="G32" s="19"/>
      <c r="H32" s="19" t="s">
        <v>107</v>
      </c>
      <c r="I32" s="19" t="s">
        <v>109</v>
      </c>
      <c r="J32" s="19" t="s">
        <v>2791</v>
      </c>
      <c r="K32" s="19" t="s">
        <v>2792</v>
      </c>
      <c r="L32" s="20">
        <v>45446.0</v>
      </c>
      <c r="M32" s="20">
        <v>45447.0</v>
      </c>
      <c r="N32" s="20">
        <v>45447.0</v>
      </c>
      <c r="O32" s="19" t="s">
        <v>108</v>
      </c>
      <c r="P32" s="19">
        <v>0.0</v>
      </c>
      <c r="Q32" s="19">
        <v>19.0</v>
      </c>
      <c r="R32" s="19">
        <v>6988.0</v>
      </c>
      <c r="S32" s="20" t="s">
        <v>2793</v>
      </c>
      <c r="T32" s="20">
        <v>45461.0</v>
      </c>
      <c r="U32" s="19" t="s">
        <v>107</v>
      </c>
      <c r="V32" s="19"/>
      <c r="W32" s="19"/>
      <c r="X32" s="21">
        <v>20.0</v>
      </c>
      <c r="Y32" s="21">
        <v>10.0</v>
      </c>
      <c r="Z32" s="21">
        <v>5.0</v>
      </c>
      <c r="AA32" s="21">
        <v>0.0</v>
      </c>
      <c r="AB32" s="5">
        <v>35.0</v>
      </c>
      <c r="AC32" s="19">
        <v>5.0</v>
      </c>
      <c r="AD32" s="19">
        <v>5.0</v>
      </c>
      <c r="AE32" s="19">
        <v>4.0</v>
      </c>
      <c r="AF32" s="19">
        <v>4.0</v>
      </c>
      <c r="AG32" s="19">
        <v>4.0</v>
      </c>
      <c r="AH32" s="19">
        <v>4.0</v>
      </c>
      <c r="AI32" s="22">
        <v>13.125</v>
      </c>
      <c r="AJ32" s="19">
        <v>15.0</v>
      </c>
      <c r="AK32" s="19">
        <v>15.0</v>
      </c>
      <c r="AL32" s="19">
        <v>15.0</v>
      </c>
      <c r="AM32" s="19">
        <v>45.0</v>
      </c>
      <c r="AN32" s="19">
        <v>58.1</v>
      </c>
      <c r="AO32" s="19">
        <v>93.1</v>
      </c>
      <c r="AP32" s="19">
        <v>92.0</v>
      </c>
      <c r="AQ32" s="23">
        <v>30.0</v>
      </c>
      <c r="AR32" s="23">
        <v>3.0</v>
      </c>
      <c r="AS32" s="22"/>
      <c r="AT32" s="19" t="s">
        <v>2117</v>
      </c>
      <c r="AU32" s="19" t="s">
        <v>2794</v>
      </c>
      <c r="AV32" s="19" t="s">
        <v>2795</v>
      </c>
      <c r="AW32" s="19" t="s">
        <v>2796</v>
      </c>
      <c r="AX32" s="20">
        <v>38473.0</v>
      </c>
      <c r="AY32" s="19" t="s">
        <v>2121</v>
      </c>
      <c r="AZ32" s="19" t="s">
        <v>2122</v>
      </c>
      <c r="BA32" s="19" t="s">
        <v>2797</v>
      </c>
      <c r="BB32" s="19" t="s">
        <v>2798</v>
      </c>
      <c r="BC32" s="19" t="s">
        <v>2799</v>
      </c>
      <c r="BD32" s="19" t="s">
        <v>2800</v>
      </c>
      <c r="BE32" s="19" t="s">
        <v>2801</v>
      </c>
      <c r="BF32" s="19">
        <v>1.197474635E9</v>
      </c>
      <c r="BG32" s="19" t="s">
        <v>2127</v>
      </c>
      <c r="BH32" s="19" t="s">
        <v>2128</v>
      </c>
      <c r="BI32" s="19"/>
      <c r="BJ32" s="19" t="s">
        <v>2128</v>
      </c>
      <c r="BK32" s="19" t="s">
        <v>17</v>
      </c>
      <c r="BL32" s="19"/>
      <c r="BM32" s="19" t="s">
        <v>2130</v>
      </c>
      <c r="BN32" s="19" t="s">
        <v>2172</v>
      </c>
      <c r="BO32" s="19" t="s">
        <v>2132</v>
      </c>
      <c r="BP32" s="19" t="s">
        <v>2802</v>
      </c>
      <c r="BQ32" s="19" t="s">
        <v>2133</v>
      </c>
      <c r="BR32" s="19" t="s">
        <v>2133</v>
      </c>
      <c r="BS32" s="19" t="s">
        <v>2134</v>
      </c>
      <c r="BT32" s="19" t="s">
        <v>15</v>
      </c>
      <c r="BU32" s="19" t="s">
        <v>2177</v>
      </c>
      <c r="BV32" s="19" t="s">
        <v>2803</v>
      </c>
      <c r="BW32" s="19"/>
      <c r="BX32" s="19"/>
      <c r="BY32" s="19" t="s">
        <v>2113</v>
      </c>
      <c r="BZ32" s="19"/>
      <c r="CA32" s="19"/>
      <c r="CB32" s="19" t="s">
        <v>2113</v>
      </c>
      <c r="CC32" s="19"/>
      <c r="CD32" s="19" t="s">
        <v>2137</v>
      </c>
      <c r="CE32" s="19" t="s">
        <v>16</v>
      </c>
      <c r="CF32" s="19"/>
      <c r="CG32" s="19"/>
      <c r="CH32" s="19" t="s">
        <v>16</v>
      </c>
      <c r="CI32" s="21">
        <v>0.0</v>
      </c>
      <c r="CJ32" s="19" t="s">
        <v>17</v>
      </c>
      <c r="CK32" s="19"/>
      <c r="CL32" s="19"/>
      <c r="CM32" s="19" t="s">
        <v>2749</v>
      </c>
      <c r="CN32" s="19" t="s">
        <v>2139</v>
      </c>
      <c r="CO32" s="19"/>
      <c r="CP32" s="19" t="s">
        <v>2225</v>
      </c>
      <c r="CQ32" s="19"/>
      <c r="CR32" s="19" t="s">
        <v>2113</v>
      </c>
      <c r="CS32" s="19" t="s">
        <v>2113</v>
      </c>
      <c r="CT32" s="19"/>
      <c r="CU32" s="19"/>
      <c r="CV32" s="19" t="s">
        <v>2141</v>
      </c>
      <c r="CW32" s="19"/>
      <c r="CX32" s="19"/>
      <c r="CY32" s="19"/>
      <c r="CZ32" s="19"/>
      <c r="DA32" s="19" t="s">
        <v>16</v>
      </c>
      <c r="DB32" s="19" t="s">
        <v>17</v>
      </c>
      <c r="DC32" s="19" t="s">
        <v>2671</v>
      </c>
      <c r="DD32" s="19" t="s">
        <v>2113</v>
      </c>
      <c r="DE32" s="19" t="s">
        <v>2113</v>
      </c>
      <c r="DF32" s="19" t="s">
        <v>2804</v>
      </c>
      <c r="DG32" s="19" t="s">
        <v>2248</v>
      </c>
      <c r="DH32" s="19" t="s">
        <v>2144</v>
      </c>
      <c r="DI32" s="24">
        <v>45526.0</v>
      </c>
      <c r="DJ32" s="19" t="s">
        <v>2133</v>
      </c>
      <c r="DK32" s="19" t="s">
        <v>2271</v>
      </c>
      <c r="DL32" s="19" t="s">
        <v>2146</v>
      </c>
      <c r="DM32" s="19" t="s">
        <v>2805</v>
      </c>
      <c r="DN32" s="19">
        <v>12.0</v>
      </c>
      <c r="DO32" s="19">
        <v>12.0</v>
      </c>
      <c r="DP32" s="19" t="s">
        <v>2806</v>
      </c>
      <c r="DQ32" s="19" t="s">
        <v>2807</v>
      </c>
      <c r="DR32" s="19" t="s">
        <v>2808</v>
      </c>
      <c r="DS32" s="19" t="s">
        <v>2365</v>
      </c>
      <c r="DT32" s="19" t="s">
        <v>2152</v>
      </c>
      <c r="DU32" s="19"/>
      <c r="DV32" s="19"/>
      <c r="DW32" s="19" t="s">
        <v>2153</v>
      </c>
      <c r="DX32" s="19">
        <v>8.0</v>
      </c>
      <c r="DY32" s="19">
        <v>10.0</v>
      </c>
      <c r="DZ32" s="19">
        <v>0.0</v>
      </c>
      <c r="EA32" s="19">
        <v>10.0</v>
      </c>
      <c r="EB32" s="19">
        <v>0.0</v>
      </c>
      <c r="EC32" s="19">
        <v>20.0</v>
      </c>
      <c r="ED32" s="19" t="s">
        <v>2133</v>
      </c>
      <c r="EE32" s="24">
        <v>45526.0</v>
      </c>
      <c r="EF32" s="19" t="s">
        <v>2133</v>
      </c>
      <c r="EG32" s="19" t="s">
        <v>2271</v>
      </c>
      <c r="EH32" s="19" t="s">
        <v>2146</v>
      </c>
      <c r="EI32" s="22">
        <v>13.125</v>
      </c>
      <c r="EJ32" s="19">
        <v>45.0</v>
      </c>
      <c r="EK32" s="19" t="s">
        <v>2113</v>
      </c>
      <c r="EL32" s="19" t="s">
        <v>2117</v>
      </c>
      <c r="EM32" s="19" t="s">
        <v>2794</v>
      </c>
      <c r="EN32" s="19" t="s">
        <v>109</v>
      </c>
      <c r="EO32" s="19" t="s">
        <v>2121</v>
      </c>
      <c r="EP32" s="19" t="s">
        <v>2122</v>
      </c>
      <c r="EQ32" s="19" t="s">
        <v>2139</v>
      </c>
      <c r="ER32" s="19"/>
      <c r="ES32" s="19" t="s">
        <v>109</v>
      </c>
      <c r="ET32" s="19" t="s">
        <v>109</v>
      </c>
      <c r="EU32" s="19" t="s">
        <v>2792</v>
      </c>
      <c r="EV32" s="19">
        <v>6988.0</v>
      </c>
      <c r="EW32" s="19" t="s">
        <v>16</v>
      </c>
      <c r="EX32" s="19">
        <v>5.0</v>
      </c>
      <c r="EY32" s="25" t="s">
        <v>108</v>
      </c>
      <c r="EZ32" s="19" t="s">
        <v>2154</v>
      </c>
      <c r="FA32" s="5" t="s">
        <v>2809</v>
      </c>
      <c r="FB32" s="26" t="s">
        <v>2156</v>
      </c>
      <c r="FC32" s="26"/>
    </row>
    <row r="33">
      <c r="A33" s="19" t="s">
        <v>2112</v>
      </c>
      <c r="B33" s="19" t="s">
        <v>2113</v>
      </c>
      <c r="C33" s="19" t="s">
        <v>2113</v>
      </c>
      <c r="D33" s="19" t="s">
        <v>110</v>
      </c>
      <c r="E33" s="19" t="s">
        <v>2810</v>
      </c>
      <c r="F33" s="19" t="s">
        <v>110</v>
      </c>
      <c r="G33" s="19" t="s">
        <v>2810</v>
      </c>
      <c r="H33" s="19" t="s">
        <v>110</v>
      </c>
      <c r="I33" s="19" t="s">
        <v>112</v>
      </c>
      <c r="J33" s="19" t="s">
        <v>2811</v>
      </c>
      <c r="K33" s="19" t="s">
        <v>2812</v>
      </c>
      <c r="L33" s="20">
        <v>45446.0</v>
      </c>
      <c r="M33" s="20">
        <v>45446.0</v>
      </c>
      <c r="N33" s="20">
        <v>45446.0</v>
      </c>
      <c r="O33" s="19" t="s">
        <v>111</v>
      </c>
      <c r="P33" s="19">
        <v>0.0</v>
      </c>
      <c r="Q33" s="19">
        <v>26.0</v>
      </c>
      <c r="R33" s="19">
        <v>9608.0</v>
      </c>
      <c r="S33" s="20" t="s">
        <v>2813</v>
      </c>
      <c r="T33" s="20">
        <v>45461.0</v>
      </c>
      <c r="U33" s="19" t="s">
        <v>110</v>
      </c>
      <c r="V33" s="19"/>
      <c r="W33" s="19" t="s">
        <v>2814</v>
      </c>
      <c r="X33" s="21">
        <v>20.0</v>
      </c>
      <c r="Y33" s="21">
        <v>10.0</v>
      </c>
      <c r="Z33" s="21">
        <v>5.0</v>
      </c>
      <c r="AA33" s="21">
        <v>0.0</v>
      </c>
      <c r="AB33" s="5">
        <v>35.0</v>
      </c>
      <c r="AC33" s="19">
        <v>5.0</v>
      </c>
      <c r="AD33" s="19">
        <v>5.0</v>
      </c>
      <c r="AE33" s="19">
        <v>5.0</v>
      </c>
      <c r="AF33" s="19">
        <v>5.0</v>
      </c>
      <c r="AG33" s="19">
        <v>5.0</v>
      </c>
      <c r="AH33" s="19">
        <v>5.0</v>
      </c>
      <c r="AI33" s="22">
        <v>15.0</v>
      </c>
      <c r="AJ33" s="19">
        <v>14.0</v>
      </c>
      <c r="AK33" s="19">
        <v>15.0</v>
      </c>
      <c r="AL33" s="19">
        <v>14.0</v>
      </c>
      <c r="AM33" s="19">
        <v>43.0</v>
      </c>
      <c r="AN33" s="19">
        <v>58.0</v>
      </c>
      <c r="AO33" s="19">
        <v>93.0</v>
      </c>
      <c r="AP33" s="19">
        <v>52.0</v>
      </c>
      <c r="AQ33" s="23">
        <v>31.0</v>
      </c>
      <c r="AR33" s="23">
        <v>5.0</v>
      </c>
      <c r="AS33" s="22"/>
      <c r="AT33" s="19" t="s">
        <v>2282</v>
      </c>
      <c r="AU33" s="19" t="s">
        <v>2815</v>
      </c>
      <c r="AV33" s="19" t="s">
        <v>2816</v>
      </c>
      <c r="AW33" s="19" t="s">
        <v>2257</v>
      </c>
      <c r="AX33" s="20">
        <v>35853.0</v>
      </c>
      <c r="AY33" s="19" t="s">
        <v>2817</v>
      </c>
      <c r="AZ33" s="19" t="s">
        <v>2445</v>
      </c>
      <c r="BA33" s="19" t="s">
        <v>2818</v>
      </c>
      <c r="BB33" s="19" t="s">
        <v>2819</v>
      </c>
      <c r="BC33" s="19" t="s">
        <v>2820</v>
      </c>
      <c r="BD33" s="19" t="s">
        <v>2821</v>
      </c>
      <c r="BE33" s="19" t="s">
        <v>2822</v>
      </c>
      <c r="BF33" s="19">
        <v>1.1954670347E10</v>
      </c>
      <c r="BG33" s="19" t="s">
        <v>2127</v>
      </c>
      <c r="BH33" s="19" t="s">
        <v>2128</v>
      </c>
      <c r="BI33" s="19"/>
      <c r="BJ33" s="19"/>
      <c r="BK33" s="19" t="s">
        <v>16</v>
      </c>
      <c r="BL33" s="19"/>
      <c r="BM33" s="19" t="s">
        <v>2130</v>
      </c>
      <c r="BN33" s="19" t="s">
        <v>2172</v>
      </c>
      <c r="BO33" s="19" t="s">
        <v>2132</v>
      </c>
      <c r="BP33" s="19" t="s">
        <v>2823</v>
      </c>
      <c r="BQ33" s="19" t="s">
        <v>2133</v>
      </c>
      <c r="BR33" s="19" t="s">
        <v>2133</v>
      </c>
      <c r="BS33" s="19" t="s">
        <v>2134</v>
      </c>
      <c r="BT33" s="19" t="s">
        <v>38</v>
      </c>
      <c r="BU33" s="19" t="s">
        <v>2824</v>
      </c>
      <c r="BV33" s="19" t="s">
        <v>2825</v>
      </c>
      <c r="BW33" s="19" t="s">
        <v>2113</v>
      </c>
      <c r="BX33" s="19"/>
      <c r="BY33" s="19"/>
      <c r="BZ33" s="19"/>
      <c r="CA33" s="19"/>
      <c r="CB33" s="19" t="s">
        <v>2113</v>
      </c>
      <c r="CC33" s="19"/>
      <c r="CD33" s="19" t="s">
        <v>2137</v>
      </c>
      <c r="CE33" s="19" t="s">
        <v>16</v>
      </c>
      <c r="CF33" s="19"/>
      <c r="CG33" s="19"/>
      <c r="CH33" s="19" t="s">
        <v>16</v>
      </c>
      <c r="CI33" s="21">
        <v>0.0</v>
      </c>
      <c r="CJ33" s="19" t="s">
        <v>16</v>
      </c>
      <c r="CK33" s="19"/>
      <c r="CL33" s="19"/>
      <c r="CM33" s="19" t="s">
        <v>2138</v>
      </c>
      <c r="CN33" s="19" t="s">
        <v>2294</v>
      </c>
      <c r="CO33" s="19"/>
      <c r="CP33" s="19"/>
      <c r="CQ33" s="19"/>
      <c r="CR33" s="19"/>
      <c r="CS33" s="19"/>
      <c r="CT33" s="19" t="s">
        <v>2113</v>
      </c>
      <c r="CU33" s="19" t="s">
        <v>2113</v>
      </c>
      <c r="CV33" s="19" t="s">
        <v>2141</v>
      </c>
      <c r="CW33" s="19"/>
      <c r="CX33" s="19"/>
      <c r="CY33" s="19" t="s">
        <v>2113</v>
      </c>
      <c r="CZ33" s="19" t="s">
        <v>2113</v>
      </c>
      <c r="DA33" s="19" t="s">
        <v>16</v>
      </c>
      <c r="DB33" s="19" t="s">
        <v>16</v>
      </c>
      <c r="DC33" s="19" t="s">
        <v>2146</v>
      </c>
      <c r="DD33" s="19" t="s">
        <v>2113</v>
      </c>
      <c r="DE33" s="19" t="s">
        <v>2113</v>
      </c>
      <c r="DF33" s="19" t="s">
        <v>2433</v>
      </c>
      <c r="DG33" s="19" t="s">
        <v>2826</v>
      </c>
      <c r="DH33" s="19" t="s">
        <v>2144</v>
      </c>
      <c r="DI33" s="24">
        <v>45531.0</v>
      </c>
      <c r="DJ33" s="19" t="s">
        <v>2133</v>
      </c>
      <c r="DK33" s="19" t="s">
        <v>2271</v>
      </c>
      <c r="DL33" s="19" t="s">
        <v>2146</v>
      </c>
      <c r="DM33" s="19" t="s">
        <v>2827</v>
      </c>
      <c r="DN33" s="19">
        <v>14.0</v>
      </c>
      <c r="DO33" s="19">
        <v>14.0</v>
      </c>
      <c r="DP33" s="19" t="s">
        <v>2828</v>
      </c>
      <c r="DQ33" s="19" t="s">
        <v>2829</v>
      </c>
      <c r="DR33" s="19" t="s">
        <v>2830</v>
      </c>
      <c r="DS33" s="19" t="s">
        <v>2365</v>
      </c>
      <c r="DT33" s="19" t="s">
        <v>2152</v>
      </c>
      <c r="DU33" s="19"/>
      <c r="DV33" s="19"/>
      <c r="DW33" s="19" t="s">
        <v>2153</v>
      </c>
      <c r="DX33" s="19">
        <v>9.0</v>
      </c>
      <c r="DY33" s="19">
        <v>10.0</v>
      </c>
      <c r="DZ33" s="19">
        <v>0.0</v>
      </c>
      <c r="EA33" s="19">
        <v>10.0</v>
      </c>
      <c r="EB33" s="19">
        <v>0.0</v>
      </c>
      <c r="EC33" s="19">
        <v>20.0</v>
      </c>
      <c r="ED33" s="19" t="s">
        <v>2133</v>
      </c>
      <c r="EE33" s="24">
        <v>45531.0</v>
      </c>
      <c r="EF33" s="19" t="s">
        <v>2133</v>
      </c>
      <c r="EG33" s="19" t="s">
        <v>2271</v>
      </c>
      <c r="EH33" s="19" t="s">
        <v>2146</v>
      </c>
      <c r="EI33" s="22">
        <v>15.0</v>
      </c>
      <c r="EJ33" s="19">
        <v>43.0</v>
      </c>
      <c r="EK33" s="19"/>
      <c r="EL33" s="19" t="s">
        <v>2282</v>
      </c>
      <c r="EM33" s="19" t="s">
        <v>2815</v>
      </c>
      <c r="EN33" s="19" t="s">
        <v>112</v>
      </c>
      <c r="EO33" s="19" t="s">
        <v>2817</v>
      </c>
      <c r="EP33" s="19" t="s">
        <v>2445</v>
      </c>
      <c r="EQ33" s="19" t="s">
        <v>2294</v>
      </c>
      <c r="ER33" s="19"/>
      <c r="ES33" s="19" t="s">
        <v>112</v>
      </c>
      <c r="ET33" s="19" t="s">
        <v>112</v>
      </c>
      <c r="EU33" s="19" t="s">
        <v>2812</v>
      </c>
      <c r="EV33" s="19">
        <v>9608.0</v>
      </c>
      <c r="EW33" s="19" t="s">
        <v>16</v>
      </c>
      <c r="EX33" s="19">
        <v>5.0</v>
      </c>
      <c r="EY33" s="25" t="s">
        <v>111</v>
      </c>
      <c r="EZ33" s="19" t="s">
        <v>2154</v>
      </c>
      <c r="FA33" s="5" t="s">
        <v>2831</v>
      </c>
      <c r="FB33" s="26" t="s">
        <v>2156</v>
      </c>
      <c r="FC33" s="26"/>
    </row>
    <row r="34">
      <c r="A34" s="19" t="s">
        <v>2156</v>
      </c>
      <c r="B34" s="19" t="s">
        <v>2113</v>
      </c>
      <c r="C34" s="19" t="s">
        <v>2113</v>
      </c>
      <c r="D34" s="19" t="s">
        <v>113</v>
      </c>
      <c r="E34" s="19" t="s">
        <v>2832</v>
      </c>
      <c r="F34" s="19" t="s">
        <v>113</v>
      </c>
      <c r="G34" s="19"/>
      <c r="H34" s="19" t="s">
        <v>113</v>
      </c>
      <c r="I34" s="19" t="s">
        <v>114</v>
      </c>
      <c r="J34" s="19" t="s">
        <v>2833</v>
      </c>
      <c r="K34" s="19" t="s">
        <v>2834</v>
      </c>
      <c r="L34" s="20">
        <v>45422.0</v>
      </c>
      <c r="M34" s="20">
        <v>45428.0</v>
      </c>
      <c r="N34" s="20">
        <v>45428.0</v>
      </c>
      <c r="O34" s="19">
        <v>3.2716773E7</v>
      </c>
      <c r="P34" s="19">
        <v>0.0</v>
      </c>
      <c r="Q34" s="19">
        <v>23.0</v>
      </c>
      <c r="R34" s="19">
        <v>8719.0</v>
      </c>
      <c r="S34" s="20" t="s">
        <v>2835</v>
      </c>
      <c r="T34" s="20">
        <v>45461.0</v>
      </c>
      <c r="U34" s="19" t="s">
        <v>113</v>
      </c>
      <c r="V34" s="19"/>
      <c r="W34" s="19"/>
      <c r="X34" s="21">
        <v>20.0</v>
      </c>
      <c r="Y34" s="21">
        <v>10.0</v>
      </c>
      <c r="Z34" s="21">
        <v>3.0</v>
      </c>
      <c r="AA34" s="21">
        <v>0.0</v>
      </c>
      <c r="AB34" s="5">
        <v>33.0</v>
      </c>
      <c r="AC34" s="19">
        <v>5.0</v>
      </c>
      <c r="AD34" s="19">
        <v>5.0</v>
      </c>
      <c r="AE34" s="19">
        <v>5.0</v>
      </c>
      <c r="AF34" s="19">
        <v>5.0</v>
      </c>
      <c r="AG34" s="19">
        <v>5.0</v>
      </c>
      <c r="AH34" s="19">
        <v>5.0</v>
      </c>
      <c r="AI34" s="22">
        <v>15.0</v>
      </c>
      <c r="AJ34" s="19">
        <v>15.0</v>
      </c>
      <c r="AK34" s="19">
        <v>15.0</v>
      </c>
      <c r="AL34" s="19">
        <v>15.0</v>
      </c>
      <c r="AM34" s="19">
        <v>45.0</v>
      </c>
      <c r="AN34" s="19">
        <v>60.0</v>
      </c>
      <c r="AO34" s="19">
        <v>93.0</v>
      </c>
      <c r="AP34" s="19">
        <v>146.0</v>
      </c>
      <c r="AQ34" s="23">
        <v>32.0</v>
      </c>
      <c r="AR34" s="23">
        <v>6.0</v>
      </c>
      <c r="AS34" s="22"/>
      <c r="AT34" s="19" t="s">
        <v>2117</v>
      </c>
      <c r="AU34" s="19" t="s">
        <v>2836</v>
      </c>
      <c r="AV34" s="19" t="s">
        <v>2837</v>
      </c>
      <c r="AW34" s="19" t="s">
        <v>2838</v>
      </c>
      <c r="AX34" s="20">
        <v>36742.0</v>
      </c>
      <c r="AY34" s="19" t="s">
        <v>2467</v>
      </c>
      <c r="AZ34" s="19" t="s">
        <v>2122</v>
      </c>
      <c r="BA34" s="19" t="s">
        <v>2839</v>
      </c>
      <c r="BB34" s="19">
        <v>245.0</v>
      </c>
      <c r="BC34" s="19">
        <v>5.38256552E8</v>
      </c>
      <c r="BD34" s="19" t="s">
        <v>2840</v>
      </c>
      <c r="BE34" s="19"/>
      <c r="BF34" s="19"/>
      <c r="BG34" s="19" t="s">
        <v>2127</v>
      </c>
      <c r="BH34" s="19" t="s">
        <v>2128</v>
      </c>
      <c r="BI34" s="19"/>
      <c r="BJ34" s="19"/>
      <c r="BK34" s="19" t="s">
        <v>16</v>
      </c>
      <c r="BL34" s="19" t="s">
        <v>2113</v>
      </c>
      <c r="BM34" s="19" t="s">
        <v>2130</v>
      </c>
      <c r="BN34" s="19" t="s">
        <v>2291</v>
      </c>
      <c r="BO34" s="19">
        <v>3.0</v>
      </c>
      <c r="BP34" s="19"/>
      <c r="BQ34" s="19" t="s">
        <v>2133</v>
      </c>
      <c r="BR34" s="19" t="s">
        <v>2133</v>
      </c>
      <c r="BS34" s="19" t="s">
        <v>2243</v>
      </c>
      <c r="BT34" s="19" t="s">
        <v>38</v>
      </c>
      <c r="BU34" s="19" t="s">
        <v>2841</v>
      </c>
      <c r="BV34" s="19" t="s">
        <v>2842</v>
      </c>
      <c r="BW34" s="19"/>
      <c r="BX34" s="19" t="s">
        <v>2113</v>
      </c>
      <c r="BY34" s="19" t="s">
        <v>2113</v>
      </c>
      <c r="BZ34" s="19" t="s">
        <v>2113</v>
      </c>
      <c r="CA34" s="19"/>
      <c r="CB34" s="19" t="s">
        <v>2113</v>
      </c>
      <c r="CC34" s="19" t="s">
        <v>2113</v>
      </c>
      <c r="CD34" s="19" t="s">
        <v>2137</v>
      </c>
      <c r="CE34" s="19" t="s">
        <v>16</v>
      </c>
      <c r="CF34" s="19"/>
      <c r="CG34" s="19"/>
      <c r="CH34" s="19" t="s">
        <v>16</v>
      </c>
      <c r="CI34" s="21">
        <v>0.0</v>
      </c>
      <c r="CJ34" s="19" t="s">
        <v>16</v>
      </c>
      <c r="CK34" s="19"/>
      <c r="CL34" s="19"/>
      <c r="CM34" s="19" t="s">
        <v>2344</v>
      </c>
      <c r="CN34" s="19" t="s">
        <v>2475</v>
      </c>
      <c r="CO34" s="19"/>
      <c r="CP34" s="19"/>
      <c r="CQ34" s="19"/>
      <c r="CR34" s="19" t="s">
        <v>2113</v>
      </c>
      <c r="CS34" s="19" t="s">
        <v>2113</v>
      </c>
      <c r="CT34" s="19" t="s">
        <v>2113</v>
      </c>
      <c r="CU34" s="19" t="s">
        <v>2113</v>
      </c>
      <c r="CV34" s="19" t="s">
        <v>2141</v>
      </c>
      <c r="CW34" s="19" t="s">
        <v>2113</v>
      </c>
      <c r="CX34" s="19" t="s">
        <v>2113</v>
      </c>
      <c r="CY34" s="19" t="s">
        <v>2113</v>
      </c>
      <c r="CZ34" s="19" t="s">
        <v>2113</v>
      </c>
      <c r="DA34" s="19" t="s">
        <v>16</v>
      </c>
      <c r="DB34" s="19" t="s">
        <v>16</v>
      </c>
      <c r="DC34" s="19" t="s">
        <v>2477</v>
      </c>
      <c r="DD34" s="19" t="s">
        <v>2113</v>
      </c>
      <c r="DE34" s="19" t="s">
        <v>2113</v>
      </c>
      <c r="DF34" s="19" t="s">
        <v>2843</v>
      </c>
      <c r="DG34" s="19" t="s">
        <v>2476</v>
      </c>
      <c r="DH34" s="19" t="s">
        <v>2580</v>
      </c>
      <c r="DI34" s="24">
        <v>45517.0</v>
      </c>
      <c r="DJ34" s="19" t="s">
        <v>2133</v>
      </c>
      <c r="DK34" s="19" t="s">
        <v>2271</v>
      </c>
      <c r="DL34" s="19" t="s">
        <v>2146</v>
      </c>
      <c r="DM34" s="19"/>
      <c r="DN34" s="19">
        <v>2.0</v>
      </c>
      <c r="DO34" s="19">
        <v>2.0</v>
      </c>
      <c r="DP34" s="19" t="s">
        <v>2844</v>
      </c>
      <c r="DQ34" s="19" t="s">
        <v>2845</v>
      </c>
      <c r="DR34" s="19" t="s">
        <v>2846</v>
      </c>
      <c r="DS34" s="19" t="s">
        <v>2185</v>
      </c>
      <c r="DT34" s="19" t="s">
        <v>2229</v>
      </c>
      <c r="DU34" s="19"/>
      <c r="DV34" s="19"/>
      <c r="DW34" s="19" t="s">
        <v>2153</v>
      </c>
      <c r="DX34" s="19">
        <v>1.0</v>
      </c>
      <c r="DY34" s="19">
        <v>10.0</v>
      </c>
      <c r="DZ34" s="19">
        <v>0.0</v>
      </c>
      <c r="EA34" s="19">
        <v>10.0</v>
      </c>
      <c r="EB34" s="19">
        <v>0.0</v>
      </c>
      <c r="EC34" s="19">
        <v>20.0</v>
      </c>
      <c r="ED34" s="19" t="s">
        <v>2133</v>
      </c>
      <c r="EE34" s="24">
        <v>45517.0</v>
      </c>
      <c r="EF34" s="19" t="s">
        <v>2133</v>
      </c>
      <c r="EG34" s="19" t="s">
        <v>2271</v>
      </c>
      <c r="EH34" s="19" t="s">
        <v>2146</v>
      </c>
      <c r="EI34" s="22">
        <v>15.0</v>
      </c>
      <c r="EJ34" s="19">
        <v>45.0</v>
      </c>
      <c r="EK34" s="19"/>
      <c r="EL34" s="19" t="s">
        <v>2117</v>
      </c>
      <c r="EM34" s="19" t="s">
        <v>2836</v>
      </c>
      <c r="EN34" s="19" t="s">
        <v>114</v>
      </c>
      <c r="EO34" s="19" t="s">
        <v>2467</v>
      </c>
      <c r="EP34" s="19" t="s">
        <v>2122</v>
      </c>
      <c r="EQ34" s="19" t="s">
        <v>2475</v>
      </c>
      <c r="ER34" s="19"/>
      <c r="ES34" s="19" t="s">
        <v>114</v>
      </c>
      <c r="ET34" s="19" t="s">
        <v>114</v>
      </c>
      <c r="EU34" s="19" t="s">
        <v>2834</v>
      </c>
      <c r="EV34" s="19">
        <v>8719.0</v>
      </c>
      <c r="EW34" s="19" t="s">
        <v>16</v>
      </c>
      <c r="EX34" s="19">
        <v>3.0</v>
      </c>
      <c r="EY34" s="25" t="s">
        <v>2847</v>
      </c>
      <c r="EZ34" s="19" t="s">
        <v>2154</v>
      </c>
      <c r="FA34" s="5" t="s">
        <v>2848</v>
      </c>
      <c r="FB34" s="26" t="s">
        <v>2156</v>
      </c>
      <c r="FC34" s="26"/>
    </row>
    <row r="35">
      <c r="A35" s="19" t="s">
        <v>2156</v>
      </c>
      <c r="B35" s="19" t="s">
        <v>2113</v>
      </c>
      <c r="C35" s="19" t="s">
        <v>2113</v>
      </c>
      <c r="D35" s="19" t="s">
        <v>115</v>
      </c>
      <c r="E35" s="19" t="s">
        <v>2849</v>
      </c>
      <c r="F35" s="19" t="s">
        <v>2850</v>
      </c>
      <c r="G35" s="19" t="s">
        <v>2851</v>
      </c>
      <c r="H35" s="19" t="s">
        <v>115</v>
      </c>
      <c r="I35" s="19" t="s">
        <v>117</v>
      </c>
      <c r="J35" s="19" t="s">
        <v>2852</v>
      </c>
      <c r="K35" s="19" t="s">
        <v>2853</v>
      </c>
      <c r="L35" s="20">
        <v>45397.0</v>
      </c>
      <c r="M35" s="20">
        <v>45411.0</v>
      </c>
      <c r="N35" s="20">
        <v>45411.0</v>
      </c>
      <c r="O35" s="19" t="s">
        <v>116</v>
      </c>
      <c r="P35" s="19">
        <v>0.0</v>
      </c>
      <c r="Q35" s="19">
        <v>18.0</v>
      </c>
      <c r="R35" s="19">
        <v>6862.0</v>
      </c>
      <c r="S35" s="20" t="s">
        <v>2854</v>
      </c>
      <c r="T35" s="20">
        <v>45461.0</v>
      </c>
      <c r="U35" s="19" t="s">
        <v>2850</v>
      </c>
      <c r="V35" s="19"/>
      <c r="W35" s="19"/>
      <c r="X35" s="21">
        <v>20.0</v>
      </c>
      <c r="Y35" s="21">
        <v>10.0</v>
      </c>
      <c r="Z35" s="21">
        <v>4.0</v>
      </c>
      <c r="AA35" s="21">
        <v>0.0</v>
      </c>
      <c r="AB35" s="5">
        <v>34.0</v>
      </c>
      <c r="AC35" s="19">
        <v>5.0</v>
      </c>
      <c r="AD35" s="19">
        <v>5.0</v>
      </c>
      <c r="AE35" s="19">
        <v>5.0</v>
      </c>
      <c r="AF35" s="19">
        <v>5.0</v>
      </c>
      <c r="AG35" s="19">
        <v>4.5</v>
      </c>
      <c r="AH35" s="19">
        <v>5.0</v>
      </c>
      <c r="AI35" s="22">
        <v>14.8125</v>
      </c>
      <c r="AJ35" s="19">
        <v>14.0</v>
      </c>
      <c r="AK35" s="19">
        <v>15.0</v>
      </c>
      <c r="AL35" s="19">
        <v>15.0</v>
      </c>
      <c r="AM35" s="19">
        <v>44.0</v>
      </c>
      <c r="AN35" s="19">
        <v>58.8</v>
      </c>
      <c r="AO35" s="19">
        <v>92.8</v>
      </c>
      <c r="AP35" s="19">
        <v>133.0</v>
      </c>
      <c r="AQ35" s="23">
        <v>33.0</v>
      </c>
      <c r="AR35" s="23">
        <v>1.0</v>
      </c>
      <c r="AS35" s="22"/>
      <c r="AT35" s="19" t="s">
        <v>2282</v>
      </c>
      <c r="AU35" s="19" t="s">
        <v>2855</v>
      </c>
      <c r="AV35" s="19" t="s">
        <v>2856</v>
      </c>
      <c r="AW35" s="19" t="s">
        <v>2857</v>
      </c>
      <c r="AX35" s="20">
        <v>38599.0</v>
      </c>
      <c r="AY35" s="19" t="s">
        <v>2858</v>
      </c>
      <c r="AZ35" s="19" t="s">
        <v>2122</v>
      </c>
      <c r="BA35" s="19" t="s">
        <v>2859</v>
      </c>
      <c r="BB35" s="19" t="s">
        <v>2860</v>
      </c>
      <c r="BC35" s="19" t="s">
        <v>2861</v>
      </c>
      <c r="BD35" s="19" t="s">
        <v>2862</v>
      </c>
      <c r="BE35" s="19" t="s">
        <v>2863</v>
      </c>
      <c r="BF35" s="19" t="s">
        <v>2864</v>
      </c>
      <c r="BG35" s="19" t="s">
        <v>2127</v>
      </c>
      <c r="BH35" s="19" t="s">
        <v>2128</v>
      </c>
      <c r="BI35" s="19"/>
      <c r="BJ35" s="19"/>
      <c r="BK35" s="19" t="s">
        <v>16</v>
      </c>
      <c r="BL35" s="19" t="s">
        <v>2113</v>
      </c>
      <c r="BM35" s="19" t="s">
        <v>2130</v>
      </c>
      <c r="BN35" s="19" t="s">
        <v>17</v>
      </c>
      <c r="BO35" s="19" t="s">
        <v>2317</v>
      </c>
      <c r="BP35" s="19" t="s">
        <v>2865</v>
      </c>
      <c r="BQ35" s="19" t="s">
        <v>2325</v>
      </c>
      <c r="BR35" s="19" t="s">
        <v>2325</v>
      </c>
      <c r="BS35" s="19" t="s">
        <v>2134</v>
      </c>
      <c r="BT35" s="19" t="s">
        <v>118</v>
      </c>
      <c r="BU35" s="19" t="s">
        <v>2866</v>
      </c>
      <c r="BV35" s="19" t="s">
        <v>2867</v>
      </c>
      <c r="BW35" s="19"/>
      <c r="BX35" s="19"/>
      <c r="BY35" s="19"/>
      <c r="BZ35" s="19"/>
      <c r="CA35" s="19" t="s">
        <v>2113</v>
      </c>
      <c r="CB35" s="19" t="s">
        <v>2113</v>
      </c>
      <c r="CC35" s="19"/>
      <c r="CD35" s="19" t="s">
        <v>2137</v>
      </c>
      <c r="CE35" s="19" t="s">
        <v>16</v>
      </c>
      <c r="CF35" s="19"/>
      <c r="CG35" s="19"/>
      <c r="CH35" s="19" t="s">
        <v>16</v>
      </c>
      <c r="CI35" s="21">
        <v>0.0</v>
      </c>
      <c r="CJ35" s="19" t="s">
        <v>16</v>
      </c>
      <c r="CK35" s="19"/>
      <c r="CL35" s="19"/>
      <c r="CM35" s="19" t="s">
        <v>2344</v>
      </c>
      <c r="CN35" s="19" t="s">
        <v>2868</v>
      </c>
      <c r="CO35" s="19"/>
      <c r="CP35" s="19"/>
      <c r="CQ35" s="19"/>
      <c r="CR35" s="19"/>
      <c r="CS35" s="19"/>
      <c r="CT35" s="19" t="s">
        <v>2113</v>
      </c>
      <c r="CU35" s="19" t="s">
        <v>2113</v>
      </c>
      <c r="CV35" s="19" t="s">
        <v>2141</v>
      </c>
      <c r="CW35" s="19" t="s">
        <v>2113</v>
      </c>
      <c r="CX35" s="19" t="s">
        <v>2113</v>
      </c>
      <c r="CY35" s="19" t="s">
        <v>2113</v>
      </c>
      <c r="CZ35" s="19" t="s">
        <v>2113</v>
      </c>
      <c r="DA35" s="19" t="s">
        <v>16</v>
      </c>
      <c r="DB35" s="19" t="s">
        <v>16</v>
      </c>
      <c r="DC35" s="19" t="s">
        <v>2869</v>
      </c>
      <c r="DD35" s="19" t="s">
        <v>2113</v>
      </c>
      <c r="DE35" s="19" t="s">
        <v>2113</v>
      </c>
      <c r="DF35" s="19" t="s">
        <v>2498</v>
      </c>
      <c r="DG35" s="19" t="s">
        <v>2870</v>
      </c>
      <c r="DH35" s="19" t="s">
        <v>2144</v>
      </c>
      <c r="DI35" s="24">
        <v>45518.0</v>
      </c>
      <c r="DJ35" s="19" t="s">
        <v>2325</v>
      </c>
      <c r="DK35" s="19" t="s">
        <v>2145</v>
      </c>
      <c r="DL35" s="19" t="s">
        <v>2326</v>
      </c>
      <c r="DM35" s="19"/>
      <c r="DN35" s="19">
        <v>3.0</v>
      </c>
      <c r="DO35" s="19">
        <v>3.0</v>
      </c>
      <c r="DP35" s="19" t="s">
        <v>2871</v>
      </c>
      <c r="DQ35" s="19" t="s">
        <v>2872</v>
      </c>
      <c r="DR35" s="19" t="s">
        <v>2873</v>
      </c>
      <c r="DS35" s="19" t="s">
        <v>2185</v>
      </c>
      <c r="DT35" s="19" t="s">
        <v>2152</v>
      </c>
      <c r="DU35" s="19"/>
      <c r="DV35" s="19"/>
      <c r="DW35" s="19" t="s">
        <v>2153</v>
      </c>
      <c r="DX35" s="19">
        <v>3.0</v>
      </c>
      <c r="DY35" s="19">
        <v>10.0</v>
      </c>
      <c r="DZ35" s="19">
        <v>0.0</v>
      </c>
      <c r="EA35" s="19">
        <v>10.0</v>
      </c>
      <c r="EB35" s="19">
        <v>0.0</v>
      </c>
      <c r="EC35" s="19">
        <v>20.0</v>
      </c>
      <c r="ED35" s="19" t="s">
        <v>2325</v>
      </c>
      <c r="EE35" s="24">
        <v>45518.0</v>
      </c>
      <c r="EF35" s="19" t="s">
        <v>2325</v>
      </c>
      <c r="EG35" s="19" t="s">
        <v>2145</v>
      </c>
      <c r="EH35" s="19" t="s">
        <v>2326</v>
      </c>
      <c r="EI35" s="22">
        <v>14.8125</v>
      </c>
      <c r="EJ35" s="19">
        <v>44.0</v>
      </c>
      <c r="EK35" s="19"/>
      <c r="EL35" s="19" t="s">
        <v>2282</v>
      </c>
      <c r="EM35" s="19" t="s">
        <v>2855</v>
      </c>
      <c r="EN35" s="19" t="s">
        <v>117</v>
      </c>
      <c r="EO35" s="19" t="s">
        <v>2858</v>
      </c>
      <c r="EP35" s="19" t="s">
        <v>2122</v>
      </c>
      <c r="EQ35" s="19" t="s">
        <v>2868</v>
      </c>
      <c r="ER35" s="19"/>
      <c r="ES35" s="19" t="s">
        <v>117</v>
      </c>
      <c r="ET35" s="19" t="s">
        <v>117</v>
      </c>
      <c r="EU35" s="19" t="s">
        <v>2853</v>
      </c>
      <c r="EV35" s="19">
        <v>6862.0</v>
      </c>
      <c r="EW35" s="19" t="s">
        <v>16</v>
      </c>
      <c r="EX35" s="19">
        <v>4.0</v>
      </c>
      <c r="EY35" s="25" t="s">
        <v>116</v>
      </c>
      <c r="EZ35" s="19" t="s">
        <v>2154</v>
      </c>
      <c r="FA35" s="5" t="s">
        <v>2874</v>
      </c>
      <c r="FB35" s="26" t="s">
        <v>2156</v>
      </c>
      <c r="FC35" s="26"/>
    </row>
    <row r="36">
      <c r="A36" s="19" t="s">
        <v>2156</v>
      </c>
      <c r="B36" s="19" t="s">
        <v>2113</v>
      </c>
      <c r="C36" s="19" t="s">
        <v>2113</v>
      </c>
      <c r="D36" s="19" t="s">
        <v>119</v>
      </c>
      <c r="E36" s="19" t="s">
        <v>2875</v>
      </c>
      <c r="F36" s="19" t="s">
        <v>2876</v>
      </c>
      <c r="G36" s="19" t="s">
        <v>2877</v>
      </c>
      <c r="H36" s="19" t="s">
        <v>119</v>
      </c>
      <c r="I36" s="19" t="s">
        <v>121</v>
      </c>
      <c r="J36" s="19" t="s">
        <v>2878</v>
      </c>
      <c r="K36" s="19" t="s">
        <v>2879</v>
      </c>
      <c r="L36" s="20">
        <v>45460.0</v>
      </c>
      <c r="M36" s="20">
        <v>45462.0</v>
      </c>
      <c r="N36" s="20">
        <v>45462.0</v>
      </c>
      <c r="O36" s="19" t="s">
        <v>120</v>
      </c>
      <c r="P36" s="19">
        <v>0.0</v>
      </c>
      <c r="Q36" s="19">
        <v>28.0</v>
      </c>
      <c r="R36" s="19">
        <v>10511.0</v>
      </c>
      <c r="S36" s="20" t="s">
        <v>2880</v>
      </c>
      <c r="T36" s="20">
        <v>45461.0</v>
      </c>
      <c r="U36" s="19" t="s">
        <v>2876</v>
      </c>
      <c r="V36" s="19"/>
      <c r="W36" s="19"/>
      <c r="X36" s="21">
        <v>20.0</v>
      </c>
      <c r="Y36" s="21">
        <v>10.0</v>
      </c>
      <c r="Z36" s="21">
        <v>5.0</v>
      </c>
      <c r="AA36" s="21">
        <v>0.0</v>
      </c>
      <c r="AB36" s="5">
        <v>35.0</v>
      </c>
      <c r="AC36" s="19">
        <v>4.0</v>
      </c>
      <c r="AD36" s="19">
        <v>4.0</v>
      </c>
      <c r="AE36" s="19">
        <v>4.5</v>
      </c>
      <c r="AF36" s="19">
        <v>4.5</v>
      </c>
      <c r="AG36" s="19">
        <v>4.0</v>
      </c>
      <c r="AH36" s="19">
        <v>4.0</v>
      </c>
      <c r="AI36" s="22">
        <v>12.5625</v>
      </c>
      <c r="AJ36" s="19">
        <v>15.0</v>
      </c>
      <c r="AK36" s="19">
        <v>15.0</v>
      </c>
      <c r="AL36" s="19">
        <v>15.0</v>
      </c>
      <c r="AM36" s="19">
        <v>45.0</v>
      </c>
      <c r="AN36" s="19">
        <v>57.6</v>
      </c>
      <c r="AO36" s="19">
        <v>92.6</v>
      </c>
      <c r="AP36" s="19">
        <v>45.0</v>
      </c>
      <c r="AQ36" s="23">
        <v>34.0</v>
      </c>
      <c r="AR36" s="23">
        <v>7.0</v>
      </c>
      <c r="AS36" s="22"/>
      <c r="AT36" s="19" t="s">
        <v>2163</v>
      </c>
      <c r="AU36" s="19" t="s">
        <v>2881</v>
      </c>
      <c r="AV36" s="19" t="s">
        <v>2882</v>
      </c>
      <c r="AW36" s="19" t="s">
        <v>2883</v>
      </c>
      <c r="AX36" s="20">
        <v>34950.0</v>
      </c>
      <c r="AY36" s="19" t="s">
        <v>2487</v>
      </c>
      <c r="AZ36" s="19" t="s">
        <v>2122</v>
      </c>
      <c r="BA36" s="19" t="s">
        <v>2884</v>
      </c>
      <c r="BB36" s="19" t="s">
        <v>2885</v>
      </c>
      <c r="BC36" s="19" t="s">
        <v>2886</v>
      </c>
      <c r="BD36" s="19" t="s">
        <v>2887</v>
      </c>
      <c r="BE36" s="19" t="s">
        <v>2878</v>
      </c>
      <c r="BF36" s="19">
        <v>1.1984632401E10</v>
      </c>
      <c r="BG36" s="19" t="s">
        <v>2127</v>
      </c>
      <c r="BH36" s="19" t="s">
        <v>2128</v>
      </c>
      <c r="BI36" s="19"/>
      <c r="BJ36" s="19"/>
      <c r="BK36" s="19" t="s">
        <v>16</v>
      </c>
      <c r="BL36" s="19"/>
      <c r="BM36" s="19" t="s">
        <v>2130</v>
      </c>
      <c r="BN36" s="19" t="s">
        <v>17</v>
      </c>
      <c r="BO36" s="19" t="s">
        <v>2132</v>
      </c>
      <c r="BP36" s="19" t="s">
        <v>2888</v>
      </c>
      <c r="BQ36" s="19" t="s">
        <v>2325</v>
      </c>
      <c r="BR36" s="19" t="s">
        <v>2325</v>
      </c>
      <c r="BS36" s="19" t="s">
        <v>2134</v>
      </c>
      <c r="BT36" s="19" t="s">
        <v>59</v>
      </c>
      <c r="BU36" s="19" t="s">
        <v>2889</v>
      </c>
      <c r="BV36" s="19" t="s">
        <v>2890</v>
      </c>
      <c r="BW36" s="19"/>
      <c r="BX36" s="19"/>
      <c r="BY36" s="19" t="s">
        <v>2113</v>
      </c>
      <c r="BZ36" s="19" t="s">
        <v>2113</v>
      </c>
      <c r="CA36" s="19"/>
      <c r="CB36" s="19" t="s">
        <v>2113</v>
      </c>
      <c r="CC36" s="19"/>
      <c r="CD36" s="19" t="s">
        <v>2137</v>
      </c>
      <c r="CE36" s="19" t="s">
        <v>16</v>
      </c>
      <c r="CF36" s="19"/>
      <c r="CG36" s="19"/>
      <c r="CH36" s="19" t="s">
        <v>16</v>
      </c>
      <c r="CI36" s="21">
        <v>0.0</v>
      </c>
      <c r="CJ36" s="19" t="s">
        <v>17</v>
      </c>
      <c r="CK36" s="19"/>
      <c r="CL36" s="19"/>
      <c r="CM36" s="19" t="s">
        <v>2138</v>
      </c>
      <c r="CN36" s="19" t="s">
        <v>2431</v>
      </c>
      <c r="CO36" s="19"/>
      <c r="CP36" s="19" t="s">
        <v>2178</v>
      </c>
      <c r="CQ36" s="19"/>
      <c r="CR36" s="19" t="s">
        <v>2113</v>
      </c>
      <c r="CS36" s="19" t="s">
        <v>2113</v>
      </c>
      <c r="CT36" s="19"/>
      <c r="CU36" s="19"/>
      <c r="CV36" s="19" t="s">
        <v>2179</v>
      </c>
      <c r="CW36" s="19" t="s">
        <v>2113</v>
      </c>
      <c r="CX36" s="19" t="s">
        <v>2113</v>
      </c>
      <c r="CY36" s="19"/>
      <c r="CZ36" s="19"/>
      <c r="DA36" s="19" t="s">
        <v>16</v>
      </c>
      <c r="DB36" s="19" t="s">
        <v>17</v>
      </c>
      <c r="DC36" s="19" t="s">
        <v>2496</v>
      </c>
      <c r="DD36" s="19" t="s">
        <v>2113</v>
      </c>
      <c r="DE36" s="19" t="s">
        <v>2113</v>
      </c>
      <c r="DF36" s="19" t="s">
        <v>2454</v>
      </c>
      <c r="DG36" s="19" t="s">
        <v>2497</v>
      </c>
      <c r="DH36" s="19" t="s">
        <v>2144</v>
      </c>
      <c r="DI36" s="24">
        <v>45519.0</v>
      </c>
      <c r="DJ36" s="19" t="s">
        <v>2325</v>
      </c>
      <c r="DK36" s="19" t="s">
        <v>2271</v>
      </c>
      <c r="DL36" s="19" t="s">
        <v>2326</v>
      </c>
      <c r="DM36" s="19"/>
      <c r="DN36" s="19">
        <v>6.0</v>
      </c>
      <c r="DO36" s="19">
        <v>6.0</v>
      </c>
      <c r="DP36" s="19"/>
      <c r="DQ36" s="19"/>
      <c r="DR36" s="19"/>
      <c r="DS36" s="19" t="s">
        <v>2185</v>
      </c>
      <c r="DT36" s="19" t="s">
        <v>2229</v>
      </c>
      <c r="DU36" s="19" t="s">
        <v>2891</v>
      </c>
      <c r="DV36" s="19"/>
      <c r="DW36" s="19" t="s">
        <v>2188</v>
      </c>
      <c r="DX36" s="19">
        <v>5.0</v>
      </c>
      <c r="DY36" s="19">
        <v>10.0</v>
      </c>
      <c r="DZ36" s="19">
        <v>0.0</v>
      </c>
      <c r="EA36" s="19">
        <v>10.0</v>
      </c>
      <c r="EB36" s="19">
        <v>0.0</v>
      </c>
      <c r="EC36" s="19">
        <v>20.0</v>
      </c>
      <c r="ED36" s="19" t="s">
        <v>2325</v>
      </c>
      <c r="EE36" s="24">
        <v>45519.0</v>
      </c>
      <c r="EF36" s="19" t="s">
        <v>2325</v>
      </c>
      <c r="EG36" s="19" t="s">
        <v>2271</v>
      </c>
      <c r="EH36" s="19" t="s">
        <v>2326</v>
      </c>
      <c r="EI36" s="22">
        <v>12.5625</v>
      </c>
      <c r="EJ36" s="19">
        <v>45.0</v>
      </c>
      <c r="EK36" s="19" t="s">
        <v>2113</v>
      </c>
      <c r="EL36" s="19" t="s">
        <v>2163</v>
      </c>
      <c r="EM36" s="19" t="s">
        <v>2881</v>
      </c>
      <c r="EN36" s="19" t="s">
        <v>121</v>
      </c>
      <c r="EO36" s="19" t="s">
        <v>2487</v>
      </c>
      <c r="EP36" s="19" t="s">
        <v>2122</v>
      </c>
      <c r="EQ36" s="19" t="s">
        <v>2431</v>
      </c>
      <c r="ER36" s="19"/>
      <c r="ES36" s="19" t="s">
        <v>121</v>
      </c>
      <c r="ET36" s="19" t="s">
        <v>121</v>
      </c>
      <c r="EU36" s="19" t="s">
        <v>2879</v>
      </c>
      <c r="EV36" s="19">
        <v>10511.0</v>
      </c>
      <c r="EW36" s="19" t="s">
        <v>16</v>
      </c>
      <c r="EX36" s="19">
        <v>5.0</v>
      </c>
      <c r="EY36" s="25" t="s">
        <v>120</v>
      </c>
      <c r="EZ36" s="19" t="s">
        <v>2154</v>
      </c>
      <c r="FA36" s="5" t="s">
        <v>2892</v>
      </c>
      <c r="FB36" s="26" t="s">
        <v>2156</v>
      </c>
      <c r="FC36" s="26"/>
    </row>
    <row r="37">
      <c r="A37" s="19" t="s">
        <v>2112</v>
      </c>
      <c r="B37" s="19" t="s">
        <v>2113</v>
      </c>
      <c r="C37" s="19" t="s">
        <v>2113</v>
      </c>
      <c r="D37" s="19" t="s">
        <v>122</v>
      </c>
      <c r="E37" s="19" t="s">
        <v>2893</v>
      </c>
      <c r="F37" s="19" t="s">
        <v>122</v>
      </c>
      <c r="G37" s="19"/>
      <c r="H37" s="19" t="s">
        <v>122</v>
      </c>
      <c r="I37" s="19" t="s">
        <v>124</v>
      </c>
      <c r="J37" s="19" t="s">
        <v>2894</v>
      </c>
      <c r="K37" s="19" t="s">
        <v>2895</v>
      </c>
      <c r="L37" s="20">
        <v>45405.0</v>
      </c>
      <c r="M37" s="20">
        <v>45411.0</v>
      </c>
      <c r="N37" s="20">
        <v>45411.0</v>
      </c>
      <c r="O37" s="19" t="s">
        <v>123</v>
      </c>
      <c r="P37" s="19">
        <v>0.0</v>
      </c>
      <c r="Q37" s="19">
        <v>27.0</v>
      </c>
      <c r="R37" s="19">
        <v>9999.0</v>
      </c>
      <c r="S37" s="20" t="s">
        <v>2896</v>
      </c>
      <c r="T37" s="20">
        <v>45461.0</v>
      </c>
      <c r="U37" s="19" t="s">
        <v>122</v>
      </c>
      <c r="V37" s="19"/>
      <c r="W37" s="19"/>
      <c r="X37" s="21">
        <v>20.0</v>
      </c>
      <c r="Y37" s="21">
        <v>10.0</v>
      </c>
      <c r="Z37" s="21">
        <v>5.0</v>
      </c>
      <c r="AA37" s="21">
        <v>0.0</v>
      </c>
      <c r="AB37" s="5">
        <v>35.0</v>
      </c>
      <c r="AC37" s="19">
        <v>5.0</v>
      </c>
      <c r="AD37" s="19">
        <v>5.0</v>
      </c>
      <c r="AE37" s="19">
        <v>5.0</v>
      </c>
      <c r="AF37" s="19">
        <v>5.0</v>
      </c>
      <c r="AG37" s="19">
        <v>4.5</v>
      </c>
      <c r="AH37" s="19">
        <v>4.0</v>
      </c>
      <c r="AI37" s="22">
        <v>14.4375</v>
      </c>
      <c r="AJ37" s="19">
        <v>13.0</v>
      </c>
      <c r="AK37" s="19">
        <v>15.0</v>
      </c>
      <c r="AL37" s="19">
        <v>15.0</v>
      </c>
      <c r="AM37" s="19">
        <v>43.0</v>
      </c>
      <c r="AN37" s="19">
        <v>57.4</v>
      </c>
      <c r="AO37" s="19">
        <v>92.4</v>
      </c>
      <c r="AP37" s="19">
        <v>50.0</v>
      </c>
      <c r="AQ37" s="23">
        <v>35.0</v>
      </c>
      <c r="AR37" s="23">
        <v>4.0</v>
      </c>
      <c r="AS37" s="22"/>
      <c r="AT37" s="19" t="s">
        <v>2282</v>
      </c>
      <c r="AU37" s="19" t="s">
        <v>2897</v>
      </c>
      <c r="AV37" s="19" t="s">
        <v>2898</v>
      </c>
      <c r="AW37" s="19" t="s">
        <v>2701</v>
      </c>
      <c r="AX37" s="20">
        <v>35462.0</v>
      </c>
      <c r="AY37" s="19" t="s">
        <v>2121</v>
      </c>
      <c r="AZ37" s="19" t="s">
        <v>2310</v>
      </c>
      <c r="BA37" s="19" t="s">
        <v>2899</v>
      </c>
      <c r="BB37" s="19" t="s">
        <v>2900</v>
      </c>
      <c r="BC37" s="19" t="s">
        <v>2901</v>
      </c>
      <c r="BD37" s="19" t="s">
        <v>2902</v>
      </c>
      <c r="BE37" s="19" t="s">
        <v>2903</v>
      </c>
      <c r="BF37" s="19">
        <v>1.1982277371E10</v>
      </c>
      <c r="BG37" s="19" t="s">
        <v>2127</v>
      </c>
      <c r="BH37" s="19" t="s">
        <v>2128</v>
      </c>
      <c r="BI37" s="19"/>
      <c r="BJ37" s="19"/>
      <c r="BK37" s="19" t="s">
        <v>16</v>
      </c>
      <c r="BL37" s="19" t="s">
        <v>2113</v>
      </c>
      <c r="BM37" s="19" t="s">
        <v>2130</v>
      </c>
      <c r="BN37" s="19" t="s">
        <v>2131</v>
      </c>
      <c r="BO37" s="19" t="s">
        <v>2132</v>
      </c>
      <c r="BP37" s="19" t="s">
        <v>2904</v>
      </c>
      <c r="BQ37" s="19" t="s">
        <v>2133</v>
      </c>
      <c r="BR37" s="19" t="s">
        <v>2133</v>
      </c>
      <c r="BS37" s="19" t="s">
        <v>2134</v>
      </c>
      <c r="BT37" s="19" t="s">
        <v>15</v>
      </c>
      <c r="BU37" s="19" t="s">
        <v>2512</v>
      </c>
      <c r="BV37" s="19" t="s">
        <v>2905</v>
      </c>
      <c r="BW37" s="19"/>
      <c r="BX37" s="19"/>
      <c r="BY37" s="19"/>
      <c r="BZ37" s="19"/>
      <c r="CA37" s="19" t="s">
        <v>2113</v>
      </c>
      <c r="CB37" s="19" t="s">
        <v>2113</v>
      </c>
      <c r="CC37" s="19"/>
      <c r="CD37" s="19" t="s">
        <v>2137</v>
      </c>
      <c r="CE37" s="19" t="s">
        <v>16</v>
      </c>
      <c r="CF37" s="19"/>
      <c r="CG37" s="19"/>
      <c r="CH37" s="19" t="s">
        <v>16</v>
      </c>
      <c r="CI37" s="21">
        <v>0.0</v>
      </c>
      <c r="CJ37" s="19" t="s">
        <v>16</v>
      </c>
      <c r="CK37" s="19"/>
      <c r="CL37" s="19"/>
      <c r="CM37" s="19" t="s">
        <v>2138</v>
      </c>
      <c r="CN37" s="19" t="s">
        <v>2139</v>
      </c>
      <c r="CO37" s="19"/>
      <c r="CP37" s="19"/>
      <c r="CQ37" s="19" t="s">
        <v>2113</v>
      </c>
      <c r="CR37" s="19"/>
      <c r="CS37" s="19"/>
      <c r="CT37" s="19" t="s">
        <v>2113</v>
      </c>
      <c r="CU37" s="19" t="s">
        <v>2113</v>
      </c>
      <c r="CV37" s="19" t="s">
        <v>2141</v>
      </c>
      <c r="CW37" s="19" t="s">
        <v>2113</v>
      </c>
      <c r="CX37" s="19" t="s">
        <v>2113</v>
      </c>
      <c r="CY37" s="19"/>
      <c r="CZ37" s="19"/>
      <c r="DA37" s="19" t="s">
        <v>16</v>
      </c>
      <c r="DB37" s="19" t="s">
        <v>16</v>
      </c>
      <c r="DC37" s="19" t="s">
        <v>2406</v>
      </c>
      <c r="DD37" s="19" t="s">
        <v>2113</v>
      </c>
      <c r="DE37" s="19" t="s">
        <v>2113</v>
      </c>
      <c r="DF37" s="19" t="s">
        <v>2433</v>
      </c>
      <c r="DG37" s="19" t="s">
        <v>2671</v>
      </c>
      <c r="DH37" s="19" t="s">
        <v>2144</v>
      </c>
      <c r="DI37" s="24">
        <v>45533.0</v>
      </c>
      <c r="DJ37" s="19" t="s">
        <v>2133</v>
      </c>
      <c r="DK37" s="19" t="s">
        <v>2271</v>
      </c>
      <c r="DL37" s="19" t="s">
        <v>2146</v>
      </c>
      <c r="DM37" s="19" t="s">
        <v>2906</v>
      </c>
      <c r="DN37" s="19">
        <v>18.0</v>
      </c>
      <c r="DO37" s="19">
        <v>18.0</v>
      </c>
      <c r="DP37" s="19" t="s">
        <v>2907</v>
      </c>
      <c r="DQ37" s="19" t="s">
        <v>2908</v>
      </c>
      <c r="DR37" s="19" t="s">
        <v>2909</v>
      </c>
      <c r="DS37" s="19" t="s">
        <v>2151</v>
      </c>
      <c r="DT37" s="19" t="s">
        <v>2152</v>
      </c>
      <c r="DU37" s="19"/>
      <c r="DV37" s="19"/>
      <c r="DW37" s="19" t="s">
        <v>2153</v>
      </c>
      <c r="DX37" s="19">
        <v>12.0</v>
      </c>
      <c r="DY37" s="19">
        <v>10.0</v>
      </c>
      <c r="DZ37" s="19">
        <v>0.0</v>
      </c>
      <c r="EA37" s="19">
        <v>10.0</v>
      </c>
      <c r="EB37" s="19">
        <v>0.0</v>
      </c>
      <c r="EC37" s="19">
        <v>20.0</v>
      </c>
      <c r="ED37" s="19" t="s">
        <v>2133</v>
      </c>
      <c r="EE37" s="24">
        <v>45533.0</v>
      </c>
      <c r="EF37" s="19" t="s">
        <v>2133</v>
      </c>
      <c r="EG37" s="19" t="s">
        <v>2271</v>
      </c>
      <c r="EH37" s="19" t="s">
        <v>2146</v>
      </c>
      <c r="EI37" s="22">
        <v>14.4375</v>
      </c>
      <c r="EJ37" s="19">
        <v>43.0</v>
      </c>
      <c r="EK37" s="19"/>
      <c r="EL37" s="19" t="s">
        <v>2282</v>
      </c>
      <c r="EM37" s="19" t="s">
        <v>2897</v>
      </c>
      <c r="EN37" s="19" t="s">
        <v>124</v>
      </c>
      <c r="EO37" s="19" t="s">
        <v>2121</v>
      </c>
      <c r="EP37" s="19" t="s">
        <v>2310</v>
      </c>
      <c r="EQ37" s="19" t="s">
        <v>2139</v>
      </c>
      <c r="ER37" s="19"/>
      <c r="ES37" s="19" t="s">
        <v>124</v>
      </c>
      <c r="ET37" s="19" t="s">
        <v>124</v>
      </c>
      <c r="EU37" s="19" t="s">
        <v>2895</v>
      </c>
      <c r="EV37" s="19">
        <v>9999.0</v>
      </c>
      <c r="EW37" s="19" t="s">
        <v>16</v>
      </c>
      <c r="EX37" s="19">
        <v>5.0</v>
      </c>
      <c r="EY37" s="25" t="s">
        <v>123</v>
      </c>
      <c r="EZ37" s="19" t="s">
        <v>2154</v>
      </c>
      <c r="FA37" s="5" t="s">
        <v>2910</v>
      </c>
      <c r="FB37" s="26" t="s">
        <v>2156</v>
      </c>
      <c r="FC37" s="26"/>
    </row>
    <row r="38">
      <c r="A38" s="19" t="s">
        <v>2112</v>
      </c>
      <c r="B38" s="19" t="s">
        <v>2113</v>
      </c>
      <c r="C38" s="19" t="s">
        <v>2113</v>
      </c>
      <c r="D38" s="19" t="s">
        <v>2911</v>
      </c>
      <c r="E38" s="19" t="s">
        <v>2912</v>
      </c>
      <c r="F38" s="19" t="s">
        <v>125</v>
      </c>
      <c r="G38" s="19" t="s">
        <v>2913</v>
      </c>
      <c r="H38" s="19" t="s">
        <v>125</v>
      </c>
      <c r="I38" s="19" t="s">
        <v>127</v>
      </c>
      <c r="J38" s="19" t="s">
        <v>2914</v>
      </c>
      <c r="K38" s="19" t="s">
        <v>2915</v>
      </c>
      <c r="L38" s="20">
        <v>45460.0</v>
      </c>
      <c r="M38" s="20">
        <v>45462.0</v>
      </c>
      <c r="N38" s="20">
        <v>45462.0</v>
      </c>
      <c r="O38" s="19" t="s">
        <v>126</v>
      </c>
      <c r="P38" s="19">
        <v>0.0</v>
      </c>
      <c r="Q38" s="19">
        <v>20.0</v>
      </c>
      <c r="R38" s="19">
        <v>7356.0</v>
      </c>
      <c r="S38" s="20" t="s">
        <v>2916</v>
      </c>
      <c r="T38" s="20">
        <v>45461.0</v>
      </c>
      <c r="U38" s="19" t="s">
        <v>125</v>
      </c>
      <c r="V38" s="19"/>
      <c r="W38" s="19"/>
      <c r="X38" s="21">
        <v>20.0</v>
      </c>
      <c r="Y38" s="21">
        <v>10.0</v>
      </c>
      <c r="Z38" s="21">
        <v>5.0</v>
      </c>
      <c r="AA38" s="21">
        <v>0.0</v>
      </c>
      <c r="AB38" s="5">
        <v>35.0</v>
      </c>
      <c r="AC38" s="19">
        <v>4.8</v>
      </c>
      <c r="AD38" s="19">
        <v>4.1</v>
      </c>
      <c r="AE38" s="19">
        <v>4.6</v>
      </c>
      <c r="AF38" s="19">
        <v>4.6</v>
      </c>
      <c r="AG38" s="19">
        <v>4.0</v>
      </c>
      <c r="AH38" s="19">
        <v>4.6</v>
      </c>
      <c r="AI38" s="22">
        <v>13.340625</v>
      </c>
      <c r="AJ38" s="19">
        <v>14.0</v>
      </c>
      <c r="AK38" s="19">
        <v>15.0</v>
      </c>
      <c r="AL38" s="19">
        <v>15.0</v>
      </c>
      <c r="AM38" s="19">
        <v>44.0</v>
      </c>
      <c r="AN38" s="19">
        <v>57.3</v>
      </c>
      <c r="AO38" s="19">
        <v>92.3</v>
      </c>
      <c r="AP38" s="19">
        <v>81.0</v>
      </c>
      <c r="AQ38" s="23">
        <v>36.0</v>
      </c>
      <c r="AR38" s="23">
        <v>2.0</v>
      </c>
      <c r="AS38" s="22"/>
      <c r="AT38" s="19" t="s">
        <v>2282</v>
      </c>
      <c r="AU38" s="19" t="s">
        <v>2917</v>
      </c>
      <c r="AV38" s="19" t="s">
        <v>2918</v>
      </c>
      <c r="AW38" s="19" t="s">
        <v>2166</v>
      </c>
      <c r="AX38" s="20">
        <v>38105.0</v>
      </c>
      <c r="AY38" s="19" t="s">
        <v>2529</v>
      </c>
      <c r="AZ38" s="19" t="s">
        <v>2919</v>
      </c>
      <c r="BA38" s="19" t="s">
        <v>2920</v>
      </c>
      <c r="BB38" s="19" t="s">
        <v>2921</v>
      </c>
      <c r="BC38" s="19" t="s">
        <v>2922</v>
      </c>
      <c r="BD38" s="19" t="s">
        <v>2923</v>
      </c>
      <c r="BE38" s="19" t="s">
        <v>2914</v>
      </c>
      <c r="BF38" s="19">
        <v>1.1944546314E10</v>
      </c>
      <c r="BG38" s="19" t="s">
        <v>2127</v>
      </c>
      <c r="BH38" s="19" t="s">
        <v>2128</v>
      </c>
      <c r="BI38" s="19"/>
      <c r="BJ38" s="19" t="s">
        <v>2128</v>
      </c>
      <c r="BK38" s="19" t="s">
        <v>17</v>
      </c>
      <c r="BL38" s="19" t="s">
        <v>2113</v>
      </c>
      <c r="BM38" s="19" t="s">
        <v>2130</v>
      </c>
      <c r="BN38" s="19" t="s">
        <v>2172</v>
      </c>
      <c r="BO38" s="19" t="s">
        <v>2132</v>
      </c>
      <c r="BP38" s="19" t="s">
        <v>2924</v>
      </c>
      <c r="BQ38" s="19" t="s">
        <v>2174</v>
      </c>
      <c r="BR38" s="19" t="s">
        <v>2174</v>
      </c>
      <c r="BS38" s="19" t="s">
        <v>2134</v>
      </c>
      <c r="BT38" s="19" t="s">
        <v>75</v>
      </c>
      <c r="BU38" s="19"/>
      <c r="BV38" s="19" t="s">
        <v>2925</v>
      </c>
      <c r="BW38" s="19"/>
      <c r="BX38" s="19"/>
      <c r="BY38" s="19" t="s">
        <v>2113</v>
      </c>
      <c r="BZ38" s="19" t="s">
        <v>2113</v>
      </c>
      <c r="CA38" s="19" t="s">
        <v>2113</v>
      </c>
      <c r="CB38" s="19" t="s">
        <v>2113</v>
      </c>
      <c r="CC38" s="19" t="s">
        <v>2113</v>
      </c>
      <c r="CD38" s="19" t="s">
        <v>2137</v>
      </c>
      <c r="CE38" s="19" t="s">
        <v>16</v>
      </c>
      <c r="CF38" s="19"/>
      <c r="CG38" s="19"/>
      <c r="CH38" s="19" t="s">
        <v>16</v>
      </c>
      <c r="CI38" s="21">
        <v>0.0</v>
      </c>
      <c r="CJ38" s="19" t="s">
        <v>16</v>
      </c>
      <c r="CK38" s="19"/>
      <c r="CL38" s="19"/>
      <c r="CM38" s="19" t="s">
        <v>2926</v>
      </c>
      <c r="CN38" s="19" t="s">
        <v>2537</v>
      </c>
      <c r="CO38" s="19"/>
      <c r="CP38" s="19" t="s">
        <v>2225</v>
      </c>
      <c r="CQ38" s="19"/>
      <c r="CR38" s="19"/>
      <c r="CS38" s="19"/>
      <c r="CT38" s="19" t="s">
        <v>2113</v>
      </c>
      <c r="CU38" s="19" t="s">
        <v>2113</v>
      </c>
      <c r="CV38" s="19" t="s">
        <v>2141</v>
      </c>
      <c r="CW38" s="19"/>
      <c r="CX38" s="19"/>
      <c r="CY38" s="19"/>
      <c r="CZ38" s="19"/>
      <c r="DA38" s="19" t="s">
        <v>16</v>
      </c>
      <c r="DB38" s="19" t="s">
        <v>16</v>
      </c>
      <c r="DC38" s="19" t="s">
        <v>2539</v>
      </c>
      <c r="DD38" s="19" t="s">
        <v>2113</v>
      </c>
      <c r="DE38" s="19" t="s">
        <v>2113</v>
      </c>
      <c r="DF38" s="19" t="s">
        <v>2433</v>
      </c>
      <c r="DG38" s="19" t="s">
        <v>2538</v>
      </c>
      <c r="DH38" s="19" t="s">
        <v>2144</v>
      </c>
      <c r="DI38" s="24">
        <v>45526.0</v>
      </c>
      <c r="DJ38" s="19" t="s">
        <v>2174</v>
      </c>
      <c r="DK38" s="19" t="s">
        <v>2145</v>
      </c>
      <c r="DL38" s="19" t="s">
        <v>2183</v>
      </c>
      <c r="DM38" s="19"/>
      <c r="DN38" s="19">
        <v>11.0</v>
      </c>
      <c r="DO38" s="19">
        <v>11.0</v>
      </c>
      <c r="DP38" s="19" t="s">
        <v>2927</v>
      </c>
      <c r="DQ38" s="19" t="s">
        <v>2928</v>
      </c>
      <c r="DR38" s="19" t="s">
        <v>2929</v>
      </c>
      <c r="DS38" s="19" t="s">
        <v>2151</v>
      </c>
      <c r="DT38" s="19" t="s">
        <v>2301</v>
      </c>
      <c r="DU38" s="19"/>
      <c r="DV38" s="19"/>
      <c r="DW38" s="19" t="s">
        <v>2479</v>
      </c>
      <c r="DX38" s="19">
        <v>16.0</v>
      </c>
      <c r="DY38" s="19">
        <v>10.0</v>
      </c>
      <c r="DZ38" s="19">
        <v>0.0</v>
      </c>
      <c r="EA38" s="19">
        <v>10.0</v>
      </c>
      <c r="EB38" s="19">
        <v>0.0</v>
      </c>
      <c r="EC38" s="19">
        <v>20.0</v>
      </c>
      <c r="ED38" s="19" t="s">
        <v>2174</v>
      </c>
      <c r="EE38" s="24">
        <v>45526.0</v>
      </c>
      <c r="EF38" s="19" t="s">
        <v>2174</v>
      </c>
      <c r="EG38" s="19" t="s">
        <v>2145</v>
      </c>
      <c r="EH38" s="19" t="s">
        <v>2183</v>
      </c>
      <c r="EI38" s="22">
        <v>13.340625</v>
      </c>
      <c r="EJ38" s="19">
        <v>44.0</v>
      </c>
      <c r="EK38" s="19"/>
      <c r="EL38" s="19" t="s">
        <v>2282</v>
      </c>
      <c r="EM38" s="19" t="s">
        <v>2917</v>
      </c>
      <c r="EN38" s="19" t="s">
        <v>127</v>
      </c>
      <c r="EO38" s="19" t="s">
        <v>2529</v>
      </c>
      <c r="EP38" s="19" t="s">
        <v>2919</v>
      </c>
      <c r="EQ38" s="19" t="s">
        <v>2537</v>
      </c>
      <c r="ER38" s="19"/>
      <c r="ES38" s="19" t="s">
        <v>127</v>
      </c>
      <c r="ET38" s="19" t="s">
        <v>127</v>
      </c>
      <c r="EU38" s="19" t="s">
        <v>2915</v>
      </c>
      <c r="EV38" s="19">
        <v>7356.0</v>
      </c>
      <c r="EW38" s="19" t="s">
        <v>16</v>
      </c>
      <c r="EX38" s="19">
        <v>5.0</v>
      </c>
      <c r="EY38" s="25" t="s">
        <v>126</v>
      </c>
      <c r="EZ38" s="19" t="s">
        <v>2154</v>
      </c>
      <c r="FA38" s="5" t="s">
        <v>2930</v>
      </c>
      <c r="FB38" s="26" t="s">
        <v>2156</v>
      </c>
      <c r="FC38" s="26"/>
    </row>
    <row r="39">
      <c r="A39" s="19" t="s">
        <v>2112</v>
      </c>
      <c r="B39" s="19" t="s">
        <v>2113</v>
      </c>
      <c r="C39" s="19" t="s">
        <v>2113</v>
      </c>
      <c r="D39" s="19" t="s">
        <v>128</v>
      </c>
      <c r="E39" s="19" t="s">
        <v>2931</v>
      </c>
      <c r="F39" s="19" t="s">
        <v>128</v>
      </c>
      <c r="G39" s="19"/>
      <c r="H39" s="19" t="s">
        <v>128</v>
      </c>
      <c r="I39" s="19" t="s">
        <v>130</v>
      </c>
      <c r="J39" s="19" t="s">
        <v>2932</v>
      </c>
      <c r="K39" s="19" t="s">
        <v>2933</v>
      </c>
      <c r="L39" s="20">
        <v>45404.0</v>
      </c>
      <c r="M39" s="20">
        <v>45411.0</v>
      </c>
      <c r="N39" s="20">
        <v>45411.0</v>
      </c>
      <c r="O39" s="19" t="s">
        <v>129</v>
      </c>
      <c r="P39" s="19">
        <v>0.0</v>
      </c>
      <c r="Q39" s="19">
        <v>19.0</v>
      </c>
      <c r="R39" s="19">
        <v>7174.0</v>
      </c>
      <c r="S39" s="20" t="s">
        <v>2934</v>
      </c>
      <c r="T39" s="20">
        <v>45461.0</v>
      </c>
      <c r="U39" s="19" t="s">
        <v>128</v>
      </c>
      <c r="V39" s="19"/>
      <c r="W39" s="19"/>
      <c r="X39" s="21">
        <v>20.0</v>
      </c>
      <c r="Y39" s="21">
        <v>10.0</v>
      </c>
      <c r="Z39" s="21">
        <v>5.0</v>
      </c>
      <c r="AA39" s="21">
        <v>0.0</v>
      </c>
      <c r="AB39" s="5">
        <v>35.0</v>
      </c>
      <c r="AC39" s="19">
        <v>4.1</v>
      </c>
      <c r="AD39" s="19">
        <v>4.0</v>
      </c>
      <c r="AE39" s="19">
        <v>4.6</v>
      </c>
      <c r="AF39" s="19">
        <v>3.3</v>
      </c>
      <c r="AG39" s="19">
        <v>4.0</v>
      </c>
      <c r="AH39" s="19">
        <v>3.6</v>
      </c>
      <c r="AI39" s="22">
        <v>12.084375000000001</v>
      </c>
      <c r="AJ39" s="19">
        <v>15.0</v>
      </c>
      <c r="AK39" s="19">
        <v>15.0</v>
      </c>
      <c r="AL39" s="19">
        <v>15.0</v>
      </c>
      <c r="AM39" s="19">
        <v>45.0</v>
      </c>
      <c r="AN39" s="19">
        <v>57.1</v>
      </c>
      <c r="AO39" s="19">
        <v>92.1</v>
      </c>
      <c r="AP39" s="19">
        <v>88.0</v>
      </c>
      <c r="AQ39" s="23">
        <v>37.0</v>
      </c>
      <c r="AR39" s="23">
        <v>8.0</v>
      </c>
      <c r="AS39" s="22"/>
      <c r="AT39" s="19" t="s">
        <v>2117</v>
      </c>
      <c r="AU39" s="19" t="s">
        <v>2935</v>
      </c>
      <c r="AV39" s="19" t="s">
        <v>2936</v>
      </c>
      <c r="AW39" s="19" t="s">
        <v>2937</v>
      </c>
      <c r="AX39" s="20">
        <v>38287.0</v>
      </c>
      <c r="AY39" s="19" t="s">
        <v>2938</v>
      </c>
      <c r="AZ39" s="19" t="s">
        <v>2310</v>
      </c>
      <c r="BA39" s="19" t="s">
        <v>2939</v>
      </c>
      <c r="BB39" s="19" t="s">
        <v>2940</v>
      </c>
      <c r="BC39" s="19" t="s">
        <v>2941</v>
      </c>
      <c r="BD39" s="19" t="s">
        <v>2942</v>
      </c>
      <c r="BE39" s="19" t="s">
        <v>2932</v>
      </c>
      <c r="BF39" s="19">
        <v>1.1970210618E10</v>
      </c>
      <c r="BG39" s="19" t="s">
        <v>2127</v>
      </c>
      <c r="BH39" s="19" t="s">
        <v>2128</v>
      </c>
      <c r="BI39" s="19"/>
      <c r="BJ39" s="19"/>
      <c r="BK39" s="19" t="s">
        <v>16</v>
      </c>
      <c r="BL39" s="19"/>
      <c r="BM39" s="19" t="s">
        <v>2130</v>
      </c>
      <c r="BN39" s="19" t="s">
        <v>2172</v>
      </c>
      <c r="BO39" s="19" t="s">
        <v>2132</v>
      </c>
      <c r="BP39" s="19" t="s">
        <v>2943</v>
      </c>
      <c r="BQ39" s="19" t="s">
        <v>2174</v>
      </c>
      <c r="BR39" s="19" t="s">
        <v>2174</v>
      </c>
      <c r="BS39" s="19" t="s">
        <v>2134</v>
      </c>
      <c r="BT39" s="19" t="s">
        <v>21</v>
      </c>
      <c r="BU39" s="19"/>
      <c r="BV39" s="19" t="s">
        <v>2944</v>
      </c>
      <c r="BW39" s="19" t="s">
        <v>2113</v>
      </c>
      <c r="BX39" s="19"/>
      <c r="BY39" s="19"/>
      <c r="BZ39" s="19"/>
      <c r="CA39" s="19"/>
      <c r="CB39" s="19" t="s">
        <v>2113</v>
      </c>
      <c r="CC39" s="19"/>
      <c r="CD39" s="19" t="s">
        <v>2137</v>
      </c>
      <c r="CE39" s="19" t="s">
        <v>16</v>
      </c>
      <c r="CF39" s="19"/>
      <c r="CG39" s="19"/>
      <c r="CH39" s="19" t="s">
        <v>16</v>
      </c>
      <c r="CI39" s="21">
        <v>0.0</v>
      </c>
      <c r="CJ39" s="19" t="s">
        <v>17</v>
      </c>
      <c r="CK39" s="19"/>
      <c r="CL39" s="19"/>
      <c r="CM39" s="19" t="s">
        <v>2926</v>
      </c>
      <c r="CN39" s="19" t="s">
        <v>2176</v>
      </c>
      <c r="CO39" s="19"/>
      <c r="CP39" s="19" t="s">
        <v>2134</v>
      </c>
      <c r="CQ39" s="19"/>
      <c r="CR39" s="19"/>
      <c r="CS39" s="19"/>
      <c r="CT39" s="19" t="s">
        <v>2113</v>
      </c>
      <c r="CU39" s="19" t="s">
        <v>2113</v>
      </c>
      <c r="CV39" s="19" t="s">
        <v>2141</v>
      </c>
      <c r="CW39" s="19"/>
      <c r="CX39" s="19"/>
      <c r="CY39" s="19" t="s">
        <v>2113</v>
      </c>
      <c r="CZ39" s="19" t="s">
        <v>2113</v>
      </c>
      <c r="DA39" s="19" t="s">
        <v>16</v>
      </c>
      <c r="DB39" s="19" t="s">
        <v>17</v>
      </c>
      <c r="DC39" s="19" t="s">
        <v>2345</v>
      </c>
      <c r="DD39" s="19" t="s">
        <v>2113</v>
      </c>
      <c r="DE39" s="19" t="s">
        <v>2113</v>
      </c>
      <c r="DF39" s="19" t="s">
        <v>2602</v>
      </c>
      <c r="DG39" s="19" t="s">
        <v>2207</v>
      </c>
      <c r="DH39" s="19" t="s">
        <v>2144</v>
      </c>
      <c r="DI39" s="24">
        <v>45526.0</v>
      </c>
      <c r="DJ39" s="19" t="s">
        <v>2174</v>
      </c>
      <c r="DK39" s="19" t="s">
        <v>2145</v>
      </c>
      <c r="DL39" s="19" t="s">
        <v>2183</v>
      </c>
      <c r="DM39" s="19"/>
      <c r="DN39" s="19">
        <v>11.0</v>
      </c>
      <c r="DO39" s="19">
        <v>11.0</v>
      </c>
      <c r="DP39" s="19" t="s">
        <v>2945</v>
      </c>
      <c r="DQ39" s="19" t="s">
        <v>2946</v>
      </c>
      <c r="DR39" s="19" t="s">
        <v>2947</v>
      </c>
      <c r="DS39" s="19" t="s">
        <v>2151</v>
      </c>
      <c r="DT39" s="19" t="s">
        <v>2209</v>
      </c>
      <c r="DU39" s="19"/>
      <c r="DV39" s="19"/>
      <c r="DW39" s="19" t="s">
        <v>2188</v>
      </c>
      <c r="DX39" s="19">
        <v>15.0</v>
      </c>
      <c r="DY39" s="19">
        <v>10.0</v>
      </c>
      <c r="DZ39" s="19">
        <v>0.0</v>
      </c>
      <c r="EA39" s="19">
        <v>10.0</v>
      </c>
      <c r="EB39" s="19">
        <v>0.0</v>
      </c>
      <c r="EC39" s="19">
        <v>20.0</v>
      </c>
      <c r="ED39" s="19" t="s">
        <v>2174</v>
      </c>
      <c r="EE39" s="24">
        <v>45526.0</v>
      </c>
      <c r="EF39" s="19" t="s">
        <v>2174</v>
      </c>
      <c r="EG39" s="19" t="s">
        <v>2145</v>
      </c>
      <c r="EH39" s="19" t="s">
        <v>2183</v>
      </c>
      <c r="EI39" s="22">
        <v>12.084375000000001</v>
      </c>
      <c r="EJ39" s="19">
        <v>45.0</v>
      </c>
      <c r="EK39" s="19" t="s">
        <v>2113</v>
      </c>
      <c r="EL39" s="19" t="s">
        <v>2117</v>
      </c>
      <c r="EM39" s="19" t="s">
        <v>2935</v>
      </c>
      <c r="EN39" s="19" t="s">
        <v>130</v>
      </c>
      <c r="EO39" s="19" t="s">
        <v>2938</v>
      </c>
      <c r="EP39" s="19" t="s">
        <v>2310</v>
      </c>
      <c r="EQ39" s="19" t="s">
        <v>2176</v>
      </c>
      <c r="ER39" s="19"/>
      <c r="ES39" s="19" t="s">
        <v>130</v>
      </c>
      <c r="ET39" s="19" t="s">
        <v>130</v>
      </c>
      <c r="EU39" s="19" t="s">
        <v>2933</v>
      </c>
      <c r="EV39" s="19">
        <v>7174.0</v>
      </c>
      <c r="EW39" s="19" t="s">
        <v>16</v>
      </c>
      <c r="EX39" s="19">
        <v>5.0</v>
      </c>
      <c r="EY39" s="25" t="s">
        <v>129</v>
      </c>
      <c r="EZ39" s="19" t="s">
        <v>2154</v>
      </c>
      <c r="FA39" s="5" t="s">
        <v>2948</v>
      </c>
      <c r="FB39" s="26" t="s">
        <v>2156</v>
      </c>
      <c r="FC39" s="26"/>
    </row>
    <row r="40">
      <c r="A40" s="19" t="s">
        <v>2112</v>
      </c>
      <c r="B40" s="19" t="s">
        <v>2113</v>
      </c>
      <c r="C40" s="19" t="s">
        <v>2113</v>
      </c>
      <c r="D40" s="19" t="s">
        <v>131</v>
      </c>
      <c r="E40" s="19" t="s">
        <v>2949</v>
      </c>
      <c r="F40" s="19" t="s">
        <v>131</v>
      </c>
      <c r="G40" s="19"/>
      <c r="H40" s="19" t="s">
        <v>131</v>
      </c>
      <c r="I40" s="19" t="s">
        <v>133</v>
      </c>
      <c r="J40" s="19" t="s">
        <v>2950</v>
      </c>
      <c r="K40" s="19" t="s">
        <v>2951</v>
      </c>
      <c r="L40" s="20">
        <v>45445.0</v>
      </c>
      <c r="M40" s="20">
        <v>45446.0</v>
      </c>
      <c r="N40" s="20">
        <v>45446.0</v>
      </c>
      <c r="O40" s="19" t="s">
        <v>132</v>
      </c>
      <c r="P40" s="19">
        <v>0.0</v>
      </c>
      <c r="Q40" s="19">
        <v>20.0</v>
      </c>
      <c r="R40" s="19">
        <v>7421.0</v>
      </c>
      <c r="S40" s="20" t="s">
        <v>2952</v>
      </c>
      <c r="T40" s="20">
        <v>45461.0</v>
      </c>
      <c r="U40" s="19" t="s">
        <v>131</v>
      </c>
      <c r="V40" s="19"/>
      <c r="W40" s="19"/>
      <c r="X40" s="21">
        <v>20.0</v>
      </c>
      <c r="Y40" s="21">
        <v>10.0</v>
      </c>
      <c r="Z40" s="21">
        <v>5.0</v>
      </c>
      <c r="AA40" s="21">
        <v>0.0</v>
      </c>
      <c r="AB40" s="5">
        <v>35.0</v>
      </c>
      <c r="AC40" s="19">
        <v>4.75</v>
      </c>
      <c r="AD40" s="19">
        <v>4.75</v>
      </c>
      <c r="AE40" s="19">
        <v>4.75</v>
      </c>
      <c r="AF40" s="19">
        <v>5.0</v>
      </c>
      <c r="AG40" s="19">
        <v>4.5</v>
      </c>
      <c r="AH40" s="19">
        <v>5.0</v>
      </c>
      <c r="AI40" s="22">
        <v>14.34375</v>
      </c>
      <c r="AJ40" s="19">
        <v>15.0</v>
      </c>
      <c r="AK40" s="19">
        <v>14.3</v>
      </c>
      <c r="AL40" s="19">
        <v>13.5</v>
      </c>
      <c r="AM40" s="19">
        <v>42.8</v>
      </c>
      <c r="AN40" s="19">
        <v>57.1</v>
      </c>
      <c r="AO40" s="19">
        <v>92.1</v>
      </c>
      <c r="AP40" s="19">
        <v>79.0</v>
      </c>
      <c r="AQ40" s="23">
        <v>38.0</v>
      </c>
      <c r="AR40" s="23">
        <v>9.0</v>
      </c>
      <c r="AS40" s="22"/>
      <c r="AT40" s="19" t="s">
        <v>2282</v>
      </c>
      <c r="AU40" s="19" t="s">
        <v>2953</v>
      </c>
      <c r="AV40" s="19" t="s">
        <v>2954</v>
      </c>
      <c r="AW40" s="19" t="s">
        <v>2166</v>
      </c>
      <c r="AX40" s="20">
        <v>38040.0</v>
      </c>
      <c r="AY40" s="19" t="s">
        <v>2196</v>
      </c>
      <c r="AZ40" s="19" t="s">
        <v>2310</v>
      </c>
      <c r="BA40" s="19" t="s">
        <v>2955</v>
      </c>
      <c r="BB40" s="19" t="s">
        <v>2956</v>
      </c>
      <c r="BC40" s="19" t="s">
        <v>2957</v>
      </c>
      <c r="BD40" s="19" t="s">
        <v>2958</v>
      </c>
      <c r="BE40" s="19"/>
      <c r="BF40" s="19"/>
      <c r="BG40" s="19" t="s">
        <v>2127</v>
      </c>
      <c r="BH40" s="19" t="s">
        <v>2649</v>
      </c>
      <c r="BI40" s="19"/>
      <c r="BJ40" s="19"/>
      <c r="BK40" s="19" t="s">
        <v>16</v>
      </c>
      <c r="BL40" s="19"/>
      <c r="BM40" s="19" t="s">
        <v>2130</v>
      </c>
      <c r="BN40" s="19" t="s">
        <v>17</v>
      </c>
      <c r="BO40" s="19" t="s">
        <v>2132</v>
      </c>
      <c r="BP40" s="19" t="s">
        <v>2959</v>
      </c>
      <c r="BQ40" s="19" t="s">
        <v>2174</v>
      </c>
      <c r="BR40" s="19" t="s">
        <v>2174</v>
      </c>
      <c r="BS40" s="19" t="s">
        <v>2134</v>
      </c>
      <c r="BT40" s="19" t="s">
        <v>21</v>
      </c>
      <c r="BU40" s="19" t="s">
        <v>2960</v>
      </c>
      <c r="BV40" s="19" t="s">
        <v>2961</v>
      </c>
      <c r="BW40" s="19"/>
      <c r="BX40" s="19"/>
      <c r="BY40" s="19"/>
      <c r="BZ40" s="19"/>
      <c r="CA40" s="19"/>
      <c r="CB40" s="19" t="s">
        <v>2113</v>
      </c>
      <c r="CC40" s="19"/>
      <c r="CD40" s="19" t="s">
        <v>2137</v>
      </c>
      <c r="CE40" s="19" t="s">
        <v>16</v>
      </c>
      <c r="CF40" s="19"/>
      <c r="CG40" s="19"/>
      <c r="CH40" s="19" t="s">
        <v>16</v>
      </c>
      <c r="CI40" s="21">
        <v>0.0</v>
      </c>
      <c r="CJ40" s="19" t="s">
        <v>16</v>
      </c>
      <c r="CK40" s="19"/>
      <c r="CL40" s="19"/>
      <c r="CM40" s="19" t="s">
        <v>2138</v>
      </c>
      <c r="CN40" s="19" t="s">
        <v>2204</v>
      </c>
      <c r="CO40" s="19" t="s">
        <v>2177</v>
      </c>
      <c r="CP40" s="19"/>
      <c r="CQ40" s="19"/>
      <c r="CR40" s="19" t="s">
        <v>2113</v>
      </c>
      <c r="CS40" s="19" t="s">
        <v>2113</v>
      </c>
      <c r="CT40" s="19" t="s">
        <v>2113</v>
      </c>
      <c r="CU40" s="19" t="s">
        <v>2113</v>
      </c>
      <c r="CV40" s="19" t="s">
        <v>2179</v>
      </c>
      <c r="CW40" s="19"/>
      <c r="CX40" s="19"/>
      <c r="CY40" s="19" t="s">
        <v>2113</v>
      </c>
      <c r="CZ40" s="19" t="s">
        <v>2113</v>
      </c>
      <c r="DA40" s="19" t="s">
        <v>16</v>
      </c>
      <c r="DB40" s="19" t="s">
        <v>16</v>
      </c>
      <c r="DC40" s="19" t="s">
        <v>2181</v>
      </c>
      <c r="DD40" s="19" t="s">
        <v>2113</v>
      </c>
      <c r="DE40" s="19" t="s">
        <v>2113</v>
      </c>
      <c r="DF40" s="19" t="s">
        <v>2514</v>
      </c>
      <c r="DG40" s="19" t="s">
        <v>2247</v>
      </c>
      <c r="DH40" s="19" t="s">
        <v>2144</v>
      </c>
      <c r="DI40" s="24">
        <v>45517.0</v>
      </c>
      <c r="DJ40" s="19" t="s">
        <v>2174</v>
      </c>
      <c r="DK40" s="19" t="s">
        <v>2271</v>
      </c>
      <c r="DL40" s="19" t="s">
        <v>2183</v>
      </c>
      <c r="DM40" s="19" t="s">
        <v>2515</v>
      </c>
      <c r="DN40" s="19">
        <v>2.0</v>
      </c>
      <c r="DO40" s="19">
        <v>2.0</v>
      </c>
      <c r="DP40" s="19"/>
      <c r="DQ40" s="19"/>
      <c r="DR40" s="19"/>
      <c r="DS40" s="19" t="s">
        <v>2151</v>
      </c>
      <c r="DT40" s="19" t="s">
        <v>2366</v>
      </c>
      <c r="DU40" s="19" t="s">
        <v>2962</v>
      </c>
      <c r="DV40" s="19"/>
      <c r="DW40" s="19" t="s">
        <v>2153</v>
      </c>
      <c r="DX40" s="19">
        <v>13.0</v>
      </c>
      <c r="DY40" s="19">
        <v>10.0</v>
      </c>
      <c r="DZ40" s="19">
        <v>0.0</v>
      </c>
      <c r="EA40" s="19">
        <v>10.0</v>
      </c>
      <c r="EB40" s="19">
        <v>0.0</v>
      </c>
      <c r="EC40" s="19">
        <v>20.0</v>
      </c>
      <c r="ED40" s="19" t="s">
        <v>2174</v>
      </c>
      <c r="EE40" s="24">
        <v>45517.0</v>
      </c>
      <c r="EF40" s="19" t="s">
        <v>2174</v>
      </c>
      <c r="EG40" s="19" t="s">
        <v>2271</v>
      </c>
      <c r="EH40" s="19" t="s">
        <v>2183</v>
      </c>
      <c r="EI40" s="22">
        <v>14.34375</v>
      </c>
      <c r="EJ40" s="19">
        <v>42.75</v>
      </c>
      <c r="EK40" s="19"/>
      <c r="EL40" s="19" t="s">
        <v>2282</v>
      </c>
      <c r="EM40" s="19" t="s">
        <v>2953</v>
      </c>
      <c r="EN40" s="19" t="s">
        <v>133</v>
      </c>
      <c r="EO40" s="19" t="s">
        <v>2196</v>
      </c>
      <c r="EP40" s="19" t="s">
        <v>2310</v>
      </c>
      <c r="EQ40" s="19" t="s">
        <v>2204</v>
      </c>
      <c r="ER40" s="19" t="s">
        <v>2177</v>
      </c>
      <c r="ES40" s="19" t="s">
        <v>133</v>
      </c>
      <c r="ET40" s="19" t="s">
        <v>133</v>
      </c>
      <c r="EU40" s="19" t="s">
        <v>2951</v>
      </c>
      <c r="EV40" s="19">
        <v>7421.0</v>
      </c>
      <c r="EW40" s="19" t="s">
        <v>16</v>
      </c>
      <c r="EX40" s="19">
        <v>5.0</v>
      </c>
      <c r="EY40" s="25" t="s">
        <v>132</v>
      </c>
      <c r="EZ40" s="19" t="s">
        <v>2154</v>
      </c>
      <c r="FA40" s="5" t="s">
        <v>2963</v>
      </c>
      <c r="FB40" s="26" t="s">
        <v>2156</v>
      </c>
      <c r="FC40" s="26"/>
    </row>
    <row r="41">
      <c r="A41" s="19" t="s">
        <v>2112</v>
      </c>
      <c r="B41" s="19" t="s">
        <v>2113</v>
      </c>
      <c r="C41" s="19" t="s">
        <v>2113</v>
      </c>
      <c r="D41" s="19" t="s">
        <v>134</v>
      </c>
      <c r="E41" s="19" t="s">
        <v>2964</v>
      </c>
      <c r="F41" s="19" t="s">
        <v>2965</v>
      </c>
      <c r="G41" s="19" t="s">
        <v>2966</v>
      </c>
      <c r="H41" s="19" t="s">
        <v>134</v>
      </c>
      <c r="I41" s="19" t="s">
        <v>136</v>
      </c>
      <c r="J41" s="19" t="s">
        <v>2967</v>
      </c>
      <c r="K41" s="19" t="s">
        <v>2968</v>
      </c>
      <c r="L41" s="20">
        <v>45412.0</v>
      </c>
      <c r="M41" s="20">
        <v>45414.0</v>
      </c>
      <c r="N41" s="20">
        <v>45414.0</v>
      </c>
      <c r="O41" s="19" t="s">
        <v>135</v>
      </c>
      <c r="P41" s="19">
        <v>0.0</v>
      </c>
      <c r="Q41" s="19">
        <v>22.0</v>
      </c>
      <c r="R41" s="19">
        <v>8331.0</v>
      </c>
      <c r="S41" s="20" t="s">
        <v>2969</v>
      </c>
      <c r="T41" s="20">
        <v>45461.0</v>
      </c>
      <c r="U41" s="19" t="s">
        <v>2965</v>
      </c>
      <c r="V41" s="19"/>
      <c r="W41" s="19"/>
      <c r="X41" s="21">
        <v>20.0</v>
      </c>
      <c r="Y41" s="21">
        <v>10.0</v>
      </c>
      <c r="Z41" s="21">
        <v>4.0</v>
      </c>
      <c r="AA41" s="21">
        <v>0.0</v>
      </c>
      <c r="AB41" s="5">
        <v>34.0</v>
      </c>
      <c r="AC41" s="19">
        <v>4.5</v>
      </c>
      <c r="AD41" s="19">
        <v>4.5</v>
      </c>
      <c r="AE41" s="19">
        <v>4.5</v>
      </c>
      <c r="AF41" s="19">
        <v>4.0</v>
      </c>
      <c r="AG41" s="19">
        <v>4.0</v>
      </c>
      <c r="AH41" s="19">
        <v>4.5</v>
      </c>
      <c r="AI41" s="22">
        <v>13.125</v>
      </c>
      <c r="AJ41" s="19">
        <v>15.0</v>
      </c>
      <c r="AK41" s="19">
        <v>15.0</v>
      </c>
      <c r="AL41" s="19">
        <v>15.0</v>
      </c>
      <c r="AM41" s="19">
        <v>45.0</v>
      </c>
      <c r="AN41" s="19">
        <v>58.1</v>
      </c>
      <c r="AO41" s="19">
        <v>92.1</v>
      </c>
      <c r="AP41" s="19">
        <v>122.0</v>
      </c>
      <c r="AQ41" s="23">
        <v>39.0</v>
      </c>
      <c r="AR41" s="23">
        <v>3.0</v>
      </c>
      <c r="AS41" s="22"/>
      <c r="AT41" s="19" t="s">
        <v>2282</v>
      </c>
      <c r="AU41" s="19" t="s">
        <v>2970</v>
      </c>
      <c r="AV41" s="19" t="s">
        <v>2971</v>
      </c>
      <c r="AW41" s="19" t="s">
        <v>2972</v>
      </c>
      <c r="AX41" s="20">
        <v>37130.0</v>
      </c>
      <c r="AY41" s="19" t="s">
        <v>2309</v>
      </c>
      <c r="AZ41" s="19" t="s">
        <v>2122</v>
      </c>
      <c r="BA41" s="19" t="s">
        <v>2973</v>
      </c>
      <c r="BB41" s="19" t="s">
        <v>2974</v>
      </c>
      <c r="BC41" s="19" t="s">
        <v>2975</v>
      </c>
      <c r="BD41" s="19" t="s">
        <v>2976</v>
      </c>
      <c r="BE41" s="19" t="s">
        <v>2977</v>
      </c>
      <c r="BF41" s="19">
        <v>1.1981905594E10</v>
      </c>
      <c r="BG41" s="19" t="s">
        <v>2127</v>
      </c>
      <c r="BH41" s="19" t="s">
        <v>2128</v>
      </c>
      <c r="BI41" s="19"/>
      <c r="BJ41" s="19" t="s">
        <v>2128</v>
      </c>
      <c r="BK41" s="19" t="s">
        <v>17</v>
      </c>
      <c r="BL41" s="19"/>
      <c r="BM41" s="19" t="s">
        <v>2130</v>
      </c>
      <c r="BN41" s="19" t="s">
        <v>2708</v>
      </c>
      <c r="BO41" s="19" t="s">
        <v>2317</v>
      </c>
      <c r="BP41" s="19" t="s">
        <v>2978</v>
      </c>
      <c r="BQ41" s="19" t="s">
        <v>2318</v>
      </c>
      <c r="BR41" s="19" t="s">
        <v>2318</v>
      </c>
      <c r="BS41" s="19" t="s">
        <v>2134</v>
      </c>
      <c r="BT41" s="19" t="s">
        <v>42</v>
      </c>
      <c r="BU41" s="19" t="s">
        <v>2979</v>
      </c>
      <c r="BV41" s="19" t="s">
        <v>2980</v>
      </c>
      <c r="BW41" s="19"/>
      <c r="BX41" s="19"/>
      <c r="BY41" s="19"/>
      <c r="BZ41" s="19" t="s">
        <v>2113</v>
      </c>
      <c r="CA41" s="19" t="s">
        <v>2113</v>
      </c>
      <c r="CB41" s="19" t="s">
        <v>2113</v>
      </c>
      <c r="CC41" s="19"/>
      <c r="CD41" s="19" t="s">
        <v>2137</v>
      </c>
      <c r="CE41" s="19" t="s">
        <v>16</v>
      </c>
      <c r="CF41" s="19"/>
      <c r="CG41" s="19"/>
      <c r="CH41" s="19" t="s">
        <v>16</v>
      </c>
      <c r="CI41" s="21">
        <v>0.0</v>
      </c>
      <c r="CJ41" s="19" t="s">
        <v>16</v>
      </c>
      <c r="CK41" s="19" t="s">
        <v>2113</v>
      </c>
      <c r="CL41" s="19"/>
      <c r="CM41" s="19" t="s">
        <v>2138</v>
      </c>
      <c r="CN41" s="19" t="s">
        <v>2321</v>
      </c>
      <c r="CO41" s="19"/>
      <c r="CP41" s="19" t="s">
        <v>2267</v>
      </c>
      <c r="CQ41" s="19"/>
      <c r="CR41" s="19" t="s">
        <v>2113</v>
      </c>
      <c r="CS41" s="19" t="s">
        <v>2113</v>
      </c>
      <c r="CT41" s="19"/>
      <c r="CU41" s="19"/>
      <c r="CV41" s="19" t="s">
        <v>2179</v>
      </c>
      <c r="CW41" s="19" t="s">
        <v>2113</v>
      </c>
      <c r="CX41" s="19" t="s">
        <v>2113</v>
      </c>
      <c r="CY41" s="19" t="s">
        <v>2113</v>
      </c>
      <c r="CZ41" s="19" t="s">
        <v>2113</v>
      </c>
      <c r="DA41" s="19" t="s">
        <v>16</v>
      </c>
      <c r="DB41" s="19" t="s">
        <v>16</v>
      </c>
      <c r="DC41" s="19" t="s">
        <v>2981</v>
      </c>
      <c r="DD41" s="19" t="s">
        <v>2113</v>
      </c>
      <c r="DE41" s="19" t="s">
        <v>2113</v>
      </c>
      <c r="DF41" s="19" t="s">
        <v>2982</v>
      </c>
      <c r="DG41" s="19" t="s">
        <v>2983</v>
      </c>
      <c r="DH41" s="19" t="s">
        <v>2144</v>
      </c>
      <c r="DI41" s="24">
        <v>45524.0</v>
      </c>
      <c r="DJ41" s="19" t="s">
        <v>2325</v>
      </c>
      <c r="DK41" s="19" t="s">
        <v>2271</v>
      </c>
      <c r="DL41" s="19" t="s">
        <v>2326</v>
      </c>
      <c r="DM41" s="19"/>
      <c r="DN41" s="19">
        <v>8.0</v>
      </c>
      <c r="DO41" s="19">
        <v>8.0</v>
      </c>
      <c r="DP41" s="19"/>
      <c r="DQ41" s="19"/>
      <c r="DR41" s="19"/>
      <c r="DS41" s="19" t="s">
        <v>2185</v>
      </c>
      <c r="DT41" s="19" t="s">
        <v>2350</v>
      </c>
      <c r="DU41" s="19" t="s">
        <v>2984</v>
      </c>
      <c r="DV41" s="19"/>
      <c r="DW41" s="19" t="s">
        <v>2479</v>
      </c>
      <c r="DX41" s="19">
        <v>6.0</v>
      </c>
      <c r="DY41" s="19">
        <v>10.0</v>
      </c>
      <c r="DZ41" s="19">
        <v>0.0</v>
      </c>
      <c r="EA41" s="19">
        <v>10.0</v>
      </c>
      <c r="EB41" s="19">
        <v>0.0</v>
      </c>
      <c r="EC41" s="19">
        <v>20.0</v>
      </c>
      <c r="ED41" s="19" t="s">
        <v>2325</v>
      </c>
      <c r="EE41" s="24">
        <v>45524.0</v>
      </c>
      <c r="EF41" s="19" t="s">
        <v>2325</v>
      </c>
      <c r="EG41" s="19" t="s">
        <v>2271</v>
      </c>
      <c r="EH41" s="19" t="s">
        <v>2326</v>
      </c>
      <c r="EI41" s="22">
        <v>13.125</v>
      </c>
      <c r="EJ41" s="19">
        <v>45.0</v>
      </c>
      <c r="EK41" s="19"/>
      <c r="EL41" s="19" t="s">
        <v>2282</v>
      </c>
      <c r="EM41" s="19" t="s">
        <v>2970</v>
      </c>
      <c r="EN41" s="19" t="s">
        <v>136</v>
      </c>
      <c r="EO41" s="19" t="s">
        <v>2309</v>
      </c>
      <c r="EP41" s="19" t="s">
        <v>2122</v>
      </c>
      <c r="EQ41" s="19" t="s">
        <v>2321</v>
      </c>
      <c r="ER41" s="19"/>
      <c r="ES41" s="19" t="s">
        <v>136</v>
      </c>
      <c r="ET41" s="19" t="s">
        <v>136</v>
      </c>
      <c r="EU41" s="19" t="s">
        <v>2968</v>
      </c>
      <c r="EV41" s="19">
        <v>8331.0</v>
      </c>
      <c r="EW41" s="19" t="s">
        <v>16</v>
      </c>
      <c r="EX41" s="19">
        <v>4.0</v>
      </c>
      <c r="EY41" s="25" t="s">
        <v>135</v>
      </c>
      <c r="EZ41" s="19" t="s">
        <v>2154</v>
      </c>
      <c r="FA41" s="5" t="s">
        <v>2985</v>
      </c>
      <c r="FB41" s="26" t="s">
        <v>2156</v>
      </c>
      <c r="FC41" s="26"/>
    </row>
    <row r="42">
      <c r="A42" s="19" t="s">
        <v>2112</v>
      </c>
      <c r="B42" s="19" t="s">
        <v>2113</v>
      </c>
      <c r="C42" s="19" t="s">
        <v>2113</v>
      </c>
      <c r="D42" s="19" t="s">
        <v>2986</v>
      </c>
      <c r="E42" s="19" t="s">
        <v>2987</v>
      </c>
      <c r="F42" s="19" t="s">
        <v>2986</v>
      </c>
      <c r="G42" s="19"/>
      <c r="H42" s="19" t="s">
        <v>137</v>
      </c>
      <c r="I42" s="19" t="s">
        <v>139</v>
      </c>
      <c r="J42" s="19" t="s">
        <v>2988</v>
      </c>
      <c r="K42" s="19" t="s">
        <v>2989</v>
      </c>
      <c r="L42" s="20">
        <v>45406.0</v>
      </c>
      <c r="M42" s="20">
        <v>45411.0</v>
      </c>
      <c r="N42" s="20">
        <v>45411.0</v>
      </c>
      <c r="O42" s="19" t="s">
        <v>138</v>
      </c>
      <c r="P42" s="19">
        <v>1.0</v>
      </c>
      <c r="Q42" s="19">
        <v>23.0</v>
      </c>
      <c r="R42" s="19">
        <v>8665.0</v>
      </c>
      <c r="S42" s="20" t="s">
        <v>2990</v>
      </c>
      <c r="T42" s="20">
        <v>45461.0</v>
      </c>
      <c r="U42" s="19" t="s">
        <v>2986</v>
      </c>
      <c r="V42" s="19"/>
      <c r="W42" s="19" t="s">
        <v>2991</v>
      </c>
      <c r="X42" s="21">
        <v>20.0</v>
      </c>
      <c r="Y42" s="21">
        <v>10.0</v>
      </c>
      <c r="Z42" s="21">
        <v>5.0</v>
      </c>
      <c r="AA42" s="21">
        <v>0.0</v>
      </c>
      <c r="AB42" s="5">
        <v>35.0</v>
      </c>
      <c r="AC42" s="19">
        <v>5.0</v>
      </c>
      <c r="AD42" s="19">
        <v>5.0</v>
      </c>
      <c r="AE42" s="19">
        <v>5.0</v>
      </c>
      <c r="AF42" s="19">
        <v>5.0</v>
      </c>
      <c r="AG42" s="19">
        <v>5.0</v>
      </c>
      <c r="AH42" s="19">
        <v>5.0</v>
      </c>
      <c r="AI42" s="22">
        <v>15.0</v>
      </c>
      <c r="AJ42" s="19">
        <v>14.0</v>
      </c>
      <c r="AK42" s="19">
        <v>14.0</v>
      </c>
      <c r="AL42" s="19">
        <v>14.0</v>
      </c>
      <c r="AM42" s="19">
        <v>42.0</v>
      </c>
      <c r="AN42" s="19">
        <v>57.0</v>
      </c>
      <c r="AO42" s="19">
        <v>92.0</v>
      </c>
      <c r="AP42" s="19">
        <v>57.0</v>
      </c>
      <c r="AQ42" s="23">
        <v>40.0</v>
      </c>
      <c r="AR42" s="23">
        <v>7.0</v>
      </c>
      <c r="AS42" s="22"/>
      <c r="AT42" s="19" t="s">
        <v>2992</v>
      </c>
      <c r="AU42" s="19" t="s">
        <v>2993</v>
      </c>
      <c r="AV42" s="19" t="s">
        <v>2994</v>
      </c>
      <c r="AW42" s="19"/>
      <c r="AX42" s="20">
        <v>36796.0</v>
      </c>
      <c r="AY42" s="19" t="s">
        <v>2286</v>
      </c>
      <c r="AZ42" s="19" t="s">
        <v>2995</v>
      </c>
      <c r="BA42" s="19" t="s">
        <v>2996</v>
      </c>
      <c r="BB42" s="19" t="s">
        <v>2447</v>
      </c>
      <c r="BC42" s="19" t="s">
        <v>2997</v>
      </c>
      <c r="BD42" s="19" t="s">
        <v>2998</v>
      </c>
      <c r="BE42" s="19" t="s">
        <v>2999</v>
      </c>
      <c r="BF42" s="19">
        <v>1.1939511942E10</v>
      </c>
      <c r="BG42" s="19" t="s">
        <v>2127</v>
      </c>
      <c r="BH42" s="19" t="s">
        <v>2128</v>
      </c>
      <c r="BI42" s="19"/>
      <c r="BJ42" s="19" t="s">
        <v>2128</v>
      </c>
      <c r="BK42" s="19" t="s">
        <v>17</v>
      </c>
      <c r="BL42" s="19" t="s">
        <v>2113</v>
      </c>
      <c r="BM42" s="19" t="s">
        <v>2130</v>
      </c>
      <c r="BN42" s="19" t="s">
        <v>2401</v>
      </c>
      <c r="BO42" s="19" t="s">
        <v>2132</v>
      </c>
      <c r="BP42" s="19" t="s">
        <v>3000</v>
      </c>
      <c r="BQ42" s="19" t="s">
        <v>2133</v>
      </c>
      <c r="BR42" s="19" t="s">
        <v>2133</v>
      </c>
      <c r="BS42" s="19" t="s">
        <v>2243</v>
      </c>
      <c r="BT42" s="19" t="s">
        <v>38</v>
      </c>
      <c r="BU42" s="19" t="s">
        <v>3001</v>
      </c>
      <c r="BV42" s="19" t="s">
        <v>3002</v>
      </c>
      <c r="BW42" s="19"/>
      <c r="BX42" s="19" t="s">
        <v>2113</v>
      </c>
      <c r="BY42" s="19" t="s">
        <v>2113</v>
      </c>
      <c r="BZ42" s="19" t="s">
        <v>2113</v>
      </c>
      <c r="CA42" s="19"/>
      <c r="CB42" s="19" t="s">
        <v>2113</v>
      </c>
      <c r="CC42" s="19"/>
      <c r="CD42" s="19" t="s">
        <v>2137</v>
      </c>
      <c r="CE42" s="19" t="s">
        <v>16</v>
      </c>
      <c r="CF42" s="19"/>
      <c r="CG42" s="19"/>
      <c r="CH42" s="19" t="s">
        <v>16</v>
      </c>
      <c r="CI42" s="21">
        <v>0.0</v>
      </c>
      <c r="CJ42" s="19" t="s">
        <v>16</v>
      </c>
      <c r="CK42" s="19" t="s">
        <v>2113</v>
      </c>
      <c r="CL42" s="19"/>
      <c r="CM42" s="19" t="s">
        <v>2138</v>
      </c>
      <c r="CN42" s="19" t="s">
        <v>2294</v>
      </c>
      <c r="CO42" s="19"/>
      <c r="CP42" s="19" t="s">
        <v>2178</v>
      </c>
      <c r="CQ42" s="19" t="s">
        <v>2113</v>
      </c>
      <c r="CR42" s="19" t="s">
        <v>2113</v>
      </c>
      <c r="CS42" s="19" t="s">
        <v>2113</v>
      </c>
      <c r="CT42" s="19" t="s">
        <v>2113</v>
      </c>
      <c r="CU42" s="19" t="s">
        <v>2113</v>
      </c>
      <c r="CV42" s="19" t="s">
        <v>2141</v>
      </c>
      <c r="CW42" s="19" t="s">
        <v>2113</v>
      </c>
      <c r="CX42" s="19" t="s">
        <v>2113</v>
      </c>
      <c r="CY42" s="19" t="s">
        <v>2113</v>
      </c>
      <c r="CZ42" s="19" t="s">
        <v>2113</v>
      </c>
      <c r="DA42" s="19" t="s">
        <v>16</v>
      </c>
      <c r="DB42" s="19" t="s">
        <v>16</v>
      </c>
      <c r="DC42" s="19" t="s">
        <v>2671</v>
      </c>
      <c r="DD42" s="19" t="s">
        <v>2113</v>
      </c>
      <c r="DE42" s="19" t="s">
        <v>2113</v>
      </c>
      <c r="DF42" s="19" t="s">
        <v>2602</v>
      </c>
      <c r="DG42" s="19" t="s">
        <v>2207</v>
      </c>
      <c r="DH42" s="19" t="s">
        <v>2144</v>
      </c>
      <c r="DI42" s="24">
        <v>45525.0</v>
      </c>
      <c r="DJ42" s="19" t="s">
        <v>2133</v>
      </c>
      <c r="DK42" s="19" t="s">
        <v>2145</v>
      </c>
      <c r="DL42" s="19" t="s">
        <v>2146</v>
      </c>
      <c r="DM42" s="19" t="s">
        <v>3003</v>
      </c>
      <c r="DN42" s="19">
        <v>9.0</v>
      </c>
      <c r="DO42" s="19">
        <v>9.0</v>
      </c>
      <c r="DP42" s="19" t="s">
        <v>3004</v>
      </c>
      <c r="DQ42" s="19" t="s">
        <v>3005</v>
      </c>
      <c r="DR42" s="19" t="s">
        <v>3006</v>
      </c>
      <c r="DS42" s="19" t="s">
        <v>2185</v>
      </c>
      <c r="DT42" s="19" t="s">
        <v>2301</v>
      </c>
      <c r="DU42" s="19"/>
      <c r="DV42" s="19"/>
      <c r="DW42" s="19" t="s">
        <v>2479</v>
      </c>
      <c r="DX42" s="19">
        <v>6.0</v>
      </c>
      <c r="DY42" s="19">
        <v>10.0</v>
      </c>
      <c r="DZ42" s="19">
        <v>0.0</v>
      </c>
      <c r="EA42" s="19">
        <v>10.0</v>
      </c>
      <c r="EB42" s="19">
        <v>0.0</v>
      </c>
      <c r="EC42" s="19">
        <v>20.0</v>
      </c>
      <c r="ED42" s="19" t="s">
        <v>2133</v>
      </c>
      <c r="EE42" s="24">
        <v>45525.0</v>
      </c>
      <c r="EF42" s="19" t="s">
        <v>2133</v>
      </c>
      <c r="EG42" s="19" t="s">
        <v>2145</v>
      </c>
      <c r="EH42" s="19" t="s">
        <v>2146</v>
      </c>
      <c r="EI42" s="22">
        <v>15.0</v>
      </c>
      <c r="EJ42" s="19">
        <v>42.0</v>
      </c>
      <c r="EK42" s="19"/>
      <c r="EL42" s="19" t="s">
        <v>2992</v>
      </c>
      <c r="EM42" s="19" t="s">
        <v>2993</v>
      </c>
      <c r="EN42" s="19" t="s">
        <v>139</v>
      </c>
      <c r="EO42" s="19" t="s">
        <v>2286</v>
      </c>
      <c r="EP42" s="19" t="s">
        <v>2995</v>
      </c>
      <c r="EQ42" s="19" t="s">
        <v>2294</v>
      </c>
      <c r="ER42" s="19"/>
      <c r="ES42" s="19" t="s">
        <v>139</v>
      </c>
      <c r="ET42" s="19" t="s">
        <v>139</v>
      </c>
      <c r="EU42" s="19" t="s">
        <v>2989</v>
      </c>
      <c r="EV42" s="19">
        <v>8665.0</v>
      </c>
      <c r="EW42" s="19" t="s">
        <v>16</v>
      </c>
      <c r="EX42" s="19">
        <v>5.0</v>
      </c>
      <c r="EY42" s="25" t="s">
        <v>138</v>
      </c>
      <c r="EZ42" s="19" t="s">
        <v>2154</v>
      </c>
      <c r="FA42" s="5" t="s">
        <v>3007</v>
      </c>
      <c r="FB42" s="26" t="s">
        <v>2156</v>
      </c>
      <c r="FC42" s="26"/>
    </row>
    <row r="43">
      <c r="A43" s="19" t="s">
        <v>2156</v>
      </c>
      <c r="B43" s="19" t="s">
        <v>2113</v>
      </c>
      <c r="C43" s="19" t="s">
        <v>2113</v>
      </c>
      <c r="D43" s="19" t="s">
        <v>140</v>
      </c>
      <c r="E43" s="19" t="s">
        <v>3008</v>
      </c>
      <c r="F43" s="19" t="s">
        <v>140</v>
      </c>
      <c r="G43" s="19"/>
      <c r="H43" s="19" t="s">
        <v>140</v>
      </c>
      <c r="I43" s="19" t="s">
        <v>141</v>
      </c>
      <c r="J43" s="19" t="s">
        <v>3009</v>
      </c>
      <c r="K43" s="19" t="s">
        <v>3010</v>
      </c>
      <c r="L43" s="20">
        <v>45446.0</v>
      </c>
      <c r="M43" s="20">
        <v>45446.0</v>
      </c>
      <c r="N43" s="20">
        <v>45446.0</v>
      </c>
      <c r="O43" s="19">
        <v>3.283177E7</v>
      </c>
      <c r="P43" s="19">
        <v>0.0</v>
      </c>
      <c r="Q43" s="19">
        <v>24.0</v>
      </c>
      <c r="R43" s="19">
        <v>8822.0</v>
      </c>
      <c r="S43" s="20" t="s">
        <v>3011</v>
      </c>
      <c r="T43" s="20">
        <v>45461.0</v>
      </c>
      <c r="U43" s="19" t="s">
        <v>140</v>
      </c>
      <c r="V43" s="19"/>
      <c r="W43" s="19"/>
      <c r="X43" s="21">
        <v>20.0</v>
      </c>
      <c r="Y43" s="21">
        <v>10.0</v>
      </c>
      <c r="Z43" s="21">
        <v>3.0</v>
      </c>
      <c r="AA43" s="21">
        <v>0.0</v>
      </c>
      <c r="AB43" s="5">
        <v>33.0</v>
      </c>
      <c r="AC43" s="19">
        <v>5.0</v>
      </c>
      <c r="AD43" s="19">
        <v>5.0</v>
      </c>
      <c r="AE43" s="19">
        <v>5.0</v>
      </c>
      <c r="AF43" s="19">
        <v>5.0</v>
      </c>
      <c r="AG43" s="19">
        <v>5.0</v>
      </c>
      <c r="AH43" s="19">
        <v>5.0</v>
      </c>
      <c r="AI43" s="22">
        <v>15.0</v>
      </c>
      <c r="AJ43" s="19">
        <v>14.0</v>
      </c>
      <c r="AK43" s="19">
        <v>15.0</v>
      </c>
      <c r="AL43" s="19">
        <v>15.0</v>
      </c>
      <c r="AM43" s="19">
        <v>44.0</v>
      </c>
      <c r="AN43" s="19">
        <v>59.0</v>
      </c>
      <c r="AO43" s="19">
        <v>92.0</v>
      </c>
      <c r="AP43" s="19">
        <v>143.0</v>
      </c>
      <c r="AQ43" s="23">
        <v>41.0</v>
      </c>
      <c r="AR43" s="23">
        <v>8.0</v>
      </c>
      <c r="AS43" s="22"/>
      <c r="AT43" s="19" t="s">
        <v>2163</v>
      </c>
      <c r="AU43" s="19" t="s">
        <v>3012</v>
      </c>
      <c r="AV43" s="19" t="s">
        <v>3013</v>
      </c>
      <c r="AW43" s="19" t="s">
        <v>3014</v>
      </c>
      <c r="AX43" s="20">
        <v>36639.0</v>
      </c>
      <c r="AY43" s="19" t="s">
        <v>3015</v>
      </c>
      <c r="AZ43" s="19" t="s">
        <v>2122</v>
      </c>
      <c r="BA43" s="19" t="s">
        <v>3016</v>
      </c>
      <c r="BB43" s="19">
        <v>1044.0</v>
      </c>
      <c r="BC43" s="19">
        <v>5.70597481E8</v>
      </c>
      <c r="BD43" s="19" t="s">
        <v>3017</v>
      </c>
      <c r="BE43" s="19"/>
      <c r="BF43" s="19"/>
      <c r="BG43" s="19" t="s">
        <v>2127</v>
      </c>
      <c r="BH43" s="19" t="s">
        <v>2128</v>
      </c>
      <c r="BI43" s="19"/>
      <c r="BJ43" s="19"/>
      <c r="BK43" s="19" t="s">
        <v>16</v>
      </c>
      <c r="BL43" s="19" t="s">
        <v>2113</v>
      </c>
      <c r="BM43" s="19" t="s">
        <v>2130</v>
      </c>
      <c r="BN43" s="19" t="s">
        <v>3018</v>
      </c>
      <c r="BO43" s="19">
        <v>3.0</v>
      </c>
      <c r="BP43" s="19"/>
      <c r="BQ43" s="19" t="s">
        <v>2133</v>
      </c>
      <c r="BR43" s="19" t="s">
        <v>2133</v>
      </c>
      <c r="BS43" s="19" t="s">
        <v>2243</v>
      </c>
      <c r="BT43" s="19" t="s">
        <v>38</v>
      </c>
      <c r="BU43" s="19" t="s">
        <v>3019</v>
      </c>
      <c r="BV43" s="19">
        <v>1.6114464711E10</v>
      </c>
      <c r="BW43" s="19"/>
      <c r="BX43" s="19"/>
      <c r="BY43" s="19" t="s">
        <v>2113</v>
      </c>
      <c r="BZ43" s="19"/>
      <c r="CA43" s="19" t="s">
        <v>2113</v>
      </c>
      <c r="CB43" s="19" t="s">
        <v>2113</v>
      </c>
      <c r="CC43" s="19" t="s">
        <v>2113</v>
      </c>
      <c r="CD43" s="19" t="s">
        <v>2137</v>
      </c>
      <c r="CE43" s="19" t="s">
        <v>16</v>
      </c>
      <c r="CF43" s="19"/>
      <c r="CG43" s="19"/>
      <c r="CH43" s="19" t="s">
        <v>16</v>
      </c>
      <c r="CI43" s="21">
        <v>0.0</v>
      </c>
      <c r="CJ43" s="19" t="s">
        <v>17</v>
      </c>
      <c r="CK43" s="19"/>
      <c r="CL43" s="19"/>
      <c r="CM43" s="19" t="s">
        <v>2138</v>
      </c>
      <c r="CN43" s="19" t="s">
        <v>3020</v>
      </c>
      <c r="CO43" s="19"/>
      <c r="CP43" s="19"/>
      <c r="CQ43" s="19"/>
      <c r="CR43" s="19"/>
      <c r="CS43" s="19"/>
      <c r="CT43" s="19"/>
      <c r="CU43" s="19"/>
      <c r="CV43" s="19" t="s">
        <v>2141</v>
      </c>
      <c r="CW43" s="19" t="s">
        <v>2113</v>
      </c>
      <c r="CX43" s="19" t="s">
        <v>2113</v>
      </c>
      <c r="CY43" s="19"/>
      <c r="CZ43" s="19"/>
      <c r="DA43" s="19" t="s">
        <v>16</v>
      </c>
      <c r="DB43" s="19" t="s">
        <v>17</v>
      </c>
      <c r="DC43" s="19" t="s">
        <v>2143</v>
      </c>
      <c r="DD43" s="19" t="s">
        <v>2113</v>
      </c>
      <c r="DE43" s="19" t="s">
        <v>2113</v>
      </c>
      <c r="DF43" s="19" t="s">
        <v>2142</v>
      </c>
      <c r="DG43" s="19" t="s">
        <v>2578</v>
      </c>
      <c r="DH43" s="19" t="s">
        <v>2580</v>
      </c>
      <c r="DI43" s="24">
        <v>45517.0</v>
      </c>
      <c r="DJ43" s="19" t="s">
        <v>2133</v>
      </c>
      <c r="DK43" s="19" t="s">
        <v>2145</v>
      </c>
      <c r="DL43" s="19" t="s">
        <v>2146</v>
      </c>
      <c r="DM43" s="19" t="s">
        <v>3021</v>
      </c>
      <c r="DN43" s="19">
        <v>1.0</v>
      </c>
      <c r="DO43" s="19">
        <v>1.0</v>
      </c>
      <c r="DP43" s="19" t="s">
        <v>3022</v>
      </c>
      <c r="DQ43" s="19" t="s">
        <v>3023</v>
      </c>
      <c r="DR43" s="19" t="s">
        <v>3024</v>
      </c>
      <c r="DS43" s="19" t="s">
        <v>2185</v>
      </c>
      <c r="DT43" s="19" t="s">
        <v>2366</v>
      </c>
      <c r="DU43" s="19"/>
      <c r="DV43" s="19"/>
      <c r="DW43" s="19" t="s">
        <v>2153</v>
      </c>
      <c r="DX43" s="19">
        <v>1.0</v>
      </c>
      <c r="DY43" s="19">
        <v>10.0</v>
      </c>
      <c r="DZ43" s="19">
        <v>0.0</v>
      </c>
      <c r="EA43" s="19">
        <v>10.0</v>
      </c>
      <c r="EB43" s="19">
        <v>0.0</v>
      </c>
      <c r="EC43" s="19">
        <v>20.0</v>
      </c>
      <c r="ED43" s="19" t="s">
        <v>2133</v>
      </c>
      <c r="EE43" s="24">
        <v>45517.0</v>
      </c>
      <c r="EF43" s="19" t="s">
        <v>2133</v>
      </c>
      <c r="EG43" s="19" t="s">
        <v>2145</v>
      </c>
      <c r="EH43" s="19" t="s">
        <v>2146</v>
      </c>
      <c r="EI43" s="22">
        <v>15.0</v>
      </c>
      <c r="EJ43" s="19">
        <v>44.0</v>
      </c>
      <c r="EK43" s="19" t="s">
        <v>2113</v>
      </c>
      <c r="EL43" s="19" t="s">
        <v>2163</v>
      </c>
      <c r="EM43" s="19" t="s">
        <v>3012</v>
      </c>
      <c r="EN43" s="19" t="s">
        <v>141</v>
      </c>
      <c r="EO43" s="19" t="s">
        <v>3015</v>
      </c>
      <c r="EP43" s="19" t="s">
        <v>2122</v>
      </c>
      <c r="EQ43" s="19" t="s">
        <v>3020</v>
      </c>
      <c r="ER43" s="19"/>
      <c r="ES43" s="19" t="s">
        <v>141</v>
      </c>
      <c r="ET43" s="19" t="s">
        <v>141</v>
      </c>
      <c r="EU43" s="19" t="s">
        <v>3010</v>
      </c>
      <c r="EV43" s="19">
        <v>8822.0</v>
      </c>
      <c r="EW43" s="19" t="s">
        <v>16</v>
      </c>
      <c r="EX43" s="19">
        <v>3.0</v>
      </c>
      <c r="EY43" s="25" t="s">
        <v>3025</v>
      </c>
      <c r="EZ43" s="19" t="s">
        <v>2154</v>
      </c>
      <c r="FA43" s="5" t="s">
        <v>3026</v>
      </c>
      <c r="FB43" s="26" t="s">
        <v>2156</v>
      </c>
      <c r="FC43" s="26"/>
    </row>
    <row r="44">
      <c r="A44" s="19" t="s">
        <v>2112</v>
      </c>
      <c r="B44" s="19" t="s">
        <v>2113</v>
      </c>
      <c r="C44" s="19" t="s">
        <v>2113</v>
      </c>
      <c r="D44" s="19" t="s">
        <v>142</v>
      </c>
      <c r="E44" s="19" t="s">
        <v>3027</v>
      </c>
      <c r="F44" s="19" t="s">
        <v>142</v>
      </c>
      <c r="G44" s="19"/>
      <c r="H44" s="19" t="s">
        <v>142</v>
      </c>
      <c r="I44" s="19" t="s">
        <v>144</v>
      </c>
      <c r="J44" s="19" t="s">
        <v>3028</v>
      </c>
      <c r="K44" s="19" t="s">
        <v>3029</v>
      </c>
      <c r="L44" s="20">
        <v>45448.0</v>
      </c>
      <c r="M44" s="20">
        <v>45449.0</v>
      </c>
      <c r="N44" s="20">
        <v>45449.0</v>
      </c>
      <c r="O44" s="19" t="s">
        <v>143</v>
      </c>
      <c r="P44" s="19">
        <v>0.0</v>
      </c>
      <c r="Q44" s="19">
        <v>19.0</v>
      </c>
      <c r="R44" s="19">
        <v>7133.0</v>
      </c>
      <c r="S44" s="20" t="s">
        <v>3030</v>
      </c>
      <c r="T44" s="20">
        <v>45461.0</v>
      </c>
      <c r="U44" s="19" t="s">
        <v>142</v>
      </c>
      <c r="V44" s="19"/>
      <c r="W44" s="19" t="s">
        <v>2131</v>
      </c>
      <c r="X44" s="21">
        <v>20.0</v>
      </c>
      <c r="Y44" s="21">
        <v>10.0</v>
      </c>
      <c r="Z44" s="21">
        <v>3.0</v>
      </c>
      <c r="AA44" s="21">
        <v>0.0</v>
      </c>
      <c r="AB44" s="5">
        <v>33.0</v>
      </c>
      <c r="AC44" s="19">
        <v>4.6</v>
      </c>
      <c r="AD44" s="19">
        <v>5.0</v>
      </c>
      <c r="AE44" s="19">
        <v>4.6</v>
      </c>
      <c r="AF44" s="19">
        <v>4.6</v>
      </c>
      <c r="AG44" s="19">
        <v>4.2</v>
      </c>
      <c r="AH44" s="19">
        <v>4.4</v>
      </c>
      <c r="AI44" s="22">
        <v>13.8375</v>
      </c>
      <c r="AJ44" s="19">
        <v>15.0</v>
      </c>
      <c r="AK44" s="19">
        <v>15.0</v>
      </c>
      <c r="AL44" s="19">
        <v>15.0</v>
      </c>
      <c r="AM44" s="19">
        <v>45.0</v>
      </c>
      <c r="AN44" s="19">
        <v>58.8</v>
      </c>
      <c r="AO44" s="19">
        <v>91.8</v>
      </c>
      <c r="AP44" s="19">
        <v>167.0</v>
      </c>
      <c r="AQ44" s="23">
        <v>42.0</v>
      </c>
      <c r="AR44" s="23">
        <v>4.0</v>
      </c>
      <c r="AS44" s="22"/>
      <c r="AT44" s="19" t="s">
        <v>2163</v>
      </c>
      <c r="AU44" s="19" t="s">
        <v>3031</v>
      </c>
      <c r="AV44" s="19" t="s">
        <v>3032</v>
      </c>
      <c r="AW44" s="19" t="s">
        <v>3033</v>
      </c>
      <c r="AX44" s="20">
        <v>38328.0</v>
      </c>
      <c r="AY44" s="19" t="s">
        <v>3034</v>
      </c>
      <c r="AZ44" s="19" t="s">
        <v>2310</v>
      </c>
      <c r="BA44" s="19" t="s">
        <v>3035</v>
      </c>
      <c r="BB44" s="19" t="s">
        <v>3036</v>
      </c>
      <c r="BC44" s="19" t="s">
        <v>3037</v>
      </c>
      <c r="BD44" s="19" t="s">
        <v>3038</v>
      </c>
      <c r="BE44" s="19" t="s">
        <v>3028</v>
      </c>
      <c r="BF44" s="19">
        <v>1.19844885E10</v>
      </c>
      <c r="BG44" s="19" t="s">
        <v>2127</v>
      </c>
      <c r="BH44" s="19" t="s">
        <v>2128</v>
      </c>
      <c r="BI44" s="19"/>
      <c r="BJ44" s="19" t="s">
        <v>2128</v>
      </c>
      <c r="BK44" s="19" t="s">
        <v>17</v>
      </c>
      <c r="BL44" s="19"/>
      <c r="BM44" s="19" t="s">
        <v>2130</v>
      </c>
      <c r="BN44" s="19" t="s">
        <v>17</v>
      </c>
      <c r="BO44" s="19" t="s">
        <v>2473</v>
      </c>
      <c r="BP44" s="19"/>
      <c r="BQ44" s="19" t="s">
        <v>2174</v>
      </c>
      <c r="BR44" s="19" t="s">
        <v>2174</v>
      </c>
      <c r="BS44" s="19" t="s">
        <v>2134</v>
      </c>
      <c r="BT44" s="19" t="s">
        <v>34</v>
      </c>
      <c r="BU44" s="19" t="s">
        <v>3039</v>
      </c>
      <c r="BV44" s="19" t="s">
        <v>3040</v>
      </c>
      <c r="BW44" s="19" t="s">
        <v>2113</v>
      </c>
      <c r="BX44" s="19"/>
      <c r="BY44" s="19"/>
      <c r="BZ44" s="19"/>
      <c r="CA44" s="19"/>
      <c r="CB44" s="19"/>
      <c r="CC44" s="19"/>
      <c r="CD44" s="19" t="s">
        <v>2137</v>
      </c>
      <c r="CE44" s="19" t="s">
        <v>16</v>
      </c>
      <c r="CF44" s="19"/>
      <c r="CG44" s="19"/>
      <c r="CH44" s="19" t="s">
        <v>16</v>
      </c>
      <c r="CI44" s="21">
        <v>0.0</v>
      </c>
      <c r="CJ44" s="19" t="s">
        <v>17</v>
      </c>
      <c r="CK44" s="19"/>
      <c r="CL44" s="19"/>
      <c r="CM44" s="19" t="s">
        <v>2344</v>
      </c>
      <c r="CN44" s="19" t="s">
        <v>3041</v>
      </c>
      <c r="CO44" s="19"/>
      <c r="CP44" s="19" t="s">
        <v>2225</v>
      </c>
      <c r="CQ44" s="19"/>
      <c r="CR44" s="19"/>
      <c r="CS44" s="19"/>
      <c r="CT44" s="19" t="s">
        <v>2113</v>
      </c>
      <c r="CU44" s="19" t="s">
        <v>2113</v>
      </c>
      <c r="CV44" s="19" t="s">
        <v>2141</v>
      </c>
      <c r="CW44" s="19"/>
      <c r="CX44" s="19"/>
      <c r="CY44" s="19"/>
      <c r="CZ44" s="19"/>
      <c r="DA44" s="19" t="s">
        <v>16</v>
      </c>
      <c r="DB44" s="19" t="s">
        <v>17</v>
      </c>
      <c r="DC44" s="19" t="s">
        <v>3042</v>
      </c>
      <c r="DD44" s="19" t="s">
        <v>2113</v>
      </c>
      <c r="DE44" s="19" t="s">
        <v>2113</v>
      </c>
      <c r="DF44" s="19" t="s">
        <v>2433</v>
      </c>
      <c r="DG44" s="19" t="s">
        <v>2539</v>
      </c>
      <c r="DH44" s="19" t="s">
        <v>2144</v>
      </c>
      <c r="DI44" s="24">
        <v>45525.0</v>
      </c>
      <c r="DJ44" s="19" t="s">
        <v>2174</v>
      </c>
      <c r="DK44" s="19" t="s">
        <v>2271</v>
      </c>
      <c r="DL44" s="19" t="s">
        <v>2183</v>
      </c>
      <c r="DM44" s="19" t="s">
        <v>2249</v>
      </c>
      <c r="DN44" s="19">
        <v>10.0</v>
      </c>
      <c r="DO44" s="19">
        <v>10.0</v>
      </c>
      <c r="DP44" s="19" t="s">
        <v>3043</v>
      </c>
      <c r="DQ44" s="19" t="s">
        <v>3044</v>
      </c>
      <c r="DR44" s="19" t="s">
        <v>3045</v>
      </c>
      <c r="DS44" s="19" t="s">
        <v>2151</v>
      </c>
      <c r="DT44" s="19" t="s">
        <v>2209</v>
      </c>
      <c r="DU44" s="19"/>
      <c r="DV44" s="19"/>
      <c r="DW44" s="19" t="s">
        <v>2479</v>
      </c>
      <c r="DX44" s="19">
        <v>16.0</v>
      </c>
      <c r="DY44" s="19">
        <v>10.0</v>
      </c>
      <c r="DZ44" s="19">
        <v>0.0</v>
      </c>
      <c r="EA44" s="19">
        <v>10.0</v>
      </c>
      <c r="EB44" s="19">
        <v>0.0</v>
      </c>
      <c r="EC44" s="19">
        <v>20.0</v>
      </c>
      <c r="ED44" s="19" t="s">
        <v>2174</v>
      </c>
      <c r="EE44" s="24">
        <v>45525.0</v>
      </c>
      <c r="EF44" s="19" t="s">
        <v>2174</v>
      </c>
      <c r="EG44" s="19" t="s">
        <v>2271</v>
      </c>
      <c r="EH44" s="19" t="s">
        <v>2183</v>
      </c>
      <c r="EI44" s="22">
        <v>13.8375</v>
      </c>
      <c r="EJ44" s="19">
        <v>45.0</v>
      </c>
      <c r="EK44" s="19" t="s">
        <v>2113</v>
      </c>
      <c r="EL44" s="19" t="s">
        <v>2163</v>
      </c>
      <c r="EM44" s="19" t="s">
        <v>3031</v>
      </c>
      <c r="EN44" s="19" t="s">
        <v>144</v>
      </c>
      <c r="EO44" s="19" t="s">
        <v>3034</v>
      </c>
      <c r="EP44" s="19" t="s">
        <v>2310</v>
      </c>
      <c r="EQ44" s="19" t="s">
        <v>3041</v>
      </c>
      <c r="ER44" s="19"/>
      <c r="ES44" s="19" t="s">
        <v>144</v>
      </c>
      <c r="ET44" s="19" t="s">
        <v>144</v>
      </c>
      <c r="EU44" s="19" t="s">
        <v>3029</v>
      </c>
      <c r="EV44" s="19">
        <v>7133.0</v>
      </c>
      <c r="EW44" s="19" t="s">
        <v>16</v>
      </c>
      <c r="EX44" s="19">
        <v>3.0</v>
      </c>
      <c r="EY44" s="25" t="s">
        <v>143</v>
      </c>
      <c r="EZ44" s="19" t="s">
        <v>2154</v>
      </c>
      <c r="FA44" s="5" t="s">
        <v>3046</v>
      </c>
      <c r="FB44" s="26" t="s">
        <v>2156</v>
      </c>
      <c r="FC44" s="26"/>
    </row>
    <row r="45">
      <c r="A45" s="19" t="s">
        <v>2156</v>
      </c>
      <c r="B45" s="19" t="s">
        <v>2113</v>
      </c>
      <c r="C45" s="19" t="s">
        <v>2113</v>
      </c>
      <c r="D45" s="19" t="s">
        <v>145</v>
      </c>
      <c r="E45" s="19" t="s">
        <v>3047</v>
      </c>
      <c r="F45" s="19" t="s">
        <v>145</v>
      </c>
      <c r="G45" s="19"/>
      <c r="H45" s="19" t="s">
        <v>145</v>
      </c>
      <c r="I45" s="19" t="s">
        <v>147</v>
      </c>
      <c r="J45" s="19" t="s">
        <v>3048</v>
      </c>
      <c r="K45" s="19" t="s">
        <v>3049</v>
      </c>
      <c r="L45" s="20">
        <v>45439.0</v>
      </c>
      <c r="M45" s="20">
        <v>45440.0</v>
      </c>
      <c r="N45" s="20">
        <v>45440.0</v>
      </c>
      <c r="O45" s="19" t="s">
        <v>146</v>
      </c>
      <c r="P45" s="19">
        <v>0.0</v>
      </c>
      <c r="Q45" s="19">
        <v>21.0</v>
      </c>
      <c r="R45" s="19">
        <v>7910.0</v>
      </c>
      <c r="S45" s="20" t="s">
        <v>3050</v>
      </c>
      <c r="T45" s="20">
        <v>45461.0</v>
      </c>
      <c r="U45" s="19" t="s">
        <v>145</v>
      </c>
      <c r="V45" s="19"/>
      <c r="W45" s="19"/>
      <c r="X45" s="21">
        <v>20.0</v>
      </c>
      <c r="Y45" s="21">
        <v>10.0</v>
      </c>
      <c r="Z45" s="21">
        <v>3.0</v>
      </c>
      <c r="AA45" s="21">
        <v>0.0</v>
      </c>
      <c r="AB45" s="5">
        <v>33.0</v>
      </c>
      <c r="AC45" s="19">
        <v>4.5</v>
      </c>
      <c r="AD45" s="19">
        <v>5.0</v>
      </c>
      <c r="AE45" s="19">
        <v>4.5</v>
      </c>
      <c r="AF45" s="19">
        <v>4.0</v>
      </c>
      <c r="AG45" s="19">
        <v>5.0</v>
      </c>
      <c r="AH45" s="19">
        <v>4.5</v>
      </c>
      <c r="AI45" s="22">
        <v>13.828125</v>
      </c>
      <c r="AJ45" s="19">
        <v>15.0</v>
      </c>
      <c r="AK45" s="19">
        <v>15.0</v>
      </c>
      <c r="AL45" s="19">
        <v>15.0</v>
      </c>
      <c r="AM45" s="19">
        <v>45.0</v>
      </c>
      <c r="AN45" s="19">
        <v>58.8</v>
      </c>
      <c r="AO45" s="19">
        <v>91.8</v>
      </c>
      <c r="AP45" s="19">
        <v>155.0</v>
      </c>
      <c r="AQ45" s="23">
        <v>43.0</v>
      </c>
      <c r="AR45" s="23">
        <v>8.0</v>
      </c>
      <c r="AS45" s="22"/>
      <c r="AT45" s="19" t="s">
        <v>2117</v>
      </c>
      <c r="AU45" s="19" t="s">
        <v>3051</v>
      </c>
      <c r="AV45" s="19" t="s">
        <v>3052</v>
      </c>
      <c r="AW45" s="19"/>
      <c r="AX45" s="20">
        <v>37551.0</v>
      </c>
      <c r="AY45" s="19" t="s">
        <v>3053</v>
      </c>
      <c r="AZ45" s="19" t="s">
        <v>2310</v>
      </c>
      <c r="BA45" s="19" t="s">
        <v>3054</v>
      </c>
      <c r="BB45" s="19" t="s">
        <v>3055</v>
      </c>
      <c r="BC45" s="19" t="s">
        <v>3056</v>
      </c>
      <c r="BD45" s="19" t="s">
        <v>3057</v>
      </c>
      <c r="BE45" s="19" t="s">
        <v>3058</v>
      </c>
      <c r="BF45" s="19" t="s">
        <v>3059</v>
      </c>
      <c r="BG45" s="19" t="s">
        <v>2127</v>
      </c>
      <c r="BH45" s="19" t="s">
        <v>2128</v>
      </c>
      <c r="BI45" s="19"/>
      <c r="BJ45" s="19" t="s">
        <v>2128</v>
      </c>
      <c r="BK45" s="19" t="s">
        <v>17</v>
      </c>
      <c r="BL45" s="19"/>
      <c r="BM45" s="19" t="s">
        <v>2130</v>
      </c>
      <c r="BN45" s="19" t="s">
        <v>3060</v>
      </c>
      <c r="BO45" s="19" t="s">
        <v>2473</v>
      </c>
      <c r="BP45" s="19" t="s">
        <v>3061</v>
      </c>
      <c r="BQ45" s="19" t="s">
        <v>2325</v>
      </c>
      <c r="BR45" s="19" t="s">
        <v>2325</v>
      </c>
      <c r="BS45" s="19" t="s">
        <v>2134</v>
      </c>
      <c r="BT45" s="19" t="s">
        <v>59</v>
      </c>
      <c r="BU45" s="19" t="s">
        <v>3062</v>
      </c>
      <c r="BV45" s="19" t="s">
        <v>3063</v>
      </c>
      <c r="BW45" s="19" t="s">
        <v>2113</v>
      </c>
      <c r="BX45" s="19"/>
      <c r="BY45" s="19"/>
      <c r="BZ45" s="19"/>
      <c r="CA45" s="19"/>
      <c r="CB45" s="19"/>
      <c r="CC45" s="19"/>
      <c r="CD45" s="19" t="s">
        <v>2137</v>
      </c>
      <c r="CE45" s="19" t="s">
        <v>16</v>
      </c>
      <c r="CF45" s="19"/>
      <c r="CG45" s="19"/>
      <c r="CH45" s="19" t="s">
        <v>16</v>
      </c>
      <c r="CI45" s="21">
        <v>0.0</v>
      </c>
      <c r="CJ45" s="19" t="s">
        <v>17</v>
      </c>
      <c r="CK45" s="19"/>
      <c r="CL45" s="19"/>
      <c r="CM45" s="19" t="s">
        <v>2138</v>
      </c>
      <c r="CN45" s="19" t="s">
        <v>3064</v>
      </c>
      <c r="CO45" s="19"/>
      <c r="CP45" s="19" t="s">
        <v>2178</v>
      </c>
      <c r="CQ45" s="19"/>
      <c r="CR45" s="19" t="s">
        <v>2113</v>
      </c>
      <c r="CS45" s="19" t="s">
        <v>2113</v>
      </c>
      <c r="CT45" s="19"/>
      <c r="CU45" s="19"/>
      <c r="CV45" s="19" t="s">
        <v>2141</v>
      </c>
      <c r="CW45" s="19" t="s">
        <v>2113</v>
      </c>
      <c r="CX45" s="19" t="s">
        <v>2113</v>
      </c>
      <c r="CY45" s="19" t="s">
        <v>2113</v>
      </c>
      <c r="CZ45" s="19" t="s">
        <v>2113</v>
      </c>
      <c r="DA45" s="19" t="s">
        <v>16</v>
      </c>
      <c r="DB45" s="19" t="s">
        <v>17</v>
      </c>
      <c r="DC45" s="19" t="s">
        <v>2432</v>
      </c>
      <c r="DD45" s="19" t="s">
        <v>2113</v>
      </c>
      <c r="DE45" s="19" t="s">
        <v>2113</v>
      </c>
      <c r="DF45" s="19" t="s">
        <v>2433</v>
      </c>
      <c r="DG45" s="19" t="s">
        <v>2207</v>
      </c>
      <c r="DH45" s="19" t="s">
        <v>2144</v>
      </c>
      <c r="DI45" s="24">
        <v>45519.0</v>
      </c>
      <c r="DJ45" s="19" t="s">
        <v>2325</v>
      </c>
      <c r="DK45" s="19" t="s">
        <v>2145</v>
      </c>
      <c r="DL45" s="19" t="s">
        <v>2326</v>
      </c>
      <c r="DM45" s="19"/>
      <c r="DN45" s="19">
        <v>5.0</v>
      </c>
      <c r="DO45" s="19">
        <v>5.0</v>
      </c>
      <c r="DP45" s="19" t="s">
        <v>3065</v>
      </c>
      <c r="DQ45" s="19" t="s">
        <v>3066</v>
      </c>
      <c r="DR45" s="19" t="s">
        <v>3067</v>
      </c>
      <c r="DS45" s="19" t="s">
        <v>2185</v>
      </c>
      <c r="DT45" s="19" t="s">
        <v>2209</v>
      </c>
      <c r="DU45" s="19"/>
      <c r="DV45" s="19"/>
      <c r="DW45" s="19" t="s">
        <v>2153</v>
      </c>
      <c r="DX45" s="19">
        <v>3.0</v>
      </c>
      <c r="DY45" s="19">
        <v>10.0</v>
      </c>
      <c r="DZ45" s="19">
        <v>0.0</v>
      </c>
      <c r="EA45" s="19">
        <v>10.0</v>
      </c>
      <c r="EB45" s="19">
        <v>0.0</v>
      </c>
      <c r="EC45" s="19">
        <v>20.0</v>
      </c>
      <c r="ED45" s="19" t="s">
        <v>2325</v>
      </c>
      <c r="EE45" s="24">
        <v>45519.0</v>
      </c>
      <c r="EF45" s="19" t="s">
        <v>2325</v>
      </c>
      <c r="EG45" s="19" t="s">
        <v>2145</v>
      </c>
      <c r="EH45" s="19" t="s">
        <v>2326</v>
      </c>
      <c r="EI45" s="22">
        <v>13.828125</v>
      </c>
      <c r="EJ45" s="19">
        <v>45.0</v>
      </c>
      <c r="EK45" s="19" t="s">
        <v>2113</v>
      </c>
      <c r="EL45" s="19" t="s">
        <v>2117</v>
      </c>
      <c r="EM45" s="19" t="s">
        <v>3051</v>
      </c>
      <c r="EN45" s="19" t="s">
        <v>147</v>
      </c>
      <c r="EO45" s="19" t="s">
        <v>3053</v>
      </c>
      <c r="EP45" s="19" t="s">
        <v>2310</v>
      </c>
      <c r="EQ45" s="19" t="s">
        <v>3064</v>
      </c>
      <c r="ER45" s="19"/>
      <c r="ES45" s="19" t="s">
        <v>147</v>
      </c>
      <c r="ET45" s="19" t="s">
        <v>147</v>
      </c>
      <c r="EU45" s="19" t="s">
        <v>3049</v>
      </c>
      <c r="EV45" s="19">
        <v>7910.0</v>
      </c>
      <c r="EW45" s="19" t="s">
        <v>16</v>
      </c>
      <c r="EX45" s="19">
        <v>3.0</v>
      </c>
      <c r="EY45" s="25" t="s">
        <v>146</v>
      </c>
      <c r="EZ45" s="19" t="s">
        <v>2154</v>
      </c>
      <c r="FA45" s="5" t="s">
        <v>3068</v>
      </c>
      <c r="FB45" s="26" t="s">
        <v>2156</v>
      </c>
      <c r="FC45" s="26"/>
    </row>
    <row r="46">
      <c r="A46" s="19" t="s">
        <v>2112</v>
      </c>
      <c r="B46" s="19" t="s">
        <v>2113</v>
      </c>
      <c r="C46" s="19" t="s">
        <v>2113</v>
      </c>
      <c r="D46" s="19" t="s">
        <v>148</v>
      </c>
      <c r="E46" s="19" t="s">
        <v>3069</v>
      </c>
      <c r="F46" s="19" t="s">
        <v>3070</v>
      </c>
      <c r="G46" s="19" t="s">
        <v>3071</v>
      </c>
      <c r="H46" s="19" t="s">
        <v>148</v>
      </c>
      <c r="I46" s="19" t="s">
        <v>150</v>
      </c>
      <c r="J46" s="19" t="s">
        <v>3072</v>
      </c>
      <c r="K46" s="19" t="s">
        <v>3073</v>
      </c>
      <c r="L46" s="20">
        <v>45415.0</v>
      </c>
      <c r="M46" s="20">
        <v>45428.0</v>
      </c>
      <c r="N46" s="20">
        <v>45428.0</v>
      </c>
      <c r="O46" s="19" t="s">
        <v>149</v>
      </c>
      <c r="P46" s="19">
        <v>0.0</v>
      </c>
      <c r="Q46" s="19">
        <v>21.0</v>
      </c>
      <c r="R46" s="19">
        <v>7839.0</v>
      </c>
      <c r="S46" s="20" t="s">
        <v>3074</v>
      </c>
      <c r="T46" s="20">
        <v>45461.0</v>
      </c>
      <c r="U46" s="19" t="s">
        <v>3070</v>
      </c>
      <c r="V46" s="19"/>
      <c r="W46" s="19"/>
      <c r="X46" s="21">
        <v>20.0</v>
      </c>
      <c r="Y46" s="21">
        <v>10.0</v>
      </c>
      <c r="Z46" s="21">
        <v>1.0</v>
      </c>
      <c r="AA46" s="21">
        <v>2.0</v>
      </c>
      <c r="AB46" s="5">
        <v>33.0</v>
      </c>
      <c r="AC46" s="19">
        <v>4.4</v>
      </c>
      <c r="AD46" s="19">
        <v>4.6</v>
      </c>
      <c r="AE46" s="19">
        <v>4.8</v>
      </c>
      <c r="AF46" s="19">
        <v>4.6</v>
      </c>
      <c r="AG46" s="19">
        <v>4.0</v>
      </c>
      <c r="AH46" s="19">
        <v>5.0</v>
      </c>
      <c r="AI46" s="22">
        <v>13.78125</v>
      </c>
      <c r="AJ46" s="19">
        <v>15.0</v>
      </c>
      <c r="AK46" s="19">
        <v>15.0</v>
      </c>
      <c r="AL46" s="19">
        <v>15.0</v>
      </c>
      <c r="AM46" s="19">
        <v>45.0</v>
      </c>
      <c r="AN46" s="19">
        <v>58.8</v>
      </c>
      <c r="AO46" s="19">
        <v>91.8</v>
      </c>
      <c r="AP46" s="19">
        <v>175.0</v>
      </c>
      <c r="AQ46" s="23">
        <v>44.0</v>
      </c>
      <c r="AR46" s="23">
        <v>10.0</v>
      </c>
      <c r="AS46" s="22"/>
      <c r="AT46" s="19" t="s">
        <v>2163</v>
      </c>
      <c r="AU46" s="19" t="s">
        <v>3075</v>
      </c>
      <c r="AV46" s="19" t="s">
        <v>3076</v>
      </c>
      <c r="AW46" s="19" t="s">
        <v>2466</v>
      </c>
      <c r="AX46" s="20">
        <v>37622.0</v>
      </c>
      <c r="AY46" s="19" t="s">
        <v>3077</v>
      </c>
      <c r="AZ46" s="19" t="s">
        <v>2554</v>
      </c>
      <c r="BA46" s="19" t="s">
        <v>3078</v>
      </c>
      <c r="BB46" s="19" t="s">
        <v>3079</v>
      </c>
      <c r="BC46" s="19" t="s">
        <v>3080</v>
      </c>
      <c r="BD46" s="19" t="s">
        <v>3081</v>
      </c>
      <c r="BE46" s="19" t="s">
        <v>3072</v>
      </c>
      <c r="BF46" s="19">
        <v>1.1992330523E10</v>
      </c>
      <c r="BG46" s="19" t="s">
        <v>2127</v>
      </c>
      <c r="BH46" s="19" t="s">
        <v>2128</v>
      </c>
      <c r="BI46" s="19"/>
      <c r="BJ46" s="19"/>
      <c r="BK46" s="19" t="s">
        <v>16</v>
      </c>
      <c r="BL46" s="19" t="s">
        <v>2113</v>
      </c>
      <c r="BM46" s="19" t="s">
        <v>2130</v>
      </c>
      <c r="BN46" s="19" t="s">
        <v>2172</v>
      </c>
      <c r="BO46" s="19" t="s">
        <v>3082</v>
      </c>
      <c r="BP46" s="19" t="s">
        <v>3083</v>
      </c>
      <c r="BQ46" s="19" t="s">
        <v>2174</v>
      </c>
      <c r="BR46" s="19" t="s">
        <v>2174</v>
      </c>
      <c r="BS46" s="19" t="s">
        <v>2134</v>
      </c>
      <c r="BT46" s="19" t="s">
        <v>21</v>
      </c>
      <c r="BU46" s="19"/>
      <c r="BV46" s="19" t="s">
        <v>3084</v>
      </c>
      <c r="BW46" s="19"/>
      <c r="BX46" s="19"/>
      <c r="BY46" s="19"/>
      <c r="BZ46" s="19" t="s">
        <v>2113</v>
      </c>
      <c r="CA46" s="19"/>
      <c r="CB46" s="19" t="s">
        <v>2113</v>
      </c>
      <c r="CC46" s="19" t="s">
        <v>2113</v>
      </c>
      <c r="CD46" s="19" t="s">
        <v>2137</v>
      </c>
      <c r="CE46" s="19" t="s">
        <v>16</v>
      </c>
      <c r="CF46" s="19"/>
      <c r="CG46" s="19"/>
      <c r="CH46" s="19" t="s">
        <v>16</v>
      </c>
      <c r="CI46" s="21">
        <v>0.0</v>
      </c>
      <c r="CJ46" s="19" t="s">
        <v>17</v>
      </c>
      <c r="CK46" s="19"/>
      <c r="CL46" s="19"/>
      <c r="CM46" s="19" t="s">
        <v>2138</v>
      </c>
      <c r="CN46" s="19" t="s">
        <v>3085</v>
      </c>
      <c r="CO46" s="19"/>
      <c r="CP46" s="19" t="s">
        <v>2134</v>
      </c>
      <c r="CQ46" s="19"/>
      <c r="CR46" s="19" t="s">
        <v>2113</v>
      </c>
      <c r="CS46" s="19" t="s">
        <v>2113</v>
      </c>
      <c r="CT46" s="19" t="s">
        <v>2113</v>
      </c>
      <c r="CU46" s="19" t="s">
        <v>2113</v>
      </c>
      <c r="CV46" s="19" t="s">
        <v>2141</v>
      </c>
      <c r="CW46" s="19"/>
      <c r="CX46" s="19"/>
      <c r="CY46" s="19" t="s">
        <v>2113</v>
      </c>
      <c r="CZ46" s="19" t="s">
        <v>2113</v>
      </c>
      <c r="DA46" s="19" t="s">
        <v>16</v>
      </c>
      <c r="DB46" s="19" t="s">
        <v>17</v>
      </c>
      <c r="DC46" s="19" t="s">
        <v>2181</v>
      </c>
      <c r="DD46" s="19" t="s">
        <v>2113</v>
      </c>
      <c r="DE46" s="19" t="s">
        <v>2113</v>
      </c>
      <c r="DF46" s="19" t="s">
        <v>2539</v>
      </c>
      <c r="DG46" s="19" t="s">
        <v>2539</v>
      </c>
      <c r="DH46" s="19" t="s">
        <v>2144</v>
      </c>
      <c r="DI46" s="24">
        <v>45518.0</v>
      </c>
      <c r="DJ46" s="19" t="s">
        <v>2174</v>
      </c>
      <c r="DK46" s="19" t="s">
        <v>2145</v>
      </c>
      <c r="DL46" s="19" t="s">
        <v>2183</v>
      </c>
      <c r="DM46" s="19" t="s">
        <v>2228</v>
      </c>
      <c r="DN46" s="19">
        <v>3.0</v>
      </c>
      <c r="DO46" s="19">
        <v>3.0</v>
      </c>
      <c r="DP46" s="19" t="s">
        <v>3086</v>
      </c>
      <c r="DQ46" s="19" t="s">
        <v>3087</v>
      </c>
      <c r="DR46" s="19" t="s">
        <v>3088</v>
      </c>
      <c r="DS46" s="19" t="s">
        <v>2151</v>
      </c>
      <c r="DT46" s="19" t="s">
        <v>2152</v>
      </c>
      <c r="DU46" s="19"/>
      <c r="DV46" s="19"/>
      <c r="DW46" s="19" t="s">
        <v>2188</v>
      </c>
      <c r="DX46" s="19">
        <v>15.0</v>
      </c>
      <c r="DY46" s="19">
        <v>10.0</v>
      </c>
      <c r="DZ46" s="19">
        <v>2.0</v>
      </c>
      <c r="EA46" s="19">
        <v>10.0</v>
      </c>
      <c r="EB46" s="19">
        <v>0.0</v>
      </c>
      <c r="EC46" s="19">
        <v>20.0</v>
      </c>
      <c r="ED46" s="19" t="s">
        <v>2174</v>
      </c>
      <c r="EE46" s="24">
        <v>45518.0</v>
      </c>
      <c r="EF46" s="19" t="s">
        <v>2174</v>
      </c>
      <c r="EG46" s="19" t="s">
        <v>2145</v>
      </c>
      <c r="EH46" s="19" t="s">
        <v>2183</v>
      </c>
      <c r="EI46" s="22">
        <v>13.78125</v>
      </c>
      <c r="EJ46" s="19">
        <v>45.0</v>
      </c>
      <c r="EK46" s="19" t="s">
        <v>2113</v>
      </c>
      <c r="EL46" s="19" t="s">
        <v>2163</v>
      </c>
      <c r="EM46" s="19" t="s">
        <v>3075</v>
      </c>
      <c r="EN46" s="19" t="s">
        <v>150</v>
      </c>
      <c r="EO46" s="19" t="s">
        <v>3077</v>
      </c>
      <c r="EP46" s="19" t="s">
        <v>2554</v>
      </c>
      <c r="EQ46" s="19" t="s">
        <v>3085</v>
      </c>
      <c r="ER46" s="19"/>
      <c r="ES46" s="19" t="s">
        <v>150</v>
      </c>
      <c r="ET46" s="19" t="s">
        <v>150</v>
      </c>
      <c r="EU46" s="19" t="s">
        <v>3073</v>
      </c>
      <c r="EV46" s="19">
        <v>7839.0</v>
      </c>
      <c r="EW46" s="19" t="s">
        <v>16</v>
      </c>
      <c r="EX46" s="19">
        <v>1.0</v>
      </c>
      <c r="EY46" s="25" t="s">
        <v>149</v>
      </c>
      <c r="EZ46" s="19" t="s">
        <v>2154</v>
      </c>
      <c r="FA46" s="5" t="s">
        <v>3089</v>
      </c>
      <c r="FB46" s="26" t="s">
        <v>2156</v>
      </c>
      <c r="FC46" s="26"/>
    </row>
    <row r="47">
      <c r="A47" s="19" t="s">
        <v>3090</v>
      </c>
      <c r="B47" s="19" t="s">
        <v>2113</v>
      </c>
      <c r="C47" s="19" t="s">
        <v>2113</v>
      </c>
      <c r="D47" s="19" t="s">
        <v>151</v>
      </c>
      <c r="E47" s="19" t="s">
        <v>3091</v>
      </c>
      <c r="F47" s="19" t="s">
        <v>151</v>
      </c>
      <c r="G47" s="19"/>
      <c r="H47" s="19" t="s">
        <v>151</v>
      </c>
      <c r="I47" s="19" t="s">
        <v>152</v>
      </c>
      <c r="J47" s="19" t="s">
        <v>3092</v>
      </c>
      <c r="K47" s="19" t="s">
        <v>3093</v>
      </c>
      <c r="L47" s="20">
        <v>45403.0</v>
      </c>
      <c r="M47" s="20">
        <v>45411.0</v>
      </c>
      <c r="N47" s="20">
        <v>45411.0</v>
      </c>
      <c r="O47" s="19">
        <v>3.2604202E7</v>
      </c>
      <c r="P47" s="19">
        <v>0.0</v>
      </c>
      <c r="Q47" s="19">
        <v>22.0</v>
      </c>
      <c r="R47" s="19">
        <v>8359.0</v>
      </c>
      <c r="S47" s="20" t="s">
        <v>3094</v>
      </c>
      <c r="T47" s="20">
        <v>45461.0</v>
      </c>
      <c r="U47" s="19" t="s">
        <v>151</v>
      </c>
      <c r="V47" s="19"/>
      <c r="W47" s="19"/>
      <c r="X47" s="21">
        <v>20.0</v>
      </c>
      <c r="Y47" s="21">
        <v>10.0</v>
      </c>
      <c r="Z47" s="21">
        <v>3.0</v>
      </c>
      <c r="AA47" s="21">
        <v>0.0</v>
      </c>
      <c r="AB47" s="5">
        <v>33.0</v>
      </c>
      <c r="AC47" s="19">
        <v>5.0</v>
      </c>
      <c r="AD47" s="19">
        <v>4.0</v>
      </c>
      <c r="AE47" s="19">
        <v>5.0</v>
      </c>
      <c r="AF47" s="19">
        <v>4.0</v>
      </c>
      <c r="AG47" s="19">
        <v>4.0</v>
      </c>
      <c r="AH47" s="19">
        <v>5.0</v>
      </c>
      <c r="AI47" s="22">
        <v>13.59375</v>
      </c>
      <c r="AJ47" s="19">
        <v>15.0</v>
      </c>
      <c r="AK47" s="19">
        <v>15.0</v>
      </c>
      <c r="AL47" s="19">
        <v>15.0</v>
      </c>
      <c r="AM47" s="19">
        <v>45.0</v>
      </c>
      <c r="AN47" s="19">
        <v>58.6</v>
      </c>
      <c r="AO47" s="19">
        <v>91.6</v>
      </c>
      <c r="AP47" s="19">
        <v>148.0</v>
      </c>
      <c r="AQ47" s="23">
        <v>45.0</v>
      </c>
      <c r="AR47" s="23">
        <v>9.0</v>
      </c>
      <c r="AS47" s="22"/>
      <c r="AT47" s="19" t="s">
        <v>2163</v>
      </c>
      <c r="AU47" s="19" t="s">
        <v>3095</v>
      </c>
      <c r="AV47" s="19" t="s">
        <v>3096</v>
      </c>
      <c r="AW47" s="19" t="s">
        <v>3097</v>
      </c>
      <c r="AX47" s="20">
        <v>37102.0</v>
      </c>
      <c r="AY47" s="19" t="s">
        <v>2467</v>
      </c>
      <c r="AZ47" s="19" t="s">
        <v>2122</v>
      </c>
      <c r="BA47" s="19" t="s">
        <v>3098</v>
      </c>
      <c r="BB47" s="19">
        <v>489.0</v>
      </c>
      <c r="BC47" s="19" t="s">
        <v>3099</v>
      </c>
      <c r="BD47" s="19" t="s">
        <v>3100</v>
      </c>
      <c r="BE47" s="19"/>
      <c r="BF47" s="19"/>
      <c r="BG47" s="19" t="s">
        <v>2127</v>
      </c>
      <c r="BH47" s="19" t="s">
        <v>2128</v>
      </c>
      <c r="BI47" s="19"/>
      <c r="BJ47" s="19"/>
      <c r="BK47" s="19" t="s">
        <v>16</v>
      </c>
      <c r="BL47" s="19"/>
      <c r="BM47" s="19" t="s">
        <v>2130</v>
      </c>
      <c r="BN47" s="19" t="s">
        <v>17</v>
      </c>
      <c r="BO47" s="19">
        <v>3.0</v>
      </c>
      <c r="BP47" s="19"/>
      <c r="BQ47" s="19" t="s">
        <v>2133</v>
      </c>
      <c r="BR47" s="19" t="s">
        <v>2133</v>
      </c>
      <c r="BS47" s="19" t="s">
        <v>2134</v>
      </c>
      <c r="BT47" s="19" t="s">
        <v>38</v>
      </c>
      <c r="BU47" s="19" t="s">
        <v>3101</v>
      </c>
      <c r="BV47" s="19">
        <v>2.0392139167E10</v>
      </c>
      <c r="BW47" s="19" t="s">
        <v>2113</v>
      </c>
      <c r="BX47" s="19"/>
      <c r="BY47" s="19"/>
      <c r="BZ47" s="19"/>
      <c r="CA47" s="19"/>
      <c r="CB47" s="19" t="s">
        <v>2113</v>
      </c>
      <c r="CC47" s="19"/>
      <c r="CD47" s="19" t="s">
        <v>2137</v>
      </c>
      <c r="CE47" s="19" t="s">
        <v>16</v>
      </c>
      <c r="CF47" s="19"/>
      <c r="CG47" s="19"/>
      <c r="CH47" s="19" t="s">
        <v>16</v>
      </c>
      <c r="CI47" s="21">
        <v>0.0</v>
      </c>
      <c r="CJ47" s="19" t="s">
        <v>17</v>
      </c>
      <c r="CK47" s="19"/>
      <c r="CL47" s="19"/>
      <c r="CM47" s="19" t="s">
        <v>3102</v>
      </c>
      <c r="CN47" s="19" t="s">
        <v>2475</v>
      </c>
      <c r="CO47" s="19"/>
      <c r="CP47" s="19"/>
      <c r="CQ47" s="19"/>
      <c r="CR47" s="19" t="s">
        <v>2113</v>
      </c>
      <c r="CS47" s="19" t="s">
        <v>2113</v>
      </c>
      <c r="CT47" s="19" t="s">
        <v>2113</v>
      </c>
      <c r="CU47" s="19" t="s">
        <v>2113</v>
      </c>
      <c r="CV47" s="19" t="s">
        <v>2141</v>
      </c>
      <c r="CW47" s="19"/>
      <c r="CX47" s="19"/>
      <c r="CY47" s="19" t="s">
        <v>2113</v>
      </c>
      <c r="CZ47" s="19" t="s">
        <v>2113</v>
      </c>
      <c r="DA47" s="19" t="s">
        <v>16</v>
      </c>
      <c r="DB47" s="19" t="s">
        <v>17</v>
      </c>
      <c r="DC47" s="19" t="s">
        <v>2477</v>
      </c>
      <c r="DD47" s="19" t="s">
        <v>2113</v>
      </c>
      <c r="DE47" s="19" t="s">
        <v>2113</v>
      </c>
      <c r="DF47" s="19" t="s">
        <v>2843</v>
      </c>
      <c r="DG47" s="19" t="s">
        <v>3103</v>
      </c>
      <c r="DH47" s="19" t="s">
        <v>2580</v>
      </c>
      <c r="DI47" s="24">
        <v>45517.0</v>
      </c>
      <c r="DJ47" s="19" t="s">
        <v>2133</v>
      </c>
      <c r="DK47" s="19" t="s">
        <v>2145</v>
      </c>
      <c r="DL47" s="19" t="s">
        <v>2146</v>
      </c>
      <c r="DM47" s="19" t="s">
        <v>3021</v>
      </c>
      <c r="DN47" s="19">
        <v>1.0</v>
      </c>
      <c r="DO47" s="19">
        <v>1.0</v>
      </c>
      <c r="DP47" s="19" t="s">
        <v>3104</v>
      </c>
      <c r="DQ47" s="19" t="s">
        <v>3105</v>
      </c>
      <c r="DR47" s="19" t="s">
        <v>3106</v>
      </c>
      <c r="DS47" s="19" t="s">
        <v>2185</v>
      </c>
      <c r="DT47" s="19" t="s">
        <v>2366</v>
      </c>
      <c r="DU47" s="19"/>
      <c r="DV47" s="19"/>
      <c r="DW47" s="19" t="s">
        <v>2153</v>
      </c>
      <c r="DX47" s="19">
        <v>1.0</v>
      </c>
      <c r="DY47" s="19">
        <v>10.0</v>
      </c>
      <c r="DZ47" s="19">
        <v>0.0</v>
      </c>
      <c r="EA47" s="19">
        <v>10.0</v>
      </c>
      <c r="EB47" s="19">
        <v>0.0</v>
      </c>
      <c r="EC47" s="19">
        <v>20.0</v>
      </c>
      <c r="ED47" s="19" t="s">
        <v>2133</v>
      </c>
      <c r="EE47" s="24">
        <v>45517.0</v>
      </c>
      <c r="EF47" s="19" t="s">
        <v>2133</v>
      </c>
      <c r="EG47" s="19" t="s">
        <v>2145</v>
      </c>
      <c r="EH47" s="19" t="s">
        <v>2146</v>
      </c>
      <c r="EI47" s="22">
        <v>13.59375</v>
      </c>
      <c r="EJ47" s="19">
        <v>45.0</v>
      </c>
      <c r="EK47" s="19" t="s">
        <v>2113</v>
      </c>
      <c r="EL47" s="19" t="s">
        <v>2163</v>
      </c>
      <c r="EM47" s="19" t="s">
        <v>3095</v>
      </c>
      <c r="EN47" s="19" t="s">
        <v>152</v>
      </c>
      <c r="EO47" s="19" t="s">
        <v>2467</v>
      </c>
      <c r="EP47" s="19" t="s">
        <v>2122</v>
      </c>
      <c r="EQ47" s="19" t="s">
        <v>2475</v>
      </c>
      <c r="ER47" s="19"/>
      <c r="ES47" s="19" t="s">
        <v>152</v>
      </c>
      <c r="ET47" s="19" t="s">
        <v>152</v>
      </c>
      <c r="EU47" s="19" t="s">
        <v>3093</v>
      </c>
      <c r="EV47" s="19">
        <v>8359.0</v>
      </c>
      <c r="EW47" s="19" t="s">
        <v>16</v>
      </c>
      <c r="EX47" s="19">
        <v>3.0</v>
      </c>
      <c r="EY47" s="25" t="s">
        <v>3107</v>
      </c>
      <c r="EZ47" s="19" t="s">
        <v>2154</v>
      </c>
      <c r="FA47" s="5" t="s">
        <v>3108</v>
      </c>
      <c r="FB47" s="26" t="s">
        <v>2156</v>
      </c>
      <c r="FC47" s="26"/>
    </row>
    <row r="48">
      <c r="A48" s="19" t="s">
        <v>2156</v>
      </c>
      <c r="B48" s="19" t="s">
        <v>2113</v>
      </c>
      <c r="C48" s="19" t="s">
        <v>2113</v>
      </c>
      <c r="D48" s="19" t="s">
        <v>153</v>
      </c>
      <c r="E48" s="19" t="s">
        <v>3109</v>
      </c>
      <c r="F48" s="19" t="s">
        <v>3110</v>
      </c>
      <c r="G48" s="19" t="s">
        <v>3111</v>
      </c>
      <c r="H48" s="19" t="s">
        <v>153</v>
      </c>
      <c r="I48" s="19" t="s">
        <v>155</v>
      </c>
      <c r="J48" s="19" t="s">
        <v>3112</v>
      </c>
      <c r="K48" s="19" t="s">
        <v>3113</v>
      </c>
      <c r="L48" s="20">
        <v>45459.0</v>
      </c>
      <c r="M48" s="20">
        <v>45460.0</v>
      </c>
      <c r="N48" s="20">
        <v>45460.0</v>
      </c>
      <c r="O48" s="19" t="s">
        <v>154</v>
      </c>
      <c r="P48" s="19">
        <v>0.0</v>
      </c>
      <c r="Q48" s="19">
        <v>29.0</v>
      </c>
      <c r="R48" s="19">
        <v>10702.0</v>
      </c>
      <c r="S48" s="20" t="s">
        <v>3114</v>
      </c>
      <c r="T48" s="20">
        <v>45461.0</v>
      </c>
      <c r="U48" s="19" t="s">
        <v>3110</v>
      </c>
      <c r="V48" s="19"/>
      <c r="W48" s="19"/>
      <c r="X48" s="21">
        <v>20.0</v>
      </c>
      <c r="Y48" s="21">
        <v>10.0</v>
      </c>
      <c r="Z48" s="21">
        <v>4.0</v>
      </c>
      <c r="AA48" s="21">
        <v>3.0</v>
      </c>
      <c r="AB48" s="5">
        <v>37.0</v>
      </c>
      <c r="AC48" s="19">
        <v>4.0</v>
      </c>
      <c r="AD48" s="19">
        <v>3.0</v>
      </c>
      <c r="AE48" s="19">
        <v>4.0</v>
      </c>
      <c r="AF48" s="19">
        <v>3.0</v>
      </c>
      <c r="AG48" s="19">
        <v>3.0</v>
      </c>
      <c r="AH48" s="19">
        <v>3.5</v>
      </c>
      <c r="AI48" s="22">
        <v>10.40625</v>
      </c>
      <c r="AJ48" s="19">
        <v>15.0</v>
      </c>
      <c r="AK48" s="19">
        <v>15.0</v>
      </c>
      <c r="AL48" s="19">
        <v>14.0</v>
      </c>
      <c r="AM48" s="19">
        <v>44.0</v>
      </c>
      <c r="AN48" s="19">
        <v>54.4</v>
      </c>
      <c r="AO48" s="19">
        <v>91.4</v>
      </c>
      <c r="AP48" s="19">
        <v>22.0</v>
      </c>
      <c r="AQ48" s="23">
        <v>46.0</v>
      </c>
      <c r="AR48" s="23">
        <v>4.0</v>
      </c>
      <c r="AS48" s="22"/>
      <c r="AT48" s="19" t="s">
        <v>2117</v>
      </c>
      <c r="AU48" s="19" t="s">
        <v>3115</v>
      </c>
      <c r="AV48" s="19" t="s">
        <v>3116</v>
      </c>
      <c r="AW48" s="19"/>
      <c r="AX48" s="20">
        <v>34759.0</v>
      </c>
      <c r="AY48" s="19" t="s">
        <v>2702</v>
      </c>
      <c r="AZ48" s="19" t="s">
        <v>2310</v>
      </c>
      <c r="BA48" s="19" t="s">
        <v>3117</v>
      </c>
      <c r="BB48" s="19" t="s">
        <v>3118</v>
      </c>
      <c r="BC48" s="19" t="s">
        <v>3119</v>
      </c>
      <c r="BD48" s="19" t="s">
        <v>3120</v>
      </c>
      <c r="BE48" s="19" t="s">
        <v>3112</v>
      </c>
      <c r="BF48" s="19">
        <v>1.197845613E10</v>
      </c>
      <c r="BG48" s="19" t="s">
        <v>2127</v>
      </c>
      <c r="BH48" s="19" t="s">
        <v>2128</v>
      </c>
      <c r="BI48" s="19"/>
      <c r="BJ48" s="19" t="s">
        <v>2128</v>
      </c>
      <c r="BK48" s="19" t="s">
        <v>16</v>
      </c>
      <c r="BL48" s="19"/>
      <c r="BM48" s="19" t="s">
        <v>2130</v>
      </c>
      <c r="BN48" s="19" t="s">
        <v>3121</v>
      </c>
      <c r="BO48" s="19" t="s">
        <v>2317</v>
      </c>
      <c r="BP48" s="19"/>
      <c r="BQ48" s="19" t="s">
        <v>2318</v>
      </c>
      <c r="BR48" s="19" t="s">
        <v>2318</v>
      </c>
      <c r="BS48" s="19" t="s">
        <v>2134</v>
      </c>
      <c r="BT48" s="19" t="s">
        <v>42</v>
      </c>
      <c r="BU48" s="19" t="s">
        <v>3122</v>
      </c>
      <c r="BV48" s="19" t="s">
        <v>3123</v>
      </c>
      <c r="BW48" s="19" t="s">
        <v>2113</v>
      </c>
      <c r="BX48" s="19"/>
      <c r="BY48" s="19"/>
      <c r="BZ48" s="19"/>
      <c r="CA48" s="19"/>
      <c r="CB48" s="19" t="s">
        <v>2113</v>
      </c>
      <c r="CC48" s="19"/>
      <c r="CD48" s="19" t="s">
        <v>2137</v>
      </c>
      <c r="CE48" s="19" t="s">
        <v>16</v>
      </c>
      <c r="CF48" s="19"/>
      <c r="CG48" s="19"/>
      <c r="CH48" s="19" t="s">
        <v>17</v>
      </c>
      <c r="CI48" s="21">
        <v>3.0</v>
      </c>
      <c r="CJ48" s="19" t="s">
        <v>17</v>
      </c>
      <c r="CK48" s="19"/>
      <c r="CL48" s="19"/>
      <c r="CM48" s="19" t="s">
        <v>2138</v>
      </c>
      <c r="CN48" s="19" t="s">
        <v>2321</v>
      </c>
      <c r="CO48" s="19"/>
      <c r="CP48" s="19" t="s">
        <v>2246</v>
      </c>
      <c r="CQ48" s="19"/>
      <c r="CR48" s="19" t="s">
        <v>2113</v>
      </c>
      <c r="CS48" s="19" t="s">
        <v>2113</v>
      </c>
      <c r="CT48" s="19" t="s">
        <v>2113</v>
      </c>
      <c r="CU48" s="19" t="s">
        <v>2113</v>
      </c>
      <c r="CV48" s="19" t="s">
        <v>2141</v>
      </c>
      <c r="CW48" s="19"/>
      <c r="CX48" s="19"/>
      <c r="CY48" s="19"/>
      <c r="CZ48" s="19"/>
      <c r="DA48" s="19" t="s">
        <v>16</v>
      </c>
      <c r="DB48" s="19" t="s">
        <v>17</v>
      </c>
      <c r="DC48" s="19" t="s">
        <v>2322</v>
      </c>
      <c r="DD48" s="19"/>
      <c r="DE48" s="19"/>
      <c r="DF48" s="19" t="s">
        <v>2804</v>
      </c>
      <c r="DG48" s="19" t="s">
        <v>2248</v>
      </c>
      <c r="DH48" s="19" t="s">
        <v>2144</v>
      </c>
      <c r="DI48" s="24">
        <v>45519.0</v>
      </c>
      <c r="DJ48" s="19" t="s">
        <v>2325</v>
      </c>
      <c r="DK48" s="19" t="s">
        <v>2271</v>
      </c>
      <c r="DL48" s="19" t="s">
        <v>2326</v>
      </c>
      <c r="DM48" s="19"/>
      <c r="DN48" s="19">
        <v>6.0</v>
      </c>
      <c r="DO48" s="19">
        <v>6.0</v>
      </c>
      <c r="DP48" s="19" t="s">
        <v>3124</v>
      </c>
      <c r="DQ48" s="19" t="s">
        <v>3125</v>
      </c>
      <c r="DR48" s="19" t="s">
        <v>3126</v>
      </c>
      <c r="DS48" s="19" t="s">
        <v>2185</v>
      </c>
      <c r="DT48" s="19" t="s">
        <v>2366</v>
      </c>
      <c r="DU48" s="19"/>
      <c r="DV48" s="19"/>
      <c r="DW48" s="19" t="s">
        <v>2479</v>
      </c>
      <c r="DX48" s="19">
        <v>6.0</v>
      </c>
      <c r="DY48" s="19">
        <v>10.0</v>
      </c>
      <c r="DZ48" s="19">
        <v>0.0</v>
      </c>
      <c r="EA48" s="19">
        <v>10.0</v>
      </c>
      <c r="EB48" s="19">
        <v>3.0</v>
      </c>
      <c r="EC48" s="19">
        <v>20.0</v>
      </c>
      <c r="ED48" s="19" t="s">
        <v>2325</v>
      </c>
      <c r="EE48" s="24">
        <v>45519.0</v>
      </c>
      <c r="EF48" s="19" t="s">
        <v>2325</v>
      </c>
      <c r="EG48" s="19" t="s">
        <v>2271</v>
      </c>
      <c r="EH48" s="19" t="s">
        <v>2326</v>
      </c>
      <c r="EI48" s="22">
        <v>10.40625</v>
      </c>
      <c r="EJ48" s="19">
        <v>44.0</v>
      </c>
      <c r="EK48" s="19" t="s">
        <v>2113</v>
      </c>
      <c r="EL48" s="19" t="s">
        <v>2117</v>
      </c>
      <c r="EM48" s="19" t="s">
        <v>3115</v>
      </c>
      <c r="EN48" s="19" t="s">
        <v>155</v>
      </c>
      <c r="EO48" s="19" t="s">
        <v>2702</v>
      </c>
      <c r="EP48" s="19" t="s">
        <v>2310</v>
      </c>
      <c r="EQ48" s="19" t="s">
        <v>2321</v>
      </c>
      <c r="ER48" s="19"/>
      <c r="ES48" s="19" t="s">
        <v>155</v>
      </c>
      <c r="ET48" s="19" t="s">
        <v>155</v>
      </c>
      <c r="EU48" s="19" t="s">
        <v>3113</v>
      </c>
      <c r="EV48" s="19">
        <v>10702.0</v>
      </c>
      <c r="EW48" s="19" t="s">
        <v>16</v>
      </c>
      <c r="EX48" s="19">
        <v>4.0</v>
      </c>
      <c r="EY48" s="25" t="s">
        <v>154</v>
      </c>
      <c r="EZ48" s="19" t="s">
        <v>2154</v>
      </c>
      <c r="FA48" s="5" t="s">
        <v>3127</v>
      </c>
      <c r="FB48" s="26" t="s">
        <v>2156</v>
      </c>
      <c r="FC48" s="26"/>
    </row>
    <row r="49">
      <c r="A49" s="19" t="s">
        <v>2112</v>
      </c>
      <c r="B49" s="19" t="s">
        <v>2113</v>
      </c>
      <c r="C49" s="19" t="s">
        <v>2113</v>
      </c>
      <c r="D49" s="19" t="s">
        <v>3128</v>
      </c>
      <c r="E49" s="19" t="s">
        <v>3129</v>
      </c>
      <c r="F49" s="19" t="s">
        <v>156</v>
      </c>
      <c r="G49" s="19" t="s">
        <v>3130</v>
      </c>
      <c r="H49" s="19" t="s">
        <v>156</v>
      </c>
      <c r="I49" s="19" t="s">
        <v>158</v>
      </c>
      <c r="J49" s="19" t="s">
        <v>3131</v>
      </c>
      <c r="K49" s="19" t="s">
        <v>3132</v>
      </c>
      <c r="L49" s="20">
        <v>45456.0</v>
      </c>
      <c r="M49" s="20">
        <v>45457.0</v>
      </c>
      <c r="N49" s="20">
        <v>45457.0</v>
      </c>
      <c r="O49" s="19" t="s">
        <v>157</v>
      </c>
      <c r="P49" s="19">
        <v>0.0</v>
      </c>
      <c r="Q49" s="19">
        <v>26.0</v>
      </c>
      <c r="R49" s="19">
        <v>9557.0</v>
      </c>
      <c r="S49" s="20" t="s">
        <v>3133</v>
      </c>
      <c r="T49" s="20">
        <v>45461.0</v>
      </c>
      <c r="U49" s="19" t="s">
        <v>156</v>
      </c>
      <c r="V49" s="19"/>
      <c r="W49" s="19" t="s">
        <v>3134</v>
      </c>
      <c r="X49" s="21">
        <v>20.0</v>
      </c>
      <c r="Y49" s="21">
        <v>10.0</v>
      </c>
      <c r="Z49" s="21">
        <v>3.0</v>
      </c>
      <c r="AA49" s="21">
        <v>0.0</v>
      </c>
      <c r="AB49" s="5">
        <v>33.0</v>
      </c>
      <c r="AC49" s="19">
        <v>4.0</v>
      </c>
      <c r="AD49" s="19">
        <v>4.6</v>
      </c>
      <c r="AE49" s="19">
        <v>4.6</v>
      </c>
      <c r="AF49" s="19">
        <v>4.4</v>
      </c>
      <c r="AG49" s="19">
        <v>4.0</v>
      </c>
      <c r="AH49" s="19">
        <v>5.0</v>
      </c>
      <c r="AI49" s="22">
        <v>13.36875</v>
      </c>
      <c r="AJ49" s="19">
        <v>15.0</v>
      </c>
      <c r="AK49" s="19">
        <v>15.0</v>
      </c>
      <c r="AL49" s="19">
        <v>15.0</v>
      </c>
      <c r="AM49" s="19">
        <v>45.0</v>
      </c>
      <c r="AN49" s="19">
        <v>58.4</v>
      </c>
      <c r="AO49" s="19">
        <v>91.4</v>
      </c>
      <c r="AP49" s="19">
        <v>140.0</v>
      </c>
      <c r="AQ49" s="23">
        <v>47.0</v>
      </c>
      <c r="AR49" s="23">
        <v>5.0</v>
      </c>
      <c r="AS49" s="22"/>
      <c r="AT49" s="19" t="s">
        <v>2163</v>
      </c>
      <c r="AU49" s="19" t="s">
        <v>3135</v>
      </c>
      <c r="AV49" s="19" t="s">
        <v>3136</v>
      </c>
      <c r="AW49" s="19" t="s">
        <v>3137</v>
      </c>
      <c r="AX49" s="20">
        <v>35904.0</v>
      </c>
      <c r="AY49" s="19" t="s">
        <v>3034</v>
      </c>
      <c r="AZ49" s="19" t="s">
        <v>2310</v>
      </c>
      <c r="BA49" s="19" t="s">
        <v>3138</v>
      </c>
      <c r="BB49" s="19" t="s">
        <v>3139</v>
      </c>
      <c r="BC49" s="19" t="s">
        <v>3140</v>
      </c>
      <c r="BD49" s="19" t="s">
        <v>3141</v>
      </c>
      <c r="BE49" s="19" t="s">
        <v>3131</v>
      </c>
      <c r="BF49" s="19">
        <v>1.1977338859E10</v>
      </c>
      <c r="BG49" s="19" t="s">
        <v>2127</v>
      </c>
      <c r="BH49" s="19" t="s">
        <v>2128</v>
      </c>
      <c r="BI49" s="19"/>
      <c r="BJ49" s="19" t="s">
        <v>2128</v>
      </c>
      <c r="BK49" s="19" t="s">
        <v>17</v>
      </c>
      <c r="BL49" s="19"/>
      <c r="BM49" s="19" t="s">
        <v>2130</v>
      </c>
      <c r="BN49" s="19" t="s">
        <v>17</v>
      </c>
      <c r="BO49" s="19" t="s">
        <v>2473</v>
      </c>
      <c r="BP49" s="19" t="s">
        <v>3142</v>
      </c>
      <c r="BQ49" s="19" t="s">
        <v>2174</v>
      </c>
      <c r="BR49" s="19" t="s">
        <v>2174</v>
      </c>
      <c r="BS49" s="19" t="s">
        <v>2134</v>
      </c>
      <c r="BT49" s="19" t="s">
        <v>34</v>
      </c>
      <c r="BU49" s="19" t="s">
        <v>3143</v>
      </c>
      <c r="BV49" s="19" t="s">
        <v>3144</v>
      </c>
      <c r="BW49" s="19"/>
      <c r="BX49" s="19"/>
      <c r="BY49" s="19" t="s">
        <v>2113</v>
      </c>
      <c r="BZ49" s="19" t="s">
        <v>2113</v>
      </c>
      <c r="CA49" s="19"/>
      <c r="CB49" s="19"/>
      <c r="CC49" s="19" t="s">
        <v>2113</v>
      </c>
      <c r="CD49" s="19" t="s">
        <v>2137</v>
      </c>
      <c r="CE49" s="19" t="s">
        <v>16</v>
      </c>
      <c r="CF49" s="19"/>
      <c r="CG49" s="19"/>
      <c r="CH49" s="19" t="s">
        <v>16</v>
      </c>
      <c r="CI49" s="21">
        <v>0.0</v>
      </c>
      <c r="CJ49" s="19" t="s">
        <v>17</v>
      </c>
      <c r="CK49" s="19"/>
      <c r="CL49" s="19"/>
      <c r="CM49" s="19" t="s">
        <v>3102</v>
      </c>
      <c r="CN49" s="19" t="s">
        <v>3041</v>
      </c>
      <c r="CO49" s="19"/>
      <c r="CP49" s="19" t="s">
        <v>2246</v>
      </c>
      <c r="CQ49" s="19"/>
      <c r="CR49" s="19"/>
      <c r="CS49" s="19"/>
      <c r="CT49" s="19"/>
      <c r="CU49" s="19"/>
      <c r="CV49" s="19" t="s">
        <v>2141</v>
      </c>
      <c r="CW49" s="19"/>
      <c r="CX49" s="19"/>
      <c r="CY49" s="19" t="s">
        <v>2113</v>
      </c>
      <c r="CZ49" s="19" t="s">
        <v>2113</v>
      </c>
      <c r="DA49" s="19" t="s">
        <v>16</v>
      </c>
      <c r="DB49" s="19" t="s">
        <v>17</v>
      </c>
      <c r="DC49" s="19" t="s">
        <v>3042</v>
      </c>
      <c r="DD49" s="19" t="s">
        <v>2113</v>
      </c>
      <c r="DE49" s="19" t="s">
        <v>2113</v>
      </c>
      <c r="DF49" s="19" t="s">
        <v>3145</v>
      </c>
      <c r="DG49" s="19" t="s">
        <v>3146</v>
      </c>
      <c r="DH49" s="19" t="s">
        <v>2144</v>
      </c>
      <c r="DI49" s="24">
        <v>45519.0</v>
      </c>
      <c r="DJ49" s="19" t="s">
        <v>2174</v>
      </c>
      <c r="DK49" s="19" t="s">
        <v>2271</v>
      </c>
      <c r="DL49" s="19" t="s">
        <v>2183</v>
      </c>
      <c r="DM49" s="19" t="s">
        <v>2272</v>
      </c>
      <c r="DN49" s="19">
        <v>6.0</v>
      </c>
      <c r="DO49" s="19">
        <v>6.0</v>
      </c>
      <c r="DP49" s="19" t="s">
        <v>3147</v>
      </c>
      <c r="DQ49" s="19" t="s">
        <v>3148</v>
      </c>
      <c r="DR49" s="19" t="s">
        <v>3149</v>
      </c>
      <c r="DS49" s="19" t="s">
        <v>2151</v>
      </c>
      <c r="DT49" s="19" t="s">
        <v>2152</v>
      </c>
      <c r="DU49" s="19"/>
      <c r="DV49" s="19"/>
      <c r="DW49" s="19" t="s">
        <v>2153</v>
      </c>
      <c r="DX49" s="19">
        <v>13.0</v>
      </c>
      <c r="DY49" s="19">
        <v>10.0</v>
      </c>
      <c r="DZ49" s="19">
        <v>0.0</v>
      </c>
      <c r="EA49" s="19">
        <v>10.0</v>
      </c>
      <c r="EB49" s="19">
        <v>0.0</v>
      </c>
      <c r="EC49" s="19">
        <v>20.0</v>
      </c>
      <c r="ED49" s="19" t="s">
        <v>2174</v>
      </c>
      <c r="EE49" s="24">
        <v>45519.0</v>
      </c>
      <c r="EF49" s="19" t="s">
        <v>2174</v>
      </c>
      <c r="EG49" s="19" t="s">
        <v>2271</v>
      </c>
      <c r="EH49" s="19" t="s">
        <v>2183</v>
      </c>
      <c r="EI49" s="22">
        <v>13.36875</v>
      </c>
      <c r="EJ49" s="19">
        <v>45.0</v>
      </c>
      <c r="EK49" s="19" t="s">
        <v>2113</v>
      </c>
      <c r="EL49" s="19" t="s">
        <v>2163</v>
      </c>
      <c r="EM49" s="19" t="s">
        <v>3135</v>
      </c>
      <c r="EN49" s="19" t="s">
        <v>158</v>
      </c>
      <c r="EO49" s="19" t="s">
        <v>3034</v>
      </c>
      <c r="EP49" s="19" t="s">
        <v>2310</v>
      </c>
      <c r="EQ49" s="19" t="s">
        <v>3041</v>
      </c>
      <c r="ER49" s="19"/>
      <c r="ES49" s="19" t="s">
        <v>158</v>
      </c>
      <c r="ET49" s="19" t="s">
        <v>158</v>
      </c>
      <c r="EU49" s="19" t="s">
        <v>3132</v>
      </c>
      <c r="EV49" s="19">
        <v>9557.0</v>
      </c>
      <c r="EW49" s="19" t="s">
        <v>16</v>
      </c>
      <c r="EX49" s="19">
        <v>3.0</v>
      </c>
      <c r="EY49" s="25" t="s">
        <v>157</v>
      </c>
      <c r="EZ49" s="19" t="s">
        <v>2154</v>
      </c>
      <c r="FA49" s="5" t="s">
        <v>3150</v>
      </c>
      <c r="FB49" s="26" t="s">
        <v>2156</v>
      </c>
      <c r="FC49" s="26"/>
    </row>
    <row r="50">
      <c r="A50" s="19" t="s">
        <v>2156</v>
      </c>
      <c r="B50" s="19" t="s">
        <v>2113</v>
      </c>
      <c r="C50" s="19" t="s">
        <v>2113</v>
      </c>
      <c r="D50" s="19" t="s">
        <v>159</v>
      </c>
      <c r="E50" s="19" t="s">
        <v>3151</v>
      </c>
      <c r="F50" s="19" t="s">
        <v>159</v>
      </c>
      <c r="G50" s="19"/>
      <c r="H50" s="19" t="s">
        <v>159</v>
      </c>
      <c r="I50" s="19" t="s">
        <v>161</v>
      </c>
      <c r="J50" s="19" t="s">
        <v>3152</v>
      </c>
      <c r="K50" s="19" t="s">
        <v>3153</v>
      </c>
      <c r="L50" s="20">
        <v>45460.0</v>
      </c>
      <c r="M50" s="20">
        <v>45460.0</v>
      </c>
      <c r="N50" s="20">
        <v>45460.0</v>
      </c>
      <c r="O50" s="19" t="s">
        <v>160</v>
      </c>
      <c r="P50" s="19">
        <v>0.0</v>
      </c>
      <c r="Q50" s="19">
        <v>20.0</v>
      </c>
      <c r="R50" s="19">
        <v>7398.0</v>
      </c>
      <c r="S50" s="20" t="s">
        <v>3154</v>
      </c>
      <c r="T50" s="20">
        <v>45461.0</v>
      </c>
      <c r="U50" s="19" t="s">
        <v>159</v>
      </c>
      <c r="V50" s="19"/>
      <c r="W50" s="19"/>
      <c r="X50" s="21">
        <v>20.0</v>
      </c>
      <c r="Y50" s="21">
        <v>10.0</v>
      </c>
      <c r="Z50" s="21">
        <v>5.0</v>
      </c>
      <c r="AA50" s="21">
        <v>0.0</v>
      </c>
      <c r="AB50" s="5">
        <v>35.0</v>
      </c>
      <c r="AC50" s="19">
        <v>5.0</v>
      </c>
      <c r="AD50" s="19">
        <v>3.0</v>
      </c>
      <c r="AE50" s="19">
        <v>4.5</v>
      </c>
      <c r="AF50" s="19">
        <v>3.0</v>
      </c>
      <c r="AG50" s="19">
        <v>3.0</v>
      </c>
      <c r="AH50" s="19">
        <v>3.5</v>
      </c>
      <c r="AI50" s="22">
        <v>11.25</v>
      </c>
      <c r="AJ50" s="19">
        <v>15.0</v>
      </c>
      <c r="AK50" s="19">
        <v>15.0</v>
      </c>
      <c r="AL50" s="19">
        <v>15.0</v>
      </c>
      <c r="AM50" s="19">
        <v>45.0</v>
      </c>
      <c r="AN50" s="19">
        <v>56.3</v>
      </c>
      <c r="AO50" s="19">
        <v>91.3</v>
      </c>
      <c r="AP50" s="19">
        <v>80.0</v>
      </c>
      <c r="AQ50" s="23">
        <v>48.0</v>
      </c>
      <c r="AR50" s="23">
        <v>9.0</v>
      </c>
      <c r="AS50" s="22"/>
      <c r="AT50" s="19" t="s">
        <v>2163</v>
      </c>
      <c r="AU50" s="19" t="s">
        <v>3155</v>
      </c>
      <c r="AV50" s="19" t="s">
        <v>3156</v>
      </c>
      <c r="AW50" s="19"/>
      <c r="AX50" s="20">
        <v>38063.0</v>
      </c>
      <c r="AY50" s="19" t="s">
        <v>2487</v>
      </c>
      <c r="AZ50" s="19" t="s">
        <v>2122</v>
      </c>
      <c r="BA50" s="19" t="s">
        <v>3157</v>
      </c>
      <c r="BB50" s="19" t="s">
        <v>3158</v>
      </c>
      <c r="BC50" s="19" t="s">
        <v>3159</v>
      </c>
      <c r="BD50" s="19" t="s">
        <v>3160</v>
      </c>
      <c r="BE50" s="19" t="s">
        <v>3152</v>
      </c>
      <c r="BF50" s="19">
        <v>1.1957091508E10</v>
      </c>
      <c r="BG50" s="19" t="s">
        <v>2127</v>
      </c>
      <c r="BH50" s="19" t="s">
        <v>2128</v>
      </c>
      <c r="BI50" s="19"/>
      <c r="BJ50" s="19"/>
      <c r="BK50" s="19" t="s">
        <v>16</v>
      </c>
      <c r="BL50" s="19" t="s">
        <v>2113</v>
      </c>
      <c r="BM50" s="19" t="s">
        <v>2130</v>
      </c>
      <c r="BN50" s="19" t="s">
        <v>2172</v>
      </c>
      <c r="BO50" s="19" t="s">
        <v>2132</v>
      </c>
      <c r="BP50" s="19" t="s">
        <v>3161</v>
      </c>
      <c r="BQ50" s="19" t="s">
        <v>2325</v>
      </c>
      <c r="BR50" s="19" t="s">
        <v>2325</v>
      </c>
      <c r="BS50" s="19" t="s">
        <v>2134</v>
      </c>
      <c r="BT50" s="19" t="s">
        <v>59</v>
      </c>
      <c r="BU50" s="19"/>
      <c r="BV50" s="19" t="s">
        <v>3162</v>
      </c>
      <c r="BW50" s="19"/>
      <c r="BX50" s="19" t="s">
        <v>2113</v>
      </c>
      <c r="BY50" s="19" t="s">
        <v>2113</v>
      </c>
      <c r="BZ50" s="19" t="s">
        <v>2113</v>
      </c>
      <c r="CA50" s="19"/>
      <c r="CB50" s="19" t="s">
        <v>2113</v>
      </c>
      <c r="CC50" s="19"/>
      <c r="CD50" s="19" t="s">
        <v>2137</v>
      </c>
      <c r="CE50" s="19" t="s">
        <v>16</v>
      </c>
      <c r="CF50" s="19"/>
      <c r="CG50" s="19"/>
      <c r="CH50" s="19" t="s">
        <v>16</v>
      </c>
      <c r="CI50" s="21">
        <v>0.0</v>
      </c>
      <c r="CJ50" s="19" t="s">
        <v>17</v>
      </c>
      <c r="CK50" s="19"/>
      <c r="CL50" s="19"/>
      <c r="CM50" s="19" t="s">
        <v>2926</v>
      </c>
      <c r="CN50" s="19" t="s">
        <v>2431</v>
      </c>
      <c r="CO50" s="19"/>
      <c r="CP50" s="19"/>
      <c r="CQ50" s="19"/>
      <c r="CR50" s="19" t="s">
        <v>2113</v>
      </c>
      <c r="CS50" s="19" t="s">
        <v>2113</v>
      </c>
      <c r="CT50" s="19"/>
      <c r="CU50" s="19"/>
      <c r="CV50" s="19" t="s">
        <v>2141</v>
      </c>
      <c r="CW50" s="19" t="s">
        <v>2113</v>
      </c>
      <c r="CX50" s="19" t="s">
        <v>2113</v>
      </c>
      <c r="CY50" s="19"/>
      <c r="CZ50" s="19"/>
      <c r="DA50" s="19" t="s">
        <v>16</v>
      </c>
      <c r="DB50" s="19" t="s">
        <v>17</v>
      </c>
      <c r="DC50" s="19" t="s">
        <v>2454</v>
      </c>
      <c r="DD50" s="19"/>
      <c r="DE50" s="19"/>
      <c r="DF50" s="19" t="s">
        <v>3163</v>
      </c>
      <c r="DG50" s="19" t="s">
        <v>2804</v>
      </c>
      <c r="DH50" s="19" t="s">
        <v>2144</v>
      </c>
      <c r="DI50" s="24">
        <v>45519.0</v>
      </c>
      <c r="DJ50" s="19" t="s">
        <v>2325</v>
      </c>
      <c r="DK50" s="19" t="s">
        <v>2271</v>
      </c>
      <c r="DL50" s="19" t="s">
        <v>2326</v>
      </c>
      <c r="DM50" s="19"/>
      <c r="DN50" s="19">
        <v>6.0</v>
      </c>
      <c r="DO50" s="19">
        <v>6.0</v>
      </c>
      <c r="DP50" s="19" t="s">
        <v>3164</v>
      </c>
      <c r="DQ50" s="19" t="s">
        <v>3165</v>
      </c>
      <c r="DR50" s="19" t="s">
        <v>3166</v>
      </c>
      <c r="DS50" s="19" t="s">
        <v>2185</v>
      </c>
      <c r="DT50" s="19" t="s">
        <v>2229</v>
      </c>
      <c r="DU50" s="19"/>
      <c r="DV50" s="19"/>
      <c r="DW50" s="19" t="s">
        <v>2188</v>
      </c>
      <c r="DX50" s="19">
        <v>5.0</v>
      </c>
      <c r="DY50" s="19">
        <v>10.0</v>
      </c>
      <c r="DZ50" s="19">
        <v>0.0</v>
      </c>
      <c r="EA50" s="19">
        <v>10.0</v>
      </c>
      <c r="EB50" s="19">
        <v>0.0</v>
      </c>
      <c r="EC50" s="19">
        <v>20.0</v>
      </c>
      <c r="ED50" s="19" t="s">
        <v>2325</v>
      </c>
      <c r="EE50" s="24">
        <v>45519.0</v>
      </c>
      <c r="EF50" s="19" t="s">
        <v>2325</v>
      </c>
      <c r="EG50" s="19" t="s">
        <v>2271</v>
      </c>
      <c r="EH50" s="19" t="s">
        <v>2326</v>
      </c>
      <c r="EI50" s="22">
        <v>11.25</v>
      </c>
      <c r="EJ50" s="19">
        <v>45.0</v>
      </c>
      <c r="EK50" s="19" t="s">
        <v>2113</v>
      </c>
      <c r="EL50" s="19" t="s">
        <v>2163</v>
      </c>
      <c r="EM50" s="19" t="s">
        <v>3155</v>
      </c>
      <c r="EN50" s="19" t="s">
        <v>161</v>
      </c>
      <c r="EO50" s="19" t="s">
        <v>2487</v>
      </c>
      <c r="EP50" s="19" t="s">
        <v>2122</v>
      </c>
      <c r="EQ50" s="19" t="s">
        <v>2431</v>
      </c>
      <c r="ER50" s="19"/>
      <c r="ES50" s="19" t="s">
        <v>161</v>
      </c>
      <c r="ET50" s="19" t="s">
        <v>161</v>
      </c>
      <c r="EU50" s="19" t="s">
        <v>3153</v>
      </c>
      <c r="EV50" s="19">
        <v>7398.0</v>
      </c>
      <c r="EW50" s="19" t="s">
        <v>16</v>
      </c>
      <c r="EX50" s="19">
        <v>5.0</v>
      </c>
      <c r="EY50" s="25" t="s">
        <v>160</v>
      </c>
      <c r="EZ50" s="19" t="s">
        <v>2154</v>
      </c>
      <c r="FA50" s="5" t="s">
        <v>3167</v>
      </c>
      <c r="FB50" s="26" t="s">
        <v>2156</v>
      </c>
      <c r="FC50" s="26"/>
    </row>
    <row r="51">
      <c r="A51" s="19" t="s">
        <v>2112</v>
      </c>
      <c r="B51" s="19" t="s">
        <v>2113</v>
      </c>
      <c r="C51" s="19" t="s">
        <v>2113</v>
      </c>
      <c r="D51" s="19" t="s">
        <v>162</v>
      </c>
      <c r="E51" s="19" t="s">
        <v>3168</v>
      </c>
      <c r="F51" s="19" t="s">
        <v>162</v>
      </c>
      <c r="G51" s="19"/>
      <c r="H51" s="19" t="s">
        <v>162</v>
      </c>
      <c r="I51" s="19" t="s">
        <v>164</v>
      </c>
      <c r="J51" s="19" t="s">
        <v>3169</v>
      </c>
      <c r="K51" s="19" t="s">
        <v>3170</v>
      </c>
      <c r="L51" s="20">
        <v>45432.0</v>
      </c>
      <c r="M51" s="20">
        <v>45432.0</v>
      </c>
      <c r="N51" s="20">
        <v>45432.0</v>
      </c>
      <c r="O51" s="19" t="s">
        <v>163</v>
      </c>
      <c r="P51" s="19">
        <v>0.0</v>
      </c>
      <c r="Q51" s="19">
        <v>20.0</v>
      </c>
      <c r="R51" s="19">
        <v>7343.0</v>
      </c>
      <c r="S51" s="20" t="s">
        <v>3171</v>
      </c>
      <c r="T51" s="20">
        <v>45461.0</v>
      </c>
      <c r="U51" s="19" t="s">
        <v>162</v>
      </c>
      <c r="V51" s="19"/>
      <c r="W51" s="19"/>
      <c r="X51" s="21">
        <v>20.0</v>
      </c>
      <c r="Y51" s="21">
        <v>10.0</v>
      </c>
      <c r="Z51" s="21">
        <v>5.0</v>
      </c>
      <c r="AA51" s="21">
        <v>0.0</v>
      </c>
      <c r="AB51" s="5">
        <v>35.0</v>
      </c>
      <c r="AC51" s="19">
        <v>5.0</v>
      </c>
      <c r="AD51" s="19">
        <v>5.0</v>
      </c>
      <c r="AE51" s="19">
        <v>5.0</v>
      </c>
      <c r="AF51" s="19">
        <v>4.0</v>
      </c>
      <c r="AG51" s="19">
        <v>4.0</v>
      </c>
      <c r="AH51" s="19">
        <v>5.0</v>
      </c>
      <c r="AI51" s="22">
        <v>14.25</v>
      </c>
      <c r="AJ51" s="19">
        <v>15.0</v>
      </c>
      <c r="AK51" s="19">
        <v>15.0</v>
      </c>
      <c r="AL51" s="19">
        <v>12.0</v>
      </c>
      <c r="AM51" s="19">
        <v>42.0</v>
      </c>
      <c r="AN51" s="19">
        <v>56.3</v>
      </c>
      <c r="AO51" s="19">
        <v>91.3</v>
      </c>
      <c r="AP51" s="19">
        <v>82.0</v>
      </c>
      <c r="AQ51" s="23">
        <v>49.0</v>
      </c>
      <c r="AR51" s="23">
        <v>5.0</v>
      </c>
      <c r="AS51" s="22"/>
      <c r="AT51" s="19" t="s">
        <v>2282</v>
      </c>
      <c r="AU51" s="19" t="s">
        <v>3172</v>
      </c>
      <c r="AV51" s="19" t="s">
        <v>3173</v>
      </c>
      <c r="AW51" s="19"/>
      <c r="AX51" s="20">
        <v>38118.0</v>
      </c>
      <c r="AY51" s="19" t="s">
        <v>2121</v>
      </c>
      <c r="AZ51" s="19" t="s">
        <v>2122</v>
      </c>
      <c r="BA51" s="19" t="s">
        <v>3174</v>
      </c>
      <c r="BB51" s="19" t="s">
        <v>3175</v>
      </c>
      <c r="BC51" s="19" t="s">
        <v>3176</v>
      </c>
      <c r="BD51" s="19" t="s">
        <v>3177</v>
      </c>
      <c r="BE51" s="19" t="s">
        <v>3178</v>
      </c>
      <c r="BF51" s="19">
        <v>1.196319688E10</v>
      </c>
      <c r="BG51" s="19" t="s">
        <v>2127</v>
      </c>
      <c r="BH51" s="19" t="s">
        <v>2128</v>
      </c>
      <c r="BI51" s="19"/>
      <c r="BJ51" s="19" t="s">
        <v>2128</v>
      </c>
      <c r="BK51" s="19" t="s">
        <v>17</v>
      </c>
      <c r="BL51" s="19" t="s">
        <v>2113</v>
      </c>
      <c r="BM51" s="19" t="s">
        <v>2130</v>
      </c>
      <c r="BN51" s="19" t="s">
        <v>3179</v>
      </c>
      <c r="BO51" s="19" t="s">
        <v>2132</v>
      </c>
      <c r="BP51" s="19" t="s">
        <v>3180</v>
      </c>
      <c r="BQ51" s="19" t="s">
        <v>2133</v>
      </c>
      <c r="BR51" s="19" t="s">
        <v>2133</v>
      </c>
      <c r="BS51" s="19" t="s">
        <v>2134</v>
      </c>
      <c r="BT51" s="19" t="s">
        <v>15</v>
      </c>
      <c r="BU51" s="19" t="s">
        <v>3181</v>
      </c>
      <c r="BV51" s="19" t="s">
        <v>3182</v>
      </c>
      <c r="BW51" s="19"/>
      <c r="BX51" s="19"/>
      <c r="BY51" s="19"/>
      <c r="BZ51" s="19"/>
      <c r="CA51" s="19"/>
      <c r="CB51" s="19" t="s">
        <v>2113</v>
      </c>
      <c r="CC51" s="19"/>
      <c r="CD51" s="19" t="s">
        <v>2137</v>
      </c>
      <c r="CE51" s="19" t="s">
        <v>16</v>
      </c>
      <c r="CF51" s="19"/>
      <c r="CG51" s="19"/>
      <c r="CH51" s="19" t="s">
        <v>16</v>
      </c>
      <c r="CI51" s="21">
        <v>0.0</v>
      </c>
      <c r="CJ51" s="19" t="s">
        <v>16</v>
      </c>
      <c r="CK51" s="19"/>
      <c r="CL51" s="19"/>
      <c r="CM51" s="19" t="s">
        <v>2138</v>
      </c>
      <c r="CN51" s="19" t="s">
        <v>2139</v>
      </c>
      <c r="CO51" s="19"/>
      <c r="CP51" s="19" t="s">
        <v>2178</v>
      </c>
      <c r="CQ51" s="19"/>
      <c r="CR51" s="19"/>
      <c r="CS51" s="19"/>
      <c r="CT51" s="19" t="s">
        <v>2113</v>
      </c>
      <c r="CU51" s="19" t="s">
        <v>2113</v>
      </c>
      <c r="CV51" s="19" t="s">
        <v>2179</v>
      </c>
      <c r="CW51" s="19"/>
      <c r="CX51" s="19"/>
      <c r="CY51" s="19"/>
      <c r="CZ51" s="19"/>
      <c r="DA51" s="19" t="s">
        <v>16</v>
      </c>
      <c r="DB51" s="19" t="s">
        <v>16</v>
      </c>
      <c r="DC51" s="19" t="s">
        <v>2406</v>
      </c>
      <c r="DD51" s="19" t="s">
        <v>2113</v>
      </c>
      <c r="DE51" s="19" t="s">
        <v>2113</v>
      </c>
      <c r="DF51" s="19" t="s">
        <v>3163</v>
      </c>
      <c r="DG51" s="19" t="s">
        <v>2671</v>
      </c>
      <c r="DH51" s="19" t="s">
        <v>2144</v>
      </c>
      <c r="DI51" s="24">
        <v>45531.0</v>
      </c>
      <c r="DJ51" s="19" t="s">
        <v>2133</v>
      </c>
      <c r="DK51" s="19" t="s">
        <v>2145</v>
      </c>
      <c r="DL51" s="19" t="s">
        <v>2146</v>
      </c>
      <c r="DM51" s="19" t="s">
        <v>3183</v>
      </c>
      <c r="DN51" s="19">
        <v>13.0</v>
      </c>
      <c r="DO51" s="19">
        <v>13.0</v>
      </c>
      <c r="DP51" s="19"/>
      <c r="DQ51" s="19"/>
      <c r="DR51" s="19"/>
      <c r="DS51" s="19" t="s">
        <v>2365</v>
      </c>
      <c r="DT51" s="19" t="s">
        <v>2209</v>
      </c>
      <c r="DU51" s="19" t="s">
        <v>3184</v>
      </c>
      <c r="DV51" s="19"/>
      <c r="DW51" s="19" t="s">
        <v>2479</v>
      </c>
      <c r="DX51" s="19">
        <v>11.0</v>
      </c>
      <c r="DY51" s="19">
        <v>10.0</v>
      </c>
      <c r="DZ51" s="19">
        <v>0.0</v>
      </c>
      <c r="EA51" s="19">
        <v>10.0</v>
      </c>
      <c r="EB51" s="19">
        <v>0.0</v>
      </c>
      <c r="EC51" s="19">
        <v>20.0</v>
      </c>
      <c r="ED51" s="19" t="s">
        <v>2133</v>
      </c>
      <c r="EE51" s="24">
        <v>45531.0</v>
      </c>
      <c r="EF51" s="19" t="s">
        <v>2133</v>
      </c>
      <c r="EG51" s="19" t="s">
        <v>2145</v>
      </c>
      <c r="EH51" s="19" t="s">
        <v>2146</v>
      </c>
      <c r="EI51" s="22">
        <v>14.25</v>
      </c>
      <c r="EJ51" s="19">
        <v>42.0</v>
      </c>
      <c r="EK51" s="19"/>
      <c r="EL51" s="19" t="s">
        <v>2282</v>
      </c>
      <c r="EM51" s="19" t="s">
        <v>3172</v>
      </c>
      <c r="EN51" s="19" t="s">
        <v>164</v>
      </c>
      <c r="EO51" s="19" t="s">
        <v>2121</v>
      </c>
      <c r="EP51" s="19" t="s">
        <v>2122</v>
      </c>
      <c r="EQ51" s="19" t="s">
        <v>2139</v>
      </c>
      <c r="ER51" s="19"/>
      <c r="ES51" s="19" t="s">
        <v>164</v>
      </c>
      <c r="ET51" s="19" t="s">
        <v>164</v>
      </c>
      <c r="EU51" s="19" t="s">
        <v>3170</v>
      </c>
      <c r="EV51" s="19">
        <v>7343.0</v>
      </c>
      <c r="EW51" s="19" t="s">
        <v>16</v>
      </c>
      <c r="EX51" s="19">
        <v>5.0</v>
      </c>
      <c r="EY51" s="25" t="s">
        <v>163</v>
      </c>
      <c r="EZ51" s="19" t="s">
        <v>2154</v>
      </c>
      <c r="FA51" s="5" t="s">
        <v>3185</v>
      </c>
      <c r="FB51" s="26" t="s">
        <v>2156</v>
      </c>
      <c r="FC51" s="26"/>
    </row>
    <row r="52">
      <c r="A52" s="19" t="s">
        <v>2156</v>
      </c>
      <c r="B52" s="19" t="s">
        <v>2113</v>
      </c>
      <c r="C52" s="19" t="s">
        <v>2113</v>
      </c>
      <c r="D52" s="19" t="s">
        <v>165</v>
      </c>
      <c r="E52" s="19" t="s">
        <v>3186</v>
      </c>
      <c r="F52" s="19" t="s">
        <v>165</v>
      </c>
      <c r="G52" s="19"/>
      <c r="H52" s="19" t="s">
        <v>165</v>
      </c>
      <c r="I52" s="19" t="s">
        <v>167</v>
      </c>
      <c r="J52" s="19" t="s">
        <v>3187</v>
      </c>
      <c r="K52" s="19" t="s">
        <v>3188</v>
      </c>
      <c r="L52" s="20">
        <v>45449.0</v>
      </c>
      <c r="M52" s="20">
        <v>45450.0</v>
      </c>
      <c r="N52" s="20">
        <v>45450.0</v>
      </c>
      <c r="O52" s="19" t="s">
        <v>166</v>
      </c>
      <c r="P52" s="19">
        <v>0.0</v>
      </c>
      <c r="Q52" s="19">
        <v>20.0</v>
      </c>
      <c r="R52" s="19">
        <v>7502.0</v>
      </c>
      <c r="S52" s="20" t="s">
        <v>3189</v>
      </c>
      <c r="T52" s="20">
        <v>45461.0</v>
      </c>
      <c r="U52" s="19" t="s">
        <v>165</v>
      </c>
      <c r="V52" s="19"/>
      <c r="W52" s="19" t="s">
        <v>3190</v>
      </c>
      <c r="X52" s="21">
        <v>20.0</v>
      </c>
      <c r="Y52" s="21">
        <v>10.0</v>
      </c>
      <c r="Z52" s="21">
        <v>2.0</v>
      </c>
      <c r="AA52" s="21">
        <v>0.0</v>
      </c>
      <c r="AB52" s="5">
        <v>32.0</v>
      </c>
      <c r="AC52" s="19">
        <v>5.0</v>
      </c>
      <c r="AD52" s="19">
        <v>5.0</v>
      </c>
      <c r="AE52" s="19">
        <v>5.0</v>
      </c>
      <c r="AF52" s="19">
        <v>5.0</v>
      </c>
      <c r="AG52" s="19">
        <v>4.0</v>
      </c>
      <c r="AH52" s="19">
        <v>4.0</v>
      </c>
      <c r="AI52" s="22">
        <v>14.25</v>
      </c>
      <c r="AJ52" s="19">
        <v>15.0</v>
      </c>
      <c r="AK52" s="19">
        <v>15.0</v>
      </c>
      <c r="AL52" s="19">
        <v>15.0</v>
      </c>
      <c r="AM52" s="19">
        <v>45.0</v>
      </c>
      <c r="AN52" s="19">
        <v>59.3</v>
      </c>
      <c r="AO52" s="19">
        <v>91.3</v>
      </c>
      <c r="AP52" s="19">
        <v>196.0</v>
      </c>
      <c r="AQ52" s="23">
        <v>50.0</v>
      </c>
      <c r="AR52" s="23">
        <v>6.0</v>
      </c>
      <c r="AS52" s="22"/>
      <c r="AT52" s="19" t="s">
        <v>2163</v>
      </c>
      <c r="AU52" s="19" t="s">
        <v>3191</v>
      </c>
      <c r="AV52" s="19" t="s">
        <v>3192</v>
      </c>
      <c r="AW52" s="19"/>
      <c r="AX52" s="20">
        <v>37959.0</v>
      </c>
      <c r="AY52" s="19" t="s">
        <v>3193</v>
      </c>
      <c r="AZ52" s="19" t="s">
        <v>2310</v>
      </c>
      <c r="BA52" s="19" t="s">
        <v>3194</v>
      </c>
      <c r="BB52" s="19" t="s">
        <v>3195</v>
      </c>
      <c r="BC52" s="19" t="s">
        <v>3196</v>
      </c>
      <c r="BD52" s="19" t="s">
        <v>3197</v>
      </c>
      <c r="BE52" s="19" t="s">
        <v>3187</v>
      </c>
      <c r="BF52" s="19">
        <v>1.196163877E10</v>
      </c>
      <c r="BG52" s="19" t="s">
        <v>2127</v>
      </c>
      <c r="BH52" s="19" t="s">
        <v>2128</v>
      </c>
      <c r="BI52" s="19"/>
      <c r="BJ52" s="19" t="s">
        <v>2128</v>
      </c>
      <c r="BK52" s="19" t="s">
        <v>17</v>
      </c>
      <c r="BL52" s="19" t="s">
        <v>2113</v>
      </c>
      <c r="BM52" s="19" t="s">
        <v>2130</v>
      </c>
      <c r="BN52" s="19" t="s">
        <v>3198</v>
      </c>
      <c r="BO52" s="19" t="s">
        <v>3199</v>
      </c>
      <c r="BP52" s="19"/>
      <c r="BQ52" s="19" t="s">
        <v>2133</v>
      </c>
      <c r="BR52" s="19" t="s">
        <v>2133</v>
      </c>
      <c r="BS52" s="19" t="s">
        <v>2243</v>
      </c>
      <c r="BT52" s="19" t="s">
        <v>15</v>
      </c>
      <c r="BU52" s="19" t="s">
        <v>3200</v>
      </c>
      <c r="BV52" s="19" t="s">
        <v>3201</v>
      </c>
      <c r="BW52" s="19"/>
      <c r="BX52" s="19" t="s">
        <v>2113</v>
      </c>
      <c r="BY52" s="19" t="s">
        <v>2113</v>
      </c>
      <c r="BZ52" s="19" t="s">
        <v>2113</v>
      </c>
      <c r="CA52" s="19"/>
      <c r="CB52" s="19"/>
      <c r="CC52" s="19"/>
      <c r="CD52" s="19" t="s">
        <v>2137</v>
      </c>
      <c r="CE52" s="19" t="s">
        <v>16</v>
      </c>
      <c r="CF52" s="19"/>
      <c r="CG52" s="19"/>
      <c r="CH52" s="19" t="s">
        <v>16</v>
      </c>
      <c r="CI52" s="21">
        <v>0.0</v>
      </c>
      <c r="CJ52" s="19" t="s">
        <v>17</v>
      </c>
      <c r="CK52" s="19"/>
      <c r="CL52" s="19" t="s">
        <v>2113</v>
      </c>
      <c r="CM52" s="19" t="s">
        <v>2138</v>
      </c>
      <c r="CN52" s="19" t="s">
        <v>3202</v>
      </c>
      <c r="CO52" s="19"/>
      <c r="CP52" s="19" t="s">
        <v>2178</v>
      </c>
      <c r="CQ52" s="19"/>
      <c r="CR52" s="19" t="s">
        <v>2113</v>
      </c>
      <c r="CS52" s="19" t="s">
        <v>2113</v>
      </c>
      <c r="CT52" s="19" t="s">
        <v>2113</v>
      </c>
      <c r="CU52" s="19" t="s">
        <v>2113</v>
      </c>
      <c r="CV52" s="19" t="s">
        <v>2179</v>
      </c>
      <c r="CW52" s="19"/>
      <c r="CX52" s="19"/>
      <c r="CY52" s="19" t="s">
        <v>2113</v>
      </c>
      <c r="CZ52" s="19" t="s">
        <v>2113</v>
      </c>
      <c r="DA52" s="19" t="s">
        <v>16</v>
      </c>
      <c r="DB52" s="19" t="s">
        <v>17</v>
      </c>
      <c r="DC52" s="19" t="s">
        <v>2826</v>
      </c>
      <c r="DD52" s="19" t="s">
        <v>2113</v>
      </c>
      <c r="DE52" s="19" t="s">
        <v>2113</v>
      </c>
      <c r="DF52" s="19" t="s">
        <v>2433</v>
      </c>
      <c r="DG52" s="19" t="s">
        <v>3163</v>
      </c>
      <c r="DH52" s="19" t="s">
        <v>2144</v>
      </c>
      <c r="DI52" s="24">
        <v>45519.0</v>
      </c>
      <c r="DJ52" s="19" t="s">
        <v>2133</v>
      </c>
      <c r="DK52" s="19" t="s">
        <v>2145</v>
      </c>
      <c r="DL52" s="19" t="s">
        <v>2146</v>
      </c>
      <c r="DM52" s="19"/>
      <c r="DN52" s="19">
        <v>5.0</v>
      </c>
      <c r="DO52" s="19">
        <v>5.0</v>
      </c>
      <c r="DP52" s="19"/>
      <c r="DQ52" s="19"/>
      <c r="DR52" s="19"/>
      <c r="DS52" s="19" t="s">
        <v>2365</v>
      </c>
      <c r="DT52" s="19" t="s">
        <v>2301</v>
      </c>
      <c r="DU52" s="19" t="s">
        <v>3203</v>
      </c>
      <c r="DV52" s="19"/>
      <c r="DW52" s="19" t="s">
        <v>2153</v>
      </c>
      <c r="DX52" s="19">
        <v>7.0</v>
      </c>
      <c r="DY52" s="19">
        <v>10.0</v>
      </c>
      <c r="DZ52" s="19">
        <v>0.0</v>
      </c>
      <c r="EA52" s="19">
        <v>10.0</v>
      </c>
      <c r="EB52" s="19">
        <v>0.0</v>
      </c>
      <c r="EC52" s="19">
        <v>20.0</v>
      </c>
      <c r="ED52" s="19" t="s">
        <v>2133</v>
      </c>
      <c r="EE52" s="24">
        <v>45519.0</v>
      </c>
      <c r="EF52" s="19" t="s">
        <v>2133</v>
      </c>
      <c r="EG52" s="19" t="s">
        <v>2145</v>
      </c>
      <c r="EH52" s="19" t="s">
        <v>2146</v>
      </c>
      <c r="EI52" s="22">
        <v>14.25</v>
      </c>
      <c r="EJ52" s="19">
        <v>45.0</v>
      </c>
      <c r="EK52" s="19" t="s">
        <v>2113</v>
      </c>
      <c r="EL52" s="19" t="s">
        <v>2163</v>
      </c>
      <c r="EM52" s="19" t="s">
        <v>3191</v>
      </c>
      <c r="EN52" s="19" t="s">
        <v>167</v>
      </c>
      <c r="EO52" s="19" t="s">
        <v>3193</v>
      </c>
      <c r="EP52" s="19" t="s">
        <v>2310</v>
      </c>
      <c r="EQ52" s="19" t="s">
        <v>3202</v>
      </c>
      <c r="ER52" s="19"/>
      <c r="ES52" s="19" t="s">
        <v>167</v>
      </c>
      <c r="ET52" s="19" t="s">
        <v>167</v>
      </c>
      <c r="EU52" s="19" t="s">
        <v>3188</v>
      </c>
      <c r="EV52" s="19">
        <v>7502.0</v>
      </c>
      <c r="EW52" s="19" t="s">
        <v>16</v>
      </c>
      <c r="EX52" s="19">
        <v>2.0</v>
      </c>
      <c r="EY52" s="25" t="s">
        <v>166</v>
      </c>
      <c r="EZ52" s="19" t="s">
        <v>2154</v>
      </c>
      <c r="FA52" s="5" t="s">
        <v>3204</v>
      </c>
      <c r="FB52" s="26" t="s">
        <v>2156</v>
      </c>
      <c r="FC52" s="26"/>
    </row>
    <row r="53">
      <c r="A53" s="19" t="s">
        <v>2112</v>
      </c>
      <c r="B53" s="19" t="s">
        <v>2113</v>
      </c>
      <c r="C53" s="19" t="s">
        <v>2113</v>
      </c>
      <c r="D53" s="19" t="s">
        <v>168</v>
      </c>
      <c r="E53" s="19" t="s">
        <v>3205</v>
      </c>
      <c r="F53" s="19" t="s">
        <v>168</v>
      </c>
      <c r="G53" s="19"/>
      <c r="H53" s="19" t="s">
        <v>168</v>
      </c>
      <c r="I53" s="19" t="s">
        <v>170</v>
      </c>
      <c r="J53" s="19" t="s">
        <v>3206</v>
      </c>
      <c r="K53" s="19" t="s">
        <v>3207</v>
      </c>
      <c r="L53" s="20">
        <v>45394.0</v>
      </c>
      <c r="M53" s="20">
        <v>45404.0</v>
      </c>
      <c r="N53" s="20">
        <v>45404.0</v>
      </c>
      <c r="O53" s="19" t="s">
        <v>169</v>
      </c>
      <c r="P53" s="19">
        <v>0.0</v>
      </c>
      <c r="Q53" s="19">
        <v>22.0</v>
      </c>
      <c r="R53" s="19">
        <v>8065.0</v>
      </c>
      <c r="S53" s="20" t="s">
        <v>3208</v>
      </c>
      <c r="T53" s="20">
        <v>45461.0</v>
      </c>
      <c r="U53" s="19" t="s">
        <v>168</v>
      </c>
      <c r="V53" s="19"/>
      <c r="W53" s="19"/>
      <c r="X53" s="21">
        <v>20.0</v>
      </c>
      <c r="Y53" s="21">
        <v>10.0</v>
      </c>
      <c r="Z53" s="21">
        <v>2.0</v>
      </c>
      <c r="AA53" s="21">
        <v>0.0</v>
      </c>
      <c r="AB53" s="5">
        <v>32.0</v>
      </c>
      <c r="AC53" s="19">
        <v>4.7</v>
      </c>
      <c r="AD53" s="19">
        <v>4.5</v>
      </c>
      <c r="AE53" s="19">
        <v>4.5</v>
      </c>
      <c r="AF53" s="19">
        <v>4.5</v>
      </c>
      <c r="AG53" s="19">
        <v>5.0</v>
      </c>
      <c r="AH53" s="19">
        <v>4.7</v>
      </c>
      <c r="AI53" s="22">
        <v>13.856250000000001</v>
      </c>
      <c r="AJ53" s="19">
        <v>15.0</v>
      </c>
      <c r="AK53" s="19">
        <v>15.0</v>
      </c>
      <c r="AL53" s="19">
        <v>15.0</v>
      </c>
      <c r="AM53" s="19">
        <v>45.0</v>
      </c>
      <c r="AN53" s="19">
        <v>58.9</v>
      </c>
      <c r="AO53" s="19">
        <v>90.9</v>
      </c>
      <c r="AP53" s="19">
        <v>190.0</v>
      </c>
      <c r="AQ53" s="23">
        <v>51.0</v>
      </c>
      <c r="AR53" s="23">
        <v>2.0</v>
      </c>
      <c r="AS53" s="22"/>
      <c r="AT53" s="19" t="s">
        <v>2163</v>
      </c>
      <c r="AU53" s="19" t="s">
        <v>3209</v>
      </c>
      <c r="AV53" s="19" t="s">
        <v>3210</v>
      </c>
      <c r="AW53" s="19" t="s">
        <v>2166</v>
      </c>
      <c r="AX53" s="20">
        <v>37396.0</v>
      </c>
      <c r="AY53" s="19" t="s">
        <v>3211</v>
      </c>
      <c r="AZ53" s="19" t="s">
        <v>2122</v>
      </c>
      <c r="BA53" s="19" t="s">
        <v>3212</v>
      </c>
      <c r="BB53" s="19" t="s">
        <v>3213</v>
      </c>
      <c r="BC53" s="19" t="s">
        <v>3214</v>
      </c>
      <c r="BD53" s="19" t="s">
        <v>3215</v>
      </c>
      <c r="BE53" s="19" t="s">
        <v>3216</v>
      </c>
      <c r="BF53" s="19">
        <v>1.1970208539E10</v>
      </c>
      <c r="BG53" s="19" t="s">
        <v>2127</v>
      </c>
      <c r="BH53" s="19" t="s">
        <v>2128</v>
      </c>
      <c r="BI53" s="19"/>
      <c r="BJ53" s="19"/>
      <c r="BK53" s="19" t="s">
        <v>16</v>
      </c>
      <c r="BL53" s="19" t="s">
        <v>2113</v>
      </c>
      <c r="BM53" s="19" t="s">
        <v>2130</v>
      </c>
      <c r="BN53" s="19" t="s">
        <v>2708</v>
      </c>
      <c r="BO53" s="19" t="s">
        <v>3199</v>
      </c>
      <c r="BP53" s="19" t="s">
        <v>3217</v>
      </c>
      <c r="BQ53" s="19" t="s">
        <v>2325</v>
      </c>
      <c r="BR53" s="19" t="s">
        <v>2325</v>
      </c>
      <c r="BS53" s="19" t="s">
        <v>2243</v>
      </c>
      <c r="BT53" s="19" t="s">
        <v>118</v>
      </c>
      <c r="BU53" s="19" t="s">
        <v>3218</v>
      </c>
      <c r="BV53" s="19" t="s">
        <v>3219</v>
      </c>
      <c r="BW53" s="19"/>
      <c r="BX53" s="19"/>
      <c r="BY53" s="19" t="s">
        <v>2113</v>
      </c>
      <c r="BZ53" s="19" t="s">
        <v>2113</v>
      </c>
      <c r="CA53" s="19"/>
      <c r="CB53" s="19" t="s">
        <v>2113</v>
      </c>
      <c r="CC53" s="19" t="s">
        <v>2113</v>
      </c>
      <c r="CD53" s="19" t="s">
        <v>2137</v>
      </c>
      <c r="CE53" s="19" t="s">
        <v>16</v>
      </c>
      <c r="CF53" s="19"/>
      <c r="CG53" s="19"/>
      <c r="CH53" s="19" t="s">
        <v>16</v>
      </c>
      <c r="CI53" s="21">
        <v>0.0</v>
      </c>
      <c r="CJ53" s="19" t="s">
        <v>17</v>
      </c>
      <c r="CK53" s="19"/>
      <c r="CL53" s="19"/>
      <c r="CM53" s="19" t="s">
        <v>3102</v>
      </c>
      <c r="CN53" s="19" t="s">
        <v>3220</v>
      </c>
      <c r="CO53" s="19"/>
      <c r="CP53" s="19"/>
      <c r="CQ53" s="19"/>
      <c r="CR53" s="19"/>
      <c r="CS53" s="19"/>
      <c r="CT53" s="19" t="s">
        <v>2113</v>
      </c>
      <c r="CU53" s="19" t="s">
        <v>2113</v>
      </c>
      <c r="CV53" s="19" t="s">
        <v>2179</v>
      </c>
      <c r="CW53" s="19" t="s">
        <v>2113</v>
      </c>
      <c r="CX53" s="19" t="s">
        <v>2113</v>
      </c>
      <c r="CY53" s="19"/>
      <c r="CZ53" s="19"/>
      <c r="DA53" s="19" t="s">
        <v>16</v>
      </c>
      <c r="DB53" s="19" t="s">
        <v>17</v>
      </c>
      <c r="DC53" s="19" t="s">
        <v>3221</v>
      </c>
      <c r="DD53" s="19" t="s">
        <v>2113</v>
      </c>
      <c r="DE53" s="19" t="s">
        <v>2113</v>
      </c>
      <c r="DF53" s="19" t="s">
        <v>3222</v>
      </c>
      <c r="DG53" s="19" t="s">
        <v>3223</v>
      </c>
      <c r="DH53" s="19" t="s">
        <v>2144</v>
      </c>
      <c r="DI53" s="24">
        <v>45524.0</v>
      </c>
      <c r="DJ53" s="19" t="s">
        <v>2325</v>
      </c>
      <c r="DK53" s="19" t="s">
        <v>2271</v>
      </c>
      <c r="DL53" s="19" t="s">
        <v>2326</v>
      </c>
      <c r="DM53" s="19"/>
      <c r="DN53" s="19">
        <v>8.0</v>
      </c>
      <c r="DO53" s="19">
        <v>8.0</v>
      </c>
      <c r="DP53" s="19"/>
      <c r="DQ53" s="19"/>
      <c r="DR53" s="19"/>
      <c r="DS53" s="19" t="s">
        <v>2365</v>
      </c>
      <c r="DT53" s="19" t="s">
        <v>2366</v>
      </c>
      <c r="DU53" s="19" t="s">
        <v>3224</v>
      </c>
      <c r="DV53" s="19"/>
      <c r="DW53" s="19" t="s">
        <v>2153</v>
      </c>
      <c r="DX53" s="19">
        <v>8.0</v>
      </c>
      <c r="DY53" s="19">
        <v>10.0</v>
      </c>
      <c r="DZ53" s="19">
        <v>0.0</v>
      </c>
      <c r="EA53" s="19">
        <v>10.0</v>
      </c>
      <c r="EB53" s="19">
        <v>0.0</v>
      </c>
      <c r="EC53" s="19">
        <v>20.0</v>
      </c>
      <c r="ED53" s="19" t="s">
        <v>2325</v>
      </c>
      <c r="EE53" s="24">
        <v>45524.0</v>
      </c>
      <c r="EF53" s="19" t="s">
        <v>2325</v>
      </c>
      <c r="EG53" s="19" t="s">
        <v>2271</v>
      </c>
      <c r="EH53" s="19" t="s">
        <v>2326</v>
      </c>
      <c r="EI53" s="22">
        <v>13.856250000000001</v>
      </c>
      <c r="EJ53" s="19">
        <v>45.0</v>
      </c>
      <c r="EK53" s="19" t="s">
        <v>2113</v>
      </c>
      <c r="EL53" s="19" t="s">
        <v>2163</v>
      </c>
      <c r="EM53" s="19" t="s">
        <v>3209</v>
      </c>
      <c r="EN53" s="19" t="s">
        <v>170</v>
      </c>
      <c r="EO53" s="19" t="s">
        <v>3211</v>
      </c>
      <c r="EP53" s="19" t="s">
        <v>2122</v>
      </c>
      <c r="EQ53" s="19" t="s">
        <v>3220</v>
      </c>
      <c r="ER53" s="19"/>
      <c r="ES53" s="19" t="s">
        <v>170</v>
      </c>
      <c r="ET53" s="19" t="s">
        <v>170</v>
      </c>
      <c r="EU53" s="19" t="s">
        <v>3207</v>
      </c>
      <c r="EV53" s="19">
        <v>8065.0</v>
      </c>
      <c r="EW53" s="19" t="s">
        <v>16</v>
      </c>
      <c r="EX53" s="19">
        <v>2.0</v>
      </c>
      <c r="EY53" s="25" t="s">
        <v>169</v>
      </c>
      <c r="EZ53" s="19" t="s">
        <v>2154</v>
      </c>
      <c r="FA53" s="5" t="s">
        <v>3225</v>
      </c>
      <c r="FB53" s="26" t="s">
        <v>2156</v>
      </c>
      <c r="FC53" s="26"/>
    </row>
    <row r="54">
      <c r="A54" s="19" t="s">
        <v>2156</v>
      </c>
      <c r="B54" s="19" t="s">
        <v>2113</v>
      </c>
      <c r="C54" s="19" t="s">
        <v>2113</v>
      </c>
      <c r="D54" s="19" t="s">
        <v>171</v>
      </c>
      <c r="E54" s="19" t="s">
        <v>3226</v>
      </c>
      <c r="F54" s="19" t="s">
        <v>171</v>
      </c>
      <c r="G54" s="19"/>
      <c r="H54" s="19" t="s">
        <v>171</v>
      </c>
      <c r="I54" s="19" t="s">
        <v>173</v>
      </c>
      <c r="J54" s="19" t="s">
        <v>3227</v>
      </c>
      <c r="K54" s="19" t="s">
        <v>3228</v>
      </c>
      <c r="L54" s="20">
        <v>45412.0</v>
      </c>
      <c r="M54" s="20">
        <v>45414.0</v>
      </c>
      <c r="N54" s="20">
        <v>45414.0</v>
      </c>
      <c r="O54" s="19" t="s">
        <v>172</v>
      </c>
      <c r="P54" s="19">
        <v>0.0</v>
      </c>
      <c r="Q54" s="19">
        <v>22.0</v>
      </c>
      <c r="R54" s="19">
        <v>8273.0</v>
      </c>
      <c r="S54" s="20" t="s">
        <v>3229</v>
      </c>
      <c r="T54" s="20">
        <v>45461.0</v>
      </c>
      <c r="U54" s="19" t="s">
        <v>171</v>
      </c>
      <c r="V54" s="19"/>
      <c r="W54" s="19"/>
      <c r="X54" s="21">
        <v>20.0</v>
      </c>
      <c r="Y54" s="21">
        <v>10.0</v>
      </c>
      <c r="Z54" s="21">
        <v>4.0</v>
      </c>
      <c r="AA54" s="21">
        <v>0.0</v>
      </c>
      <c r="AB54" s="5">
        <v>34.0</v>
      </c>
      <c r="AC54" s="19">
        <v>3.0</v>
      </c>
      <c r="AD54" s="19">
        <v>4.0</v>
      </c>
      <c r="AE54" s="19">
        <v>4.0</v>
      </c>
      <c r="AF54" s="19">
        <v>4.0</v>
      </c>
      <c r="AG54" s="19">
        <v>4.5</v>
      </c>
      <c r="AH54" s="19">
        <v>4.0</v>
      </c>
      <c r="AI54" s="22">
        <v>11.71875</v>
      </c>
      <c r="AJ54" s="19">
        <v>15.0</v>
      </c>
      <c r="AK54" s="19">
        <v>15.0</v>
      </c>
      <c r="AL54" s="19">
        <v>15.0</v>
      </c>
      <c r="AM54" s="19">
        <v>45.0</v>
      </c>
      <c r="AN54" s="19">
        <v>56.7</v>
      </c>
      <c r="AO54" s="19">
        <v>90.7</v>
      </c>
      <c r="AP54" s="19">
        <v>123.0</v>
      </c>
      <c r="AQ54" s="23">
        <v>52.0</v>
      </c>
      <c r="AR54" s="23">
        <v>3.0</v>
      </c>
      <c r="AS54" s="22"/>
      <c r="AT54" s="19" t="s">
        <v>2282</v>
      </c>
      <c r="AU54" s="19" t="s">
        <v>3230</v>
      </c>
      <c r="AV54" s="19" t="s">
        <v>3231</v>
      </c>
      <c r="AW54" s="19"/>
      <c r="AX54" s="20">
        <v>37188.0</v>
      </c>
      <c r="AY54" s="19" t="s">
        <v>3232</v>
      </c>
      <c r="AZ54" s="19" t="s">
        <v>2310</v>
      </c>
      <c r="BA54" s="19" t="s">
        <v>3233</v>
      </c>
      <c r="BB54" s="19" t="s">
        <v>3234</v>
      </c>
      <c r="BC54" s="19" t="s">
        <v>3235</v>
      </c>
      <c r="BD54" s="19" t="s">
        <v>3236</v>
      </c>
      <c r="BE54" s="19" t="s">
        <v>3227</v>
      </c>
      <c r="BF54" s="19" t="s">
        <v>3237</v>
      </c>
      <c r="BG54" s="19" t="s">
        <v>2127</v>
      </c>
      <c r="BH54" s="19" t="s">
        <v>2128</v>
      </c>
      <c r="BI54" s="19"/>
      <c r="BJ54" s="19" t="s">
        <v>2427</v>
      </c>
      <c r="BK54" s="19" t="s">
        <v>17</v>
      </c>
      <c r="BL54" s="19"/>
      <c r="BM54" s="19" t="s">
        <v>2130</v>
      </c>
      <c r="BN54" s="19" t="s">
        <v>2451</v>
      </c>
      <c r="BO54" s="19" t="s">
        <v>2317</v>
      </c>
      <c r="BP54" s="19"/>
      <c r="BQ54" s="19" t="s">
        <v>2325</v>
      </c>
      <c r="BR54" s="19" t="s">
        <v>2325</v>
      </c>
      <c r="BS54" s="19" t="s">
        <v>2134</v>
      </c>
      <c r="BT54" s="19" t="s">
        <v>118</v>
      </c>
      <c r="BU54" s="19" t="s">
        <v>2452</v>
      </c>
      <c r="BV54" s="19" t="s">
        <v>3238</v>
      </c>
      <c r="BW54" s="19"/>
      <c r="BX54" s="19"/>
      <c r="BY54" s="19" t="s">
        <v>2113</v>
      </c>
      <c r="BZ54" s="19"/>
      <c r="CA54" s="19"/>
      <c r="CB54" s="19" t="s">
        <v>2113</v>
      </c>
      <c r="CC54" s="19"/>
      <c r="CD54" s="19" t="s">
        <v>2137</v>
      </c>
      <c r="CE54" s="19" t="s">
        <v>16</v>
      </c>
      <c r="CF54" s="19"/>
      <c r="CG54" s="19"/>
      <c r="CH54" s="19" t="s">
        <v>16</v>
      </c>
      <c r="CI54" s="21">
        <v>0.0</v>
      </c>
      <c r="CJ54" s="19" t="s">
        <v>16</v>
      </c>
      <c r="CK54" s="19"/>
      <c r="CL54" s="19"/>
      <c r="CM54" s="19" t="s">
        <v>2138</v>
      </c>
      <c r="CN54" s="19" t="s">
        <v>2868</v>
      </c>
      <c r="CO54" s="19"/>
      <c r="CP54" s="19" t="s">
        <v>2140</v>
      </c>
      <c r="CQ54" s="19"/>
      <c r="CR54" s="19"/>
      <c r="CS54" s="19"/>
      <c r="CT54" s="19" t="s">
        <v>2113</v>
      </c>
      <c r="CU54" s="19" t="s">
        <v>2113</v>
      </c>
      <c r="CV54" s="19" t="s">
        <v>2179</v>
      </c>
      <c r="CW54" s="19" t="s">
        <v>2113</v>
      </c>
      <c r="CX54" s="19" t="s">
        <v>2113</v>
      </c>
      <c r="CY54" s="19"/>
      <c r="CZ54" s="19"/>
      <c r="DA54" s="19" t="s">
        <v>16</v>
      </c>
      <c r="DB54" s="19" t="s">
        <v>16</v>
      </c>
      <c r="DC54" s="19" t="s">
        <v>3221</v>
      </c>
      <c r="DD54" s="19"/>
      <c r="DE54" s="19"/>
      <c r="DF54" s="19" t="s">
        <v>2455</v>
      </c>
      <c r="DG54" s="19" t="s">
        <v>2870</v>
      </c>
      <c r="DH54" s="19" t="s">
        <v>2144</v>
      </c>
      <c r="DI54" s="24">
        <v>45518.0</v>
      </c>
      <c r="DJ54" s="19" t="s">
        <v>2325</v>
      </c>
      <c r="DK54" s="19" t="s">
        <v>2271</v>
      </c>
      <c r="DL54" s="19" t="s">
        <v>2326</v>
      </c>
      <c r="DM54" s="19"/>
      <c r="DN54" s="19">
        <v>4.0</v>
      </c>
      <c r="DO54" s="19">
        <v>4.0</v>
      </c>
      <c r="DP54" s="19"/>
      <c r="DQ54" s="19"/>
      <c r="DR54" s="19"/>
      <c r="DS54" s="19" t="s">
        <v>2185</v>
      </c>
      <c r="DT54" s="19" t="s">
        <v>2152</v>
      </c>
      <c r="DU54" s="19" t="s">
        <v>3239</v>
      </c>
      <c r="DV54" s="19"/>
      <c r="DW54" s="19" t="s">
        <v>2153</v>
      </c>
      <c r="DX54" s="19">
        <v>3.0</v>
      </c>
      <c r="DY54" s="19">
        <v>10.0</v>
      </c>
      <c r="DZ54" s="19">
        <v>0.0</v>
      </c>
      <c r="EA54" s="19">
        <v>10.0</v>
      </c>
      <c r="EB54" s="19">
        <v>0.0</v>
      </c>
      <c r="EC54" s="19">
        <v>20.0</v>
      </c>
      <c r="ED54" s="19" t="s">
        <v>2325</v>
      </c>
      <c r="EE54" s="24">
        <v>45518.0</v>
      </c>
      <c r="EF54" s="19" t="s">
        <v>2325</v>
      </c>
      <c r="EG54" s="19" t="s">
        <v>2271</v>
      </c>
      <c r="EH54" s="19" t="s">
        <v>2326</v>
      </c>
      <c r="EI54" s="22">
        <v>11.71875</v>
      </c>
      <c r="EJ54" s="19">
        <v>45.0</v>
      </c>
      <c r="EK54" s="19"/>
      <c r="EL54" s="19" t="s">
        <v>2282</v>
      </c>
      <c r="EM54" s="19" t="s">
        <v>3230</v>
      </c>
      <c r="EN54" s="19" t="s">
        <v>173</v>
      </c>
      <c r="EO54" s="19" t="s">
        <v>3232</v>
      </c>
      <c r="EP54" s="19" t="s">
        <v>2310</v>
      </c>
      <c r="EQ54" s="19" t="s">
        <v>2868</v>
      </c>
      <c r="ER54" s="19"/>
      <c r="ES54" s="19" t="s">
        <v>173</v>
      </c>
      <c r="ET54" s="19" t="s">
        <v>173</v>
      </c>
      <c r="EU54" s="19" t="s">
        <v>3228</v>
      </c>
      <c r="EV54" s="19">
        <v>8273.0</v>
      </c>
      <c r="EW54" s="19" t="s">
        <v>16</v>
      </c>
      <c r="EX54" s="19">
        <v>4.0</v>
      </c>
      <c r="EY54" s="25" t="s">
        <v>172</v>
      </c>
      <c r="EZ54" s="19" t="s">
        <v>2154</v>
      </c>
      <c r="FA54" s="5" t="s">
        <v>3240</v>
      </c>
      <c r="FB54" s="26" t="s">
        <v>2156</v>
      </c>
      <c r="FC54" s="26"/>
    </row>
    <row r="55">
      <c r="A55" s="19" t="s">
        <v>17</v>
      </c>
      <c r="B55" s="19" t="s">
        <v>2113</v>
      </c>
      <c r="C55" s="19" t="s">
        <v>2113</v>
      </c>
      <c r="D55" s="19" t="s">
        <v>174</v>
      </c>
      <c r="E55" s="19" t="s">
        <v>3241</v>
      </c>
      <c r="F55" s="19" t="s">
        <v>174</v>
      </c>
      <c r="G55" s="19"/>
      <c r="H55" s="19" t="s">
        <v>174</v>
      </c>
      <c r="I55" s="19" t="s">
        <v>176</v>
      </c>
      <c r="J55" s="19" t="s">
        <v>3242</v>
      </c>
      <c r="K55" s="19" t="s">
        <v>3243</v>
      </c>
      <c r="L55" s="20">
        <v>45439.0</v>
      </c>
      <c r="M55" s="20">
        <v>45440.0</v>
      </c>
      <c r="N55" s="20">
        <v>45440.0</v>
      </c>
      <c r="O55" s="19" t="s">
        <v>175</v>
      </c>
      <c r="P55" s="19">
        <v>0.0</v>
      </c>
      <c r="Q55" s="19">
        <v>27.0</v>
      </c>
      <c r="R55" s="19">
        <v>9936.0</v>
      </c>
      <c r="S55" s="20" t="s">
        <v>3244</v>
      </c>
      <c r="T55" s="20">
        <v>45461.0</v>
      </c>
      <c r="U55" s="19" t="s">
        <v>174</v>
      </c>
      <c r="V55" s="19"/>
      <c r="W55" s="19"/>
      <c r="X55" s="21">
        <v>20.0</v>
      </c>
      <c r="Y55" s="21">
        <v>10.0</v>
      </c>
      <c r="Z55" s="21">
        <v>2.0</v>
      </c>
      <c r="AA55" s="21">
        <v>3.0</v>
      </c>
      <c r="AB55" s="5">
        <v>35.0</v>
      </c>
      <c r="AC55" s="19">
        <v>4.0</v>
      </c>
      <c r="AD55" s="19">
        <v>4.5</v>
      </c>
      <c r="AE55" s="19">
        <v>4.0</v>
      </c>
      <c r="AF55" s="19">
        <v>2.5</v>
      </c>
      <c r="AG55" s="19">
        <v>3.0</v>
      </c>
      <c r="AH55" s="19">
        <v>2.0</v>
      </c>
      <c r="AI55" s="22">
        <v>10.640625</v>
      </c>
      <c r="AJ55" s="19">
        <v>15.0</v>
      </c>
      <c r="AK55" s="19">
        <v>15.0</v>
      </c>
      <c r="AL55" s="19">
        <v>15.0</v>
      </c>
      <c r="AM55" s="19">
        <v>45.0</v>
      </c>
      <c r="AN55" s="19">
        <v>55.6</v>
      </c>
      <c r="AO55" s="19">
        <v>90.6</v>
      </c>
      <c r="AP55" s="19">
        <v>104.0</v>
      </c>
      <c r="AQ55" s="23">
        <v>53.0</v>
      </c>
      <c r="AR55" s="23">
        <v>1.0</v>
      </c>
      <c r="AS55" s="22"/>
      <c r="AT55" s="19" t="s">
        <v>2282</v>
      </c>
      <c r="AU55" s="19" t="s">
        <v>3245</v>
      </c>
      <c r="AV55" s="19" t="s">
        <v>3246</v>
      </c>
      <c r="AW55" s="19"/>
      <c r="AX55" s="20">
        <v>35525.0</v>
      </c>
      <c r="AY55" s="19" t="s">
        <v>177</v>
      </c>
      <c r="AZ55" s="19" t="s">
        <v>2122</v>
      </c>
      <c r="BA55" s="19" t="s">
        <v>3247</v>
      </c>
      <c r="BB55" s="19" t="s">
        <v>3248</v>
      </c>
      <c r="BC55" s="19" t="s">
        <v>3249</v>
      </c>
      <c r="BD55" s="19" t="s">
        <v>3250</v>
      </c>
      <c r="BE55" s="19" t="s">
        <v>3242</v>
      </c>
      <c r="BF55" s="19">
        <v>1.1961583982E10</v>
      </c>
      <c r="BG55" s="19" t="s">
        <v>2127</v>
      </c>
      <c r="BH55" s="19" t="s">
        <v>2128</v>
      </c>
      <c r="BI55" s="19"/>
      <c r="BJ55" s="19"/>
      <c r="BK55" s="19" t="s">
        <v>16</v>
      </c>
      <c r="BL55" s="19"/>
      <c r="BM55" s="19" t="s">
        <v>2130</v>
      </c>
      <c r="BN55" s="19" t="s">
        <v>2172</v>
      </c>
      <c r="BO55" s="19" t="s">
        <v>3199</v>
      </c>
      <c r="BP55" s="19"/>
      <c r="BQ55" s="19" t="s">
        <v>3251</v>
      </c>
      <c r="BR55" s="19" t="s">
        <v>3251</v>
      </c>
      <c r="BS55" s="19" t="s">
        <v>2134</v>
      </c>
      <c r="BT55" s="19" t="s">
        <v>177</v>
      </c>
      <c r="BU55" s="19"/>
      <c r="BV55" s="19" t="s">
        <v>3252</v>
      </c>
      <c r="BW55" s="19" t="s">
        <v>2113</v>
      </c>
      <c r="BX55" s="19"/>
      <c r="BY55" s="19"/>
      <c r="BZ55" s="19"/>
      <c r="CA55" s="19"/>
      <c r="CB55" s="19" t="s">
        <v>2113</v>
      </c>
      <c r="CC55" s="19"/>
      <c r="CD55" s="19" t="s">
        <v>2137</v>
      </c>
      <c r="CE55" s="19" t="s">
        <v>16</v>
      </c>
      <c r="CF55" s="19"/>
      <c r="CG55" s="19"/>
      <c r="CH55" s="19" t="s">
        <v>17</v>
      </c>
      <c r="CI55" s="21">
        <v>3.0</v>
      </c>
      <c r="CJ55" s="19" t="s">
        <v>16</v>
      </c>
      <c r="CK55" s="19"/>
      <c r="CL55" s="19"/>
      <c r="CM55" s="19" t="s">
        <v>2138</v>
      </c>
      <c r="CN55" s="19" t="s">
        <v>3253</v>
      </c>
      <c r="CO55" s="19" t="s">
        <v>3254</v>
      </c>
      <c r="CP55" s="19" t="s">
        <v>2178</v>
      </c>
      <c r="CQ55" s="19"/>
      <c r="CR55" s="19" t="s">
        <v>2113</v>
      </c>
      <c r="CS55" s="19" t="s">
        <v>2113</v>
      </c>
      <c r="CT55" s="19" t="s">
        <v>2113</v>
      </c>
      <c r="CU55" s="19" t="s">
        <v>2113</v>
      </c>
      <c r="CV55" s="19" t="s">
        <v>2141</v>
      </c>
      <c r="CW55" s="19" t="s">
        <v>2113</v>
      </c>
      <c r="CX55" s="19" t="s">
        <v>2113</v>
      </c>
      <c r="CY55" s="19" t="s">
        <v>2113</v>
      </c>
      <c r="CZ55" s="19" t="s">
        <v>2113</v>
      </c>
      <c r="DA55" s="19" t="s">
        <v>16</v>
      </c>
      <c r="DB55" s="19" t="s">
        <v>16</v>
      </c>
      <c r="DC55" s="19" t="s">
        <v>3255</v>
      </c>
      <c r="DD55" s="19" t="s">
        <v>2113</v>
      </c>
      <c r="DE55" s="19" t="s">
        <v>2113</v>
      </c>
      <c r="DF55" s="19" t="s">
        <v>3256</v>
      </c>
      <c r="DG55" s="19" t="s">
        <v>3223</v>
      </c>
      <c r="DH55" s="19" t="s">
        <v>2144</v>
      </c>
      <c r="DI55" s="24">
        <v>45519.0</v>
      </c>
      <c r="DJ55" s="19" t="s">
        <v>3257</v>
      </c>
      <c r="DK55" s="19" t="s">
        <v>2271</v>
      </c>
      <c r="DL55" s="19" t="s">
        <v>2207</v>
      </c>
      <c r="DM55" s="22" t="s">
        <v>3258</v>
      </c>
      <c r="DN55" s="19">
        <v>3.0</v>
      </c>
      <c r="DO55" s="19">
        <v>3.0</v>
      </c>
      <c r="DP55" s="19" t="s">
        <v>3259</v>
      </c>
      <c r="DQ55" s="19" t="s">
        <v>3260</v>
      </c>
      <c r="DR55" s="19" t="s">
        <v>3261</v>
      </c>
      <c r="DS55" s="19" t="s">
        <v>2365</v>
      </c>
      <c r="DT55" s="19" t="s">
        <v>2350</v>
      </c>
      <c r="DU55" s="19"/>
      <c r="DV55" s="19"/>
      <c r="DW55" s="19" t="s">
        <v>2479</v>
      </c>
      <c r="DX55" s="19">
        <v>11.0</v>
      </c>
      <c r="DY55" s="19">
        <v>10.0</v>
      </c>
      <c r="DZ55" s="19">
        <v>0.0</v>
      </c>
      <c r="EA55" s="19">
        <v>10.0</v>
      </c>
      <c r="EB55" s="19">
        <v>3.0</v>
      </c>
      <c r="EC55" s="19">
        <v>20.0</v>
      </c>
      <c r="ED55" s="19" t="s">
        <v>3257</v>
      </c>
      <c r="EE55" s="24">
        <v>45519.0</v>
      </c>
      <c r="EF55" s="19" t="s">
        <v>3257</v>
      </c>
      <c r="EG55" s="19" t="s">
        <v>2271</v>
      </c>
      <c r="EH55" s="19" t="s">
        <v>2207</v>
      </c>
      <c r="EI55" s="22">
        <v>10.640625</v>
      </c>
      <c r="EJ55" s="19">
        <v>45.0</v>
      </c>
      <c r="EK55" s="19"/>
      <c r="EL55" s="19" t="s">
        <v>2282</v>
      </c>
      <c r="EM55" s="19" t="s">
        <v>3245</v>
      </c>
      <c r="EN55" s="19" t="s">
        <v>176</v>
      </c>
      <c r="EO55" s="19" t="s">
        <v>177</v>
      </c>
      <c r="EP55" s="19" t="s">
        <v>2122</v>
      </c>
      <c r="EQ55" s="19" t="s">
        <v>3253</v>
      </c>
      <c r="ER55" s="19" t="s">
        <v>3254</v>
      </c>
      <c r="ES55" s="19" t="s">
        <v>176</v>
      </c>
      <c r="ET55" s="19" t="s">
        <v>176</v>
      </c>
      <c r="EU55" s="19" t="s">
        <v>3243</v>
      </c>
      <c r="EV55" s="19">
        <v>9936.0</v>
      </c>
      <c r="EW55" s="19" t="s">
        <v>16</v>
      </c>
      <c r="EX55" s="19">
        <v>2.0</v>
      </c>
      <c r="EY55" s="25" t="s">
        <v>175</v>
      </c>
      <c r="EZ55" s="19" t="s">
        <v>2154</v>
      </c>
      <c r="FA55" s="5" t="s">
        <v>3262</v>
      </c>
      <c r="FB55" s="26" t="s">
        <v>2156</v>
      </c>
      <c r="FC55" s="26"/>
    </row>
    <row r="56">
      <c r="A56" s="19" t="s">
        <v>2156</v>
      </c>
      <c r="B56" s="19" t="s">
        <v>2113</v>
      </c>
      <c r="C56" s="19" t="s">
        <v>2113</v>
      </c>
      <c r="D56" s="19" t="s">
        <v>178</v>
      </c>
      <c r="E56" s="19" t="s">
        <v>3263</v>
      </c>
      <c r="F56" s="19" t="s">
        <v>178</v>
      </c>
      <c r="G56" s="19"/>
      <c r="H56" s="19" t="s">
        <v>178</v>
      </c>
      <c r="I56" s="19" t="s">
        <v>180</v>
      </c>
      <c r="J56" s="19" t="s">
        <v>3264</v>
      </c>
      <c r="K56" s="19" t="s">
        <v>3265</v>
      </c>
      <c r="L56" s="20">
        <v>45460.0</v>
      </c>
      <c r="M56" s="20">
        <v>45462.0</v>
      </c>
      <c r="N56" s="20">
        <v>45462.0</v>
      </c>
      <c r="O56" s="19" t="s">
        <v>179</v>
      </c>
      <c r="P56" s="19">
        <v>0.0</v>
      </c>
      <c r="Q56" s="19">
        <v>23.0</v>
      </c>
      <c r="R56" s="19">
        <v>8422.0</v>
      </c>
      <c r="S56" s="20" t="s">
        <v>3266</v>
      </c>
      <c r="T56" s="20">
        <v>45461.0</v>
      </c>
      <c r="U56" s="19" t="s">
        <v>178</v>
      </c>
      <c r="V56" s="19"/>
      <c r="W56" s="19"/>
      <c r="X56" s="21">
        <v>20.0</v>
      </c>
      <c r="Y56" s="21">
        <v>10.0</v>
      </c>
      <c r="Z56" s="21">
        <v>1.0</v>
      </c>
      <c r="AA56" s="21">
        <v>0.0</v>
      </c>
      <c r="AB56" s="5">
        <v>31.0</v>
      </c>
      <c r="AC56" s="19">
        <v>5.0</v>
      </c>
      <c r="AD56" s="19">
        <v>5.0</v>
      </c>
      <c r="AE56" s="19">
        <v>5.0</v>
      </c>
      <c r="AF56" s="19">
        <v>5.0</v>
      </c>
      <c r="AG56" s="19">
        <v>4.0</v>
      </c>
      <c r="AH56" s="19">
        <v>5.0</v>
      </c>
      <c r="AI56" s="22">
        <v>14.625</v>
      </c>
      <c r="AJ56" s="19">
        <v>15.0</v>
      </c>
      <c r="AK56" s="19">
        <v>15.0</v>
      </c>
      <c r="AL56" s="19">
        <v>15.0</v>
      </c>
      <c r="AM56" s="19">
        <v>45.0</v>
      </c>
      <c r="AN56" s="19">
        <v>59.6</v>
      </c>
      <c r="AO56" s="19">
        <v>90.6</v>
      </c>
      <c r="AP56" s="19">
        <v>210.0</v>
      </c>
      <c r="AQ56" s="23">
        <v>54.0</v>
      </c>
      <c r="AR56" s="23">
        <v>5.0</v>
      </c>
      <c r="AS56" s="22"/>
      <c r="AT56" s="19" t="s">
        <v>2163</v>
      </c>
      <c r="AU56" s="19" t="s">
        <v>3267</v>
      </c>
      <c r="AV56" s="19" t="s">
        <v>3268</v>
      </c>
      <c r="AW56" s="19" t="s">
        <v>3269</v>
      </c>
      <c r="AX56" s="20">
        <v>37039.0</v>
      </c>
      <c r="AY56" s="19" t="s">
        <v>3270</v>
      </c>
      <c r="AZ56" s="19" t="s">
        <v>2122</v>
      </c>
      <c r="BA56" s="19" t="s">
        <v>3271</v>
      </c>
      <c r="BB56" s="19" t="s">
        <v>2860</v>
      </c>
      <c r="BC56" s="19" t="s">
        <v>3272</v>
      </c>
      <c r="BD56" s="19" t="s">
        <v>3273</v>
      </c>
      <c r="BE56" s="19" t="s">
        <v>3264</v>
      </c>
      <c r="BF56" s="19" t="s">
        <v>3274</v>
      </c>
      <c r="BG56" s="19" t="s">
        <v>2127</v>
      </c>
      <c r="BH56" s="19" t="s">
        <v>2128</v>
      </c>
      <c r="BI56" s="19"/>
      <c r="BJ56" s="19"/>
      <c r="BK56" s="19" t="s">
        <v>16</v>
      </c>
      <c r="BL56" s="19"/>
      <c r="BM56" s="19" t="s">
        <v>2130</v>
      </c>
      <c r="BN56" s="19" t="s">
        <v>3275</v>
      </c>
      <c r="BO56" s="19" t="s">
        <v>3082</v>
      </c>
      <c r="BP56" s="19" t="s">
        <v>3276</v>
      </c>
      <c r="BQ56" s="19" t="s">
        <v>2318</v>
      </c>
      <c r="BR56" s="19" t="s">
        <v>2318</v>
      </c>
      <c r="BS56" s="19" t="s">
        <v>2134</v>
      </c>
      <c r="BT56" s="19" t="s">
        <v>42</v>
      </c>
      <c r="BU56" s="19" t="s">
        <v>3277</v>
      </c>
      <c r="BV56" s="19" t="s">
        <v>3278</v>
      </c>
      <c r="BW56" s="19" t="s">
        <v>2113</v>
      </c>
      <c r="BX56" s="19"/>
      <c r="BY56" s="19"/>
      <c r="BZ56" s="19"/>
      <c r="CA56" s="19"/>
      <c r="CB56" s="19" t="s">
        <v>2113</v>
      </c>
      <c r="CC56" s="19"/>
      <c r="CD56" s="19" t="s">
        <v>2137</v>
      </c>
      <c r="CE56" s="19" t="s">
        <v>16</v>
      </c>
      <c r="CF56" s="19"/>
      <c r="CG56" s="19"/>
      <c r="CH56" s="19" t="s">
        <v>16</v>
      </c>
      <c r="CI56" s="21">
        <v>0.0</v>
      </c>
      <c r="CJ56" s="19" t="s">
        <v>17</v>
      </c>
      <c r="CK56" s="19"/>
      <c r="CL56" s="19"/>
      <c r="CM56" s="19" t="s">
        <v>2344</v>
      </c>
      <c r="CN56" s="19" t="s">
        <v>3279</v>
      </c>
      <c r="CO56" s="19"/>
      <c r="CP56" s="19"/>
      <c r="CQ56" s="19"/>
      <c r="CR56" s="19"/>
      <c r="CS56" s="19"/>
      <c r="CT56" s="19"/>
      <c r="CU56" s="19"/>
      <c r="CV56" s="19" t="s">
        <v>2141</v>
      </c>
      <c r="CW56" s="19" t="s">
        <v>2113</v>
      </c>
      <c r="CX56" s="19" t="s">
        <v>2113</v>
      </c>
      <c r="CY56" s="19" t="s">
        <v>2113</v>
      </c>
      <c r="CZ56" s="19" t="s">
        <v>2113</v>
      </c>
      <c r="DA56" s="19" t="s">
        <v>16</v>
      </c>
      <c r="DB56" s="19" t="s">
        <v>17</v>
      </c>
      <c r="DC56" s="19" t="s">
        <v>3280</v>
      </c>
      <c r="DD56" s="19" t="s">
        <v>2113</v>
      </c>
      <c r="DE56" s="19" t="s">
        <v>2113</v>
      </c>
      <c r="DF56" s="19" t="s">
        <v>2324</v>
      </c>
      <c r="DG56" s="19" t="s">
        <v>2207</v>
      </c>
      <c r="DH56" s="19" t="s">
        <v>2144</v>
      </c>
      <c r="DI56" s="24">
        <v>45519.0</v>
      </c>
      <c r="DJ56" s="19" t="s">
        <v>2325</v>
      </c>
      <c r="DK56" s="19" t="s">
        <v>2145</v>
      </c>
      <c r="DL56" s="19" t="s">
        <v>2326</v>
      </c>
      <c r="DM56" s="19"/>
      <c r="DN56" s="19">
        <v>5.0</v>
      </c>
      <c r="DO56" s="19">
        <v>5.0</v>
      </c>
      <c r="DP56" s="19" t="s">
        <v>3281</v>
      </c>
      <c r="DQ56" s="19" t="s">
        <v>3282</v>
      </c>
      <c r="DR56" s="19" t="s">
        <v>3283</v>
      </c>
      <c r="DS56" s="19" t="s">
        <v>2185</v>
      </c>
      <c r="DT56" s="19" t="s">
        <v>2209</v>
      </c>
      <c r="DU56" s="19"/>
      <c r="DV56" s="19"/>
      <c r="DW56" s="19" t="s">
        <v>2188</v>
      </c>
      <c r="DX56" s="19">
        <v>5.0</v>
      </c>
      <c r="DY56" s="19">
        <v>10.0</v>
      </c>
      <c r="DZ56" s="19">
        <v>0.0</v>
      </c>
      <c r="EA56" s="19">
        <v>10.0</v>
      </c>
      <c r="EB56" s="19">
        <v>0.0</v>
      </c>
      <c r="EC56" s="19">
        <v>20.0</v>
      </c>
      <c r="ED56" s="19" t="s">
        <v>2325</v>
      </c>
      <c r="EE56" s="24">
        <v>45519.0</v>
      </c>
      <c r="EF56" s="19" t="s">
        <v>2325</v>
      </c>
      <c r="EG56" s="19" t="s">
        <v>2145</v>
      </c>
      <c r="EH56" s="19" t="s">
        <v>2326</v>
      </c>
      <c r="EI56" s="22">
        <v>14.625</v>
      </c>
      <c r="EJ56" s="19">
        <v>45.0</v>
      </c>
      <c r="EK56" s="19" t="s">
        <v>2113</v>
      </c>
      <c r="EL56" s="19" t="s">
        <v>2163</v>
      </c>
      <c r="EM56" s="19" t="s">
        <v>3267</v>
      </c>
      <c r="EN56" s="19" t="s">
        <v>180</v>
      </c>
      <c r="EO56" s="19" t="s">
        <v>3270</v>
      </c>
      <c r="EP56" s="19" t="s">
        <v>2122</v>
      </c>
      <c r="EQ56" s="19" t="s">
        <v>3279</v>
      </c>
      <c r="ER56" s="19"/>
      <c r="ES56" s="19" t="s">
        <v>180</v>
      </c>
      <c r="ET56" s="19" t="s">
        <v>180</v>
      </c>
      <c r="EU56" s="19" t="s">
        <v>3265</v>
      </c>
      <c r="EV56" s="19">
        <v>8422.0</v>
      </c>
      <c r="EW56" s="19" t="s">
        <v>16</v>
      </c>
      <c r="EX56" s="19">
        <v>1.0</v>
      </c>
      <c r="EY56" s="25" t="s">
        <v>179</v>
      </c>
      <c r="EZ56" s="19" t="s">
        <v>2154</v>
      </c>
      <c r="FA56" s="5" t="s">
        <v>3284</v>
      </c>
      <c r="FB56" s="26" t="s">
        <v>2156</v>
      </c>
      <c r="FC56" s="26"/>
    </row>
    <row r="57">
      <c r="A57" s="19" t="s">
        <v>2112</v>
      </c>
      <c r="B57" s="19" t="s">
        <v>2113</v>
      </c>
      <c r="C57" s="19" t="s">
        <v>2113</v>
      </c>
      <c r="D57" s="19" t="s">
        <v>3285</v>
      </c>
      <c r="E57" s="19" t="s">
        <v>3286</v>
      </c>
      <c r="F57" s="19" t="s">
        <v>3287</v>
      </c>
      <c r="G57" s="19" t="s">
        <v>3288</v>
      </c>
      <c r="H57" s="19" t="s">
        <v>181</v>
      </c>
      <c r="I57" s="19" t="s">
        <v>150</v>
      </c>
      <c r="J57" s="19" t="s">
        <v>3289</v>
      </c>
      <c r="K57" s="19" t="s">
        <v>3290</v>
      </c>
      <c r="L57" s="20">
        <v>45401.0</v>
      </c>
      <c r="M57" s="20">
        <v>45411.0</v>
      </c>
      <c r="N57" s="20">
        <v>45411.0</v>
      </c>
      <c r="O57" s="19" t="s">
        <v>182</v>
      </c>
      <c r="P57" s="19">
        <v>0.0</v>
      </c>
      <c r="Q57" s="19">
        <v>21.0</v>
      </c>
      <c r="R57" s="19">
        <v>7739.0</v>
      </c>
      <c r="S57" s="20" t="s">
        <v>3291</v>
      </c>
      <c r="T57" s="20">
        <v>45461.0</v>
      </c>
      <c r="U57" s="19" t="s">
        <v>3287</v>
      </c>
      <c r="V57" s="19"/>
      <c r="W57" s="19" t="s">
        <v>3292</v>
      </c>
      <c r="X57" s="21">
        <v>20.0</v>
      </c>
      <c r="Y57" s="21">
        <v>10.0</v>
      </c>
      <c r="Z57" s="21">
        <v>5.0</v>
      </c>
      <c r="AA57" s="21">
        <v>0.0</v>
      </c>
      <c r="AB57" s="5">
        <v>35.0</v>
      </c>
      <c r="AC57" s="19">
        <v>5.0</v>
      </c>
      <c r="AD57" s="19">
        <v>5.0</v>
      </c>
      <c r="AE57" s="19">
        <v>5.0</v>
      </c>
      <c r="AF57" s="19">
        <v>5.0</v>
      </c>
      <c r="AG57" s="19">
        <v>5.0</v>
      </c>
      <c r="AH57" s="19">
        <v>5.0</v>
      </c>
      <c r="AI57" s="22">
        <v>15.0</v>
      </c>
      <c r="AJ57" s="19">
        <v>13.5</v>
      </c>
      <c r="AK57" s="19">
        <v>13.0</v>
      </c>
      <c r="AL57" s="19">
        <v>14.0</v>
      </c>
      <c r="AM57" s="19">
        <v>40.5</v>
      </c>
      <c r="AN57" s="19">
        <v>55.5</v>
      </c>
      <c r="AO57" s="19">
        <v>90.5</v>
      </c>
      <c r="AP57" s="19">
        <v>75.0</v>
      </c>
      <c r="AQ57" s="23">
        <v>55.0</v>
      </c>
      <c r="AR57" s="23">
        <v>10.0</v>
      </c>
      <c r="AS57" s="22"/>
      <c r="AT57" s="19" t="s">
        <v>2163</v>
      </c>
      <c r="AU57" s="19" t="s">
        <v>2592</v>
      </c>
      <c r="AV57" s="19" t="s">
        <v>3293</v>
      </c>
      <c r="AW57" s="19" t="s">
        <v>3294</v>
      </c>
      <c r="AX57" s="20">
        <v>37722.0</v>
      </c>
      <c r="AY57" s="19" t="s">
        <v>2286</v>
      </c>
      <c r="AZ57" s="19" t="s">
        <v>2445</v>
      </c>
      <c r="BA57" s="19" t="s">
        <v>3295</v>
      </c>
      <c r="BB57" s="19" t="s">
        <v>3296</v>
      </c>
      <c r="BC57" s="19" t="s">
        <v>3297</v>
      </c>
      <c r="BD57" s="19" t="s">
        <v>3298</v>
      </c>
      <c r="BE57" s="19" t="s">
        <v>3299</v>
      </c>
      <c r="BF57" s="19">
        <v>1.1958971097E10</v>
      </c>
      <c r="BG57" s="19" t="s">
        <v>2127</v>
      </c>
      <c r="BH57" s="19" t="s">
        <v>2128</v>
      </c>
      <c r="BI57" s="19"/>
      <c r="BJ57" s="19"/>
      <c r="BK57" s="19" t="s">
        <v>16</v>
      </c>
      <c r="BL57" s="19"/>
      <c r="BM57" s="19" t="s">
        <v>2130</v>
      </c>
      <c r="BN57" s="19" t="s">
        <v>2172</v>
      </c>
      <c r="BO57" s="19" t="s">
        <v>2132</v>
      </c>
      <c r="BP57" s="19" t="s">
        <v>3300</v>
      </c>
      <c r="BQ57" s="19" t="s">
        <v>2133</v>
      </c>
      <c r="BR57" s="19" t="s">
        <v>2133</v>
      </c>
      <c r="BS57" s="19" t="s">
        <v>2134</v>
      </c>
      <c r="BT57" s="19" t="s">
        <v>38</v>
      </c>
      <c r="BU57" s="19"/>
      <c r="BV57" s="19" t="s">
        <v>3301</v>
      </c>
      <c r="BW57" s="19"/>
      <c r="BX57" s="19"/>
      <c r="BY57" s="19"/>
      <c r="BZ57" s="19"/>
      <c r="CA57" s="19"/>
      <c r="CB57" s="19" t="s">
        <v>2113</v>
      </c>
      <c r="CC57" s="19" t="s">
        <v>2113</v>
      </c>
      <c r="CD57" s="19" t="s">
        <v>2137</v>
      </c>
      <c r="CE57" s="19" t="s">
        <v>16</v>
      </c>
      <c r="CF57" s="19"/>
      <c r="CG57" s="19"/>
      <c r="CH57" s="19" t="s">
        <v>16</v>
      </c>
      <c r="CI57" s="21">
        <v>0.0</v>
      </c>
      <c r="CJ57" s="19" t="s">
        <v>17</v>
      </c>
      <c r="CK57" s="19"/>
      <c r="CL57" s="19"/>
      <c r="CM57" s="19"/>
      <c r="CN57" s="19" t="s">
        <v>2294</v>
      </c>
      <c r="CO57" s="19"/>
      <c r="CP57" s="19"/>
      <c r="CQ57" s="19"/>
      <c r="CR57" s="19" t="s">
        <v>2113</v>
      </c>
      <c r="CS57" s="19" t="s">
        <v>2113</v>
      </c>
      <c r="CT57" s="19" t="s">
        <v>2113</v>
      </c>
      <c r="CU57" s="19" t="s">
        <v>2113</v>
      </c>
      <c r="CV57" s="19" t="s">
        <v>2141</v>
      </c>
      <c r="CW57" s="19" t="s">
        <v>2113</v>
      </c>
      <c r="CX57" s="19" t="s">
        <v>2113</v>
      </c>
      <c r="CY57" s="19" t="s">
        <v>2113</v>
      </c>
      <c r="CZ57" s="19" t="s">
        <v>2113</v>
      </c>
      <c r="DA57" s="19" t="s">
        <v>16</v>
      </c>
      <c r="DB57" s="19" t="s">
        <v>17</v>
      </c>
      <c r="DC57" s="19" t="s">
        <v>2476</v>
      </c>
      <c r="DD57" s="19" t="s">
        <v>2113</v>
      </c>
      <c r="DE57" s="19" t="s">
        <v>2113</v>
      </c>
      <c r="DF57" s="19" t="s">
        <v>2433</v>
      </c>
      <c r="DG57" s="19" t="s">
        <v>2602</v>
      </c>
      <c r="DH57" s="19" t="s">
        <v>2144</v>
      </c>
      <c r="DI57" s="24">
        <v>45524.0</v>
      </c>
      <c r="DJ57" s="19" t="s">
        <v>2133</v>
      </c>
      <c r="DK57" s="19" t="s">
        <v>2145</v>
      </c>
      <c r="DL57" s="19" t="s">
        <v>2146</v>
      </c>
      <c r="DM57" s="19" t="s">
        <v>3302</v>
      </c>
      <c r="DN57" s="19">
        <v>7.0</v>
      </c>
      <c r="DO57" s="19">
        <v>7.0</v>
      </c>
      <c r="DP57" s="19" t="s">
        <v>3303</v>
      </c>
      <c r="DQ57" s="19" t="s">
        <v>3304</v>
      </c>
      <c r="DR57" s="19" t="s">
        <v>3305</v>
      </c>
      <c r="DS57" s="19" t="s">
        <v>2185</v>
      </c>
      <c r="DT57" s="19" t="s">
        <v>2152</v>
      </c>
      <c r="DU57" s="19"/>
      <c r="DV57" s="19"/>
      <c r="DW57" s="19" t="s">
        <v>3306</v>
      </c>
      <c r="DX57" s="19">
        <v>4.0</v>
      </c>
      <c r="DY57" s="19">
        <v>10.0</v>
      </c>
      <c r="DZ57" s="19">
        <v>0.0</v>
      </c>
      <c r="EA57" s="19">
        <v>10.0</v>
      </c>
      <c r="EB57" s="19">
        <v>0.0</v>
      </c>
      <c r="EC57" s="19">
        <v>20.0</v>
      </c>
      <c r="ED57" s="19" t="s">
        <v>2133</v>
      </c>
      <c r="EE57" s="24">
        <v>45524.0</v>
      </c>
      <c r="EF57" s="19" t="s">
        <v>2133</v>
      </c>
      <c r="EG57" s="19" t="s">
        <v>2145</v>
      </c>
      <c r="EH57" s="19" t="s">
        <v>2146</v>
      </c>
      <c r="EI57" s="22">
        <v>15.0</v>
      </c>
      <c r="EJ57" s="19">
        <v>40.5</v>
      </c>
      <c r="EK57" s="19" t="s">
        <v>2113</v>
      </c>
      <c r="EL57" s="19" t="s">
        <v>2163</v>
      </c>
      <c r="EM57" s="19" t="s">
        <v>2592</v>
      </c>
      <c r="EN57" s="19" t="s">
        <v>150</v>
      </c>
      <c r="EO57" s="19" t="s">
        <v>2286</v>
      </c>
      <c r="EP57" s="19" t="s">
        <v>2445</v>
      </c>
      <c r="EQ57" s="19" t="s">
        <v>2294</v>
      </c>
      <c r="ER57" s="19"/>
      <c r="ES57" s="19" t="s">
        <v>150</v>
      </c>
      <c r="ET57" s="19" t="s">
        <v>150</v>
      </c>
      <c r="EU57" s="19" t="s">
        <v>3290</v>
      </c>
      <c r="EV57" s="19">
        <v>7739.0</v>
      </c>
      <c r="EW57" s="19" t="s">
        <v>16</v>
      </c>
      <c r="EX57" s="19">
        <v>5.0</v>
      </c>
      <c r="EY57" s="25" t="s">
        <v>182</v>
      </c>
      <c r="EZ57" s="19" t="s">
        <v>2154</v>
      </c>
      <c r="FA57" s="5" t="s">
        <v>3307</v>
      </c>
      <c r="FB57" s="26" t="s">
        <v>2156</v>
      </c>
      <c r="FC57" s="26"/>
    </row>
    <row r="58">
      <c r="A58" s="19" t="s">
        <v>2112</v>
      </c>
      <c r="B58" s="19" t="s">
        <v>2113</v>
      </c>
      <c r="C58" s="19" t="s">
        <v>2113</v>
      </c>
      <c r="D58" s="19" t="s">
        <v>183</v>
      </c>
      <c r="E58" s="19" t="s">
        <v>3308</v>
      </c>
      <c r="F58" s="19" t="s">
        <v>3309</v>
      </c>
      <c r="G58" s="19" t="s">
        <v>3310</v>
      </c>
      <c r="H58" s="19" t="s">
        <v>183</v>
      </c>
      <c r="I58" s="19" t="s">
        <v>185</v>
      </c>
      <c r="J58" s="19" t="s">
        <v>3311</v>
      </c>
      <c r="K58" s="19" t="s">
        <v>3312</v>
      </c>
      <c r="L58" s="20">
        <v>45437.0</v>
      </c>
      <c r="M58" s="20">
        <v>45439.0</v>
      </c>
      <c r="N58" s="20">
        <v>45439.0</v>
      </c>
      <c r="O58" s="19" t="s">
        <v>184</v>
      </c>
      <c r="P58" s="19">
        <v>0.0</v>
      </c>
      <c r="Q58" s="19">
        <v>21.0</v>
      </c>
      <c r="R58" s="19">
        <v>7919.0</v>
      </c>
      <c r="S58" s="20" t="s">
        <v>3313</v>
      </c>
      <c r="T58" s="20">
        <v>45461.0</v>
      </c>
      <c r="U58" s="19" t="s">
        <v>3309</v>
      </c>
      <c r="V58" s="19"/>
      <c r="W58" s="19"/>
      <c r="X58" s="21">
        <v>20.0</v>
      </c>
      <c r="Y58" s="21">
        <v>10.0</v>
      </c>
      <c r="Z58" s="21">
        <v>3.0</v>
      </c>
      <c r="AA58" s="21">
        <v>0.0</v>
      </c>
      <c r="AB58" s="5">
        <v>33.0</v>
      </c>
      <c r="AC58" s="19">
        <v>5.0</v>
      </c>
      <c r="AD58" s="19">
        <v>4.0</v>
      </c>
      <c r="AE58" s="19">
        <v>4.0</v>
      </c>
      <c r="AF58" s="19">
        <v>4.0</v>
      </c>
      <c r="AG58" s="19">
        <v>4.0</v>
      </c>
      <c r="AH58" s="19">
        <v>4.0</v>
      </c>
      <c r="AI58" s="22">
        <v>12.46875</v>
      </c>
      <c r="AJ58" s="19">
        <v>15.0</v>
      </c>
      <c r="AK58" s="19">
        <v>15.0</v>
      </c>
      <c r="AL58" s="19">
        <v>15.0</v>
      </c>
      <c r="AM58" s="19">
        <v>45.0</v>
      </c>
      <c r="AN58" s="19">
        <v>57.5</v>
      </c>
      <c r="AO58" s="19">
        <v>90.5</v>
      </c>
      <c r="AP58" s="19">
        <v>154.0</v>
      </c>
      <c r="AQ58" s="23">
        <v>56.0</v>
      </c>
      <c r="AR58" s="23">
        <v>11.0</v>
      </c>
      <c r="AS58" s="22"/>
      <c r="AT58" s="19" t="s">
        <v>2163</v>
      </c>
      <c r="AU58" s="19" t="s">
        <v>3314</v>
      </c>
      <c r="AV58" s="19" t="s">
        <v>3315</v>
      </c>
      <c r="AW58" s="19"/>
      <c r="AX58" s="20">
        <v>37542.0</v>
      </c>
      <c r="AY58" s="19" t="s">
        <v>2467</v>
      </c>
      <c r="AZ58" s="19" t="s">
        <v>2122</v>
      </c>
      <c r="BA58" s="19" t="s">
        <v>3316</v>
      </c>
      <c r="BB58" s="19" t="s">
        <v>2360</v>
      </c>
      <c r="BC58" s="19" t="s">
        <v>3317</v>
      </c>
      <c r="BD58" s="19" t="s">
        <v>3318</v>
      </c>
      <c r="BE58" s="19" t="s">
        <v>3319</v>
      </c>
      <c r="BF58" s="19">
        <v>1.1983786775E10</v>
      </c>
      <c r="BG58" s="19" t="s">
        <v>2127</v>
      </c>
      <c r="BH58" s="19" t="s">
        <v>2128</v>
      </c>
      <c r="BI58" s="19"/>
      <c r="BJ58" s="19"/>
      <c r="BK58" s="19" t="s">
        <v>16</v>
      </c>
      <c r="BL58" s="19"/>
      <c r="BM58" s="19" t="s">
        <v>2130</v>
      </c>
      <c r="BN58" s="19" t="s">
        <v>2401</v>
      </c>
      <c r="BO58" s="19" t="s">
        <v>2473</v>
      </c>
      <c r="BP58" s="19"/>
      <c r="BQ58" s="19" t="s">
        <v>2133</v>
      </c>
      <c r="BR58" s="19" t="s">
        <v>2133</v>
      </c>
      <c r="BS58" s="19" t="s">
        <v>2243</v>
      </c>
      <c r="BT58" s="19" t="s">
        <v>38</v>
      </c>
      <c r="BU58" s="19" t="s">
        <v>3320</v>
      </c>
      <c r="BV58" s="19" t="s">
        <v>3321</v>
      </c>
      <c r="BW58" s="19" t="s">
        <v>2113</v>
      </c>
      <c r="BX58" s="19"/>
      <c r="BY58" s="19"/>
      <c r="BZ58" s="19"/>
      <c r="CA58" s="19"/>
      <c r="CB58" s="19" t="s">
        <v>2113</v>
      </c>
      <c r="CC58" s="19"/>
      <c r="CD58" s="19" t="s">
        <v>2137</v>
      </c>
      <c r="CE58" s="19" t="s">
        <v>16</v>
      </c>
      <c r="CF58" s="19"/>
      <c r="CG58" s="19"/>
      <c r="CH58" s="19" t="s">
        <v>16</v>
      </c>
      <c r="CI58" s="21">
        <v>0.0</v>
      </c>
      <c r="CJ58" s="19" t="s">
        <v>17</v>
      </c>
      <c r="CK58" s="19"/>
      <c r="CL58" s="19"/>
      <c r="CM58" s="19" t="s">
        <v>2138</v>
      </c>
      <c r="CN58" s="19" t="s">
        <v>2475</v>
      </c>
      <c r="CO58" s="19"/>
      <c r="CP58" s="19"/>
      <c r="CQ58" s="19"/>
      <c r="CR58" s="19" t="s">
        <v>2113</v>
      </c>
      <c r="CS58" s="19" t="s">
        <v>2113</v>
      </c>
      <c r="CT58" s="19" t="s">
        <v>2113</v>
      </c>
      <c r="CU58" s="19" t="s">
        <v>2113</v>
      </c>
      <c r="CV58" s="19" t="s">
        <v>2141</v>
      </c>
      <c r="CW58" s="19" t="s">
        <v>2113</v>
      </c>
      <c r="CX58" s="19" t="s">
        <v>2113</v>
      </c>
      <c r="CY58" s="19" t="s">
        <v>2113</v>
      </c>
      <c r="CZ58" s="19" t="s">
        <v>2113</v>
      </c>
      <c r="DA58" s="19" t="s">
        <v>16</v>
      </c>
      <c r="DB58" s="19" t="s">
        <v>17</v>
      </c>
      <c r="DC58" s="19" t="s">
        <v>2142</v>
      </c>
      <c r="DD58" s="19" t="s">
        <v>2113</v>
      </c>
      <c r="DE58" s="19" t="s">
        <v>2113</v>
      </c>
      <c r="DF58" s="19" t="s">
        <v>2143</v>
      </c>
      <c r="DG58" s="19" t="s">
        <v>2578</v>
      </c>
      <c r="DH58" s="19" t="s">
        <v>2144</v>
      </c>
      <c r="DI58" s="24">
        <v>45525.0</v>
      </c>
      <c r="DJ58" s="19" t="s">
        <v>2133</v>
      </c>
      <c r="DK58" s="19" t="s">
        <v>2271</v>
      </c>
      <c r="DL58" s="19" t="s">
        <v>2146</v>
      </c>
      <c r="DM58" s="19" t="s">
        <v>2408</v>
      </c>
      <c r="DN58" s="19">
        <v>10.0</v>
      </c>
      <c r="DO58" s="19">
        <v>10.0</v>
      </c>
      <c r="DP58" s="19" t="s">
        <v>3322</v>
      </c>
      <c r="DQ58" s="19" t="s">
        <v>3323</v>
      </c>
      <c r="DR58" s="19" t="s">
        <v>3324</v>
      </c>
      <c r="DS58" s="19" t="s">
        <v>2185</v>
      </c>
      <c r="DT58" s="19" t="s">
        <v>2209</v>
      </c>
      <c r="DU58" s="19"/>
      <c r="DV58" s="19"/>
      <c r="DW58" s="19" t="s">
        <v>2479</v>
      </c>
      <c r="DX58" s="19">
        <v>6.0</v>
      </c>
      <c r="DY58" s="19">
        <v>10.0</v>
      </c>
      <c r="DZ58" s="19">
        <v>0.0</v>
      </c>
      <c r="EA58" s="19">
        <v>10.0</v>
      </c>
      <c r="EB58" s="19">
        <v>0.0</v>
      </c>
      <c r="EC58" s="19">
        <v>20.0</v>
      </c>
      <c r="ED58" s="19" t="s">
        <v>2133</v>
      </c>
      <c r="EE58" s="24">
        <v>45525.0</v>
      </c>
      <c r="EF58" s="19" t="s">
        <v>2133</v>
      </c>
      <c r="EG58" s="19" t="s">
        <v>2271</v>
      </c>
      <c r="EH58" s="19" t="s">
        <v>2146</v>
      </c>
      <c r="EI58" s="22">
        <v>12.46875</v>
      </c>
      <c r="EJ58" s="19">
        <v>45.0</v>
      </c>
      <c r="EK58" s="19" t="s">
        <v>2113</v>
      </c>
      <c r="EL58" s="19" t="s">
        <v>2163</v>
      </c>
      <c r="EM58" s="19" t="s">
        <v>3314</v>
      </c>
      <c r="EN58" s="19" t="s">
        <v>185</v>
      </c>
      <c r="EO58" s="19" t="s">
        <v>2467</v>
      </c>
      <c r="EP58" s="19" t="s">
        <v>2122</v>
      </c>
      <c r="EQ58" s="19" t="s">
        <v>2475</v>
      </c>
      <c r="ER58" s="19"/>
      <c r="ES58" s="19" t="s">
        <v>185</v>
      </c>
      <c r="ET58" s="19" t="s">
        <v>185</v>
      </c>
      <c r="EU58" s="19" t="s">
        <v>3312</v>
      </c>
      <c r="EV58" s="19">
        <v>7919.0</v>
      </c>
      <c r="EW58" s="19" t="s">
        <v>16</v>
      </c>
      <c r="EX58" s="19">
        <v>3.0</v>
      </c>
      <c r="EY58" s="25" t="s">
        <v>184</v>
      </c>
      <c r="EZ58" s="19" t="s">
        <v>2154</v>
      </c>
      <c r="FA58" s="5" t="s">
        <v>3325</v>
      </c>
      <c r="FB58" s="26" t="s">
        <v>2156</v>
      </c>
      <c r="FC58" s="26"/>
    </row>
    <row r="59">
      <c r="A59" s="19" t="s">
        <v>2112</v>
      </c>
      <c r="B59" s="19" t="s">
        <v>2113</v>
      </c>
      <c r="C59" s="19" t="s">
        <v>2113</v>
      </c>
      <c r="D59" s="19" t="s">
        <v>186</v>
      </c>
      <c r="E59" s="19" t="s">
        <v>3326</v>
      </c>
      <c r="F59" s="19" t="s">
        <v>186</v>
      </c>
      <c r="G59" s="19"/>
      <c r="H59" s="19" t="s">
        <v>186</v>
      </c>
      <c r="I59" s="19" t="s">
        <v>188</v>
      </c>
      <c r="J59" s="19" t="s">
        <v>3327</v>
      </c>
      <c r="K59" s="19" t="s">
        <v>3328</v>
      </c>
      <c r="L59" s="20">
        <v>45400.0</v>
      </c>
      <c r="M59" s="20">
        <v>45411.0</v>
      </c>
      <c r="N59" s="20">
        <v>45411.0</v>
      </c>
      <c r="O59" s="19" t="s">
        <v>187</v>
      </c>
      <c r="P59" s="19">
        <v>0.0</v>
      </c>
      <c r="Q59" s="19">
        <v>21.0</v>
      </c>
      <c r="R59" s="19">
        <v>7871.0</v>
      </c>
      <c r="S59" s="20" t="s">
        <v>2591</v>
      </c>
      <c r="T59" s="20">
        <v>45461.0</v>
      </c>
      <c r="U59" s="19" t="s">
        <v>186</v>
      </c>
      <c r="V59" s="19"/>
      <c r="W59" s="19"/>
      <c r="X59" s="21">
        <v>20.0</v>
      </c>
      <c r="Y59" s="21">
        <v>10.0</v>
      </c>
      <c r="Z59" s="21">
        <v>2.0</v>
      </c>
      <c r="AA59" s="21">
        <v>0.0</v>
      </c>
      <c r="AB59" s="5">
        <v>32.0</v>
      </c>
      <c r="AC59" s="19">
        <v>5.0</v>
      </c>
      <c r="AD59" s="19">
        <v>5.0</v>
      </c>
      <c r="AE59" s="19">
        <v>4.0</v>
      </c>
      <c r="AF59" s="19">
        <v>5.0</v>
      </c>
      <c r="AG59" s="19">
        <v>4.0</v>
      </c>
      <c r="AH59" s="19">
        <v>4.0</v>
      </c>
      <c r="AI59" s="22">
        <v>13.5</v>
      </c>
      <c r="AJ59" s="19">
        <v>15.0</v>
      </c>
      <c r="AK59" s="19">
        <v>15.0</v>
      </c>
      <c r="AL59" s="19">
        <v>15.0</v>
      </c>
      <c r="AM59" s="19">
        <v>45.0</v>
      </c>
      <c r="AN59" s="19">
        <v>58.5</v>
      </c>
      <c r="AO59" s="19">
        <v>90.5</v>
      </c>
      <c r="AP59" s="19">
        <v>191.0</v>
      </c>
      <c r="AQ59" s="23">
        <v>57.0</v>
      </c>
      <c r="AR59" s="23">
        <v>7.0</v>
      </c>
      <c r="AS59" s="22"/>
      <c r="AT59" s="19" t="s">
        <v>2117</v>
      </c>
      <c r="AU59" s="19" t="s">
        <v>3329</v>
      </c>
      <c r="AV59" s="19" t="s">
        <v>3330</v>
      </c>
      <c r="AW59" s="19" t="s">
        <v>3331</v>
      </c>
      <c r="AX59" s="20">
        <v>37590.0</v>
      </c>
      <c r="AY59" s="19" t="s">
        <v>3193</v>
      </c>
      <c r="AZ59" s="19" t="s">
        <v>2310</v>
      </c>
      <c r="BA59" s="19" t="s">
        <v>3332</v>
      </c>
      <c r="BB59" s="19" t="s">
        <v>3333</v>
      </c>
      <c r="BC59" s="19" t="s">
        <v>3334</v>
      </c>
      <c r="BD59" s="19" t="s">
        <v>3335</v>
      </c>
      <c r="BE59" s="19" t="s">
        <v>186</v>
      </c>
      <c r="BF59" s="19">
        <v>1.1933817049E10</v>
      </c>
      <c r="BG59" s="19" t="s">
        <v>2127</v>
      </c>
      <c r="BH59" s="19" t="s">
        <v>2128</v>
      </c>
      <c r="BI59" s="19"/>
      <c r="BJ59" s="19"/>
      <c r="BK59" s="19" t="s">
        <v>16</v>
      </c>
      <c r="BL59" s="19"/>
      <c r="BM59" s="19" t="s">
        <v>2130</v>
      </c>
      <c r="BN59" s="19" t="s">
        <v>2172</v>
      </c>
      <c r="BO59" s="19" t="s">
        <v>3199</v>
      </c>
      <c r="BP59" s="19"/>
      <c r="BQ59" s="19" t="s">
        <v>2133</v>
      </c>
      <c r="BR59" s="19" t="s">
        <v>2133</v>
      </c>
      <c r="BS59" s="19" t="s">
        <v>2134</v>
      </c>
      <c r="BT59" s="19" t="s">
        <v>15</v>
      </c>
      <c r="BU59" s="19"/>
      <c r="BV59" s="19" t="s">
        <v>3336</v>
      </c>
      <c r="BW59" s="19" t="s">
        <v>2113</v>
      </c>
      <c r="BX59" s="19"/>
      <c r="BY59" s="19"/>
      <c r="BZ59" s="19"/>
      <c r="CA59" s="19"/>
      <c r="CB59" s="19" t="s">
        <v>2113</v>
      </c>
      <c r="CC59" s="19"/>
      <c r="CD59" s="19" t="s">
        <v>2137</v>
      </c>
      <c r="CE59" s="19" t="s">
        <v>16</v>
      </c>
      <c r="CF59" s="19"/>
      <c r="CG59" s="19"/>
      <c r="CH59" s="19" t="s">
        <v>16</v>
      </c>
      <c r="CI59" s="21">
        <v>0.0</v>
      </c>
      <c r="CJ59" s="19" t="s">
        <v>17</v>
      </c>
      <c r="CK59" s="19"/>
      <c r="CL59" s="19"/>
      <c r="CM59" s="19" t="s">
        <v>2138</v>
      </c>
      <c r="CN59" s="19" t="s">
        <v>3202</v>
      </c>
      <c r="CO59" s="19"/>
      <c r="CP59" s="19"/>
      <c r="CQ59" s="19"/>
      <c r="CR59" s="19" t="s">
        <v>2113</v>
      </c>
      <c r="CS59" s="19" t="s">
        <v>2113</v>
      </c>
      <c r="CT59" s="19"/>
      <c r="CU59" s="19"/>
      <c r="CV59" s="19" t="s">
        <v>2179</v>
      </c>
      <c r="CW59" s="19" t="s">
        <v>2113</v>
      </c>
      <c r="CX59" s="19" t="s">
        <v>2113</v>
      </c>
      <c r="CY59" s="19"/>
      <c r="CZ59" s="19"/>
      <c r="DA59" s="19" t="s">
        <v>16</v>
      </c>
      <c r="DB59" s="19" t="s">
        <v>17</v>
      </c>
      <c r="DC59" s="19" t="s">
        <v>2146</v>
      </c>
      <c r="DD59" s="19"/>
      <c r="DE59" s="19"/>
      <c r="DF59" s="19" t="s">
        <v>2142</v>
      </c>
      <c r="DG59" s="19" t="s">
        <v>3337</v>
      </c>
      <c r="DH59" s="19" t="s">
        <v>2144</v>
      </c>
      <c r="DI59" s="24">
        <v>45526.0</v>
      </c>
      <c r="DJ59" s="19" t="s">
        <v>2133</v>
      </c>
      <c r="DK59" s="19" t="s">
        <v>2145</v>
      </c>
      <c r="DL59" s="19" t="s">
        <v>2146</v>
      </c>
      <c r="DM59" s="19" t="s">
        <v>3338</v>
      </c>
      <c r="DN59" s="19">
        <v>11.0</v>
      </c>
      <c r="DO59" s="19">
        <v>11.0</v>
      </c>
      <c r="DP59" s="19"/>
      <c r="DQ59" s="19"/>
      <c r="DR59" s="19"/>
      <c r="DS59" s="19" t="s">
        <v>2365</v>
      </c>
      <c r="DT59" s="19" t="s">
        <v>2152</v>
      </c>
      <c r="DU59" s="19" t="s">
        <v>3339</v>
      </c>
      <c r="DV59" s="19"/>
      <c r="DW59" s="19" t="s">
        <v>2153</v>
      </c>
      <c r="DX59" s="19">
        <v>8.0</v>
      </c>
      <c r="DY59" s="19">
        <v>10.0</v>
      </c>
      <c r="DZ59" s="19">
        <v>0.0</v>
      </c>
      <c r="EA59" s="19">
        <v>10.0</v>
      </c>
      <c r="EB59" s="19">
        <v>0.0</v>
      </c>
      <c r="EC59" s="19">
        <v>20.0</v>
      </c>
      <c r="ED59" s="19" t="s">
        <v>2133</v>
      </c>
      <c r="EE59" s="24">
        <v>45526.0</v>
      </c>
      <c r="EF59" s="19" t="s">
        <v>2133</v>
      </c>
      <c r="EG59" s="19" t="s">
        <v>2145</v>
      </c>
      <c r="EH59" s="19" t="s">
        <v>2146</v>
      </c>
      <c r="EI59" s="22">
        <v>13.5</v>
      </c>
      <c r="EJ59" s="19">
        <v>45.0</v>
      </c>
      <c r="EK59" s="19" t="s">
        <v>2113</v>
      </c>
      <c r="EL59" s="19" t="s">
        <v>2117</v>
      </c>
      <c r="EM59" s="19" t="s">
        <v>3329</v>
      </c>
      <c r="EN59" s="19" t="s">
        <v>188</v>
      </c>
      <c r="EO59" s="19" t="s">
        <v>3193</v>
      </c>
      <c r="EP59" s="19" t="s">
        <v>2310</v>
      </c>
      <c r="EQ59" s="19" t="s">
        <v>3202</v>
      </c>
      <c r="ER59" s="19"/>
      <c r="ES59" s="19" t="s">
        <v>188</v>
      </c>
      <c r="ET59" s="19" t="s">
        <v>188</v>
      </c>
      <c r="EU59" s="19" t="s">
        <v>3328</v>
      </c>
      <c r="EV59" s="19">
        <v>7871.0</v>
      </c>
      <c r="EW59" s="19" t="s">
        <v>16</v>
      </c>
      <c r="EX59" s="19">
        <v>2.0</v>
      </c>
      <c r="EY59" s="25" t="s">
        <v>187</v>
      </c>
      <c r="EZ59" s="19" t="s">
        <v>2154</v>
      </c>
      <c r="FA59" s="5" t="s">
        <v>3340</v>
      </c>
      <c r="FB59" s="26" t="s">
        <v>2156</v>
      </c>
      <c r="FC59" s="26"/>
    </row>
    <row r="60">
      <c r="A60" s="19" t="s">
        <v>2112</v>
      </c>
      <c r="B60" s="19" t="s">
        <v>2113</v>
      </c>
      <c r="C60" s="19" t="s">
        <v>2113</v>
      </c>
      <c r="D60" s="19" t="s">
        <v>189</v>
      </c>
      <c r="E60" s="19" t="s">
        <v>3341</v>
      </c>
      <c r="F60" s="19" t="s">
        <v>189</v>
      </c>
      <c r="G60" s="19"/>
      <c r="H60" s="19" t="s">
        <v>189</v>
      </c>
      <c r="I60" s="19" t="s">
        <v>191</v>
      </c>
      <c r="J60" s="19" t="s">
        <v>3342</v>
      </c>
      <c r="K60" s="19" t="s">
        <v>3343</v>
      </c>
      <c r="L60" s="20">
        <v>45398.0</v>
      </c>
      <c r="M60" s="20">
        <v>45411.0</v>
      </c>
      <c r="N60" s="20">
        <v>45411.0</v>
      </c>
      <c r="O60" s="19" t="s">
        <v>190</v>
      </c>
      <c r="P60" s="19">
        <v>0.0</v>
      </c>
      <c r="Q60" s="19">
        <v>21.0</v>
      </c>
      <c r="R60" s="19">
        <v>8002.0</v>
      </c>
      <c r="S60" s="20" t="s">
        <v>3344</v>
      </c>
      <c r="T60" s="20">
        <v>45461.0</v>
      </c>
      <c r="U60" s="19" t="s">
        <v>189</v>
      </c>
      <c r="V60" s="19"/>
      <c r="W60" s="19"/>
      <c r="X60" s="21">
        <v>20.0</v>
      </c>
      <c r="Y60" s="21">
        <v>10.0</v>
      </c>
      <c r="Z60" s="21">
        <v>2.0</v>
      </c>
      <c r="AA60" s="21">
        <v>3.0</v>
      </c>
      <c r="AB60" s="5">
        <v>35.0</v>
      </c>
      <c r="AC60" s="19">
        <v>3.5</v>
      </c>
      <c r="AD60" s="19">
        <v>3.5</v>
      </c>
      <c r="AE60" s="19">
        <v>3.5</v>
      </c>
      <c r="AF60" s="19">
        <v>3.0</v>
      </c>
      <c r="AG60" s="19">
        <v>3.0</v>
      </c>
      <c r="AH60" s="19">
        <v>4.0</v>
      </c>
      <c r="AI60" s="22">
        <v>10.3125</v>
      </c>
      <c r="AJ60" s="19">
        <v>15.0</v>
      </c>
      <c r="AK60" s="19">
        <v>15.0</v>
      </c>
      <c r="AL60" s="19">
        <v>15.0</v>
      </c>
      <c r="AM60" s="19">
        <v>45.0</v>
      </c>
      <c r="AN60" s="19">
        <v>55.3</v>
      </c>
      <c r="AO60" s="19">
        <v>90.3</v>
      </c>
      <c r="AP60" s="19">
        <v>108.0</v>
      </c>
      <c r="AQ60" s="23">
        <v>58.0</v>
      </c>
      <c r="AR60" s="23">
        <v>2.0</v>
      </c>
      <c r="AS60" s="19"/>
      <c r="AT60" s="19" t="s">
        <v>2282</v>
      </c>
      <c r="AU60" s="19" t="s">
        <v>3345</v>
      </c>
      <c r="AV60" s="19" t="s">
        <v>3346</v>
      </c>
      <c r="AW60" s="19"/>
      <c r="AX60" s="20">
        <v>37459.0</v>
      </c>
      <c r="AY60" s="19" t="s">
        <v>177</v>
      </c>
      <c r="AZ60" s="19" t="s">
        <v>2122</v>
      </c>
      <c r="BA60" s="19" t="s">
        <v>3347</v>
      </c>
      <c r="BB60" s="19" t="s">
        <v>2781</v>
      </c>
      <c r="BC60" s="19" t="s">
        <v>3348</v>
      </c>
      <c r="BD60" s="19" t="s">
        <v>3349</v>
      </c>
      <c r="BE60" s="19" t="s">
        <v>3350</v>
      </c>
      <c r="BF60" s="19">
        <v>1.1986311059E10</v>
      </c>
      <c r="BG60" s="19" t="s">
        <v>2127</v>
      </c>
      <c r="BH60" s="19" t="s">
        <v>2128</v>
      </c>
      <c r="BI60" s="19"/>
      <c r="BJ60" s="19" t="s">
        <v>2128</v>
      </c>
      <c r="BK60" s="19" t="s">
        <v>17</v>
      </c>
      <c r="BL60" s="19"/>
      <c r="BM60" s="19" t="s">
        <v>2130</v>
      </c>
      <c r="BN60" s="19" t="s">
        <v>2172</v>
      </c>
      <c r="BO60" s="19" t="s">
        <v>3199</v>
      </c>
      <c r="BP60" s="19" t="s">
        <v>3351</v>
      </c>
      <c r="BQ60" s="19" t="s">
        <v>3251</v>
      </c>
      <c r="BR60" s="19" t="s">
        <v>3251</v>
      </c>
      <c r="BS60" s="19" t="s">
        <v>2134</v>
      </c>
      <c r="BT60" s="19" t="s">
        <v>177</v>
      </c>
      <c r="BU60" s="19"/>
      <c r="BV60" s="19" t="s">
        <v>3352</v>
      </c>
      <c r="BW60" s="19" t="s">
        <v>2113</v>
      </c>
      <c r="BX60" s="19"/>
      <c r="BY60" s="19"/>
      <c r="BZ60" s="19"/>
      <c r="CA60" s="19"/>
      <c r="CB60" s="19" t="s">
        <v>2113</v>
      </c>
      <c r="CC60" s="19"/>
      <c r="CD60" s="19" t="s">
        <v>2137</v>
      </c>
      <c r="CE60" s="19" t="s">
        <v>16</v>
      </c>
      <c r="CF60" s="19"/>
      <c r="CG60" s="19"/>
      <c r="CH60" s="19" t="s">
        <v>17</v>
      </c>
      <c r="CI60" s="21">
        <v>3.0</v>
      </c>
      <c r="CJ60" s="19" t="s">
        <v>16</v>
      </c>
      <c r="CK60" s="19"/>
      <c r="CL60" s="19"/>
      <c r="CM60" s="19" t="s">
        <v>2138</v>
      </c>
      <c r="CN60" s="19" t="s">
        <v>3253</v>
      </c>
      <c r="CO60" s="19"/>
      <c r="CP60" s="19" t="s">
        <v>2225</v>
      </c>
      <c r="CQ60" s="19"/>
      <c r="CR60" s="19" t="s">
        <v>2113</v>
      </c>
      <c r="CS60" s="19" t="s">
        <v>2113</v>
      </c>
      <c r="CT60" s="19" t="s">
        <v>2113</v>
      </c>
      <c r="CU60" s="19" t="s">
        <v>2113</v>
      </c>
      <c r="CV60" s="19" t="s">
        <v>2141</v>
      </c>
      <c r="CW60" s="19" t="s">
        <v>2113</v>
      </c>
      <c r="CX60" s="19" t="s">
        <v>2113</v>
      </c>
      <c r="CY60" s="19" t="s">
        <v>2113</v>
      </c>
      <c r="CZ60" s="19" t="s">
        <v>2113</v>
      </c>
      <c r="DA60" s="19" t="s">
        <v>16</v>
      </c>
      <c r="DB60" s="19" t="s">
        <v>16</v>
      </c>
      <c r="DC60" s="19" t="s">
        <v>2804</v>
      </c>
      <c r="DD60" s="19" t="s">
        <v>2113</v>
      </c>
      <c r="DE60" s="19" t="s">
        <v>2113</v>
      </c>
      <c r="DF60" s="19" t="s">
        <v>3163</v>
      </c>
      <c r="DG60" s="19" t="s">
        <v>2207</v>
      </c>
      <c r="DH60" s="19" t="s">
        <v>2144</v>
      </c>
      <c r="DI60" s="24">
        <v>45533.0</v>
      </c>
      <c r="DJ60" s="19" t="s">
        <v>3257</v>
      </c>
      <c r="DK60" s="19" t="s">
        <v>2145</v>
      </c>
      <c r="DL60" s="19" t="s">
        <v>2207</v>
      </c>
      <c r="DM60" s="19" t="s">
        <v>3353</v>
      </c>
      <c r="DN60" s="19">
        <v>2.0</v>
      </c>
      <c r="DO60" s="19">
        <v>2.0</v>
      </c>
      <c r="DP60" s="19" t="s">
        <v>3354</v>
      </c>
      <c r="DQ60" s="19" t="s">
        <v>3355</v>
      </c>
      <c r="DR60" s="19" t="s">
        <v>3356</v>
      </c>
      <c r="DS60" s="19" t="s">
        <v>2365</v>
      </c>
      <c r="DT60" s="19" t="s">
        <v>2350</v>
      </c>
      <c r="DU60" s="19"/>
      <c r="DV60" s="19" t="s">
        <v>3357</v>
      </c>
      <c r="DW60" s="19" t="s">
        <v>2188</v>
      </c>
      <c r="DX60" s="19">
        <v>10.0</v>
      </c>
      <c r="DY60" s="19">
        <v>10.0</v>
      </c>
      <c r="DZ60" s="19">
        <v>0.0</v>
      </c>
      <c r="EA60" s="19">
        <v>10.0</v>
      </c>
      <c r="EB60" s="19">
        <v>3.0</v>
      </c>
      <c r="EC60" s="19">
        <v>20.0</v>
      </c>
      <c r="ED60" s="19" t="s">
        <v>3257</v>
      </c>
      <c r="EE60" s="24">
        <v>45533.0</v>
      </c>
      <c r="EF60" s="19" t="s">
        <v>3257</v>
      </c>
      <c r="EG60" s="19" t="s">
        <v>2145</v>
      </c>
      <c r="EH60" s="19" t="s">
        <v>2207</v>
      </c>
      <c r="EI60" s="22">
        <v>10.3125</v>
      </c>
      <c r="EJ60" s="19">
        <v>45.0</v>
      </c>
      <c r="EK60" s="19"/>
      <c r="EL60" s="19" t="s">
        <v>2282</v>
      </c>
      <c r="EM60" s="19" t="s">
        <v>3345</v>
      </c>
      <c r="EN60" s="19" t="s">
        <v>191</v>
      </c>
      <c r="EO60" s="19" t="s">
        <v>177</v>
      </c>
      <c r="EP60" s="19" t="s">
        <v>2122</v>
      </c>
      <c r="EQ60" s="19" t="s">
        <v>3253</v>
      </c>
      <c r="ER60" s="19"/>
      <c r="ES60" s="19" t="s">
        <v>191</v>
      </c>
      <c r="ET60" s="19" t="s">
        <v>191</v>
      </c>
      <c r="EU60" s="19" t="s">
        <v>3343</v>
      </c>
      <c r="EV60" s="19">
        <v>8002.0</v>
      </c>
      <c r="EW60" s="19" t="s">
        <v>16</v>
      </c>
      <c r="EX60" s="19">
        <v>2.0</v>
      </c>
      <c r="EY60" s="25" t="s">
        <v>190</v>
      </c>
      <c r="EZ60" s="19" t="s">
        <v>2154</v>
      </c>
      <c r="FA60" s="5" t="s">
        <v>3358</v>
      </c>
      <c r="FB60" s="26" t="s">
        <v>2156</v>
      </c>
      <c r="FC60" s="26"/>
    </row>
    <row r="61">
      <c r="A61" s="19" t="s">
        <v>2112</v>
      </c>
      <c r="B61" s="19" t="s">
        <v>2113</v>
      </c>
      <c r="C61" s="19" t="s">
        <v>2113</v>
      </c>
      <c r="D61" s="19" t="s">
        <v>192</v>
      </c>
      <c r="E61" s="19" t="s">
        <v>3359</v>
      </c>
      <c r="F61" s="19" t="s">
        <v>192</v>
      </c>
      <c r="G61" s="19"/>
      <c r="H61" s="19" t="s">
        <v>192</v>
      </c>
      <c r="I61" s="19" t="s">
        <v>194</v>
      </c>
      <c r="J61" s="19" t="s">
        <v>3360</v>
      </c>
      <c r="K61" s="19" t="s">
        <v>3361</v>
      </c>
      <c r="L61" s="20">
        <v>45441.0</v>
      </c>
      <c r="M61" s="20">
        <v>45446.0</v>
      </c>
      <c r="N61" s="20">
        <v>45446.0</v>
      </c>
      <c r="O61" s="19" t="s">
        <v>193</v>
      </c>
      <c r="P61" s="19">
        <v>0.0</v>
      </c>
      <c r="Q61" s="19">
        <v>24.0</v>
      </c>
      <c r="R61" s="19">
        <v>9090.0</v>
      </c>
      <c r="S61" s="20" t="s">
        <v>3362</v>
      </c>
      <c r="T61" s="20">
        <v>45461.0</v>
      </c>
      <c r="U61" s="19" t="s">
        <v>192</v>
      </c>
      <c r="V61" s="19"/>
      <c r="W61" s="19"/>
      <c r="X61" s="21">
        <v>20.0</v>
      </c>
      <c r="Y61" s="21">
        <v>10.0</v>
      </c>
      <c r="Z61" s="21">
        <v>5.0</v>
      </c>
      <c r="AA61" s="21">
        <v>0.0</v>
      </c>
      <c r="AB61" s="5">
        <v>35.0</v>
      </c>
      <c r="AC61" s="19">
        <v>5.0</v>
      </c>
      <c r="AD61" s="19">
        <v>5.0</v>
      </c>
      <c r="AE61" s="19">
        <v>5.0</v>
      </c>
      <c r="AF61" s="19">
        <v>5.0</v>
      </c>
      <c r="AG61" s="19">
        <v>5.0</v>
      </c>
      <c r="AH61" s="19">
        <v>5.0</v>
      </c>
      <c r="AI61" s="22">
        <v>15.0</v>
      </c>
      <c r="AJ61" s="19">
        <v>10.0</v>
      </c>
      <c r="AK61" s="19">
        <v>15.0</v>
      </c>
      <c r="AL61" s="19">
        <v>15.0</v>
      </c>
      <c r="AM61" s="19">
        <v>40.0</v>
      </c>
      <c r="AN61" s="19">
        <v>55.0</v>
      </c>
      <c r="AO61" s="19">
        <v>90.0</v>
      </c>
      <c r="AP61" s="19">
        <v>54.0</v>
      </c>
      <c r="AQ61" s="23">
        <v>59.0</v>
      </c>
      <c r="AR61" s="23">
        <v>6.0</v>
      </c>
      <c r="AS61" s="22"/>
      <c r="AT61" s="19" t="s">
        <v>2117</v>
      </c>
      <c r="AU61" s="19" t="s">
        <v>2255</v>
      </c>
      <c r="AV61" s="19" t="s">
        <v>3363</v>
      </c>
      <c r="AW61" s="19"/>
      <c r="AX61" s="20">
        <v>36371.0</v>
      </c>
      <c r="AY61" s="19" t="s">
        <v>2258</v>
      </c>
      <c r="AZ61" s="19" t="s">
        <v>2122</v>
      </c>
      <c r="BA61" s="19" t="s">
        <v>3364</v>
      </c>
      <c r="BB61" s="19" t="s">
        <v>3365</v>
      </c>
      <c r="BC61" s="19" t="s">
        <v>3366</v>
      </c>
      <c r="BD61" s="19" t="s">
        <v>3367</v>
      </c>
      <c r="BE61" s="19" t="s">
        <v>3360</v>
      </c>
      <c r="BF61" s="19">
        <v>1.1967606541E10</v>
      </c>
      <c r="BG61" s="19" t="s">
        <v>2127</v>
      </c>
      <c r="BH61" s="19" t="s">
        <v>2128</v>
      </c>
      <c r="BI61" s="19"/>
      <c r="BJ61" s="19"/>
      <c r="BK61" s="19" t="s">
        <v>16</v>
      </c>
      <c r="BL61" s="19" t="s">
        <v>2113</v>
      </c>
      <c r="BM61" s="19" t="s">
        <v>2130</v>
      </c>
      <c r="BN61" s="19" t="s">
        <v>17</v>
      </c>
      <c r="BO61" s="19" t="s">
        <v>2132</v>
      </c>
      <c r="BP61" s="19"/>
      <c r="BQ61" s="19" t="s">
        <v>2174</v>
      </c>
      <c r="BR61" s="19" t="s">
        <v>2174</v>
      </c>
      <c r="BS61" s="19" t="s">
        <v>2134</v>
      </c>
      <c r="BT61" s="19" t="s">
        <v>34</v>
      </c>
      <c r="BU61" s="19" t="s">
        <v>3368</v>
      </c>
      <c r="BV61" s="19" t="s">
        <v>3369</v>
      </c>
      <c r="BW61" s="19"/>
      <c r="BX61" s="19"/>
      <c r="BY61" s="19"/>
      <c r="BZ61" s="19" t="s">
        <v>2113</v>
      </c>
      <c r="CA61" s="19" t="s">
        <v>2113</v>
      </c>
      <c r="CB61" s="19" t="s">
        <v>2113</v>
      </c>
      <c r="CC61" s="19"/>
      <c r="CD61" s="19" t="s">
        <v>2137</v>
      </c>
      <c r="CE61" s="19" t="s">
        <v>16</v>
      </c>
      <c r="CF61" s="19"/>
      <c r="CG61" s="19"/>
      <c r="CH61" s="19" t="s">
        <v>16</v>
      </c>
      <c r="CI61" s="21">
        <v>0.0</v>
      </c>
      <c r="CJ61" s="19" t="s">
        <v>17</v>
      </c>
      <c r="CK61" s="19"/>
      <c r="CL61" s="19"/>
      <c r="CM61" s="19" t="s">
        <v>2138</v>
      </c>
      <c r="CN61" s="19" t="s">
        <v>2266</v>
      </c>
      <c r="CO61" s="19"/>
      <c r="CP61" s="19"/>
      <c r="CQ61" s="19"/>
      <c r="CR61" s="19"/>
      <c r="CS61" s="19"/>
      <c r="CT61" s="19" t="s">
        <v>2113</v>
      </c>
      <c r="CU61" s="19" t="s">
        <v>2113</v>
      </c>
      <c r="CV61" s="19" t="s">
        <v>2141</v>
      </c>
      <c r="CW61" s="19" t="s">
        <v>2113</v>
      </c>
      <c r="CX61" s="19" t="s">
        <v>2113</v>
      </c>
      <c r="CY61" s="19"/>
      <c r="CZ61" s="19"/>
      <c r="DA61" s="19" t="s">
        <v>16</v>
      </c>
      <c r="DB61" s="19" t="s">
        <v>17</v>
      </c>
      <c r="DC61" s="19" t="s">
        <v>2269</v>
      </c>
      <c r="DD61" s="19" t="s">
        <v>2113</v>
      </c>
      <c r="DE61" s="19" t="s">
        <v>2113</v>
      </c>
      <c r="DF61" s="19" t="s">
        <v>2268</v>
      </c>
      <c r="DG61" s="19" t="s">
        <v>3370</v>
      </c>
      <c r="DH61" s="19" t="s">
        <v>2144</v>
      </c>
      <c r="DI61" s="24">
        <v>45525.0</v>
      </c>
      <c r="DJ61" s="19" t="s">
        <v>2174</v>
      </c>
      <c r="DK61" s="19" t="s">
        <v>2271</v>
      </c>
      <c r="DL61" s="19" t="s">
        <v>2183</v>
      </c>
      <c r="DM61" s="19" t="s">
        <v>2249</v>
      </c>
      <c r="DN61" s="19">
        <v>10.0</v>
      </c>
      <c r="DO61" s="19">
        <v>10.0</v>
      </c>
      <c r="DP61" s="19" t="s">
        <v>3371</v>
      </c>
      <c r="DQ61" s="19" t="s">
        <v>3372</v>
      </c>
      <c r="DR61" s="19" t="s">
        <v>3373</v>
      </c>
      <c r="DS61" s="19" t="s">
        <v>2151</v>
      </c>
      <c r="DT61" s="19" t="s">
        <v>2209</v>
      </c>
      <c r="DU61" s="19"/>
      <c r="DV61" s="19"/>
      <c r="DW61" s="19" t="s">
        <v>2479</v>
      </c>
      <c r="DX61" s="19">
        <v>16.0</v>
      </c>
      <c r="DY61" s="19">
        <v>10.0</v>
      </c>
      <c r="DZ61" s="19">
        <v>0.0</v>
      </c>
      <c r="EA61" s="19">
        <v>10.0</v>
      </c>
      <c r="EB61" s="19">
        <v>0.0</v>
      </c>
      <c r="EC61" s="19">
        <v>20.0</v>
      </c>
      <c r="ED61" s="19" t="s">
        <v>2174</v>
      </c>
      <c r="EE61" s="24">
        <v>45525.0</v>
      </c>
      <c r="EF61" s="19" t="s">
        <v>2174</v>
      </c>
      <c r="EG61" s="19" t="s">
        <v>2271</v>
      </c>
      <c r="EH61" s="19" t="s">
        <v>2183</v>
      </c>
      <c r="EI61" s="22">
        <v>15.0</v>
      </c>
      <c r="EJ61" s="19">
        <v>40.0</v>
      </c>
      <c r="EK61" s="19" t="s">
        <v>2113</v>
      </c>
      <c r="EL61" s="19" t="s">
        <v>2117</v>
      </c>
      <c r="EM61" s="19" t="s">
        <v>2255</v>
      </c>
      <c r="EN61" s="19" t="s">
        <v>194</v>
      </c>
      <c r="EO61" s="19" t="s">
        <v>2258</v>
      </c>
      <c r="EP61" s="19" t="s">
        <v>2122</v>
      </c>
      <c r="EQ61" s="19" t="s">
        <v>2266</v>
      </c>
      <c r="ER61" s="19"/>
      <c r="ES61" s="19" t="s">
        <v>194</v>
      </c>
      <c r="ET61" s="19" t="s">
        <v>194</v>
      </c>
      <c r="EU61" s="19" t="s">
        <v>3361</v>
      </c>
      <c r="EV61" s="19">
        <v>9090.0</v>
      </c>
      <c r="EW61" s="19" t="s">
        <v>16</v>
      </c>
      <c r="EX61" s="19">
        <v>5.0</v>
      </c>
      <c r="EY61" s="25" t="s">
        <v>193</v>
      </c>
      <c r="EZ61" s="19" t="s">
        <v>2154</v>
      </c>
      <c r="FA61" s="5" t="s">
        <v>3374</v>
      </c>
      <c r="FB61" s="26" t="s">
        <v>2156</v>
      </c>
      <c r="FC61" s="26"/>
    </row>
    <row r="62">
      <c r="A62" s="19" t="s">
        <v>2112</v>
      </c>
      <c r="B62" s="19" t="s">
        <v>2113</v>
      </c>
      <c r="C62" s="19" t="s">
        <v>2113</v>
      </c>
      <c r="D62" s="19" t="s">
        <v>3375</v>
      </c>
      <c r="E62" s="19" t="s">
        <v>3376</v>
      </c>
      <c r="F62" s="19" t="s">
        <v>3375</v>
      </c>
      <c r="G62" s="19"/>
      <c r="H62" s="19" t="s">
        <v>195</v>
      </c>
      <c r="I62" s="19" t="s">
        <v>197</v>
      </c>
      <c r="J62" s="19" t="s">
        <v>3377</v>
      </c>
      <c r="K62" s="19" t="s">
        <v>3378</v>
      </c>
      <c r="L62" s="20">
        <v>45443.0</v>
      </c>
      <c r="M62" s="20">
        <v>45446.0</v>
      </c>
      <c r="N62" s="20">
        <v>45446.0</v>
      </c>
      <c r="O62" s="19" t="s">
        <v>196</v>
      </c>
      <c r="P62" s="19">
        <v>0.0</v>
      </c>
      <c r="Q62" s="19">
        <v>19.0</v>
      </c>
      <c r="R62" s="19">
        <v>7144.0</v>
      </c>
      <c r="S62" s="20" t="s">
        <v>3379</v>
      </c>
      <c r="T62" s="20">
        <v>45461.0</v>
      </c>
      <c r="U62" s="19" t="s">
        <v>3375</v>
      </c>
      <c r="V62" s="19"/>
      <c r="W62" s="19" t="s">
        <v>3380</v>
      </c>
      <c r="X62" s="21">
        <v>20.0</v>
      </c>
      <c r="Y62" s="21">
        <v>10.0</v>
      </c>
      <c r="Z62" s="21">
        <v>3.0</v>
      </c>
      <c r="AA62" s="21">
        <v>0.0</v>
      </c>
      <c r="AB62" s="5">
        <v>33.0</v>
      </c>
      <c r="AC62" s="19">
        <v>5.0</v>
      </c>
      <c r="AD62" s="19">
        <v>5.0</v>
      </c>
      <c r="AE62" s="19">
        <v>5.0</v>
      </c>
      <c r="AF62" s="19">
        <v>5.0</v>
      </c>
      <c r="AG62" s="19">
        <v>5.0</v>
      </c>
      <c r="AH62" s="19">
        <v>5.0</v>
      </c>
      <c r="AI62" s="22">
        <v>15.0</v>
      </c>
      <c r="AJ62" s="19">
        <v>14.0</v>
      </c>
      <c r="AK62" s="19">
        <v>14.0</v>
      </c>
      <c r="AL62" s="19">
        <v>14.0</v>
      </c>
      <c r="AM62" s="19">
        <v>42.0</v>
      </c>
      <c r="AN62" s="19">
        <v>57.0</v>
      </c>
      <c r="AO62" s="19">
        <v>90.0</v>
      </c>
      <c r="AP62" s="19">
        <v>166.0</v>
      </c>
      <c r="AQ62" s="23">
        <v>60.0</v>
      </c>
      <c r="AR62" s="23">
        <v>12.0</v>
      </c>
      <c r="AS62" s="22"/>
      <c r="AT62" s="19" t="s">
        <v>2117</v>
      </c>
      <c r="AU62" s="19" t="s">
        <v>3381</v>
      </c>
      <c r="AV62" s="19" t="s">
        <v>3382</v>
      </c>
      <c r="AW62" s="19" t="s">
        <v>3383</v>
      </c>
      <c r="AX62" s="20">
        <v>38317.0</v>
      </c>
      <c r="AY62" s="19" t="s">
        <v>2467</v>
      </c>
      <c r="AZ62" s="19" t="s">
        <v>2122</v>
      </c>
      <c r="BA62" s="19" t="s">
        <v>3384</v>
      </c>
      <c r="BB62" s="19" t="s">
        <v>3385</v>
      </c>
      <c r="BC62" s="19" t="s">
        <v>3386</v>
      </c>
      <c r="BD62" s="19" t="s">
        <v>3387</v>
      </c>
      <c r="BE62" s="19" t="s">
        <v>3388</v>
      </c>
      <c r="BF62" s="19">
        <v>1.1981872931E10</v>
      </c>
      <c r="BG62" s="19" t="s">
        <v>2127</v>
      </c>
      <c r="BH62" s="19" t="s">
        <v>2128</v>
      </c>
      <c r="BI62" s="19"/>
      <c r="BJ62" s="19" t="s">
        <v>2128</v>
      </c>
      <c r="BK62" s="19" t="s">
        <v>17</v>
      </c>
      <c r="BL62" s="19" t="s">
        <v>2113</v>
      </c>
      <c r="BM62" s="19" t="s">
        <v>2130</v>
      </c>
      <c r="BN62" s="19" t="s">
        <v>2401</v>
      </c>
      <c r="BO62" s="19" t="s">
        <v>2473</v>
      </c>
      <c r="BP62" s="19" t="s">
        <v>3389</v>
      </c>
      <c r="BQ62" s="19" t="s">
        <v>2133</v>
      </c>
      <c r="BR62" s="19" t="s">
        <v>2133</v>
      </c>
      <c r="BS62" s="19" t="s">
        <v>2134</v>
      </c>
      <c r="BT62" s="19" t="s">
        <v>38</v>
      </c>
      <c r="BU62" s="19" t="s">
        <v>3390</v>
      </c>
      <c r="BV62" s="19" t="s">
        <v>3391</v>
      </c>
      <c r="BW62" s="19"/>
      <c r="BX62" s="19" t="s">
        <v>2113</v>
      </c>
      <c r="BY62" s="19" t="s">
        <v>2113</v>
      </c>
      <c r="BZ62" s="19" t="s">
        <v>2113</v>
      </c>
      <c r="CA62" s="19" t="s">
        <v>2113</v>
      </c>
      <c r="CB62" s="19" t="s">
        <v>2113</v>
      </c>
      <c r="CC62" s="19"/>
      <c r="CD62" s="19" t="s">
        <v>2137</v>
      </c>
      <c r="CE62" s="19" t="s">
        <v>16</v>
      </c>
      <c r="CF62" s="19"/>
      <c r="CG62" s="19"/>
      <c r="CH62" s="19" t="s">
        <v>16</v>
      </c>
      <c r="CI62" s="21">
        <v>0.0</v>
      </c>
      <c r="CJ62" s="19" t="s">
        <v>17</v>
      </c>
      <c r="CK62" s="19"/>
      <c r="CL62" s="19"/>
      <c r="CM62" s="19" t="s">
        <v>2138</v>
      </c>
      <c r="CN62" s="19" t="s">
        <v>2475</v>
      </c>
      <c r="CO62" s="19"/>
      <c r="CP62" s="19" t="s">
        <v>2267</v>
      </c>
      <c r="CQ62" s="19"/>
      <c r="CR62" s="19"/>
      <c r="CS62" s="19"/>
      <c r="CT62" s="19"/>
      <c r="CU62" s="19"/>
      <c r="CV62" s="19" t="s">
        <v>2179</v>
      </c>
      <c r="CW62" s="19" t="s">
        <v>2113</v>
      </c>
      <c r="CX62" s="19" t="s">
        <v>2113</v>
      </c>
      <c r="CY62" s="19"/>
      <c r="CZ62" s="19"/>
      <c r="DA62" s="19" t="s">
        <v>16</v>
      </c>
      <c r="DB62" s="19" t="s">
        <v>17</v>
      </c>
      <c r="DC62" s="19" t="s">
        <v>2477</v>
      </c>
      <c r="DD62" s="19" t="s">
        <v>2113</v>
      </c>
      <c r="DE62" s="19" t="s">
        <v>2113</v>
      </c>
      <c r="DF62" s="19" t="s">
        <v>2142</v>
      </c>
      <c r="DG62" s="19" t="s">
        <v>2843</v>
      </c>
      <c r="DH62" s="19" t="s">
        <v>2144</v>
      </c>
      <c r="DI62" s="24">
        <v>45525.0</v>
      </c>
      <c r="DJ62" s="19" t="s">
        <v>2133</v>
      </c>
      <c r="DK62" s="19" t="s">
        <v>2145</v>
      </c>
      <c r="DL62" s="19" t="s">
        <v>2146</v>
      </c>
      <c r="DM62" s="19" t="s">
        <v>3003</v>
      </c>
      <c r="DN62" s="19">
        <v>9.0</v>
      </c>
      <c r="DO62" s="19">
        <v>9.0</v>
      </c>
      <c r="DP62" s="19"/>
      <c r="DQ62" s="19"/>
      <c r="DR62" s="19"/>
      <c r="DS62" s="19" t="s">
        <v>2185</v>
      </c>
      <c r="DT62" s="19" t="s">
        <v>2209</v>
      </c>
      <c r="DU62" s="19" t="s">
        <v>3392</v>
      </c>
      <c r="DV62" s="19"/>
      <c r="DW62" s="19" t="s">
        <v>2479</v>
      </c>
      <c r="DX62" s="19">
        <v>6.0</v>
      </c>
      <c r="DY62" s="19">
        <v>10.0</v>
      </c>
      <c r="DZ62" s="19">
        <v>0.0</v>
      </c>
      <c r="EA62" s="19">
        <v>10.0</v>
      </c>
      <c r="EB62" s="19">
        <v>0.0</v>
      </c>
      <c r="EC62" s="19">
        <v>20.0</v>
      </c>
      <c r="ED62" s="19" t="s">
        <v>2133</v>
      </c>
      <c r="EE62" s="24">
        <v>45525.0</v>
      </c>
      <c r="EF62" s="19" t="s">
        <v>2133</v>
      </c>
      <c r="EG62" s="19" t="s">
        <v>2145</v>
      </c>
      <c r="EH62" s="19" t="s">
        <v>2146</v>
      </c>
      <c r="EI62" s="22">
        <v>15.0</v>
      </c>
      <c r="EJ62" s="19">
        <v>42.0</v>
      </c>
      <c r="EK62" s="19" t="s">
        <v>2113</v>
      </c>
      <c r="EL62" s="19" t="s">
        <v>2117</v>
      </c>
      <c r="EM62" s="19" t="s">
        <v>3381</v>
      </c>
      <c r="EN62" s="19" t="s">
        <v>197</v>
      </c>
      <c r="EO62" s="19" t="s">
        <v>2467</v>
      </c>
      <c r="EP62" s="19" t="s">
        <v>2122</v>
      </c>
      <c r="EQ62" s="19" t="s">
        <v>2475</v>
      </c>
      <c r="ER62" s="19"/>
      <c r="ES62" s="19" t="s">
        <v>197</v>
      </c>
      <c r="ET62" s="19" t="s">
        <v>197</v>
      </c>
      <c r="EU62" s="19" t="s">
        <v>3378</v>
      </c>
      <c r="EV62" s="19">
        <v>7144.0</v>
      </c>
      <c r="EW62" s="19" t="s">
        <v>16</v>
      </c>
      <c r="EX62" s="19">
        <v>3.0</v>
      </c>
      <c r="EY62" s="25" t="s">
        <v>196</v>
      </c>
      <c r="EZ62" s="19" t="s">
        <v>2154</v>
      </c>
      <c r="FA62" s="5" t="s">
        <v>3393</v>
      </c>
      <c r="FB62" s="26" t="s">
        <v>2156</v>
      </c>
      <c r="FC62" s="26"/>
    </row>
    <row r="63">
      <c r="A63" s="19" t="s">
        <v>2112</v>
      </c>
      <c r="B63" s="19" t="s">
        <v>2113</v>
      </c>
      <c r="C63" s="19" t="s">
        <v>2113</v>
      </c>
      <c r="D63" s="19" t="s">
        <v>3394</v>
      </c>
      <c r="E63" s="19" t="s">
        <v>3395</v>
      </c>
      <c r="F63" s="19" t="s">
        <v>3396</v>
      </c>
      <c r="G63" s="19" t="s">
        <v>3397</v>
      </c>
      <c r="H63" s="19" t="s">
        <v>198</v>
      </c>
      <c r="I63" s="19" t="s">
        <v>200</v>
      </c>
      <c r="J63" s="19" t="s">
        <v>3398</v>
      </c>
      <c r="K63" s="19" t="s">
        <v>3399</v>
      </c>
      <c r="L63" s="20">
        <v>45400.0</v>
      </c>
      <c r="M63" s="20">
        <v>45411.0</v>
      </c>
      <c r="N63" s="20">
        <v>45411.0</v>
      </c>
      <c r="O63" s="19" t="s">
        <v>199</v>
      </c>
      <c r="P63" s="19">
        <v>0.0</v>
      </c>
      <c r="Q63" s="19">
        <v>22.0</v>
      </c>
      <c r="R63" s="19">
        <v>8043.0</v>
      </c>
      <c r="S63" s="20" t="s">
        <v>3400</v>
      </c>
      <c r="T63" s="20">
        <v>45461.0</v>
      </c>
      <c r="U63" s="19" t="s">
        <v>3396</v>
      </c>
      <c r="V63" s="19"/>
      <c r="W63" s="19"/>
      <c r="X63" s="21">
        <v>20.0</v>
      </c>
      <c r="Y63" s="21">
        <v>10.0</v>
      </c>
      <c r="Z63" s="21">
        <v>5.0</v>
      </c>
      <c r="AA63" s="21">
        <v>0.0</v>
      </c>
      <c r="AB63" s="5">
        <v>35.0</v>
      </c>
      <c r="AC63" s="19">
        <v>5.0</v>
      </c>
      <c r="AD63" s="19">
        <v>4.4</v>
      </c>
      <c r="AE63" s="19">
        <v>5.0</v>
      </c>
      <c r="AF63" s="19">
        <v>4.6</v>
      </c>
      <c r="AG63" s="19">
        <v>4.4</v>
      </c>
      <c r="AH63" s="19">
        <v>4.2</v>
      </c>
      <c r="AI63" s="22">
        <v>13.931250000000002</v>
      </c>
      <c r="AJ63" s="19">
        <v>13.5</v>
      </c>
      <c r="AK63" s="19">
        <v>13.5</v>
      </c>
      <c r="AL63" s="19">
        <v>14.0</v>
      </c>
      <c r="AM63" s="19">
        <v>41.0</v>
      </c>
      <c r="AN63" s="19">
        <v>54.9</v>
      </c>
      <c r="AO63" s="19">
        <v>89.9</v>
      </c>
      <c r="AP63" s="19">
        <v>65.0</v>
      </c>
      <c r="AQ63" s="23">
        <v>61.0</v>
      </c>
      <c r="AR63" s="23">
        <v>11.0</v>
      </c>
      <c r="AS63" s="22"/>
      <c r="AT63" s="19" t="s">
        <v>2117</v>
      </c>
      <c r="AU63" s="19" t="s">
        <v>3401</v>
      </c>
      <c r="AV63" s="19" t="s">
        <v>3402</v>
      </c>
      <c r="AW63" s="19" t="s">
        <v>2166</v>
      </c>
      <c r="AX63" s="20">
        <v>37418.0</v>
      </c>
      <c r="AY63" s="19" t="s">
        <v>2167</v>
      </c>
      <c r="AZ63" s="19" t="s">
        <v>2445</v>
      </c>
      <c r="BA63" s="19" t="s">
        <v>3403</v>
      </c>
      <c r="BB63" s="19" t="s">
        <v>3404</v>
      </c>
      <c r="BC63" s="19" t="s">
        <v>3405</v>
      </c>
      <c r="BD63" s="19" t="s">
        <v>3406</v>
      </c>
      <c r="BE63" s="19" t="s">
        <v>3407</v>
      </c>
      <c r="BF63" s="19">
        <v>1.1980825117E10</v>
      </c>
      <c r="BG63" s="19" t="s">
        <v>2127</v>
      </c>
      <c r="BH63" s="19" t="s">
        <v>2128</v>
      </c>
      <c r="BI63" s="19"/>
      <c r="BJ63" s="19"/>
      <c r="BK63" s="19" t="s">
        <v>17</v>
      </c>
      <c r="BL63" s="19" t="s">
        <v>2113</v>
      </c>
      <c r="BM63" s="19" t="s">
        <v>2130</v>
      </c>
      <c r="BN63" s="19" t="s">
        <v>17</v>
      </c>
      <c r="BO63" s="19" t="s">
        <v>2132</v>
      </c>
      <c r="BP63" s="19" t="s">
        <v>3408</v>
      </c>
      <c r="BQ63" s="19" t="s">
        <v>2174</v>
      </c>
      <c r="BR63" s="19" t="s">
        <v>2174</v>
      </c>
      <c r="BS63" s="19" t="s">
        <v>2243</v>
      </c>
      <c r="BT63" s="19" t="s">
        <v>21</v>
      </c>
      <c r="BU63" s="19" t="s">
        <v>3409</v>
      </c>
      <c r="BV63" s="19" t="s">
        <v>3410</v>
      </c>
      <c r="BW63" s="19"/>
      <c r="BX63" s="19"/>
      <c r="BY63" s="19" t="s">
        <v>2113</v>
      </c>
      <c r="BZ63" s="19" t="s">
        <v>2113</v>
      </c>
      <c r="CA63" s="19"/>
      <c r="CB63" s="19" t="s">
        <v>2113</v>
      </c>
      <c r="CC63" s="19"/>
      <c r="CD63" s="19" t="s">
        <v>2137</v>
      </c>
      <c r="CE63" s="19" t="s">
        <v>16</v>
      </c>
      <c r="CF63" s="19"/>
      <c r="CG63" s="19"/>
      <c r="CH63" s="19" t="s">
        <v>16</v>
      </c>
      <c r="CI63" s="21">
        <v>0.0</v>
      </c>
      <c r="CJ63" s="19" t="s">
        <v>16</v>
      </c>
      <c r="CK63" s="19"/>
      <c r="CL63" s="19"/>
      <c r="CM63" s="19" t="s">
        <v>2138</v>
      </c>
      <c r="CN63" s="19" t="s">
        <v>2176</v>
      </c>
      <c r="CO63" s="19"/>
      <c r="CP63" s="19" t="s">
        <v>2225</v>
      </c>
      <c r="CQ63" s="19" t="s">
        <v>2113</v>
      </c>
      <c r="CR63" s="19" t="s">
        <v>2113</v>
      </c>
      <c r="CS63" s="19" t="s">
        <v>2113</v>
      </c>
      <c r="CT63" s="19" t="s">
        <v>2113</v>
      </c>
      <c r="CU63" s="19" t="s">
        <v>2113</v>
      </c>
      <c r="CV63" s="19" t="s">
        <v>2141</v>
      </c>
      <c r="CW63" s="19" t="s">
        <v>2113</v>
      </c>
      <c r="CX63" s="19" t="s">
        <v>2113</v>
      </c>
      <c r="CY63" s="19" t="s">
        <v>2113</v>
      </c>
      <c r="CZ63" s="19" t="s">
        <v>2113</v>
      </c>
      <c r="DA63" s="19" t="s">
        <v>16</v>
      </c>
      <c r="DB63" s="19" t="s">
        <v>16</v>
      </c>
      <c r="DC63" s="19" t="s">
        <v>2180</v>
      </c>
      <c r="DD63" s="19" t="s">
        <v>2113</v>
      </c>
      <c r="DE63" s="19" t="s">
        <v>2113</v>
      </c>
      <c r="DF63" s="19" t="s">
        <v>2345</v>
      </c>
      <c r="DG63" s="19" t="s">
        <v>3256</v>
      </c>
      <c r="DH63" s="19" t="s">
        <v>2144</v>
      </c>
      <c r="DI63" s="24">
        <v>45525.0</v>
      </c>
      <c r="DJ63" s="19" t="s">
        <v>2174</v>
      </c>
      <c r="DK63" s="19" t="s">
        <v>2271</v>
      </c>
      <c r="DL63" s="19" t="s">
        <v>2183</v>
      </c>
      <c r="DM63" s="19" t="s">
        <v>2249</v>
      </c>
      <c r="DN63" s="19">
        <v>10.0</v>
      </c>
      <c r="DO63" s="19">
        <v>10.0</v>
      </c>
      <c r="DP63" s="19" t="s">
        <v>3411</v>
      </c>
      <c r="DQ63" s="19" t="s">
        <v>3412</v>
      </c>
      <c r="DR63" s="19" t="s">
        <v>3413</v>
      </c>
      <c r="DS63" s="19" t="s">
        <v>2151</v>
      </c>
      <c r="DT63" s="19" t="s">
        <v>2209</v>
      </c>
      <c r="DU63" s="19"/>
      <c r="DV63" s="19"/>
      <c r="DW63" s="19" t="s">
        <v>2188</v>
      </c>
      <c r="DX63" s="19">
        <v>15.0</v>
      </c>
      <c r="DY63" s="19">
        <v>10.0</v>
      </c>
      <c r="DZ63" s="19">
        <v>0.0</v>
      </c>
      <c r="EA63" s="19">
        <v>10.0</v>
      </c>
      <c r="EB63" s="19">
        <v>0.0</v>
      </c>
      <c r="EC63" s="19">
        <v>20.0</v>
      </c>
      <c r="ED63" s="19" t="s">
        <v>2174</v>
      </c>
      <c r="EE63" s="24">
        <v>45525.0</v>
      </c>
      <c r="EF63" s="19" t="s">
        <v>2174</v>
      </c>
      <c r="EG63" s="19" t="s">
        <v>2271</v>
      </c>
      <c r="EH63" s="19" t="s">
        <v>2183</v>
      </c>
      <c r="EI63" s="22">
        <v>13.931250000000002</v>
      </c>
      <c r="EJ63" s="19">
        <v>41.0</v>
      </c>
      <c r="EK63" s="19"/>
      <c r="EL63" s="19" t="s">
        <v>2117</v>
      </c>
      <c r="EM63" s="19" t="s">
        <v>3401</v>
      </c>
      <c r="EN63" s="19" t="s">
        <v>200</v>
      </c>
      <c r="EO63" s="19" t="s">
        <v>2167</v>
      </c>
      <c r="EP63" s="19" t="s">
        <v>2445</v>
      </c>
      <c r="EQ63" s="19" t="s">
        <v>2176</v>
      </c>
      <c r="ER63" s="19"/>
      <c r="ES63" s="19" t="s">
        <v>200</v>
      </c>
      <c r="ET63" s="19" t="s">
        <v>200</v>
      </c>
      <c r="EU63" s="19" t="s">
        <v>3399</v>
      </c>
      <c r="EV63" s="19">
        <v>8043.0</v>
      </c>
      <c r="EW63" s="19" t="s">
        <v>16</v>
      </c>
      <c r="EX63" s="19">
        <v>5.0</v>
      </c>
      <c r="EY63" s="25" t="s">
        <v>199</v>
      </c>
      <c r="EZ63" s="19" t="s">
        <v>2154</v>
      </c>
      <c r="FA63" s="5" t="s">
        <v>3414</v>
      </c>
      <c r="FB63" s="26" t="s">
        <v>2156</v>
      </c>
      <c r="FC63" s="26"/>
    </row>
    <row r="64">
      <c r="A64" s="19" t="s">
        <v>2112</v>
      </c>
      <c r="B64" s="19" t="s">
        <v>2113</v>
      </c>
      <c r="C64" s="19" t="s">
        <v>2113</v>
      </c>
      <c r="D64" s="19" t="s">
        <v>3415</v>
      </c>
      <c r="E64" s="19" t="s">
        <v>3416</v>
      </c>
      <c r="F64" s="19" t="s">
        <v>3415</v>
      </c>
      <c r="G64" s="19" t="s">
        <v>3416</v>
      </c>
      <c r="H64" s="19" t="s">
        <v>201</v>
      </c>
      <c r="I64" s="19" t="s">
        <v>203</v>
      </c>
      <c r="J64" s="19" t="s">
        <v>3417</v>
      </c>
      <c r="K64" s="19" t="s">
        <v>3418</v>
      </c>
      <c r="L64" s="20">
        <v>45422.0</v>
      </c>
      <c r="M64" s="20">
        <v>45428.0</v>
      </c>
      <c r="N64" s="20">
        <v>45428.0</v>
      </c>
      <c r="O64" s="19" t="s">
        <v>202</v>
      </c>
      <c r="P64" s="19">
        <v>0.0</v>
      </c>
      <c r="Q64" s="19">
        <v>27.0</v>
      </c>
      <c r="R64" s="19">
        <v>9970.0</v>
      </c>
      <c r="S64" s="20" t="s">
        <v>3419</v>
      </c>
      <c r="T64" s="20">
        <v>45461.0</v>
      </c>
      <c r="U64" s="19" t="s">
        <v>3415</v>
      </c>
      <c r="V64" s="19"/>
      <c r="W64" s="19"/>
      <c r="X64" s="21">
        <v>20.0</v>
      </c>
      <c r="Y64" s="21">
        <v>10.0</v>
      </c>
      <c r="Z64" s="21">
        <v>4.0</v>
      </c>
      <c r="AA64" s="21">
        <v>2.0</v>
      </c>
      <c r="AB64" s="5">
        <v>36.0</v>
      </c>
      <c r="AC64" s="19">
        <v>4.5</v>
      </c>
      <c r="AD64" s="19">
        <v>4.0</v>
      </c>
      <c r="AE64" s="19">
        <v>5.0</v>
      </c>
      <c r="AF64" s="19">
        <v>4.5</v>
      </c>
      <c r="AG64" s="19">
        <v>4.0</v>
      </c>
      <c r="AH64" s="19">
        <v>5.0</v>
      </c>
      <c r="AI64" s="22">
        <v>13.546875</v>
      </c>
      <c r="AJ64" s="19">
        <v>13.3</v>
      </c>
      <c r="AK64" s="19">
        <v>13.0</v>
      </c>
      <c r="AL64" s="19">
        <v>14.0</v>
      </c>
      <c r="AM64" s="19">
        <v>40.3</v>
      </c>
      <c r="AN64" s="19">
        <v>53.8</v>
      </c>
      <c r="AO64" s="19">
        <v>89.9</v>
      </c>
      <c r="AP64" s="19">
        <v>30.0</v>
      </c>
      <c r="AQ64" s="23">
        <v>62.0</v>
      </c>
      <c r="AR64" s="23">
        <v>4.0</v>
      </c>
      <c r="AS64" s="22"/>
      <c r="AT64" s="19" t="s">
        <v>2163</v>
      </c>
      <c r="AU64" s="19" t="s">
        <v>3420</v>
      </c>
      <c r="AV64" s="19" t="s">
        <v>3421</v>
      </c>
      <c r="AW64" s="19" t="s">
        <v>3422</v>
      </c>
      <c r="AX64" s="20">
        <v>35491.0</v>
      </c>
      <c r="AY64" s="19" t="s">
        <v>3232</v>
      </c>
      <c r="AZ64" s="19" t="s">
        <v>2554</v>
      </c>
      <c r="BA64" s="19" t="s">
        <v>3423</v>
      </c>
      <c r="BB64" s="19" t="s">
        <v>3082</v>
      </c>
      <c r="BC64" s="19" t="s">
        <v>3424</v>
      </c>
      <c r="BD64" s="19" t="s">
        <v>3425</v>
      </c>
      <c r="BE64" s="19" t="s">
        <v>3426</v>
      </c>
      <c r="BF64" s="19">
        <v>1.1988996523E10</v>
      </c>
      <c r="BG64" s="19" t="s">
        <v>2127</v>
      </c>
      <c r="BH64" s="19" t="s">
        <v>2128</v>
      </c>
      <c r="BI64" s="19"/>
      <c r="BJ64" s="19"/>
      <c r="BK64" s="19" t="s">
        <v>16</v>
      </c>
      <c r="BL64" s="19" t="s">
        <v>2113</v>
      </c>
      <c r="BM64" s="19" t="s">
        <v>2130</v>
      </c>
      <c r="BN64" s="19" t="s">
        <v>2708</v>
      </c>
      <c r="BO64" s="19" t="s">
        <v>2317</v>
      </c>
      <c r="BP64" s="19" t="s">
        <v>3427</v>
      </c>
      <c r="BQ64" s="19" t="s">
        <v>2325</v>
      </c>
      <c r="BR64" s="19" t="s">
        <v>2325</v>
      </c>
      <c r="BS64" s="19" t="s">
        <v>2243</v>
      </c>
      <c r="BT64" s="19" t="s">
        <v>118</v>
      </c>
      <c r="BU64" s="19" t="s">
        <v>3428</v>
      </c>
      <c r="BV64" s="19" t="s">
        <v>3429</v>
      </c>
      <c r="BW64" s="19"/>
      <c r="BX64" s="19"/>
      <c r="BY64" s="19" t="s">
        <v>2113</v>
      </c>
      <c r="BZ64" s="19" t="s">
        <v>2113</v>
      </c>
      <c r="CA64" s="19" t="s">
        <v>2113</v>
      </c>
      <c r="CB64" s="19" t="s">
        <v>2113</v>
      </c>
      <c r="CC64" s="19"/>
      <c r="CD64" s="19" t="s">
        <v>2137</v>
      </c>
      <c r="CE64" s="19" t="s">
        <v>16</v>
      </c>
      <c r="CF64" s="19"/>
      <c r="CG64" s="19"/>
      <c r="CH64" s="19" t="s">
        <v>16</v>
      </c>
      <c r="CI64" s="21">
        <v>0.0</v>
      </c>
      <c r="CJ64" s="19" t="s">
        <v>17</v>
      </c>
      <c r="CK64" s="19"/>
      <c r="CL64" s="19"/>
      <c r="CM64" s="19"/>
      <c r="CN64" s="19" t="s">
        <v>2868</v>
      </c>
      <c r="CO64" s="19"/>
      <c r="CP64" s="19"/>
      <c r="CQ64" s="19"/>
      <c r="CR64" s="19"/>
      <c r="CS64" s="19"/>
      <c r="CT64" s="19" t="s">
        <v>2113</v>
      </c>
      <c r="CU64" s="19" t="s">
        <v>2113</v>
      </c>
      <c r="CV64" s="19" t="s">
        <v>2141</v>
      </c>
      <c r="CW64" s="19"/>
      <c r="CX64" s="19"/>
      <c r="CY64" s="19" t="s">
        <v>2113</v>
      </c>
      <c r="CZ64" s="19" t="s">
        <v>2113</v>
      </c>
      <c r="DA64" s="19" t="s">
        <v>16</v>
      </c>
      <c r="DB64" s="19" t="s">
        <v>17</v>
      </c>
      <c r="DC64" s="19" t="s">
        <v>3221</v>
      </c>
      <c r="DD64" s="19" t="s">
        <v>2113</v>
      </c>
      <c r="DE64" s="19" t="s">
        <v>2113</v>
      </c>
      <c r="DF64" s="19" t="s">
        <v>3222</v>
      </c>
      <c r="DG64" s="19" t="s">
        <v>2433</v>
      </c>
      <c r="DH64" s="19" t="s">
        <v>2144</v>
      </c>
      <c r="DI64" s="24">
        <v>45524.0</v>
      </c>
      <c r="DJ64" s="19" t="s">
        <v>2325</v>
      </c>
      <c r="DK64" s="19" t="s">
        <v>2145</v>
      </c>
      <c r="DL64" s="19" t="s">
        <v>2326</v>
      </c>
      <c r="DM64" s="19"/>
      <c r="DN64" s="19">
        <v>7.0</v>
      </c>
      <c r="DO64" s="19">
        <v>7.0</v>
      </c>
      <c r="DP64" s="19" t="s">
        <v>3430</v>
      </c>
      <c r="DQ64" s="19" t="s">
        <v>3431</v>
      </c>
      <c r="DR64" s="19" t="s">
        <v>3432</v>
      </c>
      <c r="DS64" s="19" t="s">
        <v>2185</v>
      </c>
      <c r="DT64" s="19" t="s">
        <v>2350</v>
      </c>
      <c r="DU64" s="19"/>
      <c r="DV64" s="19"/>
      <c r="DW64" s="19" t="s">
        <v>3306</v>
      </c>
      <c r="DX64" s="19">
        <v>4.0</v>
      </c>
      <c r="DY64" s="19">
        <v>10.0</v>
      </c>
      <c r="DZ64" s="19">
        <v>2.0</v>
      </c>
      <c r="EA64" s="19">
        <v>10.0</v>
      </c>
      <c r="EB64" s="19">
        <v>0.0</v>
      </c>
      <c r="EC64" s="19">
        <v>20.0</v>
      </c>
      <c r="ED64" s="19" t="s">
        <v>2325</v>
      </c>
      <c r="EE64" s="24">
        <v>45524.0</v>
      </c>
      <c r="EF64" s="19" t="s">
        <v>2325</v>
      </c>
      <c r="EG64" s="19" t="s">
        <v>2145</v>
      </c>
      <c r="EH64" s="19" t="s">
        <v>2326</v>
      </c>
      <c r="EI64" s="22">
        <v>13.546875</v>
      </c>
      <c r="EJ64" s="19">
        <v>40.33333333</v>
      </c>
      <c r="EK64" s="19" t="s">
        <v>2113</v>
      </c>
      <c r="EL64" s="19" t="s">
        <v>2163</v>
      </c>
      <c r="EM64" s="19" t="s">
        <v>3420</v>
      </c>
      <c r="EN64" s="19" t="s">
        <v>203</v>
      </c>
      <c r="EO64" s="19" t="s">
        <v>3232</v>
      </c>
      <c r="EP64" s="19" t="s">
        <v>2554</v>
      </c>
      <c r="EQ64" s="19" t="s">
        <v>2868</v>
      </c>
      <c r="ER64" s="19"/>
      <c r="ES64" s="19" t="s">
        <v>203</v>
      </c>
      <c r="ET64" s="19" t="s">
        <v>203</v>
      </c>
      <c r="EU64" s="19" t="s">
        <v>3418</v>
      </c>
      <c r="EV64" s="19">
        <v>9970.0</v>
      </c>
      <c r="EW64" s="19" t="s">
        <v>16</v>
      </c>
      <c r="EX64" s="19">
        <v>4.0</v>
      </c>
      <c r="EY64" s="25" t="s">
        <v>202</v>
      </c>
      <c r="EZ64" s="19" t="s">
        <v>2154</v>
      </c>
      <c r="FA64" s="5" t="s">
        <v>3433</v>
      </c>
      <c r="FB64" s="26" t="s">
        <v>2156</v>
      </c>
      <c r="FC64" s="26"/>
    </row>
    <row r="65">
      <c r="A65" s="19" t="s">
        <v>17</v>
      </c>
      <c r="B65" s="19" t="s">
        <v>2113</v>
      </c>
      <c r="C65" s="19" t="s">
        <v>2113</v>
      </c>
      <c r="D65" s="19" t="s">
        <v>204</v>
      </c>
      <c r="E65" s="19" t="s">
        <v>3434</v>
      </c>
      <c r="F65" s="19" t="s">
        <v>204</v>
      </c>
      <c r="G65" s="19" t="s">
        <v>3434</v>
      </c>
      <c r="H65" s="19" t="s">
        <v>204</v>
      </c>
      <c r="I65" s="19" t="s">
        <v>206</v>
      </c>
      <c r="J65" s="19" t="s">
        <v>3435</v>
      </c>
      <c r="K65" s="19" t="s">
        <v>3436</v>
      </c>
      <c r="L65" s="20">
        <v>45446.0</v>
      </c>
      <c r="M65" s="20">
        <v>45447.0</v>
      </c>
      <c r="N65" s="20">
        <v>45447.0</v>
      </c>
      <c r="O65" s="19" t="s">
        <v>205</v>
      </c>
      <c r="P65" s="19">
        <v>0.0</v>
      </c>
      <c r="Q65" s="19">
        <v>28.0</v>
      </c>
      <c r="R65" s="19">
        <v>10589.0</v>
      </c>
      <c r="S65" s="20" t="s">
        <v>3437</v>
      </c>
      <c r="T65" s="20">
        <v>45461.0</v>
      </c>
      <c r="U65" s="19" t="s">
        <v>204</v>
      </c>
      <c r="V65" s="19"/>
      <c r="W65" s="19"/>
      <c r="X65" s="21">
        <v>20.0</v>
      </c>
      <c r="Y65" s="21">
        <v>10.0</v>
      </c>
      <c r="Z65" s="21">
        <v>2.0</v>
      </c>
      <c r="AA65" s="21">
        <v>0.0</v>
      </c>
      <c r="AB65" s="5">
        <v>32.0</v>
      </c>
      <c r="AC65" s="19">
        <v>5.0</v>
      </c>
      <c r="AD65" s="19">
        <v>5.0</v>
      </c>
      <c r="AE65" s="19">
        <v>5.0</v>
      </c>
      <c r="AF65" s="19">
        <v>4.0</v>
      </c>
      <c r="AG65" s="19">
        <v>4.0</v>
      </c>
      <c r="AH65" s="19">
        <v>4.0</v>
      </c>
      <c r="AI65" s="22">
        <v>13.875</v>
      </c>
      <c r="AJ65" s="19">
        <v>14.0</v>
      </c>
      <c r="AK65" s="19">
        <v>15.0</v>
      </c>
      <c r="AL65" s="19">
        <v>15.0</v>
      </c>
      <c r="AM65" s="19">
        <v>44.0</v>
      </c>
      <c r="AN65" s="19">
        <v>57.9</v>
      </c>
      <c r="AO65" s="19">
        <v>89.9</v>
      </c>
      <c r="AP65" s="19">
        <v>180.0</v>
      </c>
      <c r="AQ65" s="23">
        <v>63.0</v>
      </c>
      <c r="AR65" s="23">
        <v>3.0</v>
      </c>
      <c r="AS65" s="22"/>
      <c r="AT65" s="19" t="s">
        <v>2282</v>
      </c>
      <c r="AU65" s="19" t="s">
        <v>3438</v>
      </c>
      <c r="AV65" s="19" t="s">
        <v>3439</v>
      </c>
      <c r="AW65" s="19" t="s">
        <v>3440</v>
      </c>
      <c r="AX65" s="20">
        <v>34872.0</v>
      </c>
      <c r="AY65" s="19" t="s">
        <v>3441</v>
      </c>
      <c r="AZ65" s="19" t="s">
        <v>2122</v>
      </c>
      <c r="BA65" s="19" t="s">
        <v>3442</v>
      </c>
      <c r="BB65" s="19" t="s">
        <v>2885</v>
      </c>
      <c r="BC65" s="19" t="s">
        <v>3443</v>
      </c>
      <c r="BD65" s="19" t="s">
        <v>3444</v>
      </c>
      <c r="BE65" s="19" t="s">
        <v>3435</v>
      </c>
      <c r="BF65" s="19">
        <v>1.9983282752E10</v>
      </c>
      <c r="BG65" s="19" t="s">
        <v>2127</v>
      </c>
      <c r="BH65" s="19" t="s">
        <v>2649</v>
      </c>
      <c r="BI65" s="19"/>
      <c r="BJ65" s="19" t="s">
        <v>2128</v>
      </c>
      <c r="BK65" s="19" t="s">
        <v>17</v>
      </c>
      <c r="BL65" s="19"/>
      <c r="BM65" s="19" t="s">
        <v>2130</v>
      </c>
      <c r="BN65" s="19" t="s">
        <v>3445</v>
      </c>
      <c r="BO65" s="19" t="s">
        <v>3199</v>
      </c>
      <c r="BP65" s="19" t="s">
        <v>3446</v>
      </c>
      <c r="BQ65" s="19" t="s">
        <v>3251</v>
      </c>
      <c r="BR65" s="19" t="s">
        <v>3251</v>
      </c>
      <c r="BS65" s="19" t="s">
        <v>2134</v>
      </c>
      <c r="BT65" s="19" t="s">
        <v>177</v>
      </c>
      <c r="BU65" s="19" t="s">
        <v>3447</v>
      </c>
      <c r="BV65" s="19" t="s">
        <v>3448</v>
      </c>
      <c r="BW65" s="19" t="s">
        <v>2113</v>
      </c>
      <c r="BX65" s="19"/>
      <c r="BY65" s="19"/>
      <c r="BZ65" s="19"/>
      <c r="CA65" s="19"/>
      <c r="CB65" s="19" t="s">
        <v>2113</v>
      </c>
      <c r="CC65" s="19"/>
      <c r="CD65" s="19" t="s">
        <v>2137</v>
      </c>
      <c r="CE65" s="19" t="s">
        <v>16</v>
      </c>
      <c r="CF65" s="19"/>
      <c r="CG65" s="19"/>
      <c r="CH65" s="19" t="s">
        <v>16</v>
      </c>
      <c r="CI65" s="21">
        <v>0.0</v>
      </c>
      <c r="CJ65" s="19" t="s">
        <v>16</v>
      </c>
      <c r="CK65" s="19"/>
      <c r="CL65" s="19"/>
      <c r="CM65" s="19" t="s">
        <v>2138</v>
      </c>
      <c r="CN65" s="19" t="s">
        <v>3253</v>
      </c>
      <c r="CO65" s="19" t="s">
        <v>3449</v>
      </c>
      <c r="CP65" s="19" t="s">
        <v>2140</v>
      </c>
      <c r="CQ65" s="19"/>
      <c r="CR65" s="19" t="s">
        <v>2113</v>
      </c>
      <c r="CS65" s="19" t="s">
        <v>2113</v>
      </c>
      <c r="CT65" s="19" t="s">
        <v>2113</v>
      </c>
      <c r="CU65" s="19" t="s">
        <v>2113</v>
      </c>
      <c r="CV65" s="19" t="s">
        <v>2179</v>
      </c>
      <c r="CW65" s="19"/>
      <c r="CX65" s="19"/>
      <c r="CY65" s="19"/>
      <c r="CZ65" s="19"/>
      <c r="DA65" s="19" t="s">
        <v>16</v>
      </c>
      <c r="DB65" s="19" t="s">
        <v>16</v>
      </c>
      <c r="DC65" s="19" t="s">
        <v>2323</v>
      </c>
      <c r="DD65" s="19" t="s">
        <v>2113</v>
      </c>
      <c r="DE65" s="19" t="s">
        <v>2113</v>
      </c>
      <c r="DF65" s="19" t="s">
        <v>2433</v>
      </c>
      <c r="DG65" s="19" t="s">
        <v>3256</v>
      </c>
      <c r="DH65" s="19" t="s">
        <v>2144</v>
      </c>
      <c r="DI65" s="24">
        <v>45519.0</v>
      </c>
      <c r="DJ65" s="19" t="s">
        <v>3257</v>
      </c>
      <c r="DK65" s="19" t="s">
        <v>2271</v>
      </c>
      <c r="DL65" s="19" t="s">
        <v>2207</v>
      </c>
      <c r="DM65" s="19" t="s">
        <v>3450</v>
      </c>
      <c r="DN65" s="19">
        <v>3.0</v>
      </c>
      <c r="DO65" s="19">
        <v>3.0</v>
      </c>
      <c r="DP65" s="19"/>
      <c r="DQ65" s="19"/>
      <c r="DR65" s="19"/>
      <c r="DS65" s="19" t="s">
        <v>2365</v>
      </c>
      <c r="DT65" s="19" t="s">
        <v>2350</v>
      </c>
      <c r="DU65" s="19" t="s">
        <v>3451</v>
      </c>
      <c r="DV65" s="19"/>
      <c r="DW65" s="19" t="s">
        <v>2479</v>
      </c>
      <c r="DX65" s="19">
        <v>11.0</v>
      </c>
      <c r="DY65" s="19">
        <v>10.0</v>
      </c>
      <c r="DZ65" s="19">
        <v>0.0</v>
      </c>
      <c r="EA65" s="19">
        <v>10.0</v>
      </c>
      <c r="EB65" s="19">
        <v>0.0</v>
      </c>
      <c r="EC65" s="19">
        <v>20.0</v>
      </c>
      <c r="ED65" s="19" t="s">
        <v>3257</v>
      </c>
      <c r="EE65" s="24">
        <v>45519.0</v>
      </c>
      <c r="EF65" s="19" t="s">
        <v>3257</v>
      </c>
      <c r="EG65" s="19" t="s">
        <v>2271</v>
      </c>
      <c r="EH65" s="19" t="s">
        <v>2207</v>
      </c>
      <c r="EI65" s="22">
        <v>13.875</v>
      </c>
      <c r="EJ65" s="19">
        <v>44.0</v>
      </c>
      <c r="EK65" s="19"/>
      <c r="EL65" s="19" t="s">
        <v>2282</v>
      </c>
      <c r="EM65" s="19" t="s">
        <v>3438</v>
      </c>
      <c r="EN65" s="19" t="s">
        <v>206</v>
      </c>
      <c r="EO65" s="19" t="s">
        <v>3441</v>
      </c>
      <c r="EP65" s="19" t="s">
        <v>2122</v>
      </c>
      <c r="EQ65" s="19" t="s">
        <v>3253</v>
      </c>
      <c r="ER65" s="19" t="s">
        <v>3449</v>
      </c>
      <c r="ES65" s="19" t="s">
        <v>206</v>
      </c>
      <c r="ET65" s="19" t="s">
        <v>206</v>
      </c>
      <c r="EU65" s="19" t="s">
        <v>3436</v>
      </c>
      <c r="EV65" s="19">
        <v>10589.0</v>
      </c>
      <c r="EW65" s="19" t="s">
        <v>16</v>
      </c>
      <c r="EX65" s="19">
        <v>2.0</v>
      </c>
      <c r="EY65" s="25" t="s">
        <v>205</v>
      </c>
      <c r="EZ65" s="19" t="s">
        <v>2154</v>
      </c>
      <c r="FA65" s="5" t="s">
        <v>3452</v>
      </c>
      <c r="FB65" s="26" t="s">
        <v>2156</v>
      </c>
      <c r="FC65" s="26"/>
    </row>
    <row r="66">
      <c r="A66" s="19"/>
      <c r="B66" s="19" t="s">
        <v>2113</v>
      </c>
      <c r="C66" s="19" t="s">
        <v>2113</v>
      </c>
      <c r="D66" s="19" t="s">
        <v>207</v>
      </c>
      <c r="E66" s="19" t="s">
        <v>3453</v>
      </c>
      <c r="F66" s="19" t="s">
        <v>207</v>
      </c>
      <c r="G66" s="19"/>
      <c r="H66" s="19" t="s">
        <v>207</v>
      </c>
      <c r="I66" s="19" t="s">
        <v>209</v>
      </c>
      <c r="J66" s="19" t="s">
        <v>3454</v>
      </c>
      <c r="K66" s="19" t="s">
        <v>3455</v>
      </c>
      <c r="L66" s="20">
        <v>45444.0</v>
      </c>
      <c r="M66" s="20">
        <v>45446.0</v>
      </c>
      <c r="N66" s="20">
        <v>45446.0</v>
      </c>
      <c r="O66" s="19" t="s">
        <v>208</v>
      </c>
      <c r="P66" s="19">
        <v>0.0</v>
      </c>
      <c r="Q66" s="19">
        <v>22.0</v>
      </c>
      <c r="R66" s="19">
        <v>8343.0</v>
      </c>
      <c r="S66" s="20" t="s">
        <v>3456</v>
      </c>
      <c r="T66" s="20">
        <v>45461.0</v>
      </c>
      <c r="U66" s="19" t="s">
        <v>207</v>
      </c>
      <c r="V66" s="19"/>
      <c r="W66" s="19"/>
      <c r="X66" s="21">
        <v>20.0</v>
      </c>
      <c r="Y66" s="21">
        <v>10.0</v>
      </c>
      <c r="Z66" s="21">
        <v>4.0</v>
      </c>
      <c r="AA66" s="21">
        <v>0.0</v>
      </c>
      <c r="AB66" s="5">
        <v>34.0</v>
      </c>
      <c r="AC66" s="19">
        <v>4.0</v>
      </c>
      <c r="AD66" s="19">
        <v>4.0</v>
      </c>
      <c r="AE66" s="19">
        <v>3.5</v>
      </c>
      <c r="AF66" s="19">
        <v>4.0</v>
      </c>
      <c r="AG66" s="19">
        <v>4.0</v>
      </c>
      <c r="AH66" s="19">
        <v>4.5</v>
      </c>
      <c r="AI66" s="22">
        <v>11.8125</v>
      </c>
      <c r="AJ66" s="19">
        <v>15.0</v>
      </c>
      <c r="AK66" s="19">
        <v>15.0</v>
      </c>
      <c r="AL66" s="19">
        <v>14.0</v>
      </c>
      <c r="AM66" s="19">
        <v>44.0</v>
      </c>
      <c r="AN66" s="19">
        <v>55.8</v>
      </c>
      <c r="AO66" s="19">
        <v>89.8</v>
      </c>
      <c r="AP66" s="19">
        <v>121.0</v>
      </c>
      <c r="AQ66" s="23">
        <v>64.0</v>
      </c>
      <c r="AR66" s="23">
        <v>6.0</v>
      </c>
      <c r="AS66" s="22"/>
      <c r="AT66" s="19" t="s">
        <v>2163</v>
      </c>
      <c r="AU66" s="19" t="s">
        <v>3457</v>
      </c>
      <c r="AV66" s="19" t="s">
        <v>3458</v>
      </c>
      <c r="AW66" s="19" t="s">
        <v>3459</v>
      </c>
      <c r="AX66" s="20">
        <v>37118.0</v>
      </c>
      <c r="AY66" s="19" t="s">
        <v>2702</v>
      </c>
      <c r="AZ66" s="19" t="s">
        <v>2310</v>
      </c>
      <c r="BA66" s="19" t="s">
        <v>3460</v>
      </c>
      <c r="BB66" s="19" t="s">
        <v>3461</v>
      </c>
      <c r="BC66" s="19" t="s">
        <v>3462</v>
      </c>
      <c r="BD66" s="19" t="s">
        <v>3463</v>
      </c>
      <c r="BE66" s="19" t="s">
        <v>3454</v>
      </c>
      <c r="BF66" s="19">
        <v>1.198302314E10</v>
      </c>
      <c r="BG66" s="19" t="s">
        <v>2127</v>
      </c>
      <c r="BH66" s="19" t="s">
        <v>2128</v>
      </c>
      <c r="BI66" s="19"/>
      <c r="BJ66" s="19" t="s">
        <v>2427</v>
      </c>
      <c r="BK66" s="19" t="s">
        <v>17</v>
      </c>
      <c r="BL66" s="19"/>
      <c r="BM66" s="19" t="s">
        <v>2130</v>
      </c>
      <c r="BN66" s="19" t="s">
        <v>17</v>
      </c>
      <c r="BO66" s="19" t="s">
        <v>2317</v>
      </c>
      <c r="BP66" s="19"/>
      <c r="BQ66" s="19" t="s">
        <v>2318</v>
      </c>
      <c r="BR66" s="19" t="s">
        <v>2318</v>
      </c>
      <c r="BS66" s="19" t="s">
        <v>2134</v>
      </c>
      <c r="BT66" s="19" t="s">
        <v>42</v>
      </c>
      <c r="BU66" s="19" t="s">
        <v>3464</v>
      </c>
      <c r="BV66" s="19" t="s">
        <v>3465</v>
      </c>
      <c r="BW66" s="19" t="s">
        <v>2113</v>
      </c>
      <c r="BX66" s="19"/>
      <c r="BY66" s="19"/>
      <c r="BZ66" s="19"/>
      <c r="CA66" s="19"/>
      <c r="CB66" s="19" t="s">
        <v>2113</v>
      </c>
      <c r="CC66" s="19"/>
      <c r="CD66" s="19" t="s">
        <v>2137</v>
      </c>
      <c r="CE66" s="19" t="s">
        <v>16</v>
      </c>
      <c r="CF66" s="19"/>
      <c r="CG66" s="19"/>
      <c r="CH66" s="19" t="s">
        <v>16</v>
      </c>
      <c r="CI66" s="21">
        <v>0.0</v>
      </c>
      <c r="CJ66" s="19" t="s">
        <v>16</v>
      </c>
      <c r="CK66" s="19"/>
      <c r="CL66" s="19"/>
      <c r="CM66" s="19" t="s">
        <v>2138</v>
      </c>
      <c r="CN66" s="19" t="s">
        <v>2321</v>
      </c>
      <c r="CO66" s="19"/>
      <c r="CP66" s="19"/>
      <c r="CQ66" s="19"/>
      <c r="CR66" s="19"/>
      <c r="CS66" s="19"/>
      <c r="CT66" s="19"/>
      <c r="CU66" s="19"/>
      <c r="CV66" s="19" t="s">
        <v>2141</v>
      </c>
      <c r="CW66" s="19" t="s">
        <v>2113</v>
      </c>
      <c r="CX66" s="19" t="s">
        <v>2113</v>
      </c>
      <c r="CY66" s="19" t="s">
        <v>2113</v>
      </c>
      <c r="CZ66" s="19" t="s">
        <v>2113</v>
      </c>
      <c r="DA66" s="19" t="s">
        <v>16</v>
      </c>
      <c r="DB66" s="19" t="s">
        <v>16</v>
      </c>
      <c r="DC66" s="19" t="s">
        <v>2983</v>
      </c>
      <c r="DD66" s="19" t="s">
        <v>2113</v>
      </c>
      <c r="DE66" s="19" t="s">
        <v>2113</v>
      </c>
      <c r="DF66" s="19" t="s">
        <v>2712</v>
      </c>
      <c r="DG66" s="19" t="s">
        <v>2982</v>
      </c>
      <c r="DH66" s="19" t="s">
        <v>2144</v>
      </c>
      <c r="DI66" s="24">
        <v>45519.0</v>
      </c>
      <c r="DJ66" s="19" t="s">
        <v>2325</v>
      </c>
      <c r="DK66" s="19" t="s">
        <v>2271</v>
      </c>
      <c r="DL66" s="19" t="s">
        <v>2326</v>
      </c>
      <c r="DM66" s="19"/>
      <c r="DN66" s="19">
        <v>6.0</v>
      </c>
      <c r="DO66" s="19">
        <v>6.0</v>
      </c>
      <c r="DP66" s="19" t="s">
        <v>3466</v>
      </c>
      <c r="DQ66" s="19" t="s">
        <v>3467</v>
      </c>
      <c r="DR66" s="19" t="s">
        <v>3468</v>
      </c>
      <c r="DS66" s="19" t="s">
        <v>2185</v>
      </c>
      <c r="DT66" s="19" t="s">
        <v>2366</v>
      </c>
      <c r="DU66" s="19"/>
      <c r="DV66" s="19"/>
      <c r="DW66" s="19" t="s">
        <v>2479</v>
      </c>
      <c r="DX66" s="19">
        <v>6.0</v>
      </c>
      <c r="DY66" s="19">
        <v>10.0</v>
      </c>
      <c r="DZ66" s="19">
        <v>0.0</v>
      </c>
      <c r="EA66" s="19">
        <v>10.0</v>
      </c>
      <c r="EB66" s="19">
        <v>0.0</v>
      </c>
      <c r="EC66" s="19">
        <v>20.0</v>
      </c>
      <c r="ED66" s="19" t="s">
        <v>2325</v>
      </c>
      <c r="EE66" s="24">
        <v>45519.0</v>
      </c>
      <c r="EF66" s="19" t="s">
        <v>2325</v>
      </c>
      <c r="EG66" s="19" t="s">
        <v>2271</v>
      </c>
      <c r="EH66" s="19" t="s">
        <v>2326</v>
      </c>
      <c r="EI66" s="22">
        <v>11.8125</v>
      </c>
      <c r="EJ66" s="19">
        <v>44.0</v>
      </c>
      <c r="EK66" s="19"/>
      <c r="EL66" s="19" t="s">
        <v>2163</v>
      </c>
      <c r="EM66" s="19" t="s">
        <v>3457</v>
      </c>
      <c r="EN66" s="19" t="s">
        <v>209</v>
      </c>
      <c r="EO66" s="19" t="s">
        <v>2702</v>
      </c>
      <c r="EP66" s="19" t="s">
        <v>2310</v>
      </c>
      <c r="EQ66" s="19" t="s">
        <v>2321</v>
      </c>
      <c r="ER66" s="19"/>
      <c r="ES66" s="19" t="s">
        <v>209</v>
      </c>
      <c r="ET66" s="19" t="s">
        <v>209</v>
      </c>
      <c r="EU66" s="19" t="s">
        <v>3455</v>
      </c>
      <c r="EV66" s="19">
        <v>8343.0</v>
      </c>
      <c r="EW66" s="19" t="s">
        <v>16</v>
      </c>
      <c r="EX66" s="19">
        <v>4.0</v>
      </c>
      <c r="EY66" s="25" t="s">
        <v>208</v>
      </c>
      <c r="EZ66" s="19" t="s">
        <v>2154</v>
      </c>
      <c r="FA66" s="5" t="s">
        <v>3469</v>
      </c>
      <c r="FB66" s="26" t="s">
        <v>2156</v>
      </c>
      <c r="FC66" s="26"/>
    </row>
    <row r="67">
      <c r="A67" s="19" t="s">
        <v>2112</v>
      </c>
      <c r="B67" s="19" t="s">
        <v>2113</v>
      </c>
      <c r="C67" s="19" t="s">
        <v>2113</v>
      </c>
      <c r="D67" s="19" t="s">
        <v>210</v>
      </c>
      <c r="E67" s="19" t="s">
        <v>3470</v>
      </c>
      <c r="F67" s="19" t="s">
        <v>210</v>
      </c>
      <c r="G67" s="19"/>
      <c r="H67" s="19" t="s">
        <v>210</v>
      </c>
      <c r="I67" s="19" t="s">
        <v>212</v>
      </c>
      <c r="J67" s="19" t="s">
        <v>3471</v>
      </c>
      <c r="K67" s="19" t="s">
        <v>3472</v>
      </c>
      <c r="L67" s="20">
        <v>45460.0</v>
      </c>
      <c r="M67" s="20">
        <v>45462.0</v>
      </c>
      <c r="N67" s="20">
        <v>45462.0</v>
      </c>
      <c r="O67" s="19" t="s">
        <v>211</v>
      </c>
      <c r="P67" s="19">
        <v>0.0</v>
      </c>
      <c r="Q67" s="19">
        <v>25.0</v>
      </c>
      <c r="R67" s="19">
        <v>9480.0</v>
      </c>
      <c r="S67" s="20" t="s">
        <v>3473</v>
      </c>
      <c r="T67" s="20">
        <v>45461.0</v>
      </c>
      <c r="U67" s="19" t="s">
        <v>210</v>
      </c>
      <c r="V67" s="19"/>
      <c r="W67" s="19"/>
      <c r="X67" s="21">
        <v>20.0</v>
      </c>
      <c r="Y67" s="21">
        <v>10.0</v>
      </c>
      <c r="Z67" s="21">
        <v>5.0</v>
      </c>
      <c r="AA67" s="21">
        <v>0.0</v>
      </c>
      <c r="AB67" s="5">
        <v>35.0</v>
      </c>
      <c r="AC67" s="19">
        <v>4.75</v>
      </c>
      <c r="AD67" s="19">
        <v>4.5</v>
      </c>
      <c r="AE67" s="19">
        <v>4.5</v>
      </c>
      <c r="AF67" s="19">
        <v>4.25</v>
      </c>
      <c r="AG67" s="19">
        <v>4.25</v>
      </c>
      <c r="AH67" s="19">
        <v>5.0</v>
      </c>
      <c r="AI67" s="22">
        <v>13.6171875</v>
      </c>
      <c r="AJ67" s="19">
        <v>15.0</v>
      </c>
      <c r="AK67" s="19">
        <v>14.0</v>
      </c>
      <c r="AL67" s="19">
        <v>12.0</v>
      </c>
      <c r="AM67" s="19">
        <v>41.0</v>
      </c>
      <c r="AN67" s="19">
        <v>54.6</v>
      </c>
      <c r="AO67" s="19">
        <v>89.6</v>
      </c>
      <c r="AP67" s="19">
        <v>53.0</v>
      </c>
      <c r="AQ67" s="23">
        <v>65.0</v>
      </c>
      <c r="AR67" s="23">
        <v>7.0</v>
      </c>
      <c r="AS67" s="22"/>
      <c r="AT67" s="19" t="s">
        <v>2117</v>
      </c>
      <c r="AU67" s="19" t="s">
        <v>3474</v>
      </c>
      <c r="AV67" s="19" t="s">
        <v>3475</v>
      </c>
      <c r="AW67" s="19" t="s">
        <v>3476</v>
      </c>
      <c r="AX67" s="20">
        <v>35981.0</v>
      </c>
      <c r="AY67" s="19" t="s">
        <v>2258</v>
      </c>
      <c r="AZ67" s="19" t="s">
        <v>2122</v>
      </c>
      <c r="BA67" s="19" t="s">
        <v>3477</v>
      </c>
      <c r="BB67" s="19" t="s">
        <v>3478</v>
      </c>
      <c r="BC67" s="19" t="s">
        <v>3479</v>
      </c>
      <c r="BD67" s="19" t="s">
        <v>3480</v>
      </c>
      <c r="BE67" s="19"/>
      <c r="BF67" s="19"/>
      <c r="BG67" s="19" t="s">
        <v>2127</v>
      </c>
      <c r="BH67" s="19" t="s">
        <v>2128</v>
      </c>
      <c r="BI67" s="19"/>
      <c r="BJ67" s="19" t="s">
        <v>2128</v>
      </c>
      <c r="BK67" s="19" t="s">
        <v>17</v>
      </c>
      <c r="BL67" s="19"/>
      <c r="BM67" s="19" t="s">
        <v>2130</v>
      </c>
      <c r="BN67" s="19" t="s">
        <v>17</v>
      </c>
      <c r="BO67" s="19" t="s">
        <v>2132</v>
      </c>
      <c r="BP67" s="19" t="s">
        <v>3481</v>
      </c>
      <c r="BQ67" s="19" t="s">
        <v>2174</v>
      </c>
      <c r="BR67" s="19" t="s">
        <v>2174</v>
      </c>
      <c r="BS67" s="19" t="s">
        <v>2243</v>
      </c>
      <c r="BT67" s="19" t="s">
        <v>34</v>
      </c>
      <c r="BU67" s="19" t="s">
        <v>3482</v>
      </c>
      <c r="BV67" s="19" t="s">
        <v>3483</v>
      </c>
      <c r="BW67" s="19"/>
      <c r="BX67" s="19"/>
      <c r="BY67" s="19"/>
      <c r="BZ67" s="19" t="s">
        <v>2113</v>
      </c>
      <c r="CA67" s="19"/>
      <c r="CB67" s="19" t="s">
        <v>2113</v>
      </c>
      <c r="CC67" s="19"/>
      <c r="CD67" s="19" t="s">
        <v>2137</v>
      </c>
      <c r="CE67" s="19" t="s">
        <v>16</v>
      </c>
      <c r="CF67" s="19"/>
      <c r="CG67" s="19"/>
      <c r="CH67" s="19" t="s">
        <v>16</v>
      </c>
      <c r="CI67" s="21">
        <v>0.0</v>
      </c>
      <c r="CJ67" s="19" t="s">
        <v>17</v>
      </c>
      <c r="CK67" s="19"/>
      <c r="CL67" s="19"/>
      <c r="CM67" s="19" t="s">
        <v>2344</v>
      </c>
      <c r="CN67" s="19" t="s">
        <v>2266</v>
      </c>
      <c r="CO67" s="19" t="s">
        <v>2177</v>
      </c>
      <c r="CP67" s="19" t="s">
        <v>2225</v>
      </c>
      <c r="CQ67" s="19"/>
      <c r="CR67" s="19"/>
      <c r="CS67" s="19"/>
      <c r="CT67" s="19"/>
      <c r="CU67" s="19"/>
      <c r="CV67" s="19" t="s">
        <v>2179</v>
      </c>
      <c r="CW67" s="19" t="s">
        <v>2113</v>
      </c>
      <c r="CX67" s="19" t="s">
        <v>2113</v>
      </c>
      <c r="CY67" s="19"/>
      <c r="CZ67" s="19"/>
      <c r="DA67" s="19" t="s">
        <v>16</v>
      </c>
      <c r="DB67" s="19" t="s">
        <v>17</v>
      </c>
      <c r="DC67" s="19" t="s">
        <v>2539</v>
      </c>
      <c r="DD67" s="19" t="s">
        <v>2113</v>
      </c>
      <c r="DE67" s="19" t="s">
        <v>2113</v>
      </c>
      <c r="DF67" s="19" t="s">
        <v>2433</v>
      </c>
      <c r="DG67" s="19" t="s">
        <v>3484</v>
      </c>
      <c r="DH67" s="19" t="s">
        <v>2144</v>
      </c>
      <c r="DI67" s="24">
        <v>45517.0</v>
      </c>
      <c r="DJ67" s="19" t="s">
        <v>2174</v>
      </c>
      <c r="DK67" s="19" t="s">
        <v>2271</v>
      </c>
      <c r="DL67" s="19" t="s">
        <v>2183</v>
      </c>
      <c r="DM67" s="19" t="s">
        <v>2515</v>
      </c>
      <c r="DN67" s="19">
        <v>2.0</v>
      </c>
      <c r="DO67" s="19">
        <v>2.0</v>
      </c>
      <c r="DP67" s="19"/>
      <c r="DQ67" s="19"/>
      <c r="DR67" s="19"/>
      <c r="DS67" s="19" t="s">
        <v>2365</v>
      </c>
      <c r="DT67" s="19" t="s">
        <v>2366</v>
      </c>
      <c r="DU67" s="19" t="s">
        <v>3485</v>
      </c>
      <c r="DV67" s="19"/>
      <c r="DW67" s="19" t="s">
        <v>2153</v>
      </c>
      <c r="DX67" s="19">
        <v>9.0</v>
      </c>
      <c r="DY67" s="19">
        <v>10.0</v>
      </c>
      <c r="DZ67" s="19">
        <v>0.0</v>
      </c>
      <c r="EA67" s="19">
        <v>10.0</v>
      </c>
      <c r="EB67" s="19">
        <v>0.0</v>
      </c>
      <c r="EC67" s="19">
        <v>20.0</v>
      </c>
      <c r="ED67" s="19" t="s">
        <v>2174</v>
      </c>
      <c r="EE67" s="24">
        <v>45517.0</v>
      </c>
      <c r="EF67" s="19" t="s">
        <v>2174</v>
      </c>
      <c r="EG67" s="19" t="s">
        <v>2271</v>
      </c>
      <c r="EH67" s="19" t="s">
        <v>2183</v>
      </c>
      <c r="EI67" s="22">
        <v>13.6171875</v>
      </c>
      <c r="EJ67" s="19">
        <v>41.0</v>
      </c>
      <c r="EK67" s="19" t="s">
        <v>2113</v>
      </c>
      <c r="EL67" s="19" t="s">
        <v>2117</v>
      </c>
      <c r="EM67" s="19" t="s">
        <v>3474</v>
      </c>
      <c r="EN67" s="19" t="s">
        <v>212</v>
      </c>
      <c r="EO67" s="19" t="s">
        <v>2258</v>
      </c>
      <c r="EP67" s="19" t="s">
        <v>2122</v>
      </c>
      <c r="EQ67" s="19" t="s">
        <v>2266</v>
      </c>
      <c r="ER67" s="19" t="s">
        <v>2177</v>
      </c>
      <c r="ES67" s="19" t="s">
        <v>212</v>
      </c>
      <c r="ET67" s="19" t="s">
        <v>212</v>
      </c>
      <c r="EU67" s="19" t="s">
        <v>3472</v>
      </c>
      <c r="EV67" s="19">
        <v>9480.0</v>
      </c>
      <c r="EW67" s="19" t="s">
        <v>16</v>
      </c>
      <c r="EX67" s="19">
        <v>5.0</v>
      </c>
      <c r="EY67" s="25" t="s">
        <v>211</v>
      </c>
      <c r="EZ67" s="19" t="s">
        <v>2154</v>
      </c>
      <c r="FA67" s="5" t="s">
        <v>3486</v>
      </c>
      <c r="FB67" s="26" t="s">
        <v>2156</v>
      </c>
      <c r="FC67" s="26"/>
    </row>
    <row r="68">
      <c r="A68" s="19" t="s">
        <v>2156</v>
      </c>
      <c r="B68" s="19" t="s">
        <v>2113</v>
      </c>
      <c r="C68" s="19" t="s">
        <v>2113</v>
      </c>
      <c r="D68" s="19" t="s">
        <v>213</v>
      </c>
      <c r="E68" s="19" t="s">
        <v>3487</v>
      </c>
      <c r="F68" s="19" t="s">
        <v>213</v>
      </c>
      <c r="G68" s="19"/>
      <c r="H68" s="19" t="s">
        <v>213</v>
      </c>
      <c r="I68" s="19" t="s">
        <v>215</v>
      </c>
      <c r="J68" s="19" t="s">
        <v>3488</v>
      </c>
      <c r="K68" s="19" t="s">
        <v>3489</v>
      </c>
      <c r="L68" s="20">
        <v>45394.0</v>
      </c>
      <c r="M68" s="20">
        <v>45404.0</v>
      </c>
      <c r="N68" s="20">
        <v>45404.0</v>
      </c>
      <c r="O68" s="19" t="s">
        <v>214</v>
      </c>
      <c r="P68" s="19">
        <v>0.0</v>
      </c>
      <c r="Q68" s="19">
        <v>25.0</v>
      </c>
      <c r="R68" s="19">
        <v>9313.0</v>
      </c>
      <c r="S68" s="20" t="s">
        <v>3490</v>
      </c>
      <c r="T68" s="20">
        <v>45461.0</v>
      </c>
      <c r="U68" s="19" t="s">
        <v>213</v>
      </c>
      <c r="V68" s="19"/>
      <c r="W68" s="19"/>
      <c r="X68" s="21">
        <v>20.0</v>
      </c>
      <c r="Y68" s="21">
        <v>10.0</v>
      </c>
      <c r="Z68" s="21">
        <v>1.0</v>
      </c>
      <c r="AA68" s="21">
        <v>2.0</v>
      </c>
      <c r="AB68" s="5">
        <v>33.0</v>
      </c>
      <c r="AC68" s="19">
        <v>4.0</v>
      </c>
      <c r="AD68" s="19">
        <v>4.0</v>
      </c>
      <c r="AE68" s="19">
        <v>4.0</v>
      </c>
      <c r="AF68" s="19">
        <v>3.5</v>
      </c>
      <c r="AG68" s="19">
        <v>4.0</v>
      </c>
      <c r="AH68" s="19">
        <v>3.5</v>
      </c>
      <c r="AI68" s="22">
        <v>11.625</v>
      </c>
      <c r="AJ68" s="19">
        <v>15.0</v>
      </c>
      <c r="AK68" s="19">
        <v>15.0</v>
      </c>
      <c r="AL68" s="19">
        <v>15.0</v>
      </c>
      <c r="AM68" s="19">
        <v>45.0</v>
      </c>
      <c r="AN68" s="19">
        <v>56.6</v>
      </c>
      <c r="AO68" s="19">
        <v>89.6</v>
      </c>
      <c r="AP68" s="19">
        <v>174.0</v>
      </c>
      <c r="AQ68" s="23">
        <v>66.0</v>
      </c>
      <c r="AR68" s="23">
        <v>5.0</v>
      </c>
      <c r="AS68" s="22"/>
      <c r="AT68" s="19" t="s">
        <v>2117</v>
      </c>
      <c r="AU68" s="19" t="s">
        <v>3491</v>
      </c>
      <c r="AV68" s="19" t="s">
        <v>3492</v>
      </c>
      <c r="AW68" s="19" t="s">
        <v>3493</v>
      </c>
      <c r="AX68" s="20">
        <v>36148.0</v>
      </c>
      <c r="AY68" s="19" t="s">
        <v>3494</v>
      </c>
      <c r="AZ68" s="19" t="s">
        <v>2554</v>
      </c>
      <c r="BA68" s="19" t="s">
        <v>3495</v>
      </c>
      <c r="BB68" s="19" t="s">
        <v>3496</v>
      </c>
      <c r="BC68" s="19" t="s">
        <v>3497</v>
      </c>
      <c r="BD68" s="19" t="s">
        <v>3498</v>
      </c>
      <c r="BE68" s="19" t="s">
        <v>3488</v>
      </c>
      <c r="BF68" s="19" t="s">
        <v>3499</v>
      </c>
      <c r="BG68" s="19" t="s">
        <v>2127</v>
      </c>
      <c r="BH68" s="19" t="s">
        <v>2128</v>
      </c>
      <c r="BI68" s="19"/>
      <c r="BJ68" s="19" t="s">
        <v>2128</v>
      </c>
      <c r="BK68" s="19" t="s">
        <v>17</v>
      </c>
      <c r="BL68" s="19"/>
      <c r="BM68" s="19" t="s">
        <v>2130</v>
      </c>
      <c r="BN68" s="19" t="s">
        <v>2172</v>
      </c>
      <c r="BO68" s="19" t="s">
        <v>3082</v>
      </c>
      <c r="BP68" s="19" t="s">
        <v>3500</v>
      </c>
      <c r="BQ68" s="19" t="s">
        <v>2325</v>
      </c>
      <c r="BR68" s="19" t="s">
        <v>2325</v>
      </c>
      <c r="BS68" s="19" t="s">
        <v>2134</v>
      </c>
      <c r="BT68" s="19" t="s">
        <v>118</v>
      </c>
      <c r="BU68" s="19" t="s">
        <v>3501</v>
      </c>
      <c r="BV68" s="19" t="s">
        <v>3502</v>
      </c>
      <c r="BW68" s="19" t="s">
        <v>2113</v>
      </c>
      <c r="BX68" s="19"/>
      <c r="BY68" s="19"/>
      <c r="BZ68" s="19"/>
      <c r="CA68" s="19"/>
      <c r="CB68" s="19" t="s">
        <v>2113</v>
      </c>
      <c r="CC68" s="19"/>
      <c r="CD68" s="19" t="s">
        <v>2137</v>
      </c>
      <c r="CE68" s="19" t="s">
        <v>16</v>
      </c>
      <c r="CF68" s="19"/>
      <c r="CG68" s="19"/>
      <c r="CH68" s="19" t="s">
        <v>16</v>
      </c>
      <c r="CI68" s="21">
        <v>0.0</v>
      </c>
      <c r="CJ68" s="19" t="s">
        <v>17</v>
      </c>
      <c r="CK68" s="19"/>
      <c r="CL68" s="19"/>
      <c r="CM68" s="19" t="s">
        <v>2138</v>
      </c>
      <c r="CN68" s="19" t="s">
        <v>3503</v>
      </c>
      <c r="CO68" s="19"/>
      <c r="CP68" s="19" t="s">
        <v>2178</v>
      </c>
      <c r="CQ68" s="19"/>
      <c r="CR68" s="19" t="s">
        <v>2113</v>
      </c>
      <c r="CS68" s="19" t="s">
        <v>2113</v>
      </c>
      <c r="CT68" s="19" t="s">
        <v>2113</v>
      </c>
      <c r="CU68" s="19" t="s">
        <v>2113</v>
      </c>
      <c r="CV68" s="19" t="s">
        <v>2179</v>
      </c>
      <c r="CW68" s="19" t="s">
        <v>2113</v>
      </c>
      <c r="CX68" s="19" t="s">
        <v>2113</v>
      </c>
      <c r="CY68" s="19" t="s">
        <v>2113</v>
      </c>
      <c r="CZ68" s="19" t="s">
        <v>2113</v>
      </c>
      <c r="DA68" s="19" t="s">
        <v>16</v>
      </c>
      <c r="DB68" s="19" t="s">
        <v>17</v>
      </c>
      <c r="DC68" s="19" t="s">
        <v>2432</v>
      </c>
      <c r="DD68" s="19" t="s">
        <v>2113</v>
      </c>
      <c r="DE68" s="19" t="s">
        <v>2113</v>
      </c>
      <c r="DF68" s="19" t="s">
        <v>2433</v>
      </c>
      <c r="DG68" s="19" t="s">
        <v>2248</v>
      </c>
      <c r="DH68" s="19" t="s">
        <v>2144</v>
      </c>
      <c r="DI68" s="24">
        <v>45518.0</v>
      </c>
      <c r="DJ68" s="19" t="s">
        <v>2325</v>
      </c>
      <c r="DK68" s="19" t="s">
        <v>2271</v>
      </c>
      <c r="DL68" s="19" t="s">
        <v>2326</v>
      </c>
      <c r="DM68" s="19"/>
      <c r="DN68" s="19">
        <v>4.0</v>
      </c>
      <c r="DO68" s="19">
        <v>4.0</v>
      </c>
      <c r="DP68" s="19"/>
      <c r="DQ68" s="19"/>
      <c r="DR68" s="19"/>
      <c r="DS68" s="19" t="s">
        <v>2185</v>
      </c>
      <c r="DT68" s="19" t="s">
        <v>2152</v>
      </c>
      <c r="DU68" s="19" t="s">
        <v>3504</v>
      </c>
      <c r="DV68" s="19"/>
      <c r="DW68" s="19" t="s">
        <v>2153</v>
      </c>
      <c r="DX68" s="19">
        <v>3.0</v>
      </c>
      <c r="DY68" s="19">
        <v>10.0</v>
      </c>
      <c r="DZ68" s="19">
        <v>2.0</v>
      </c>
      <c r="EA68" s="19">
        <v>10.0</v>
      </c>
      <c r="EB68" s="19">
        <v>0.0</v>
      </c>
      <c r="EC68" s="19">
        <v>20.0</v>
      </c>
      <c r="ED68" s="19" t="s">
        <v>2325</v>
      </c>
      <c r="EE68" s="24">
        <v>45518.0</v>
      </c>
      <c r="EF68" s="19" t="s">
        <v>2325</v>
      </c>
      <c r="EG68" s="19" t="s">
        <v>2271</v>
      </c>
      <c r="EH68" s="19" t="s">
        <v>2326</v>
      </c>
      <c r="EI68" s="22">
        <v>11.625</v>
      </c>
      <c r="EJ68" s="19">
        <v>45.0</v>
      </c>
      <c r="EK68" s="19" t="s">
        <v>2113</v>
      </c>
      <c r="EL68" s="19" t="s">
        <v>2117</v>
      </c>
      <c r="EM68" s="19" t="s">
        <v>3491</v>
      </c>
      <c r="EN68" s="19" t="s">
        <v>215</v>
      </c>
      <c r="EO68" s="19" t="s">
        <v>3494</v>
      </c>
      <c r="EP68" s="19" t="s">
        <v>2554</v>
      </c>
      <c r="EQ68" s="19" t="s">
        <v>3503</v>
      </c>
      <c r="ER68" s="19"/>
      <c r="ES68" s="19" t="s">
        <v>215</v>
      </c>
      <c r="ET68" s="19" t="s">
        <v>215</v>
      </c>
      <c r="EU68" s="19" t="s">
        <v>3489</v>
      </c>
      <c r="EV68" s="19">
        <v>9313.0</v>
      </c>
      <c r="EW68" s="19" t="s">
        <v>16</v>
      </c>
      <c r="EX68" s="19">
        <v>1.0</v>
      </c>
      <c r="EY68" s="25" t="s">
        <v>214</v>
      </c>
      <c r="EZ68" s="19" t="s">
        <v>2154</v>
      </c>
      <c r="FA68" s="5" t="s">
        <v>3505</v>
      </c>
      <c r="FB68" s="26" t="s">
        <v>2156</v>
      </c>
      <c r="FC68" s="26"/>
    </row>
    <row r="69">
      <c r="A69" s="19" t="s">
        <v>2112</v>
      </c>
      <c r="B69" s="19" t="s">
        <v>2113</v>
      </c>
      <c r="C69" s="19" t="s">
        <v>2113</v>
      </c>
      <c r="D69" s="19" t="s">
        <v>3506</v>
      </c>
      <c r="E69" s="19" t="s">
        <v>3507</v>
      </c>
      <c r="F69" s="19" t="s">
        <v>3506</v>
      </c>
      <c r="G69" s="19"/>
      <c r="H69" s="19" t="s">
        <v>216</v>
      </c>
      <c r="I69" s="19" t="s">
        <v>218</v>
      </c>
      <c r="J69" s="19" t="s">
        <v>3508</v>
      </c>
      <c r="K69" s="19" t="s">
        <v>3509</v>
      </c>
      <c r="L69" s="20">
        <v>45394.0</v>
      </c>
      <c r="M69" s="20">
        <v>45404.0</v>
      </c>
      <c r="N69" s="20">
        <v>45404.0</v>
      </c>
      <c r="O69" s="19" t="s">
        <v>217</v>
      </c>
      <c r="P69" s="19">
        <v>0.0</v>
      </c>
      <c r="Q69" s="19">
        <v>21.0</v>
      </c>
      <c r="R69" s="19">
        <v>7864.0</v>
      </c>
      <c r="S69" s="20" t="s">
        <v>3510</v>
      </c>
      <c r="T69" s="20">
        <v>45461.0</v>
      </c>
      <c r="U69" s="19" t="s">
        <v>3506</v>
      </c>
      <c r="V69" s="19"/>
      <c r="W69" s="19" t="s">
        <v>3511</v>
      </c>
      <c r="X69" s="21">
        <v>20.0</v>
      </c>
      <c r="Y69" s="21">
        <v>5.0</v>
      </c>
      <c r="Z69" s="21">
        <v>5.0</v>
      </c>
      <c r="AA69" s="21">
        <v>3.0</v>
      </c>
      <c r="AB69" s="5">
        <v>33.0</v>
      </c>
      <c r="AC69" s="19">
        <v>5.0</v>
      </c>
      <c r="AD69" s="19">
        <v>4.0</v>
      </c>
      <c r="AE69" s="19">
        <v>5.0</v>
      </c>
      <c r="AF69" s="19">
        <v>4.0</v>
      </c>
      <c r="AG69" s="19">
        <v>4.0</v>
      </c>
      <c r="AH69" s="19">
        <v>5.0</v>
      </c>
      <c r="AI69" s="22">
        <v>13.59375</v>
      </c>
      <c r="AJ69" s="19">
        <v>13.0</v>
      </c>
      <c r="AK69" s="19">
        <v>15.0</v>
      </c>
      <c r="AL69" s="19">
        <v>15.0</v>
      </c>
      <c r="AM69" s="19">
        <v>43.0</v>
      </c>
      <c r="AN69" s="19">
        <v>56.6</v>
      </c>
      <c r="AO69" s="19">
        <v>89.6</v>
      </c>
      <c r="AP69" s="19">
        <v>176.0</v>
      </c>
      <c r="AQ69" s="23">
        <v>67.0</v>
      </c>
      <c r="AR69" s="23">
        <v>8.0</v>
      </c>
      <c r="AS69" s="22"/>
      <c r="AT69" s="19" t="s">
        <v>2282</v>
      </c>
      <c r="AU69" s="19" t="s">
        <v>3512</v>
      </c>
      <c r="AV69" s="19" t="s">
        <v>3513</v>
      </c>
      <c r="AW69" s="19" t="s">
        <v>3476</v>
      </c>
      <c r="AX69" s="20">
        <v>37597.0</v>
      </c>
      <c r="AY69" s="19" t="s">
        <v>2121</v>
      </c>
      <c r="AZ69" s="19" t="s">
        <v>2122</v>
      </c>
      <c r="BA69" s="19" t="s">
        <v>3514</v>
      </c>
      <c r="BB69" s="19" t="s">
        <v>2377</v>
      </c>
      <c r="BC69" s="19" t="s">
        <v>3515</v>
      </c>
      <c r="BD69" s="19" t="s">
        <v>3516</v>
      </c>
      <c r="BE69" s="19" t="s">
        <v>3517</v>
      </c>
      <c r="BF69" s="19">
        <v>1.1959700703E10</v>
      </c>
      <c r="BG69" s="19" t="s">
        <v>3518</v>
      </c>
      <c r="BH69" s="19" t="s">
        <v>2128</v>
      </c>
      <c r="BI69" s="19"/>
      <c r="BJ69" s="19" t="s">
        <v>2427</v>
      </c>
      <c r="BK69" s="19" t="s">
        <v>17</v>
      </c>
      <c r="BL69" s="19"/>
      <c r="BM69" s="19" t="s">
        <v>2130</v>
      </c>
      <c r="BN69" s="19" t="s">
        <v>3519</v>
      </c>
      <c r="BO69" s="19" t="s">
        <v>2132</v>
      </c>
      <c r="BP69" s="19" t="s">
        <v>3520</v>
      </c>
      <c r="BQ69" s="19" t="s">
        <v>2133</v>
      </c>
      <c r="BR69" s="19" t="s">
        <v>2133</v>
      </c>
      <c r="BS69" s="19" t="s">
        <v>3521</v>
      </c>
      <c r="BT69" s="19" t="s">
        <v>15</v>
      </c>
      <c r="BU69" s="19" t="s">
        <v>3522</v>
      </c>
      <c r="BV69" s="19" t="s">
        <v>3523</v>
      </c>
      <c r="BW69" s="19"/>
      <c r="BX69" s="19"/>
      <c r="BY69" s="19"/>
      <c r="BZ69" s="19"/>
      <c r="CA69" s="19"/>
      <c r="CB69" s="19" t="s">
        <v>2113</v>
      </c>
      <c r="CC69" s="19" t="s">
        <v>2113</v>
      </c>
      <c r="CD69" s="19" t="s">
        <v>2137</v>
      </c>
      <c r="CE69" s="19" t="s">
        <v>16</v>
      </c>
      <c r="CF69" s="19"/>
      <c r="CG69" s="19"/>
      <c r="CH69" s="19" t="s">
        <v>17</v>
      </c>
      <c r="CI69" s="21">
        <v>3.0</v>
      </c>
      <c r="CJ69" s="19" t="s">
        <v>16</v>
      </c>
      <c r="CK69" s="19"/>
      <c r="CL69" s="19"/>
      <c r="CM69" s="19" t="s">
        <v>2138</v>
      </c>
      <c r="CN69" s="19" t="s">
        <v>2139</v>
      </c>
      <c r="CO69" s="19"/>
      <c r="CP69" s="19" t="s">
        <v>2140</v>
      </c>
      <c r="CQ69" s="19"/>
      <c r="CR69" s="19" t="s">
        <v>2113</v>
      </c>
      <c r="CS69" s="19" t="s">
        <v>2113</v>
      </c>
      <c r="CT69" s="19" t="s">
        <v>2113</v>
      </c>
      <c r="CU69" s="19" t="s">
        <v>2113</v>
      </c>
      <c r="CV69" s="19" t="s">
        <v>2141</v>
      </c>
      <c r="CW69" s="19"/>
      <c r="CX69" s="19"/>
      <c r="CY69" s="19" t="s">
        <v>2113</v>
      </c>
      <c r="CZ69" s="19" t="s">
        <v>2113</v>
      </c>
      <c r="DA69" s="19" t="s">
        <v>16</v>
      </c>
      <c r="DB69" s="19" t="s">
        <v>16</v>
      </c>
      <c r="DC69" s="19" t="s">
        <v>3524</v>
      </c>
      <c r="DD69" s="19" t="s">
        <v>2113</v>
      </c>
      <c r="DE69" s="19" t="s">
        <v>2113</v>
      </c>
      <c r="DF69" s="19" t="s">
        <v>3525</v>
      </c>
      <c r="DG69" s="19" t="s">
        <v>3337</v>
      </c>
      <c r="DH69" s="19" t="s">
        <v>2144</v>
      </c>
      <c r="DI69" s="24">
        <v>45532.0</v>
      </c>
      <c r="DJ69" s="19" t="s">
        <v>2133</v>
      </c>
      <c r="DK69" s="19" t="s">
        <v>2271</v>
      </c>
      <c r="DL69" s="19" t="s">
        <v>2146</v>
      </c>
      <c r="DM69" s="19" t="s">
        <v>3526</v>
      </c>
      <c r="DN69" s="19">
        <v>16.0</v>
      </c>
      <c r="DO69" s="19">
        <v>16.0</v>
      </c>
      <c r="DP69" s="19" t="s">
        <v>3527</v>
      </c>
      <c r="DQ69" s="19" t="s">
        <v>3528</v>
      </c>
      <c r="DR69" s="19" t="s">
        <v>3529</v>
      </c>
      <c r="DS69" s="19" t="s">
        <v>2151</v>
      </c>
      <c r="DT69" s="19" t="s">
        <v>2152</v>
      </c>
      <c r="DU69" s="19"/>
      <c r="DV69" s="19"/>
      <c r="DW69" s="19" t="s">
        <v>2153</v>
      </c>
      <c r="DX69" s="19">
        <v>12.0</v>
      </c>
      <c r="DY69" s="19">
        <v>5.0</v>
      </c>
      <c r="DZ69" s="19">
        <v>0.0</v>
      </c>
      <c r="EA69" s="19">
        <v>5.0</v>
      </c>
      <c r="EB69" s="19">
        <v>3.0</v>
      </c>
      <c r="EC69" s="19">
        <v>20.0</v>
      </c>
      <c r="ED69" s="19" t="s">
        <v>2133</v>
      </c>
      <c r="EE69" s="24">
        <v>45532.0</v>
      </c>
      <c r="EF69" s="19" t="s">
        <v>2133</v>
      </c>
      <c r="EG69" s="19" t="s">
        <v>2271</v>
      </c>
      <c r="EH69" s="19" t="s">
        <v>2146</v>
      </c>
      <c r="EI69" s="22">
        <v>13.59375</v>
      </c>
      <c r="EJ69" s="19">
        <v>43.0</v>
      </c>
      <c r="EK69" s="19"/>
      <c r="EL69" s="19" t="s">
        <v>2282</v>
      </c>
      <c r="EM69" s="19" t="s">
        <v>3512</v>
      </c>
      <c r="EN69" s="19" t="s">
        <v>218</v>
      </c>
      <c r="EO69" s="19" t="s">
        <v>2121</v>
      </c>
      <c r="EP69" s="19" t="s">
        <v>2122</v>
      </c>
      <c r="EQ69" s="19" t="s">
        <v>2139</v>
      </c>
      <c r="ER69" s="19"/>
      <c r="ES69" s="19" t="s">
        <v>218</v>
      </c>
      <c r="ET69" s="19" t="s">
        <v>218</v>
      </c>
      <c r="EU69" s="19" t="s">
        <v>3509</v>
      </c>
      <c r="EV69" s="19">
        <v>7864.0</v>
      </c>
      <c r="EW69" s="19" t="s">
        <v>16</v>
      </c>
      <c r="EX69" s="19">
        <v>5.0</v>
      </c>
      <c r="EY69" s="25" t="s">
        <v>217</v>
      </c>
      <c r="EZ69" s="19" t="s">
        <v>2154</v>
      </c>
      <c r="FA69" s="5" t="s">
        <v>3530</v>
      </c>
      <c r="FB69" s="26" t="s">
        <v>2156</v>
      </c>
      <c r="FC69" s="26"/>
    </row>
    <row r="70">
      <c r="A70" s="19" t="s">
        <v>2112</v>
      </c>
      <c r="B70" s="19" t="s">
        <v>2113</v>
      </c>
      <c r="C70" s="19" t="s">
        <v>2113</v>
      </c>
      <c r="D70" s="19" t="s">
        <v>219</v>
      </c>
      <c r="E70" s="19" t="s">
        <v>3531</v>
      </c>
      <c r="F70" s="19" t="s">
        <v>219</v>
      </c>
      <c r="G70" s="19"/>
      <c r="H70" s="19" t="s">
        <v>219</v>
      </c>
      <c r="I70" s="19" t="s">
        <v>221</v>
      </c>
      <c r="J70" s="19" t="s">
        <v>3532</v>
      </c>
      <c r="K70" s="19" t="s">
        <v>3533</v>
      </c>
      <c r="L70" s="20">
        <v>45460.0</v>
      </c>
      <c r="M70" s="20">
        <v>45462.0</v>
      </c>
      <c r="N70" s="20">
        <v>45462.0</v>
      </c>
      <c r="O70" s="19" t="s">
        <v>220</v>
      </c>
      <c r="P70" s="19">
        <v>0.0</v>
      </c>
      <c r="Q70" s="19">
        <v>18.0</v>
      </c>
      <c r="R70" s="19">
        <v>6823.0</v>
      </c>
      <c r="S70" s="20" t="s">
        <v>3534</v>
      </c>
      <c r="T70" s="20">
        <v>45461.0</v>
      </c>
      <c r="U70" s="19" t="s">
        <v>219</v>
      </c>
      <c r="V70" s="19"/>
      <c r="W70" s="19"/>
      <c r="X70" s="21">
        <v>20.0</v>
      </c>
      <c r="Y70" s="21">
        <v>10.0</v>
      </c>
      <c r="Z70" s="21">
        <v>3.0</v>
      </c>
      <c r="AA70" s="21">
        <v>0.0</v>
      </c>
      <c r="AB70" s="5">
        <v>33.0</v>
      </c>
      <c r="AC70" s="19">
        <v>4.0</v>
      </c>
      <c r="AD70" s="19">
        <v>3.0</v>
      </c>
      <c r="AE70" s="19">
        <v>4.0</v>
      </c>
      <c r="AF70" s="19">
        <v>4.0</v>
      </c>
      <c r="AG70" s="19">
        <v>4.0</v>
      </c>
      <c r="AH70" s="19">
        <v>4.0</v>
      </c>
      <c r="AI70" s="22">
        <v>11.34375</v>
      </c>
      <c r="AJ70" s="19">
        <v>15.0</v>
      </c>
      <c r="AK70" s="19">
        <v>15.0</v>
      </c>
      <c r="AL70" s="19">
        <v>15.0</v>
      </c>
      <c r="AM70" s="19">
        <v>45.0</v>
      </c>
      <c r="AN70" s="19">
        <v>56.3</v>
      </c>
      <c r="AO70" s="19">
        <v>89.3</v>
      </c>
      <c r="AP70" s="19">
        <v>169.0</v>
      </c>
      <c r="AQ70" s="23">
        <v>68.0</v>
      </c>
      <c r="AR70" s="23">
        <v>1.0</v>
      </c>
      <c r="AS70" s="22"/>
      <c r="AT70" s="19" t="s">
        <v>2282</v>
      </c>
      <c r="AU70" s="19" t="s">
        <v>3535</v>
      </c>
      <c r="AV70" s="19" t="s">
        <v>3536</v>
      </c>
      <c r="AW70" s="19"/>
      <c r="AX70" s="20">
        <v>38638.0</v>
      </c>
      <c r="AY70" s="19" t="s">
        <v>3537</v>
      </c>
      <c r="AZ70" s="19" t="s">
        <v>2122</v>
      </c>
      <c r="BA70" s="19" t="s">
        <v>3538</v>
      </c>
      <c r="BB70" s="19" t="s">
        <v>3539</v>
      </c>
      <c r="BC70" s="19" t="s">
        <v>3540</v>
      </c>
      <c r="BD70" s="19" t="s">
        <v>3541</v>
      </c>
      <c r="BE70" s="19" t="s">
        <v>3532</v>
      </c>
      <c r="BF70" s="19">
        <v>1.1959132943E10</v>
      </c>
      <c r="BG70" s="19" t="s">
        <v>2127</v>
      </c>
      <c r="BH70" s="19" t="s">
        <v>2128</v>
      </c>
      <c r="BI70" s="19"/>
      <c r="BJ70" s="19"/>
      <c r="BK70" s="19" t="s">
        <v>16</v>
      </c>
      <c r="BL70" s="19" t="s">
        <v>2113</v>
      </c>
      <c r="BM70" s="19" t="s">
        <v>2130</v>
      </c>
      <c r="BN70" s="19" t="s">
        <v>17</v>
      </c>
      <c r="BO70" s="19" t="s">
        <v>2473</v>
      </c>
      <c r="BP70" s="19"/>
      <c r="BQ70" s="19" t="s">
        <v>2133</v>
      </c>
      <c r="BR70" s="19" t="s">
        <v>2133</v>
      </c>
      <c r="BS70" s="19" t="s">
        <v>2243</v>
      </c>
      <c r="BT70" s="19" t="s">
        <v>222</v>
      </c>
      <c r="BU70" s="19" t="s">
        <v>3542</v>
      </c>
      <c r="BV70" s="19" t="s">
        <v>3543</v>
      </c>
      <c r="BW70" s="19"/>
      <c r="BX70" s="19"/>
      <c r="BY70" s="19"/>
      <c r="BZ70" s="19" t="s">
        <v>2113</v>
      </c>
      <c r="CA70" s="19"/>
      <c r="CB70" s="19" t="s">
        <v>2113</v>
      </c>
      <c r="CC70" s="19"/>
      <c r="CD70" s="19" t="s">
        <v>2137</v>
      </c>
      <c r="CE70" s="19" t="s">
        <v>16</v>
      </c>
      <c r="CF70" s="19"/>
      <c r="CG70" s="19"/>
      <c r="CH70" s="19" t="s">
        <v>16</v>
      </c>
      <c r="CI70" s="21">
        <v>0.0</v>
      </c>
      <c r="CJ70" s="19" t="s">
        <v>16</v>
      </c>
      <c r="CK70" s="19"/>
      <c r="CL70" s="19"/>
      <c r="CM70" s="19"/>
      <c r="CN70" s="19" t="s">
        <v>3544</v>
      </c>
      <c r="CO70" s="19"/>
      <c r="CP70" s="19"/>
      <c r="CQ70" s="19"/>
      <c r="CR70" s="19" t="s">
        <v>2113</v>
      </c>
      <c r="CS70" s="19" t="s">
        <v>2113</v>
      </c>
      <c r="CT70" s="19" t="s">
        <v>2113</v>
      </c>
      <c r="CU70" s="19" t="s">
        <v>2113</v>
      </c>
      <c r="CV70" s="19" t="s">
        <v>2141</v>
      </c>
      <c r="CW70" s="19" t="s">
        <v>2113</v>
      </c>
      <c r="CX70" s="19" t="s">
        <v>2113</v>
      </c>
      <c r="CY70" s="19" t="s">
        <v>2113</v>
      </c>
      <c r="CZ70" s="19" t="s">
        <v>2113</v>
      </c>
      <c r="DA70" s="19" t="s">
        <v>16</v>
      </c>
      <c r="DB70" s="19" t="s">
        <v>16</v>
      </c>
      <c r="DC70" s="19" t="s">
        <v>3545</v>
      </c>
      <c r="DD70" s="19"/>
      <c r="DE70" s="19"/>
      <c r="DF70" s="19" t="s">
        <v>2146</v>
      </c>
      <c r="DG70" s="19" t="s">
        <v>2579</v>
      </c>
      <c r="DH70" s="19" t="s">
        <v>2144</v>
      </c>
      <c r="DI70" s="24">
        <v>45526.0</v>
      </c>
      <c r="DJ70" s="19" t="s">
        <v>2133</v>
      </c>
      <c r="DK70" s="19" t="s">
        <v>2271</v>
      </c>
      <c r="DL70" s="19" t="s">
        <v>2146</v>
      </c>
      <c r="DM70" s="19" t="s">
        <v>2805</v>
      </c>
      <c r="DN70" s="19">
        <v>12.0</v>
      </c>
      <c r="DO70" s="19">
        <v>12.0</v>
      </c>
      <c r="DP70" s="19" t="s">
        <v>3546</v>
      </c>
      <c r="DQ70" s="19" t="s">
        <v>3547</v>
      </c>
      <c r="DR70" s="19" t="s">
        <v>3548</v>
      </c>
      <c r="DS70" s="19" t="s">
        <v>2365</v>
      </c>
      <c r="DT70" s="19" t="s">
        <v>2301</v>
      </c>
      <c r="DU70" s="19"/>
      <c r="DV70" s="19"/>
      <c r="DW70" s="19" t="s">
        <v>2153</v>
      </c>
      <c r="DX70" s="19">
        <v>8.0</v>
      </c>
      <c r="DY70" s="19">
        <v>10.0</v>
      </c>
      <c r="DZ70" s="19">
        <v>0.0</v>
      </c>
      <c r="EA70" s="19">
        <v>10.0</v>
      </c>
      <c r="EB70" s="19">
        <v>0.0</v>
      </c>
      <c r="EC70" s="19">
        <v>20.0</v>
      </c>
      <c r="ED70" s="19" t="s">
        <v>2133</v>
      </c>
      <c r="EE70" s="24">
        <v>45526.0</v>
      </c>
      <c r="EF70" s="19" t="s">
        <v>2133</v>
      </c>
      <c r="EG70" s="19" t="s">
        <v>2271</v>
      </c>
      <c r="EH70" s="19" t="s">
        <v>2146</v>
      </c>
      <c r="EI70" s="22">
        <v>11.34375</v>
      </c>
      <c r="EJ70" s="19">
        <v>45.0</v>
      </c>
      <c r="EK70" s="19"/>
      <c r="EL70" s="19" t="s">
        <v>2282</v>
      </c>
      <c r="EM70" s="19" t="s">
        <v>3535</v>
      </c>
      <c r="EN70" s="19" t="s">
        <v>221</v>
      </c>
      <c r="EO70" s="19" t="s">
        <v>3537</v>
      </c>
      <c r="EP70" s="19" t="s">
        <v>2122</v>
      </c>
      <c r="EQ70" s="19" t="s">
        <v>3544</v>
      </c>
      <c r="ER70" s="19"/>
      <c r="ES70" s="19" t="s">
        <v>221</v>
      </c>
      <c r="ET70" s="19" t="s">
        <v>221</v>
      </c>
      <c r="EU70" s="19" t="s">
        <v>3533</v>
      </c>
      <c r="EV70" s="19">
        <v>6823.0</v>
      </c>
      <c r="EW70" s="19" t="s">
        <v>16</v>
      </c>
      <c r="EX70" s="19">
        <v>3.0</v>
      </c>
      <c r="EY70" s="25" t="s">
        <v>220</v>
      </c>
      <c r="EZ70" s="19" t="s">
        <v>2154</v>
      </c>
      <c r="FA70" s="5" t="s">
        <v>3549</v>
      </c>
      <c r="FB70" s="26" t="s">
        <v>2156</v>
      </c>
      <c r="FC70" s="26"/>
    </row>
    <row r="71">
      <c r="A71" s="19" t="s">
        <v>2112</v>
      </c>
      <c r="B71" s="19" t="s">
        <v>2113</v>
      </c>
      <c r="C71" s="19" t="s">
        <v>2113</v>
      </c>
      <c r="D71" s="19" t="s">
        <v>3550</v>
      </c>
      <c r="E71" s="19" t="s">
        <v>3551</v>
      </c>
      <c r="F71" s="19" t="s">
        <v>3550</v>
      </c>
      <c r="G71" s="19"/>
      <c r="H71" s="19" t="s">
        <v>223</v>
      </c>
      <c r="I71" s="19" t="s">
        <v>225</v>
      </c>
      <c r="J71" s="19" t="s">
        <v>3552</v>
      </c>
      <c r="K71" s="19" t="s">
        <v>3553</v>
      </c>
      <c r="L71" s="20">
        <v>45417.0</v>
      </c>
      <c r="M71" s="20">
        <v>45428.0</v>
      </c>
      <c r="N71" s="20">
        <v>45428.0</v>
      </c>
      <c r="O71" s="19" t="s">
        <v>224</v>
      </c>
      <c r="P71" s="19">
        <v>0.0</v>
      </c>
      <c r="Q71" s="19">
        <v>19.0</v>
      </c>
      <c r="R71" s="19">
        <v>7041.0</v>
      </c>
      <c r="S71" s="20" t="s">
        <v>3554</v>
      </c>
      <c r="T71" s="20">
        <v>45461.0</v>
      </c>
      <c r="U71" s="19" t="s">
        <v>3550</v>
      </c>
      <c r="V71" s="19"/>
      <c r="W71" s="19"/>
      <c r="X71" s="21">
        <v>20.0</v>
      </c>
      <c r="Y71" s="21">
        <v>10.0</v>
      </c>
      <c r="Z71" s="21">
        <v>5.0</v>
      </c>
      <c r="AA71" s="21">
        <v>0.0</v>
      </c>
      <c r="AB71" s="5">
        <v>35.0</v>
      </c>
      <c r="AC71" s="19">
        <v>4.8</v>
      </c>
      <c r="AD71" s="19">
        <v>5.0</v>
      </c>
      <c r="AE71" s="19">
        <v>4.8</v>
      </c>
      <c r="AF71" s="19">
        <v>5.0</v>
      </c>
      <c r="AG71" s="19">
        <v>3.8</v>
      </c>
      <c r="AH71" s="19">
        <v>4.6</v>
      </c>
      <c r="AI71" s="22">
        <v>14.15625</v>
      </c>
      <c r="AJ71" s="19">
        <v>15.0</v>
      </c>
      <c r="AK71" s="19">
        <v>15.0</v>
      </c>
      <c r="AL71" s="19">
        <v>10.0</v>
      </c>
      <c r="AM71" s="19">
        <v>40.0</v>
      </c>
      <c r="AN71" s="19">
        <v>54.2</v>
      </c>
      <c r="AO71" s="19">
        <v>89.2</v>
      </c>
      <c r="AP71" s="19">
        <v>90.0</v>
      </c>
      <c r="AQ71" s="23">
        <v>69.0</v>
      </c>
      <c r="AR71" s="23">
        <v>3.0</v>
      </c>
      <c r="AS71" s="22"/>
      <c r="AT71" s="19" t="s">
        <v>2163</v>
      </c>
      <c r="AU71" s="19" t="s">
        <v>3555</v>
      </c>
      <c r="AV71" s="19" t="s">
        <v>3556</v>
      </c>
      <c r="AW71" s="19" t="s">
        <v>3269</v>
      </c>
      <c r="AX71" s="20">
        <v>38420.0</v>
      </c>
      <c r="AY71" s="19" t="s">
        <v>2529</v>
      </c>
      <c r="AZ71" s="19" t="s">
        <v>2122</v>
      </c>
      <c r="BA71" s="19" t="s">
        <v>3557</v>
      </c>
      <c r="BB71" s="19" t="s">
        <v>3558</v>
      </c>
      <c r="BC71" s="19" t="s">
        <v>3559</v>
      </c>
      <c r="BD71" s="19" t="s">
        <v>3560</v>
      </c>
      <c r="BE71" s="19" t="s">
        <v>3552</v>
      </c>
      <c r="BF71" s="19">
        <v>1.1983071751E10</v>
      </c>
      <c r="BG71" s="19" t="s">
        <v>2127</v>
      </c>
      <c r="BH71" s="19" t="s">
        <v>2128</v>
      </c>
      <c r="BI71" s="19"/>
      <c r="BJ71" s="19"/>
      <c r="BK71" s="19" t="s">
        <v>16</v>
      </c>
      <c r="BL71" s="19" t="s">
        <v>2113</v>
      </c>
      <c r="BM71" s="19" t="s">
        <v>2130</v>
      </c>
      <c r="BN71" s="19" t="s">
        <v>2172</v>
      </c>
      <c r="BO71" s="19" t="s">
        <v>2132</v>
      </c>
      <c r="BP71" s="19"/>
      <c r="BQ71" s="19" t="s">
        <v>2174</v>
      </c>
      <c r="BR71" s="19" t="s">
        <v>2174</v>
      </c>
      <c r="BS71" s="19" t="s">
        <v>2134</v>
      </c>
      <c r="BT71" s="19" t="s">
        <v>75</v>
      </c>
      <c r="BU71" s="19"/>
      <c r="BV71" s="19" t="s">
        <v>3561</v>
      </c>
      <c r="BW71" s="19"/>
      <c r="BX71" s="19"/>
      <c r="BY71" s="19"/>
      <c r="BZ71" s="19"/>
      <c r="CA71" s="19" t="s">
        <v>2113</v>
      </c>
      <c r="CB71" s="19" t="s">
        <v>2113</v>
      </c>
      <c r="CC71" s="19"/>
      <c r="CD71" s="19" t="s">
        <v>2137</v>
      </c>
      <c r="CE71" s="19" t="s">
        <v>16</v>
      </c>
      <c r="CF71" s="19"/>
      <c r="CG71" s="19"/>
      <c r="CH71" s="19" t="s">
        <v>16</v>
      </c>
      <c r="CI71" s="21">
        <v>0.0</v>
      </c>
      <c r="CJ71" s="19" t="s">
        <v>17</v>
      </c>
      <c r="CK71" s="19"/>
      <c r="CL71" s="19"/>
      <c r="CM71" s="19" t="s">
        <v>2344</v>
      </c>
      <c r="CN71" s="19" t="s">
        <v>2537</v>
      </c>
      <c r="CO71" s="19"/>
      <c r="CP71" s="19"/>
      <c r="CQ71" s="19" t="s">
        <v>2113</v>
      </c>
      <c r="CR71" s="19" t="s">
        <v>2113</v>
      </c>
      <c r="CS71" s="19" t="s">
        <v>2113</v>
      </c>
      <c r="CT71" s="19" t="s">
        <v>2113</v>
      </c>
      <c r="CU71" s="19" t="s">
        <v>2113</v>
      </c>
      <c r="CV71" s="19" t="s">
        <v>2141</v>
      </c>
      <c r="CW71" s="19"/>
      <c r="CX71" s="19"/>
      <c r="CY71" s="19"/>
      <c r="CZ71" s="19"/>
      <c r="DA71" s="19" t="s">
        <v>16</v>
      </c>
      <c r="DB71" s="19" t="s">
        <v>17</v>
      </c>
      <c r="DC71" s="19" t="s">
        <v>3562</v>
      </c>
      <c r="DD71" s="19" t="s">
        <v>2113</v>
      </c>
      <c r="DE71" s="19" t="s">
        <v>2113</v>
      </c>
      <c r="DF71" s="19" t="s">
        <v>2538</v>
      </c>
      <c r="DG71" s="19" t="s">
        <v>2345</v>
      </c>
      <c r="DH71" s="19" t="s">
        <v>2144</v>
      </c>
      <c r="DI71" s="24">
        <v>45518.0</v>
      </c>
      <c r="DJ71" s="19" t="s">
        <v>2174</v>
      </c>
      <c r="DK71" s="19" t="s">
        <v>2271</v>
      </c>
      <c r="DL71" s="19" t="s">
        <v>2183</v>
      </c>
      <c r="DM71" s="19" t="s">
        <v>2346</v>
      </c>
      <c r="DN71" s="19">
        <v>4.0</v>
      </c>
      <c r="DO71" s="19">
        <v>4.0</v>
      </c>
      <c r="DP71" s="19" t="s">
        <v>3563</v>
      </c>
      <c r="DQ71" s="19" t="s">
        <v>3564</v>
      </c>
      <c r="DR71" s="19" t="s">
        <v>3565</v>
      </c>
      <c r="DS71" s="19" t="s">
        <v>2151</v>
      </c>
      <c r="DT71" s="19" t="s">
        <v>2186</v>
      </c>
      <c r="DU71" s="19"/>
      <c r="DV71" s="19"/>
      <c r="DW71" s="19" t="s">
        <v>2153</v>
      </c>
      <c r="DX71" s="19">
        <v>13.0</v>
      </c>
      <c r="DY71" s="19">
        <v>10.0</v>
      </c>
      <c r="DZ71" s="19">
        <v>0.0</v>
      </c>
      <c r="EA71" s="19">
        <v>10.0</v>
      </c>
      <c r="EB71" s="19">
        <v>0.0</v>
      </c>
      <c r="EC71" s="19">
        <v>20.0</v>
      </c>
      <c r="ED71" s="19" t="s">
        <v>2174</v>
      </c>
      <c r="EE71" s="24">
        <v>45518.0</v>
      </c>
      <c r="EF71" s="19" t="s">
        <v>2174</v>
      </c>
      <c r="EG71" s="19" t="s">
        <v>2271</v>
      </c>
      <c r="EH71" s="19" t="s">
        <v>2183</v>
      </c>
      <c r="EI71" s="22">
        <v>14.15625</v>
      </c>
      <c r="EJ71" s="19">
        <v>40.0</v>
      </c>
      <c r="EK71" s="19" t="s">
        <v>2113</v>
      </c>
      <c r="EL71" s="19" t="s">
        <v>2163</v>
      </c>
      <c r="EM71" s="19" t="s">
        <v>3555</v>
      </c>
      <c r="EN71" s="19" t="s">
        <v>225</v>
      </c>
      <c r="EO71" s="19" t="s">
        <v>2529</v>
      </c>
      <c r="EP71" s="19" t="s">
        <v>2122</v>
      </c>
      <c r="EQ71" s="19" t="s">
        <v>2537</v>
      </c>
      <c r="ER71" s="19"/>
      <c r="ES71" s="19" t="s">
        <v>225</v>
      </c>
      <c r="ET71" s="19" t="s">
        <v>225</v>
      </c>
      <c r="EU71" s="19" t="s">
        <v>3553</v>
      </c>
      <c r="EV71" s="19">
        <v>7041.0</v>
      </c>
      <c r="EW71" s="19" t="s">
        <v>16</v>
      </c>
      <c r="EX71" s="19">
        <v>5.0</v>
      </c>
      <c r="EY71" s="25" t="s">
        <v>224</v>
      </c>
      <c r="EZ71" s="19" t="s">
        <v>2154</v>
      </c>
      <c r="FA71" s="5" t="s">
        <v>3566</v>
      </c>
      <c r="FB71" s="26" t="s">
        <v>2156</v>
      </c>
      <c r="FC71" s="26"/>
    </row>
    <row r="72">
      <c r="A72" s="19" t="s">
        <v>2156</v>
      </c>
      <c r="B72" s="19" t="s">
        <v>2113</v>
      </c>
      <c r="C72" s="19" t="s">
        <v>2113</v>
      </c>
      <c r="D72" s="19" t="s">
        <v>226</v>
      </c>
      <c r="E72" s="19" t="s">
        <v>3567</v>
      </c>
      <c r="F72" s="19" t="s">
        <v>226</v>
      </c>
      <c r="G72" s="19" t="s">
        <v>3567</v>
      </c>
      <c r="H72" s="19" t="s">
        <v>226</v>
      </c>
      <c r="I72" s="19" t="s">
        <v>228</v>
      </c>
      <c r="J72" s="19" t="s">
        <v>3568</v>
      </c>
      <c r="K72" s="19" t="s">
        <v>3569</v>
      </c>
      <c r="L72" s="20">
        <v>45460.0</v>
      </c>
      <c r="M72" s="20">
        <v>45462.0</v>
      </c>
      <c r="N72" s="20">
        <v>45462.0</v>
      </c>
      <c r="O72" s="19" t="s">
        <v>227</v>
      </c>
      <c r="P72" s="19">
        <v>0.0</v>
      </c>
      <c r="Q72" s="19">
        <v>21.0</v>
      </c>
      <c r="R72" s="19">
        <v>7884.0</v>
      </c>
      <c r="S72" s="20" t="s">
        <v>3570</v>
      </c>
      <c r="T72" s="20">
        <v>45461.0</v>
      </c>
      <c r="U72" s="19" t="s">
        <v>226</v>
      </c>
      <c r="V72" s="19"/>
      <c r="W72" s="19"/>
      <c r="X72" s="21">
        <v>20.0</v>
      </c>
      <c r="Y72" s="21">
        <v>10.0</v>
      </c>
      <c r="Z72" s="21">
        <v>4.0</v>
      </c>
      <c r="AA72" s="21">
        <v>0.0</v>
      </c>
      <c r="AB72" s="5">
        <v>34.0</v>
      </c>
      <c r="AC72" s="19">
        <v>5.0</v>
      </c>
      <c r="AD72" s="19">
        <v>4.5</v>
      </c>
      <c r="AE72" s="19">
        <v>4.5</v>
      </c>
      <c r="AF72" s="19">
        <v>4.5</v>
      </c>
      <c r="AG72" s="19">
        <v>4.0</v>
      </c>
      <c r="AH72" s="19">
        <v>4.5</v>
      </c>
      <c r="AI72" s="22">
        <v>13.546875</v>
      </c>
      <c r="AJ72" s="19">
        <v>14.0</v>
      </c>
      <c r="AK72" s="19">
        <v>12.7</v>
      </c>
      <c r="AL72" s="19">
        <v>15.0</v>
      </c>
      <c r="AM72" s="19">
        <v>41.7</v>
      </c>
      <c r="AN72" s="19">
        <v>55.2</v>
      </c>
      <c r="AO72" s="19">
        <v>89.2</v>
      </c>
      <c r="AP72" s="19">
        <v>128.0</v>
      </c>
      <c r="AQ72" s="23">
        <v>70.0</v>
      </c>
      <c r="AR72" s="23">
        <v>6.0</v>
      </c>
      <c r="AS72" s="22"/>
      <c r="AT72" s="19" t="s">
        <v>2282</v>
      </c>
      <c r="AU72" s="19" t="s">
        <v>3571</v>
      </c>
      <c r="AV72" s="19" t="s">
        <v>3572</v>
      </c>
      <c r="AW72" s="19"/>
      <c r="AX72" s="20">
        <v>37577.0</v>
      </c>
      <c r="AY72" s="19" t="s">
        <v>2858</v>
      </c>
      <c r="AZ72" s="19" t="s">
        <v>2122</v>
      </c>
      <c r="BA72" s="19" t="s">
        <v>3573</v>
      </c>
      <c r="BB72" s="19" t="s">
        <v>3574</v>
      </c>
      <c r="BC72" s="19" t="s">
        <v>3575</v>
      </c>
      <c r="BD72" s="19" t="s">
        <v>3576</v>
      </c>
      <c r="BE72" s="19" t="s">
        <v>3568</v>
      </c>
      <c r="BF72" s="19">
        <v>1.1945297932E10</v>
      </c>
      <c r="BG72" s="19" t="s">
        <v>2127</v>
      </c>
      <c r="BH72" s="19" t="s">
        <v>2128</v>
      </c>
      <c r="BI72" s="19"/>
      <c r="BJ72" s="19" t="s">
        <v>2128</v>
      </c>
      <c r="BK72" s="19" t="s">
        <v>17</v>
      </c>
      <c r="BL72" s="19" t="s">
        <v>2113</v>
      </c>
      <c r="BM72" s="19" t="s">
        <v>2130</v>
      </c>
      <c r="BN72" s="19" t="s">
        <v>17</v>
      </c>
      <c r="BO72" s="19" t="s">
        <v>2317</v>
      </c>
      <c r="BP72" s="19" t="s">
        <v>3577</v>
      </c>
      <c r="BQ72" s="19" t="s">
        <v>2325</v>
      </c>
      <c r="BR72" s="19" t="s">
        <v>2325</v>
      </c>
      <c r="BS72" s="19" t="s">
        <v>2243</v>
      </c>
      <c r="BT72" s="19" t="s">
        <v>118</v>
      </c>
      <c r="BU72" s="19" t="s">
        <v>3578</v>
      </c>
      <c r="BV72" s="19" t="s">
        <v>3579</v>
      </c>
      <c r="BW72" s="19"/>
      <c r="BX72" s="19"/>
      <c r="BY72" s="19" t="s">
        <v>2113</v>
      </c>
      <c r="BZ72" s="19" t="s">
        <v>2113</v>
      </c>
      <c r="CA72" s="19" t="s">
        <v>2113</v>
      </c>
      <c r="CB72" s="19" t="s">
        <v>2113</v>
      </c>
      <c r="CC72" s="19" t="s">
        <v>2113</v>
      </c>
      <c r="CD72" s="19" t="s">
        <v>2137</v>
      </c>
      <c r="CE72" s="19" t="s">
        <v>16</v>
      </c>
      <c r="CF72" s="19"/>
      <c r="CG72" s="19"/>
      <c r="CH72" s="19" t="s">
        <v>16</v>
      </c>
      <c r="CI72" s="21">
        <v>0.0</v>
      </c>
      <c r="CJ72" s="19" t="s">
        <v>16</v>
      </c>
      <c r="CK72" s="19"/>
      <c r="CL72" s="19"/>
      <c r="CM72" s="19" t="s">
        <v>2344</v>
      </c>
      <c r="CN72" s="19" t="s">
        <v>2868</v>
      </c>
      <c r="CO72" s="19"/>
      <c r="CP72" s="19" t="s">
        <v>2178</v>
      </c>
      <c r="CQ72" s="19"/>
      <c r="CR72" s="19"/>
      <c r="CS72" s="19"/>
      <c r="CT72" s="19" t="s">
        <v>2113</v>
      </c>
      <c r="CU72" s="19" t="s">
        <v>2113</v>
      </c>
      <c r="CV72" s="19" t="s">
        <v>2141</v>
      </c>
      <c r="CW72" s="19"/>
      <c r="CX72" s="19"/>
      <c r="CY72" s="19" t="s">
        <v>2113</v>
      </c>
      <c r="CZ72" s="19" t="s">
        <v>2113</v>
      </c>
      <c r="DA72" s="19" t="s">
        <v>16</v>
      </c>
      <c r="DB72" s="19" t="s">
        <v>16</v>
      </c>
      <c r="DC72" s="19" t="s">
        <v>3221</v>
      </c>
      <c r="DD72" s="19" t="s">
        <v>2113</v>
      </c>
      <c r="DE72" s="19" t="s">
        <v>2113</v>
      </c>
      <c r="DF72" s="19" t="s">
        <v>2433</v>
      </c>
      <c r="DG72" s="19" t="s">
        <v>2323</v>
      </c>
      <c r="DH72" s="19" t="s">
        <v>2144</v>
      </c>
      <c r="DI72" s="24">
        <v>45519.0</v>
      </c>
      <c r="DJ72" s="19" t="s">
        <v>2325</v>
      </c>
      <c r="DK72" s="19" t="s">
        <v>2271</v>
      </c>
      <c r="DL72" s="19" t="s">
        <v>2326</v>
      </c>
      <c r="DM72" s="19"/>
      <c r="DN72" s="19">
        <v>6.0</v>
      </c>
      <c r="DO72" s="19">
        <v>6.0</v>
      </c>
      <c r="DP72" s="19" t="s">
        <v>3580</v>
      </c>
      <c r="DQ72" s="19" t="s">
        <v>3581</v>
      </c>
      <c r="DR72" s="19" t="s">
        <v>3582</v>
      </c>
      <c r="DS72" s="19" t="s">
        <v>2185</v>
      </c>
      <c r="DT72" s="19" t="s">
        <v>2350</v>
      </c>
      <c r="DU72" s="19"/>
      <c r="DV72" s="19"/>
      <c r="DW72" s="19" t="s">
        <v>3306</v>
      </c>
      <c r="DX72" s="19">
        <v>4.0</v>
      </c>
      <c r="DY72" s="19">
        <v>10.0</v>
      </c>
      <c r="DZ72" s="19">
        <v>0.0</v>
      </c>
      <c r="EA72" s="19">
        <v>10.0</v>
      </c>
      <c r="EB72" s="19">
        <v>0.0</v>
      </c>
      <c r="EC72" s="19">
        <v>20.0</v>
      </c>
      <c r="ED72" s="19" t="s">
        <v>2325</v>
      </c>
      <c r="EE72" s="24">
        <v>45519.0</v>
      </c>
      <c r="EF72" s="19" t="s">
        <v>2325</v>
      </c>
      <c r="EG72" s="19" t="s">
        <v>2271</v>
      </c>
      <c r="EH72" s="19" t="s">
        <v>2326</v>
      </c>
      <c r="EI72" s="22">
        <v>13.546875</v>
      </c>
      <c r="EJ72" s="19">
        <v>41.66666667</v>
      </c>
      <c r="EK72" s="19"/>
      <c r="EL72" s="19" t="s">
        <v>2282</v>
      </c>
      <c r="EM72" s="19" t="s">
        <v>3571</v>
      </c>
      <c r="EN72" s="19" t="s">
        <v>228</v>
      </c>
      <c r="EO72" s="19" t="s">
        <v>2858</v>
      </c>
      <c r="EP72" s="19" t="s">
        <v>2122</v>
      </c>
      <c r="EQ72" s="19" t="s">
        <v>2868</v>
      </c>
      <c r="ER72" s="19"/>
      <c r="ES72" s="19" t="s">
        <v>228</v>
      </c>
      <c r="ET72" s="19" t="s">
        <v>228</v>
      </c>
      <c r="EU72" s="19" t="s">
        <v>3569</v>
      </c>
      <c r="EV72" s="19">
        <v>7884.0</v>
      </c>
      <c r="EW72" s="19" t="s">
        <v>16</v>
      </c>
      <c r="EX72" s="19">
        <v>4.0</v>
      </c>
      <c r="EY72" s="25" t="s">
        <v>227</v>
      </c>
      <c r="EZ72" s="19" t="s">
        <v>2154</v>
      </c>
      <c r="FA72" s="5" t="s">
        <v>3583</v>
      </c>
      <c r="FB72" s="26" t="s">
        <v>2156</v>
      </c>
      <c r="FC72" s="26"/>
    </row>
    <row r="73">
      <c r="A73" s="19" t="s">
        <v>17</v>
      </c>
      <c r="B73" s="19" t="s">
        <v>2113</v>
      </c>
      <c r="C73" s="19" t="s">
        <v>2113</v>
      </c>
      <c r="D73" s="19" t="s">
        <v>3584</v>
      </c>
      <c r="E73" s="19" t="s">
        <v>3585</v>
      </c>
      <c r="F73" s="19" t="s">
        <v>3586</v>
      </c>
      <c r="G73" s="19"/>
      <c r="H73" s="19" t="s">
        <v>229</v>
      </c>
      <c r="I73" s="19" t="s">
        <v>231</v>
      </c>
      <c r="J73" s="19" t="s">
        <v>3587</v>
      </c>
      <c r="K73" s="19" t="s">
        <v>3588</v>
      </c>
      <c r="L73" s="20">
        <v>45429.0</v>
      </c>
      <c r="M73" s="20">
        <v>45429.0</v>
      </c>
      <c r="N73" s="20">
        <v>45429.0</v>
      </c>
      <c r="O73" s="19" t="s">
        <v>230</v>
      </c>
      <c r="P73" s="19">
        <v>0.0</v>
      </c>
      <c r="Q73" s="19">
        <v>22.0</v>
      </c>
      <c r="R73" s="19">
        <v>8137.0</v>
      </c>
      <c r="S73" s="20" t="s">
        <v>3589</v>
      </c>
      <c r="T73" s="20">
        <v>45461.0</v>
      </c>
      <c r="U73" s="19" t="s">
        <v>3586</v>
      </c>
      <c r="V73" s="19"/>
      <c r="W73" s="19"/>
      <c r="X73" s="21">
        <v>20.0</v>
      </c>
      <c r="Y73" s="21">
        <v>10.0</v>
      </c>
      <c r="Z73" s="21">
        <v>2.0</v>
      </c>
      <c r="AA73" s="21">
        <v>0.0</v>
      </c>
      <c r="AB73" s="5">
        <v>32.0</v>
      </c>
      <c r="AC73" s="19">
        <v>4.333333333333333</v>
      </c>
      <c r="AD73" s="19">
        <v>4.666666666666667</v>
      </c>
      <c r="AE73" s="19">
        <v>4.0</v>
      </c>
      <c r="AF73" s="19">
        <v>3.3333333333333335</v>
      </c>
      <c r="AG73" s="19">
        <v>3.6666666666666665</v>
      </c>
      <c r="AH73" s="19">
        <v>4.0</v>
      </c>
      <c r="AI73" s="22">
        <v>12.218750000000002</v>
      </c>
      <c r="AJ73" s="19">
        <v>15.0</v>
      </c>
      <c r="AK73" s="19">
        <v>15.0</v>
      </c>
      <c r="AL73" s="19">
        <v>15.0</v>
      </c>
      <c r="AM73" s="19">
        <v>45.0</v>
      </c>
      <c r="AN73" s="19">
        <v>57.2</v>
      </c>
      <c r="AO73" s="19">
        <v>89.2</v>
      </c>
      <c r="AP73" s="19">
        <v>189.0</v>
      </c>
      <c r="AQ73" s="23">
        <v>71.0</v>
      </c>
      <c r="AR73" s="23">
        <v>4.0</v>
      </c>
      <c r="AS73" s="22"/>
      <c r="AT73" s="19" t="s">
        <v>2163</v>
      </c>
      <c r="AU73" s="19" t="s">
        <v>3590</v>
      </c>
      <c r="AV73" s="19" t="s">
        <v>3591</v>
      </c>
      <c r="AW73" s="19" t="s">
        <v>3592</v>
      </c>
      <c r="AX73" s="20">
        <v>37324.0</v>
      </c>
      <c r="AY73" s="19" t="s">
        <v>3593</v>
      </c>
      <c r="AZ73" s="19" t="s">
        <v>2122</v>
      </c>
      <c r="BA73" s="19" t="s">
        <v>3594</v>
      </c>
      <c r="BB73" s="19" t="s">
        <v>3595</v>
      </c>
      <c r="BC73" s="19" t="s">
        <v>3596</v>
      </c>
      <c r="BD73" s="19" t="s">
        <v>3597</v>
      </c>
      <c r="BE73" s="19" t="s">
        <v>3587</v>
      </c>
      <c r="BF73" s="19">
        <v>1.1951687104E10</v>
      </c>
      <c r="BG73" s="19" t="s">
        <v>2127</v>
      </c>
      <c r="BH73" s="19" t="s">
        <v>2128</v>
      </c>
      <c r="BI73" s="19"/>
      <c r="BJ73" s="19" t="s">
        <v>2427</v>
      </c>
      <c r="BK73" s="19" t="s">
        <v>17</v>
      </c>
      <c r="BL73" s="19"/>
      <c r="BM73" s="19" t="s">
        <v>2130</v>
      </c>
      <c r="BN73" s="19" t="s">
        <v>2140</v>
      </c>
      <c r="BO73" s="19" t="s">
        <v>3199</v>
      </c>
      <c r="BP73" s="19"/>
      <c r="BQ73" s="19" t="s">
        <v>3251</v>
      </c>
      <c r="BR73" s="19" t="s">
        <v>3251</v>
      </c>
      <c r="BS73" s="19" t="s">
        <v>2134</v>
      </c>
      <c r="BT73" s="19" t="s">
        <v>177</v>
      </c>
      <c r="BU73" s="19" t="s">
        <v>3200</v>
      </c>
      <c r="BV73" s="19" t="s">
        <v>3598</v>
      </c>
      <c r="BW73" s="19" t="s">
        <v>2113</v>
      </c>
      <c r="BX73" s="19"/>
      <c r="BY73" s="19"/>
      <c r="BZ73" s="19"/>
      <c r="CA73" s="19"/>
      <c r="CB73" s="19" t="s">
        <v>2113</v>
      </c>
      <c r="CC73" s="19"/>
      <c r="CD73" s="19" t="s">
        <v>2137</v>
      </c>
      <c r="CE73" s="19" t="s">
        <v>16</v>
      </c>
      <c r="CF73" s="19"/>
      <c r="CG73" s="19"/>
      <c r="CH73" s="19" t="s">
        <v>16</v>
      </c>
      <c r="CI73" s="21">
        <v>0.0</v>
      </c>
      <c r="CJ73" s="19" t="s">
        <v>17</v>
      </c>
      <c r="CK73" s="19"/>
      <c r="CL73" s="19"/>
      <c r="CM73" s="19" t="s">
        <v>2138</v>
      </c>
      <c r="CN73" s="19" t="s">
        <v>3253</v>
      </c>
      <c r="CO73" s="19"/>
      <c r="CP73" s="19" t="s">
        <v>2140</v>
      </c>
      <c r="CQ73" s="19"/>
      <c r="CR73" s="19" t="s">
        <v>2113</v>
      </c>
      <c r="CS73" s="19" t="s">
        <v>2113</v>
      </c>
      <c r="CT73" s="19" t="s">
        <v>2113</v>
      </c>
      <c r="CU73" s="19" t="s">
        <v>2113</v>
      </c>
      <c r="CV73" s="19" t="s">
        <v>2141</v>
      </c>
      <c r="CW73" s="19" t="s">
        <v>2113</v>
      </c>
      <c r="CX73" s="19" t="s">
        <v>2113</v>
      </c>
      <c r="CY73" s="19" t="s">
        <v>2113</v>
      </c>
      <c r="CZ73" s="19" t="s">
        <v>2113</v>
      </c>
      <c r="DA73" s="19" t="s">
        <v>16</v>
      </c>
      <c r="DB73" s="19" t="s">
        <v>17</v>
      </c>
      <c r="DC73" s="19" t="s">
        <v>2804</v>
      </c>
      <c r="DD73" s="19" t="s">
        <v>2113</v>
      </c>
      <c r="DE73" s="19" t="s">
        <v>2113</v>
      </c>
      <c r="DF73" s="19" t="s">
        <v>2433</v>
      </c>
      <c r="DG73" s="19" t="s">
        <v>3222</v>
      </c>
      <c r="DH73" s="19" t="s">
        <v>2144</v>
      </c>
      <c r="DI73" s="24">
        <v>45525.0</v>
      </c>
      <c r="DJ73" s="19" t="s">
        <v>3257</v>
      </c>
      <c r="DK73" s="19" t="s">
        <v>2271</v>
      </c>
      <c r="DL73" s="19" t="s">
        <v>2207</v>
      </c>
      <c r="DM73" s="22" t="s">
        <v>3599</v>
      </c>
      <c r="DN73" s="19">
        <v>4.0</v>
      </c>
      <c r="DO73" s="19">
        <v>4.0</v>
      </c>
      <c r="DP73" s="19" t="s">
        <v>3600</v>
      </c>
      <c r="DQ73" s="19" t="s">
        <v>3601</v>
      </c>
      <c r="DR73" s="19" t="s">
        <v>3602</v>
      </c>
      <c r="DS73" s="19" t="s">
        <v>2151</v>
      </c>
      <c r="DT73" s="19" t="s">
        <v>2152</v>
      </c>
      <c r="DU73" s="19"/>
      <c r="DV73" s="19"/>
      <c r="DW73" s="19" t="s">
        <v>2479</v>
      </c>
      <c r="DX73" s="19">
        <v>16.0</v>
      </c>
      <c r="DY73" s="19">
        <v>10.0</v>
      </c>
      <c r="DZ73" s="19">
        <v>0.0</v>
      </c>
      <c r="EA73" s="19">
        <v>10.0</v>
      </c>
      <c r="EB73" s="19">
        <v>0.0</v>
      </c>
      <c r="EC73" s="19">
        <v>20.0</v>
      </c>
      <c r="ED73" s="19" t="s">
        <v>3257</v>
      </c>
      <c r="EE73" s="24">
        <v>45525.0</v>
      </c>
      <c r="EF73" s="19" t="s">
        <v>3257</v>
      </c>
      <c r="EG73" s="19" t="s">
        <v>2271</v>
      </c>
      <c r="EH73" s="19" t="s">
        <v>2207</v>
      </c>
      <c r="EI73" s="22">
        <v>12.218750000000002</v>
      </c>
      <c r="EJ73" s="19">
        <v>45.0</v>
      </c>
      <c r="EK73" s="19" t="s">
        <v>2113</v>
      </c>
      <c r="EL73" s="19" t="s">
        <v>2163</v>
      </c>
      <c r="EM73" s="19" t="s">
        <v>3590</v>
      </c>
      <c r="EN73" s="19" t="s">
        <v>231</v>
      </c>
      <c r="EO73" s="19" t="s">
        <v>3593</v>
      </c>
      <c r="EP73" s="19" t="s">
        <v>2122</v>
      </c>
      <c r="EQ73" s="19" t="s">
        <v>3253</v>
      </c>
      <c r="ER73" s="19"/>
      <c r="ES73" s="19" t="s">
        <v>231</v>
      </c>
      <c r="ET73" s="19" t="s">
        <v>231</v>
      </c>
      <c r="EU73" s="19" t="s">
        <v>3588</v>
      </c>
      <c r="EV73" s="19">
        <v>8137.0</v>
      </c>
      <c r="EW73" s="19" t="s">
        <v>16</v>
      </c>
      <c r="EX73" s="19">
        <v>2.0</v>
      </c>
      <c r="EY73" s="25" t="s">
        <v>230</v>
      </c>
      <c r="EZ73" s="19" t="s">
        <v>2154</v>
      </c>
      <c r="FA73" s="5" t="s">
        <v>3603</v>
      </c>
      <c r="FB73" s="26" t="s">
        <v>2156</v>
      </c>
      <c r="FC73" s="26"/>
    </row>
    <row r="74">
      <c r="A74" s="19" t="s">
        <v>2112</v>
      </c>
      <c r="B74" s="19" t="s">
        <v>2113</v>
      </c>
      <c r="C74" s="19" t="s">
        <v>2113</v>
      </c>
      <c r="D74" s="19" t="s">
        <v>232</v>
      </c>
      <c r="E74" s="19" t="s">
        <v>3604</v>
      </c>
      <c r="F74" s="19" t="s">
        <v>232</v>
      </c>
      <c r="G74" s="19"/>
      <c r="H74" s="19" t="s">
        <v>232</v>
      </c>
      <c r="I74" s="19" t="s">
        <v>234</v>
      </c>
      <c r="J74" s="19" t="s">
        <v>3605</v>
      </c>
      <c r="K74" s="19" t="s">
        <v>3606</v>
      </c>
      <c r="L74" s="20">
        <v>45446.0</v>
      </c>
      <c r="M74" s="20">
        <v>45447.0</v>
      </c>
      <c r="N74" s="20">
        <v>45447.0</v>
      </c>
      <c r="O74" s="19" t="s">
        <v>233</v>
      </c>
      <c r="P74" s="19">
        <v>0.0</v>
      </c>
      <c r="Q74" s="19">
        <v>21.0</v>
      </c>
      <c r="R74" s="19">
        <v>7726.0</v>
      </c>
      <c r="S74" s="20" t="s">
        <v>3607</v>
      </c>
      <c r="T74" s="20">
        <v>45461.0</v>
      </c>
      <c r="U74" s="19" t="s">
        <v>232</v>
      </c>
      <c r="V74" s="19"/>
      <c r="W74" s="19" t="s">
        <v>3608</v>
      </c>
      <c r="X74" s="21">
        <v>20.0</v>
      </c>
      <c r="Y74" s="21">
        <v>10.0</v>
      </c>
      <c r="Z74" s="21">
        <v>2.0</v>
      </c>
      <c r="AA74" s="21">
        <v>0.0</v>
      </c>
      <c r="AB74" s="5">
        <v>32.0</v>
      </c>
      <c r="AC74" s="19">
        <v>5.0</v>
      </c>
      <c r="AD74" s="19">
        <v>5.0</v>
      </c>
      <c r="AE74" s="19">
        <v>5.0</v>
      </c>
      <c r="AF74" s="19">
        <v>5.0</v>
      </c>
      <c r="AG74" s="19">
        <v>4.0</v>
      </c>
      <c r="AH74" s="19">
        <v>5.0</v>
      </c>
      <c r="AI74" s="22">
        <v>14.625</v>
      </c>
      <c r="AJ74" s="19">
        <v>14.5</v>
      </c>
      <c r="AK74" s="19">
        <v>14.0</v>
      </c>
      <c r="AL74" s="19">
        <v>14.0</v>
      </c>
      <c r="AM74" s="19">
        <v>42.5</v>
      </c>
      <c r="AN74" s="19">
        <v>57.1</v>
      </c>
      <c r="AO74" s="19">
        <v>89.1</v>
      </c>
      <c r="AP74" s="19">
        <v>193.0</v>
      </c>
      <c r="AQ74" s="23">
        <v>72.0</v>
      </c>
      <c r="AR74" s="23">
        <v>9.0</v>
      </c>
      <c r="AS74" s="22"/>
      <c r="AT74" s="19" t="s">
        <v>2282</v>
      </c>
      <c r="AU74" s="19" t="s">
        <v>3609</v>
      </c>
      <c r="AV74" s="19" t="s">
        <v>3610</v>
      </c>
      <c r="AW74" s="19" t="s">
        <v>3611</v>
      </c>
      <c r="AX74" s="20">
        <v>37735.0</v>
      </c>
      <c r="AY74" s="19" t="s">
        <v>3612</v>
      </c>
      <c r="AZ74" s="19" t="s">
        <v>2310</v>
      </c>
      <c r="BA74" s="19" t="s">
        <v>3613</v>
      </c>
      <c r="BB74" s="19" t="s">
        <v>3614</v>
      </c>
      <c r="BC74" s="19" t="s">
        <v>3615</v>
      </c>
      <c r="BD74" s="19" t="s">
        <v>3616</v>
      </c>
      <c r="BE74" s="19" t="s">
        <v>3617</v>
      </c>
      <c r="BF74" s="19">
        <v>1.9981895495E10</v>
      </c>
      <c r="BG74" s="19" t="s">
        <v>2127</v>
      </c>
      <c r="BH74" s="19" t="s">
        <v>2128</v>
      </c>
      <c r="BI74" s="19"/>
      <c r="BJ74" s="19"/>
      <c r="BK74" s="19" t="s">
        <v>16</v>
      </c>
      <c r="BL74" s="19"/>
      <c r="BM74" s="19" t="s">
        <v>2130</v>
      </c>
      <c r="BN74" s="19" t="s">
        <v>2172</v>
      </c>
      <c r="BO74" s="19" t="s">
        <v>3199</v>
      </c>
      <c r="BP74" s="19"/>
      <c r="BQ74" s="19" t="s">
        <v>2133</v>
      </c>
      <c r="BR74" s="19" t="s">
        <v>2133</v>
      </c>
      <c r="BS74" s="19" t="s">
        <v>2134</v>
      </c>
      <c r="BT74" s="19" t="s">
        <v>15</v>
      </c>
      <c r="BU74" s="19"/>
      <c r="BV74" s="19" t="s">
        <v>3618</v>
      </c>
      <c r="BW74" s="19"/>
      <c r="BX74" s="19"/>
      <c r="BY74" s="19"/>
      <c r="BZ74" s="19"/>
      <c r="CA74" s="19" t="s">
        <v>2113</v>
      </c>
      <c r="CB74" s="19" t="s">
        <v>2113</v>
      </c>
      <c r="CC74" s="19"/>
      <c r="CD74" s="19" t="s">
        <v>2137</v>
      </c>
      <c r="CE74" s="19" t="s">
        <v>16</v>
      </c>
      <c r="CF74" s="19"/>
      <c r="CG74" s="19"/>
      <c r="CH74" s="19" t="s">
        <v>16</v>
      </c>
      <c r="CI74" s="21">
        <v>0.0</v>
      </c>
      <c r="CJ74" s="19" t="s">
        <v>16</v>
      </c>
      <c r="CK74" s="19"/>
      <c r="CL74" s="19"/>
      <c r="CM74" s="19" t="s">
        <v>2138</v>
      </c>
      <c r="CN74" s="19" t="s">
        <v>3202</v>
      </c>
      <c r="CO74" s="19"/>
      <c r="CP74" s="19"/>
      <c r="CQ74" s="19"/>
      <c r="CR74" s="19" t="s">
        <v>2113</v>
      </c>
      <c r="CS74" s="19" t="s">
        <v>2113</v>
      </c>
      <c r="CT74" s="19" t="s">
        <v>2113</v>
      </c>
      <c r="CU74" s="19" t="s">
        <v>2113</v>
      </c>
      <c r="CV74" s="19" t="s">
        <v>2141</v>
      </c>
      <c r="CW74" s="19" t="s">
        <v>2113</v>
      </c>
      <c r="CX74" s="19" t="s">
        <v>2113</v>
      </c>
      <c r="CY74" s="19" t="s">
        <v>2113</v>
      </c>
      <c r="CZ74" s="19" t="s">
        <v>2113</v>
      </c>
      <c r="DA74" s="19" t="s">
        <v>16</v>
      </c>
      <c r="DB74" s="19" t="s">
        <v>16</v>
      </c>
      <c r="DC74" s="19" t="s">
        <v>2826</v>
      </c>
      <c r="DD74" s="19" t="s">
        <v>2113</v>
      </c>
      <c r="DE74" s="19" t="s">
        <v>2113</v>
      </c>
      <c r="DF74" s="19" t="s">
        <v>2578</v>
      </c>
      <c r="DG74" s="19" t="s">
        <v>2671</v>
      </c>
      <c r="DH74" s="19" t="s">
        <v>2144</v>
      </c>
      <c r="DI74" s="24">
        <v>45524.0</v>
      </c>
      <c r="DJ74" s="19" t="s">
        <v>2133</v>
      </c>
      <c r="DK74" s="19" t="s">
        <v>2145</v>
      </c>
      <c r="DL74" s="19" t="s">
        <v>2146</v>
      </c>
      <c r="DM74" s="19" t="s">
        <v>3302</v>
      </c>
      <c r="DN74" s="19">
        <v>7.0</v>
      </c>
      <c r="DO74" s="19">
        <v>7.0</v>
      </c>
      <c r="DP74" s="19" t="s">
        <v>3619</v>
      </c>
      <c r="DQ74" s="19" t="s">
        <v>3620</v>
      </c>
      <c r="DR74" s="19" t="s">
        <v>3621</v>
      </c>
      <c r="DS74" s="19" t="s">
        <v>2365</v>
      </c>
      <c r="DT74" s="19" t="s">
        <v>2301</v>
      </c>
      <c r="DU74" s="19"/>
      <c r="DV74" s="19"/>
      <c r="DW74" s="19" t="s">
        <v>2153</v>
      </c>
      <c r="DX74" s="19">
        <v>7.0</v>
      </c>
      <c r="DY74" s="19">
        <v>10.0</v>
      </c>
      <c r="DZ74" s="19">
        <v>0.0</v>
      </c>
      <c r="EA74" s="19">
        <v>10.0</v>
      </c>
      <c r="EB74" s="19">
        <v>0.0</v>
      </c>
      <c r="EC74" s="19">
        <v>20.0</v>
      </c>
      <c r="ED74" s="19" t="s">
        <v>2133</v>
      </c>
      <c r="EE74" s="24">
        <v>45524.0</v>
      </c>
      <c r="EF74" s="19" t="s">
        <v>2133</v>
      </c>
      <c r="EG74" s="19" t="s">
        <v>2145</v>
      </c>
      <c r="EH74" s="19" t="s">
        <v>2146</v>
      </c>
      <c r="EI74" s="22">
        <v>14.625</v>
      </c>
      <c r="EJ74" s="19">
        <v>42.5</v>
      </c>
      <c r="EK74" s="19"/>
      <c r="EL74" s="19" t="s">
        <v>2282</v>
      </c>
      <c r="EM74" s="19" t="s">
        <v>3609</v>
      </c>
      <c r="EN74" s="19" t="s">
        <v>234</v>
      </c>
      <c r="EO74" s="19" t="s">
        <v>3612</v>
      </c>
      <c r="EP74" s="19" t="s">
        <v>2310</v>
      </c>
      <c r="EQ74" s="19" t="s">
        <v>3202</v>
      </c>
      <c r="ER74" s="19"/>
      <c r="ES74" s="19" t="s">
        <v>234</v>
      </c>
      <c r="ET74" s="19" t="s">
        <v>234</v>
      </c>
      <c r="EU74" s="19" t="s">
        <v>3606</v>
      </c>
      <c r="EV74" s="19">
        <v>7726.0</v>
      </c>
      <c r="EW74" s="19" t="s">
        <v>16</v>
      </c>
      <c r="EX74" s="19">
        <v>2.0</v>
      </c>
      <c r="EY74" s="25" t="s">
        <v>233</v>
      </c>
      <c r="EZ74" s="19" t="s">
        <v>2154</v>
      </c>
      <c r="FA74" s="5" t="s">
        <v>3622</v>
      </c>
      <c r="FB74" s="26" t="s">
        <v>2156</v>
      </c>
      <c r="FC74" s="26"/>
    </row>
    <row r="75">
      <c r="A75" s="19" t="s">
        <v>2112</v>
      </c>
      <c r="B75" s="19" t="s">
        <v>2113</v>
      </c>
      <c r="C75" s="19" t="s">
        <v>2113</v>
      </c>
      <c r="D75" s="19" t="s">
        <v>3623</v>
      </c>
      <c r="E75" s="19" t="s">
        <v>3624</v>
      </c>
      <c r="F75" s="19" t="s">
        <v>3625</v>
      </c>
      <c r="G75" s="19" t="s">
        <v>3626</v>
      </c>
      <c r="H75" s="19" t="s">
        <v>235</v>
      </c>
      <c r="I75" s="19" t="s">
        <v>237</v>
      </c>
      <c r="J75" s="19" t="s">
        <v>3627</v>
      </c>
      <c r="K75" s="19" t="s">
        <v>3628</v>
      </c>
      <c r="L75" s="20">
        <v>45394.0</v>
      </c>
      <c r="M75" s="20">
        <v>45404.0</v>
      </c>
      <c r="N75" s="20">
        <v>45404.0</v>
      </c>
      <c r="O75" s="19" t="s">
        <v>236</v>
      </c>
      <c r="P75" s="19">
        <v>0.0</v>
      </c>
      <c r="Q75" s="19">
        <v>26.0</v>
      </c>
      <c r="R75" s="19">
        <v>9735.0</v>
      </c>
      <c r="S75" s="20" t="s">
        <v>3629</v>
      </c>
      <c r="T75" s="20">
        <v>45461.0</v>
      </c>
      <c r="U75" s="19" t="s">
        <v>3625</v>
      </c>
      <c r="V75" s="19"/>
      <c r="W75" s="19"/>
      <c r="X75" s="21">
        <v>20.0</v>
      </c>
      <c r="Y75" s="21">
        <v>10.0</v>
      </c>
      <c r="Z75" s="21">
        <v>1.0</v>
      </c>
      <c r="AA75" s="21">
        <v>0.0</v>
      </c>
      <c r="AB75" s="5">
        <v>31.0</v>
      </c>
      <c r="AC75" s="19">
        <v>4.3</v>
      </c>
      <c r="AD75" s="19">
        <v>4.3</v>
      </c>
      <c r="AE75" s="19">
        <v>4.6</v>
      </c>
      <c r="AF75" s="19">
        <v>4.0</v>
      </c>
      <c r="AG75" s="19">
        <v>4.1</v>
      </c>
      <c r="AH75" s="19">
        <v>4.1</v>
      </c>
      <c r="AI75" s="22">
        <v>12.862499999999999</v>
      </c>
      <c r="AJ75" s="19">
        <v>15.0</v>
      </c>
      <c r="AK75" s="19">
        <v>15.0</v>
      </c>
      <c r="AL75" s="19">
        <v>15.0</v>
      </c>
      <c r="AM75" s="19">
        <v>45.0</v>
      </c>
      <c r="AN75" s="19">
        <v>57.9</v>
      </c>
      <c r="AO75" s="19">
        <v>88.9</v>
      </c>
      <c r="AP75" s="19">
        <v>204.0</v>
      </c>
      <c r="AQ75" s="23">
        <v>73.0</v>
      </c>
      <c r="AR75" s="23">
        <v>7.0</v>
      </c>
      <c r="AS75" s="22"/>
      <c r="AT75" s="19" t="s">
        <v>2282</v>
      </c>
      <c r="AU75" s="19" t="s">
        <v>3630</v>
      </c>
      <c r="AV75" s="19" t="s">
        <v>3631</v>
      </c>
      <c r="AW75" s="19" t="s">
        <v>3199</v>
      </c>
      <c r="AX75" s="20">
        <v>35726.0</v>
      </c>
      <c r="AY75" s="19" t="s">
        <v>3632</v>
      </c>
      <c r="AZ75" s="19" t="s">
        <v>2445</v>
      </c>
      <c r="BA75" s="19" t="s">
        <v>3633</v>
      </c>
      <c r="BB75" s="19" t="s">
        <v>3634</v>
      </c>
      <c r="BC75" s="19" t="s">
        <v>3635</v>
      </c>
      <c r="BD75" s="19" t="s">
        <v>3636</v>
      </c>
      <c r="BE75" s="19" t="s">
        <v>3637</v>
      </c>
      <c r="BF75" s="19">
        <v>1.1948434613E10</v>
      </c>
      <c r="BG75" s="19" t="s">
        <v>2127</v>
      </c>
      <c r="BH75" s="19" t="s">
        <v>2128</v>
      </c>
      <c r="BI75" s="19"/>
      <c r="BJ75" s="19"/>
      <c r="BK75" s="19" t="s">
        <v>16</v>
      </c>
      <c r="BL75" s="19"/>
      <c r="BM75" s="19" t="s">
        <v>2130</v>
      </c>
      <c r="BN75" s="19" t="s">
        <v>2708</v>
      </c>
      <c r="BO75" s="19" t="s">
        <v>3082</v>
      </c>
      <c r="BP75" s="19" t="s">
        <v>3638</v>
      </c>
      <c r="BQ75" s="19" t="s">
        <v>2325</v>
      </c>
      <c r="BR75" s="19" t="s">
        <v>2325</v>
      </c>
      <c r="BS75" s="19" t="s">
        <v>2134</v>
      </c>
      <c r="BT75" s="19" t="s">
        <v>118</v>
      </c>
      <c r="BU75" s="19" t="s">
        <v>3639</v>
      </c>
      <c r="BV75" s="19" t="s">
        <v>3640</v>
      </c>
      <c r="BW75" s="19"/>
      <c r="BX75" s="19"/>
      <c r="BY75" s="19" t="s">
        <v>2113</v>
      </c>
      <c r="BZ75" s="19" t="s">
        <v>2113</v>
      </c>
      <c r="CA75" s="19"/>
      <c r="CB75" s="19" t="s">
        <v>2113</v>
      </c>
      <c r="CC75" s="19"/>
      <c r="CD75" s="19" t="s">
        <v>2137</v>
      </c>
      <c r="CE75" s="19" t="s">
        <v>16</v>
      </c>
      <c r="CF75" s="19"/>
      <c r="CG75" s="19"/>
      <c r="CH75" s="19" t="s">
        <v>16</v>
      </c>
      <c r="CI75" s="21">
        <v>0.0</v>
      </c>
      <c r="CJ75" s="19" t="s">
        <v>16</v>
      </c>
      <c r="CK75" s="19"/>
      <c r="CL75" s="19"/>
      <c r="CM75" s="19" t="s">
        <v>2138</v>
      </c>
      <c r="CN75" s="19" t="s">
        <v>3503</v>
      </c>
      <c r="CO75" s="19"/>
      <c r="CP75" s="19"/>
      <c r="CQ75" s="19"/>
      <c r="CR75" s="19" t="s">
        <v>2113</v>
      </c>
      <c r="CS75" s="19" t="s">
        <v>2113</v>
      </c>
      <c r="CT75" s="19" t="s">
        <v>2113</v>
      </c>
      <c r="CU75" s="19" t="s">
        <v>2113</v>
      </c>
      <c r="CV75" s="19" t="s">
        <v>2179</v>
      </c>
      <c r="CW75" s="19" t="s">
        <v>2113</v>
      </c>
      <c r="CX75" s="19" t="s">
        <v>2113</v>
      </c>
      <c r="CY75" s="19" t="s">
        <v>2113</v>
      </c>
      <c r="CZ75" s="19" t="s">
        <v>2113</v>
      </c>
      <c r="DA75" s="19" t="s">
        <v>16</v>
      </c>
      <c r="DB75" s="19" t="s">
        <v>16</v>
      </c>
      <c r="DC75" s="19" t="s">
        <v>3221</v>
      </c>
      <c r="DD75" s="19" t="s">
        <v>2113</v>
      </c>
      <c r="DE75" s="19" t="s">
        <v>2113</v>
      </c>
      <c r="DF75" s="19" t="s">
        <v>2433</v>
      </c>
      <c r="DG75" s="19" t="s">
        <v>2869</v>
      </c>
      <c r="DH75" s="19" t="s">
        <v>2144</v>
      </c>
      <c r="DI75" s="24">
        <v>45525.0</v>
      </c>
      <c r="DJ75" s="19" t="s">
        <v>2325</v>
      </c>
      <c r="DK75" s="19" t="s">
        <v>2271</v>
      </c>
      <c r="DL75" s="19" t="s">
        <v>2326</v>
      </c>
      <c r="DM75" s="19"/>
      <c r="DN75" s="19">
        <v>10.0</v>
      </c>
      <c r="DO75" s="19">
        <v>10.0</v>
      </c>
      <c r="DP75" s="19"/>
      <c r="DQ75" s="19"/>
      <c r="DR75" s="19"/>
      <c r="DS75" s="19" t="s">
        <v>2365</v>
      </c>
      <c r="DT75" s="19" t="s">
        <v>2301</v>
      </c>
      <c r="DU75" s="19" t="s">
        <v>3641</v>
      </c>
      <c r="DV75" s="19"/>
      <c r="DW75" s="19" t="s">
        <v>2479</v>
      </c>
      <c r="DX75" s="19">
        <v>11.0</v>
      </c>
      <c r="DY75" s="19">
        <v>10.0</v>
      </c>
      <c r="DZ75" s="19">
        <v>0.0</v>
      </c>
      <c r="EA75" s="19">
        <v>10.0</v>
      </c>
      <c r="EB75" s="19">
        <v>0.0</v>
      </c>
      <c r="EC75" s="19">
        <v>20.0</v>
      </c>
      <c r="ED75" s="19" t="s">
        <v>2325</v>
      </c>
      <c r="EE75" s="24">
        <v>45525.0</v>
      </c>
      <c r="EF75" s="19" t="s">
        <v>2325</v>
      </c>
      <c r="EG75" s="19" t="s">
        <v>2271</v>
      </c>
      <c r="EH75" s="19" t="s">
        <v>2326</v>
      </c>
      <c r="EI75" s="22">
        <v>12.862499999999999</v>
      </c>
      <c r="EJ75" s="19">
        <v>45.0</v>
      </c>
      <c r="EK75" s="19"/>
      <c r="EL75" s="19" t="s">
        <v>2282</v>
      </c>
      <c r="EM75" s="19" t="s">
        <v>3630</v>
      </c>
      <c r="EN75" s="19" t="s">
        <v>237</v>
      </c>
      <c r="EO75" s="19" t="s">
        <v>3632</v>
      </c>
      <c r="EP75" s="19" t="s">
        <v>2445</v>
      </c>
      <c r="EQ75" s="19" t="s">
        <v>3503</v>
      </c>
      <c r="ER75" s="19"/>
      <c r="ES75" s="19" t="s">
        <v>237</v>
      </c>
      <c r="ET75" s="19" t="s">
        <v>237</v>
      </c>
      <c r="EU75" s="19" t="s">
        <v>3628</v>
      </c>
      <c r="EV75" s="19">
        <v>9735.0</v>
      </c>
      <c r="EW75" s="19" t="s">
        <v>16</v>
      </c>
      <c r="EX75" s="19">
        <v>1.0</v>
      </c>
      <c r="EY75" s="25" t="s">
        <v>236</v>
      </c>
      <c r="EZ75" s="19" t="s">
        <v>2154</v>
      </c>
      <c r="FA75" s="5" t="s">
        <v>3642</v>
      </c>
      <c r="FB75" s="26" t="s">
        <v>2156</v>
      </c>
      <c r="FC75" s="26"/>
    </row>
    <row r="76">
      <c r="A76" s="19" t="s">
        <v>2156</v>
      </c>
      <c r="B76" s="19" t="s">
        <v>2113</v>
      </c>
      <c r="C76" s="19" t="s">
        <v>2113</v>
      </c>
      <c r="D76" s="19" t="s">
        <v>238</v>
      </c>
      <c r="E76" s="19" t="s">
        <v>3643</v>
      </c>
      <c r="F76" s="19" t="s">
        <v>238</v>
      </c>
      <c r="G76" s="19"/>
      <c r="H76" s="19" t="s">
        <v>238</v>
      </c>
      <c r="I76" s="19" t="s">
        <v>240</v>
      </c>
      <c r="J76" s="19" t="s">
        <v>3644</v>
      </c>
      <c r="K76" s="19" t="s">
        <v>3645</v>
      </c>
      <c r="L76" s="20">
        <v>45458.0</v>
      </c>
      <c r="M76" s="20">
        <v>45460.0</v>
      </c>
      <c r="N76" s="20">
        <v>45460.0</v>
      </c>
      <c r="O76" s="19" t="s">
        <v>239</v>
      </c>
      <c r="P76" s="19">
        <v>0.0</v>
      </c>
      <c r="Q76" s="19">
        <v>21.0</v>
      </c>
      <c r="R76" s="19">
        <v>7931.0</v>
      </c>
      <c r="S76" s="20" t="s">
        <v>3646</v>
      </c>
      <c r="T76" s="20">
        <v>45461.0</v>
      </c>
      <c r="U76" s="19" t="s">
        <v>238</v>
      </c>
      <c r="V76" s="19"/>
      <c r="W76" s="19"/>
      <c r="X76" s="21">
        <v>20.0</v>
      </c>
      <c r="Y76" s="21">
        <v>10.0</v>
      </c>
      <c r="Z76" s="21">
        <v>4.0</v>
      </c>
      <c r="AA76" s="21">
        <v>0.0</v>
      </c>
      <c r="AB76" s="5">
        <v>34.0</v>
      </c>
      <c r="AC76" s="19">
        <v>5.0</v>
      </c>
      <c r="AD76" s="19">
        <v>4.0</v>
      </c>
      <c r="AE76" s="19">
        <v>5.0</v>
      </c>
      <c r="AF76" s="19">
        <v>4.0</v>
      </c>
      <c r="AG76" s="19">
        <v>4.0</v>
      </c>
      <c r="AH76" s="19">
        <v>5.0</v>
      </c>
      <c r="AI76" s="22">
        <v>13.59375</v>
      </c>
      <c r="AJ76" s="19">
        <v>12.0</v>
      </c>
      <c r="AK76" s="19">
        <v>15.0</v>
      </c>
      <c r="AL76" s="19">
        <v>14.0</v>
      </c>
      <c r="AM76" s="19">
        <v>41.0</v>
      </c>
      <c r="AN76" s="19">
        <v>54.6</v>
      </c>
      <c r="AO76" s="19">
        <v>88.6</v>
      </c>
      <c r="AP76" s="19">
        <v>127.0</v>
      </c>
      <c r="AQ76" s="23">
        <v>74.0</v>
      </c>
      <c r="AR76" s="23">
        <v>5.0</v>
      </c>
      <c r="AS76" s="22"/>
      <c r="AT76" s="19" t="s">
        <v>2163</v>
      </c>
      <c r="AU76" s="19" t="s">
        <v>3647</v>
      </c>
      <c r="AV76" s="19" t="s">
        <v>3648</v>
      </c>
      <c r="AW76" s="19"/>
      <c r="AX76" s="20">
        <v>37530.0</v>
      </c>
      <c r="AY76" s="19" t="s">
        <v>2619</v>
      </c>
      <c r="AZ76" s="19" t="s">
        <v>2122</v>
      </c>
      <c r="BA76" s="19" t="s">
        <v>3649</v>
      </c>
      <c r="BB76" s="19" t="s">
        <v>2489</v>
      </c>
      <c r="BC76" s="19" t="s">
        <v>3650</v>
      </c>
      <c r="BD76" s="19" t="s">
        <v>3651</v>
      </c>
      <c r="BE76" s="19"/>
      <c r="BF76" s="19"/>
      <c r="BG76" s="19" t="s">
        <v>2127</v>
      </c>
      <c r="BH76" s="19" t="s">
        <v>2128</v>
      </c>
      <c r="BI76" s="19"/>
      <c r="BJ76" s="19" t="s">
        <v>2128</v>
      </c>
      <c r="BK76" s="19" t="s">
        <v>16</v>
      </c>
      <c r="BL76" s="19"/>
      <c r="BM76" s="19" t="s">
        <v>2130</v>
      </c>
      <c r="BN76" s="19" t="s">
        <v>2172</v>
      </c>
      <c r="BO76" s="19" t="s">
        <v>2317</v>
      </c>
      <c r="BP76" s="19"/>
      <c r="BQ76" s="19" t="s">
        <v>2133</v>
      </c>
      <c r="BR76" s="19" t="s">
        <v>2133</v>
      </c>
      <c r="BS76" s="19" t="s">
        <v>2134</v>
      </c>
      <c r="BT76" s="19" t="s">
        <v>52</v>
      </c>
      <c r="BU76" s="19"/>
      <c r="BV76" s="19" t="s">
        <v>3652</v>
      </c>
      <c r="BW76" s="19" t="s">
        <v>2113</v>
      </c>
      <c r="BX76" s="19"/>
      <c r="BY76" s="19"/>
      <c r="BZ76" s="19"/>
      <c r="CA76" s="19"/>
      <c r="CB76" s="19" t="s">
        <v>2113</v>
      </c>
      <c r="CC76" s="19"/>
      <c r="CD76" s="19" t="s">
        <v>2137</v>
      </c>
      <c r="CE76" s="19" t="s">
        <v>16</v>
      </c>
      <c r="CF76" s="19"/>
      <c r="CG76" s="19"/>
      <c r="CH76" s="19" t="s">
        <v>16</v>
      </c>
      <c r="CI76" s="21">
        <v>0.0</v>
      </c>
      <c r="CJ76" s="19" t="s">
        <v>17</v>
      </c>
      <c r="CK76" s="19"/>
      <c r="CL76" s="19"/>
      <c r="CM76" s="19" t="s">
        <v>2344</v>
      </c>
      <c r="CN76" s="19" t="s">
        <v>2626</v>
      </c>
      <c r="CO76" s="19"/>
      <c r="CP76" s="19" t="s">
        <v>2134</v>
      </c>
      <c r="CQ76" s="19"/>
      <c r="CR76" s="19" t="s">
        <v>2113</v>
      </c>
      <c r="CS76" s="19" t="s">
        <v>2113</v>
      </c>
      <c r="CT76" s="19"/>
      <c r="CU76" s="19"/>
      <c r="CV76" s="19" t="s">
        <v>2141</v>
      </c>
      <c r="CW76" s="19"/>
      <c r="CX76" s="19"/>
      <c r="CY76" s="19"/>
      <c r="CZ76" s="19"/>
      <c r="DA76" s="19" t="s">
        <v>16</v>
      </c>
      <c r="DB76" s="19" t="s">
        <v>17</v>
      </c>
      <c r="DC76" s="19" t="s">
        <v>2627</v>
      </c>
      <c r="DD76" s="19"/>
      <c r="DE76" s="19"/>
      <c r="DF76" s="19" t="s">
        <v>2297</v>
      </c>
      <c r="DG76" s="19" t="s">
        <v>2383</v>
      </c>
      <c r="DH76" s="19" t="s">
        <v>2580</v>
      </c>
      <c r="DI76" s="24">
        <v>45517.0</v>
      </c>
      <c r="DJ76" s="19" t="s">
        <v>2133</v>
      </c>
      <c r="DK76" s="19" t="s">
        <v>2271</v>
      </c>
      <c r="DL76" s="19" t="s">
        <v>2146</v>
      </c>
      <c r="DM76" s="19"/>
      <c r="DN76" s="19">
        <v>2.0</v>
      </c>
      <c r="DO76" s="19">
        <v>2.0</v>
      </c>
      <c r="DP76" s="19" t="s">
        <v>3653</v>
      </c>
      <c r="DQ76" s="19" t="s">
        <v>3654</v>
      </c>
      <c r="DR76" s="19" t="s">
        <v>3655</v>
      </c>
      <c r="DS76" s="19" t="s">
        <v>2365</v>
      </c>
      <c r="DT76" s="19" t="s">
        <v>2186</v>
      </c>
      <c r="DU76" s="19"/>
      <c r="DV76" s="19"/>
      <c r="DW76" s="19" t="s">
        <v>2153</v>
      </c>
      <c r="DX76" s="19">
        <v>7.0</v>
      </c>
      <c r="DY76" s="19">
        <v>10.0</v>
      </c>
      <c r="DZ76" s="19">
        <v>0.0</v>
      </c>
      <c r="EA76" s="19">
        <v>10.0</v>
      </c>
      <c r="EB76" s="19">
        <v>0.0</v>
      </c>
      <c r="EC76" s="19">
        <v>20.0</v>
      </c>
      <c r="ED76" s="19" t="s">
        <v>2133</v>
      </c>
      <c r="EE76" s="24">
        <v>45517.0</v>
      </c>
      <c r="EF76" s="19" t="s">
        <v>2133</v>
      </c>
      <c r="EG76" s="19" t="s">
        <v>2271</v>
      </c>
      <c r="EH76" s="19" t="s">
        <v>2146</v>
      </c>
      <c r="EI76" s="22">
        <v>13.59375</v>
      </c>
      <c r="EJ76" s="19">
        <v>41.0</v>
      </c>
      <c r="EK76" s="19" t="s">
        <v>2113</v>
      </c>
      <c r="EL76" s="19" t="s">
        <v>2163</v>
      </c>
      <c r="EM76" s="19" t="s">
        <v>3647</v>
      </c>
      <c r="EN76" s="19" t="s">
        <v>240</v>
      </c>
      <c r="EO76" s="19" t="s">
        <v>2619</v>
      </c>
      <c r="EP76" s="19" t="s">
        <v>2122</v>
      </c>
      <c r="EQ76" s="19" t="s">
        <v>2626</v>
      </c>
      <c r="ER76" s="19"/>
      <c r="ES76" s="19" t="s">
        <v>240</v>
      </c>
      <c r="ET76" s="19" t="s">
        <v>240</v>
      </c>
      <c r="EU76" s="19" t="s">
        <v>3645</v>
      </c>
      <c r="EV76" s="19">
        <v>7931.0</v>
      </c>
      <c r="EW76" s="19" t="s">
        <v>16</v>
      </c>
      <c r="EX76" s="19">
        <v>4.0</v>
      </c>
      <c r="EY76" s="25" t="s">
        <v>239</v>
      </c>
      <c r="EZ76" s="19" t="s">
        <v>2154</v>
      </c>
      <c r="FA76" s="5" t="s">
        <v>3656</v>
      </c>
      <c r="FB76" s="26" t="s">
        <v>2156</v>
      </c>
      <c r="FC76" s="26"/>
    </row>
    <row r="77">
      <c r="A77" s="19" t="s">
        <v>2156</v>
      </c>
      <c r="B77" s="19" t="s">
        <v>2113</v>
      </c>
      <c r="C77" s="19" t="s">
        <v>2113</v>
      </c>
      <c r="D77" s="19" t="s">
        <v>241</v>
      </c>
      <c r="E77" s="19" t="s">
        <v>241</v>
      </c>
      <c r="F77" s="19" t="s">
        <v>241</v>
      </c>
      <c r="G77" s="19" t="s">
        <v>241</v>
      </c>
      <c r="H77" s="19" t="s">
        <v>241</v>
      </c>
      <c r="I77" s="19" t="s">
        <v>243</v>
      </c>
      <c r="J77" s="19" t="s">
        <v>3657</v>
      </c>
      <c r="K77" s="19" t="s">
        <v>3658</v>
      </c>
      <c r="L77" s="20">
        <v>45445.0</v>
      </c>
      <c r="M77" s="20">
        <v>45446.0</v>
      </c>
      <c r="N77" s="20">
        <v>45446.0</v>
      </c>
      <c r="O77" s="19" t="s">
        <v>242</v>
      </c>
      <c r="P77" s="19">
        <v>0.0</v>
      </c>
      <c r="Q77" s="19">
        <v>23.0</v>
      </c>
      <c r="R77" s="19">
        <v>8718.0</v>
      </c>
      <c r="S77" s="20" t="s">
        <v>3659</v>
      </c>
      <c r="T77" s="20">
        <v>45461.0</v>
      </c>
      <c r="U77" s="19" t="s">
        <v>241</v>
      </c>
      <c r="V77" s="19"/>
      <c r="W77" s="19" t="s">
        <v>3660</v>
      </c>
      <c r="X77" s="21">
        <v>20.0</v>
      </c>
      <c r="Y77" s="21">
        <v>10.0</v>
      </c>
      <c r="Z77" s="21">
        <v>4.0</v>
      </c>
      <c r="AA77" s="21">
        <v>0.0</v>
      </c>
      <c r="AB77" s="5">
        <v>34.0</v>
      </c>
      <c r="AC77" s="19">
        <v>5.0</v>
      </c>
      <c r="AD77" s="19">
        <v>4.0</v>
      </c>
      <c r="AE77" s="19">
        <v>4.0</v>
      </c>
      <c r="AF77" s="19">
        <v>4.0</v>
      </c>
      <c r="AG77" s="19">
        <v>4.0</v>
      </c>
      <c r="AH77" s="19">
        <v>4.0</v>
      </c>
      <c r="AI77" s="22">
        <v>12.46875</v>
      </c>
      <c r="AJ77" s="19">
        <v>12.0</v>
      </c>
      <c r="AK77" s="19">
        <v>15.0</v>
      </c>
      <c r="AL77" s="19">
        <v>15.0</v>
      </c>
      <c r="AM77" s="19">
        <v>42.0</v>
      </c>
      <c r="AN77" s="19">
        <v>54.5</v>
      </c>
      <c r="AO77" s="19">
        <v>88.5</v>
      </c>
      <c r="AP77" s="19">
        <v>119.0</v>
      </c>
      <c r="AQ77" s="23">
        <v>75.0</v>
      </c>
      <c r="AR77" s="23">
        <v>6.0</v>
      </c>
      <c r="AS77" s="22"/>
      <c r="AT77" s="19" t="s">
        <v>2282</v>
      </c>
      <c r="AU77" s="19" t="s">
        <v>3661</v>
      </c>
      <c r="AV77" s="19" t="s">
        <v>3662</v>
      </c>
      <c r="AW77" s="19" t="s">
        <v>2166</v>
      </c>
      <c r="AX77" s="20">
        <v>36743.0</v>
      </c>
      <c r="AY77" s="19" t="s">
        <v>2619</v>
      </c>
      <c r="AZ77" s="19" t="s">
        <v>2310</v>
      </c>
      <c r="BA77" s="19" t="s">
        <v>3663</v>
      </c>
      <c r="BB77" s="19" t="s">
        <v>3664</v>
      </c>
      <c r="BC77" s="19" t="s">
        <v>3665</v>
      </c>
      <c r="BD77" s="19" t="s">
        <v>3666</v>
      </c>
      <c r="BE77" s="19" t="s">
        <v>3657</v>
      </c>
      <c r="BF77" s="19">
        <v>1.1913642107E10</v>
      </c>
      <c r="BG77" s="19" t="s">
        <v>2127</v>
      </c>
      <c r="BH77" s="19" t="s">
        <v>2128</v>
      </c>
      <c r="BI77" s="19"/>
      <c r="BJ77" s="19"/>
      <c r="BK77" s="19" t="s">
        <v>16</v>
      </c>
      <c r="BL77" s="19" t="s">
        <v>2113</v>
      </c>
      <c r="BM77" s="19" t="s">
        <v>2130</v>
      </c>
      <c r="BN77" s="19"/>
      <c r="BO77" s="19" t="s">
        <v>2317</v>
      </c>
      <c r="BP77" s="19" t="s">
        <v>3667</v>
      </c>
      <c r="BQ77" s="19" t="s">
        <v>2133</v>
      </c>
      <c r="BR77" s="19" t="s">
        <v>2133</v>
      </c>
      <c r="BS77" s="19" t="s">
        <v>2134</v>
      </c>
      <c r="BT77" s="19" t="s">
        <v>52</v>
      </c>
      <c r="BU77" s="19"/>
      <c r="BV77" s="19" t="s">
        <v>3668</v>
      </c>
      <c r="BW77" s="19"/>
      <c r="BX77" s="19"/>
      <c r="BY77" s="19" t="s">
        <v>2113</v>
      </c>
      <c r="BZ77" s="19"/>
      <c r="CA77" s="19"/>
      <c r="CB77" s="19" t="s">
        <v>2113</v>
      </c>
      <c r="CC77" s="19"/>
      <c r="CD77" s="19" t="s">
        <v>2137</v>
      </c>
      <c r="CE77" s="19" t="s">
        <v>16</v>
      </c>
      <c r="CF77" s="19"/>
      <c r="CG77" s="19"/>
      <c r="CH77" s="19" t="s">
        <v>16</v>
      </c>
      <c r="CI77" s="21">
        <v>0.0</v>
      </c>
      <c r="CJ77" s="19" t="s">
        <v>16</v>
      </c>
      <c r="CK77" s="19"/>
      <c r="CL77" s="19"/>
      <c r="CM77" s="19"/>
      <c r="CN77" s="19" t="s">
        <v>2626</v>
      </c>
      <c r="CO77" s="19"/>
      <c r="CP77" s="19"/>
      <c r="CQ77" s="19" t="s">
        <v>2113</v>
      </c>
      <c r="CR77" s="19"/>
      <c r="CS77" s="19"/>
      <c r="CT77" s="19"/>
      <c r="CU77" s="19"/>
      <c r="CV77" s="19" t="s">
        <v>2141</v>
      </c>
      <c r="CW77" s="19"/>
      <c r="CX77" s="19"/>
      <c r="CY77" s="19"/>
      <c r="CZ77" s="19"/>
      <c r="DA77" s="19" t="s">
        <v>16</v>
      </c>
      <c r="DB77" s="19" t="s">
        <v>16</v>
      </c>
      <c r="DC77" s="19" t="s">
        <v>2627</v>
      </c>
      <c r="DD77" s="19"/>
      <c r="DE77" s="19"/>
      <c r="DF77" s="19" t="s">
        <v>2433</v>
      </c>
      <c r="DG77" s="19" t="s">
        <v>2602</v>
      </c>
      <c r="DH77" s="19" t="s">
        <v>2144</v>
      </c>
      <c r="DI77" s="24">
        <v>45518.0</v>
      </c>
      <c r="DJ77" s="19" t="s">
        <v>2133</v>
      </c>
      <c r="DK77" s="19" t="s">
        <v>2145</v>
      </c>
      <c r="DL77" s="19" t="s">
        <v>2146</v>
      </c>
      <c r="DM77" s="19" t="s">
        <v>2672</v>
      </c>
      <c r="DN77" s="19">
        <v>3.0</v>
      </c>
      <c r="DO77" s="19">
        <v>3.0</v>
      </c>
      <c r="DP77" s="19" t="s">
        <v>3669</v>
      </c>
      <c r="DQ77" s="19" t="s">
        <v>3670</v>
      </c>
      <c r="DR77" s="19" t="s">
        <v>3670</v>
      </c>
      <c r="DS77" s="19" t="s">
        <v>2365</v>
      </c>
      <c r="DT77" s="19" t="s">
        <v>2350</v>
      </c>
      <c r="DU77" s="19"/>
      <c r="DV77" s="19"/>
      <c r="DW77" s="19" t="s">
        <v>2153</v>
      </c>
      <c r="DX77" s="19">
        <v>7.0</v>
      </c>
      <c r="DY77" s="19">
        <v>10.0</v>
      </c>
      <c r="DZ77" s="19">
        <v>0.0</v>
      </c>
      <c r="EA77" s="19">
        <v>10.0</v>
      </c>
      <c r="EB77" s="19">
        <v>0.0</v>
      </c>
      <c r="EC77" s="19">
        <v>20.0</v>
      </c>
      <c r="ED77" s="19" t="s">
        <v>2133</v>
      </c>
      <c r="EE77" s="24">
        <v>45518.0</v>
      </c>
      <c r="EF77" s="19" t="s">
        <v>2133</v>
      </c>
      <c r="EG77" s="19" t="s">
        <v>2145</v>
      </c>
      <c r="EH77" s="19" t="s">
        <v>2146</v>
      </c>
      <c r="EI77" s="22">
        <v>12.46875</v>
      </c>
      <c r="EJ77" s="19">
        <v>42.0</v>
      </c>
      <c r="EK77" s="19"/>
      <c r="EL77" s="19" t="s">
        <v>2282</v>
      </c>
      <c r="EM77" s="19" t="s">
        <v>3661</v>
      </c>
      <c r="EN77" s="19" t="s">
        <v>243</v>
      </c>
      <c r="EO77" s="19" t="s">
        <v>2619</v>
      </c>
      <c r="EP77" s="19" t="s">
        <v>2310</v>
      </c>
      <c r="EQ77" s="19" t="s">
        <v>2626</v>
      </c>
      <c r="ER77" s="19"/>
      <c r="ES77" s="19" t="s">
        <v>243</v>
      </c>
      <c r="ET77" s="19" t="s">
        <v>243</v>
      </c>
      <c r="EU77" s="19" t="s">
        <v>3658</v>
      </c>
      <c r="EV77" s="19">
        <v>8718.0</v>
      </c>
      <c r="EW77" s="19" t="s">
        <v>16</v>
      </c>
      <c r="EX77" s="19">
        <v>4.0</v>
      </c>
      <c r="EY77" s="25" t="s">
        <v>242</v>
      </c>
      <c r="EZ77" s="19" t="s">
        <v>2154</v>
      </c>
      <c r="FA77" s="5" t="s">
        <v>3671</v>
      </c>
      <c r="FB77" s="26" t="s">
        <v>2156</v>
      </c>
      <c r="FC77" s="26"/>
    </row>
    <row r="78">
      <c r="A78" s="19" t="s">
        <v>2112</v>
      </c>
      <c r="B78" s="19" t="s">
        <v>2113</v>
      </c>
      <c r="C78" s="19" t="s">
        <v>2113</v>
      </c>
      <c r="D78" s="19" t="s">
        <v>244</v>
      </c>
      <c r="E78" s="19" t="s">
        <v>3672</v>
      </c>
      <c r="F78" s="19" t="s">
        <v>244</v>
      </c>
      <c r="G78" s="19"/>
      <c r="H78" s="19" t="s">
        <v>244</v>
      </c>
      <c r="I78" s="19" t="s">
        <v>246</v>
      </c>
      <c r="J78" s="19" t="s">
        <v>3673</v>
      </c>
      <c r="K78" s="19" t="s">
        <v>3674</v>
      </c>
      <c r="L78" s="20">
        <v>45460.0</v>
      </c>
      <c r="M78" s="20">
        <v>45462.0</v>
      </c>
      <c r="N78" s="20">
        <v>45462.0</v>
      </c>
      <c r="O78" s="19" t="s">
        <v>245</v>
      </c>
      <c r="P78" s="19">
        <v>1.0</v>
      </c>
      <c r="Q78" s="19">
        <v>23.0</v>
      </c>
      <c r="R78" s="19">
        <v>8691.0</v>
      </c>
      <c r="S78" s="20" t="s">
        <v>3675</v>
      </c>
      <c r="T78" s="20">
        <v>45461.0</v>
      </c>
      <c r="U78" s="19" t="s">
        <v>244</v>
      </c>
      <c r="V78" s="19"/>
      <c r="W78" s="19"/>
      <c r="X78" s="21">
        <v>20.0</v>
      </c>
      <c r="Y78" s="21">
        <v>10.0</v>
      </c>
      <c r="Z78" s="21">
        <v>5.0</v>
      </c>
      <c r="AA78" s="21">
        <v>0.0</v>
      </c>
      <c r="AB78" s="5">
        <v>35.0</v>
      </c>
      <c r="AC78" s="19">
        <v>4.0</v>
      </c>
      <c r="AD78" s="19">
        <v>4.6</v>
      </c>
      <c r="AE78" s="19">
        <v>4.8</v>
      </c>
      <c r="AF78" s="19">
        <v>4.6</v>
      </c>
      <c r="AG78" s="19">
        <v>3.6</v>
      </c>
      <c r="AH78" s="19">
        <v>4.8</v>
      </c>
      <c r="AI78" s="22">
        <v>13.36875</v>
      </c>
      <c r="AJ78" s="19">
        <v>15.0</v>
      </c>
      <c r="AK78" s="19">
        <v>15.0</v>
      </c>
      <c r="AL78" s="19">
        <v>10.0</v>
      </c>
      <c r="AM78" s="19">
        <v>40.0</v>
      </c>
      <c r="AN78" s="19">
        <v>53.4</v>
      </c>
      <c r="AO78" s="19">
        <v>88.4</v>
      </c>
      <c r="AP78" s="19">
        <v>56.0</v>
      </c>
      <c r="AQ78" s="23">
        <v>76.0</v>
      </c>
      <c r="AR78" s="23">
        <v>4.0</v>
      </c>
      <c r="AS78" s="22"/>
      <c r="AT78" s="19" t="s">
        <v>2117</v>
      </c>
      <c r="AU78" s="19" t="s">
        <v>3676</v>
      </c>
      <c r="AV78" s="19" t="s">
        <v>3677</v>
      </c>
      <c r="AW78" s="19"/>
      <c r="AX78" s="20">
        <v>36770.0</v>
      </c>
      <c r="AY78" s="19" t="s">
        <v>2529</v>
      </c>
      <c r="AZ78" s="19" t="s">
        <v>2310</v>
      </c>
      <c r="BA78" s="19" t="s">
        <v>3678</v>
      </c>
      <c r="BB78" s="19" t="s">
        <v>3679</v>
      </c>
      <c r="BC78" s="19" t="s">
        <v>3680</v>
      </c>
      <c r="BD78" s="19" t="s">
        <v>3681</v>
      </c>
      <c r="BE78" s="19" t="s">
        <v>3682</v>
      </c>
      <c r="BF78" s="19">
        <v>1.1953793365E10</v>
      </c>
      <c r="BG78" s="19" t="s">
        <v>2127</v>
      </c>
      <c r="BH78" s="19" t="s">
        <v>2128</v>
      </c>
      <c r="BI78" s="19"/>
      <c r="BJ78" s="19" t="s">
        <v>2128</v>
      </c>
      <c r="BK78" s="19" t="s">
        <v>16</v>
      </c>
      <c r="BL78" s="19"/>
      <c r="BM78" s="19" t="s">
        <v>2130</v>
      </c>
      <c r="BN78" s="19" t="s">
        <v>2172</v>
      </c>
      <c r="BO78" s="19" t="s">
        <v>2132</v>
      </c>
      <c r="BP78" s="19"/>
      <c r="BQ78" s="19" t="s">
        <v>2174</v>
      </c>
      <c r="BR78" s="19" t="s">
        <v>2174</v>
      </c>
      <c r="BS78" s="19" t="s">
        <v>2134</v>
      </c>
      <c r="BT78" s="19" t="s">
        <v>75</v>
      </c>
      <c r="BU78" s="19"/>
      <c r="BV78" s="19" t="s">
        <v>3683</v>
      </c>
      <c r="BW78" s="19"/>
      <c r="BX78" s="19" t="s">
        <v>2113</v>
      </c>
      <c r="BY78" s="19"/>
      <c r="BZ78" s="19"/>
      <c r="CA78" s="19" t="s">
        <v>2113</v>
      </c>
      <c r="CB78" s="19" t="s">
        <v>2113</v>
      </c>
      <c r="CC78" s="19" t="s">
        <v>2113</v>
      </c>
      <c r="CD78" s="19" t="s">
        <v>2137</v>
      </c>
      <c r="CE78" s="19" t="s">
        <v>16</v>
      </c>
      <c r="CF78" s="19"/>
      <c r="CG78" s="19"/>
      <c r="CH78" s="19" t="s">
        <v>16</v>
      </c>
      <c r="CI78" s="21">
        <v>0.0</v>
      </c>
      <c r="CJ78" s="19" t="s">
        <v>17</v>
      </c>
      <c r="CK78" s="19"/>
      <c r="CL78" s="19" t="s">
        <v>2113</v>
      </c>
      <c r="CM78" s="19" t="s">
        <v>2138</v>
      </c>
      <c r="CN78" s="19" t="s">
        <v>2537</v>
      </c>
      <c r="CO78" s="19"/>
      <c r="CP78" s="19" t="s">
        <v>2134</v>
      </c>
      <c r="CQ78" s="19"/>
      <c r="CR78" s="19" t="s">
        <v>2113</v>
      </c>
      <c r="CS78" s="19" t="s">
        <v>2113</v>
      </c>
      <c r="CT78" s="19" t="s">
        <v>2113</v>
      </c>
      <c r="CU78" s="19" t="s">
        <v>2113</v>
      </c>
      <c r="CV78" s="19" t="s">
        <v>2179</v>
      </c>
      <c r="CW78" s="19"/>
      <c r="CX78" s="19"/>
      <c r="CY78" s="19" t="s">
        <v>2113</v>
      </c>
      <c r="CZ78" s="19" t="s">
        <v>2113</v>
      </c>
      <c r="DA78" s="19" t="s">
        <v>16</v>
      </c>
      <c r="DB78" s="19" t="s">
        <v>17</v>
      </c>
      <c r="DC78" s="19" t="s">
        <v>3562</v>
      </c>
      <c r="DD78" s="19" t="s">
        <v>2113</v>
      </c>
      <c r="DE78" s="19" t="s">
        <v>2113</v>
      </c>
      <c r="DF78" s="19" t="s">
        <v>3684</v>
      </c>
      <c r="DG78" s="19" t="s">
        <v>2227</v>
      </c>
      <c r="DH78" s="19" t="s">
        <v>2144</v>
      </c>
      <c r="DI78" s="24">
        <v>45518.0</v>
      </c>
      <c r="DJ78" s="19" t="s">
        <v>2174</v>
      </c>
      <c r="DK78" s="19" t="s">
        <v>2145</v>
      </c>
      <c r="DL78" s="19" t="s">
        <v>2183</v>
      </c>
      <c r="DM78" s="19" t="s">
        <v>2228</v>
      </c>
      <c r="DN78" s="19">
        <v>3.0</v>
      </c>
      <c r="DO78" s="19">
        <v>3.0</v>
      </c>
      <c r="DP78" s="19"/>
      <c r="DQ78" s="19"/>
      <c r="DR78" s="19"/>
      <c r="DS78" s="19" t="s">
        <v>2151</v>
      </c>
      <c r="DT78" s="19" t="s">
        <v>2186</v>
      </c>
      <c r="DU78" s="19" t="s">
        <v>3685</v>
      </c>
      <c r="DV78" s="19"/>
      <c r="DW78" s="19" t="s">
        <v>2153</v>
      </c>
      <c r="DX78" s="19">
        <v>13.0</v>
      </c>
      <c r="DY78" s="19">
        <v>10.0</v>
      </c>
      <c r="DZ78" s="19">
        <v>0.0</v>
      </c>
      <c r="EA78" s="19">
        <v>10.0</v>
      </c>
      <c r="EB78" s="19">
        <v>0.0</v>
      </c>
      <c r="EC78" s="19">
        <v>20.0</v>
      </c>
      <c r="ED78" s="19" t="s">
        <v>2174</v>
      </c>
      <c r="EE78" s="24">
        <v>45518.0</v>
      </c>
      <c r="EF78" s="19" t="s">
        <v>2174</v>
      </c>
      <c r="EG78" s="19" t="s">
        <v>2145</v>
      </c>
      <c r="EH78" s="19" t="s">
        <v>2183</v>
      </c>
      <c r="EI78" s="22">
        <v>13.36875</v>
      </c>
      <c r="EJ78" s="19">
        <v>40.0</v>
      </c>
      <c r="EK78" s="19" t="s">
        <v>2113</v>
      </c>
      <c r="EL78" s="19" t="s">
        <v>2117</v>
      </c>
      <c r="EM78" s="19" t="s">
        <v>3676</v>
      </c>
      <c r="EN78" s="19" t="s">
        <v>246</v>
      </c>
      <c r="EO78" s="19" t="s">
        <v>2529</v>
      </c>
      <c r="EP78" s="19" t="s">
        <v>2310</v>
      </c>
      <c r="EQ78" s="19" t="s">
        <v>2537</v>
      </c>
      <c r="ER78" s="19"/>
      <c r="ES78" s="19" t="s">
        <v>246</v>
      </c>
      <c r="ET78" s="19" t="s">
        <v>246</v>
      </c>
      <c r="EU78" s="19" t="s">
        <v>3674</v>
      </c>
      <c r="EV78" s="19">
        <v>8691.0</v>
      </c>
      <c r="EW78" s="19" t="s">
        <v>16</v>
      </c>
      <c r="EX78" s="19">
        <v>5.0</v>
      </c>
      <c r="EY78" s="25" t="s">
        <v>245</v>
      </c>
      <c r="EZ78" s="19" t="s">
        <v>2154</v>
      </c>
      <c r="FA78" s="5" t="s">
        <v>3686</v>
      </c>
      <c r="FB78" s="26" t="s">
        <v>2156</v>
      </c>
      <c r="FC78" s="26"/>
    </row>
    <row r="79">
      <c r="A79" s="19" t="s">
        <v>2112</v>
      </c>
      <c r="B79" s="19" t="s">
        <v>2113</v>
      </c>
      <c r="C79" s="19" t="s">
        <v>2113</v>
      </c>
      <c r="D79" s="19" t="s">
        <v>247</v>
      </c>
      <c r="E79" s="19" t="s">
        <v>3687</v>
      </c>
      <c r="F79" s="19" t="s">
        <v>247</v>
      </c>
      <c r="G79" s="19"/>
      <c r="H79" s="19" t="s">
        <v>247</v>
      </c>
      <c r="I79" s="19" t="s">
        <v>249</v>
      </c>
      <c r="J79" s="19" t="s">
        <v>3688</v>
      </c>
      <c r="K79" s="19" t="s">
        <v>3689</v>
      </c>
      <c r="L79" s="20">
        <v>45458.0</v>
      </c>
      <c r="M79" s="20">
        <v>45460.0</v>
      </c>
      <c r="N79" s="20">
        <v>45460.0</v>
      </c>
      <c r="O79" s="19" t="s">
        <v>248</v>
      </c>
      <c r="P79" s="19">
        <v>0.0</v>
      </c>
      <c r="Q79" s="19">
        <v>18.0</v>
      </c>
      <c r="R79" s="19">
        <v>6914.0</v>
      </c>
      <c r="S79" s="20" t="s">
        <v>3690</v>
      </c>
      <c r="T79" s="20">
        <v>45461.0</v>
      </c>
      <c r="U79" s="19" t="s">
        <v>247</v>
      </c>
      <c r="V79" s="19"/>
      <c r="W79" s="19"/>
      <c r="X79" s="21">
        <v>20.0</v>
      </c>
      <c r="Y79" s="21">
        <v>10.0</v>
      </c>
      <c r="Z79" s="21">
        <v>3.0</v>
      </c>
      <c r="AA79" s="21">
        <v>3.0</v>
      </c>
      <c r="AB79" s="5">
        <v>36.0</v>
      </c>
      <c r="AC79" s="19">
        <v>4.0</v>
      </c>
      <c r="AD79" s="19">
        <v>4.0</v>
      </c>
      <c r="AE79" s="19">
        <v>4.0</v>
      </c>
      <c r="AF79" s="19">
        <v>3.0</v>
      </c>
      <c r="AG79" s="19">
        <v>3.0</v>
      </c>
      <c r="AH79" s="19">
        <v>4.0</v>
      </c>
      <c r="AI79" s="22">
        <v>11.25</v>
      </c>
      <c r="AJ79" s="19">
        <v>13.0</v>
      </c>
      <c r="AK79" s="19">
        <v>15.0</v>
      </c>
      <c r="AL79" s="19">
        <v>13.0</v>
      </c>
      <c r="AM79" s="19">
        <v>41.0</v>
      </c>
      <c r="AN79" s="19">
        <v>52.3</v>
      </c>
      <c r="AO79" s="19">
        <v>88.3</v>
      </c>
      <c r="AP79" s="19">
        <v>41.0</v>
      </c>
      <c r="AQ79" s="23">
        <v>77.0</v>
      </c>
      <c r="AR79" s="23">
        <v>13.0</v>
      </c>
      <c r="AS79" s="22"/>
      <c r="AT79" s="19" t="s">
        <v>2163</v>
      </c>
      <c r="AU79" s="19" t="s">
        <v>3691</v>
      </c>
      <c r="AV79" s="19" t="s">
        <v>3692</v>
      </c>
      <c r="AW79" s="19" t="s">
        <v>3693</v>
      </c>
      <c r="AX79" s="20">
        <v>38547.0</v>
      </c>
      <c r="AY79" s="19" t="s">
        <v>3015</v>
      </c>
      <c r="AZ79" s="19" t="s">
        <v>2310</v>
      </c>
      <c r="BA79" s="19" t="s">
        <v>3694</v>
      </c>
      <c r="BB79" s="19" t="s">
        <v>3695</v>
      </c>
      <c r="BC79" s="19" t="s">
        <v>3696</v>
      </c>
      <c r="BD79" s="19" t="s">
        <v>3697</v>
      </c>
      <c r="BE79" s="19" t="s">
        <v>3698</v>
      </c>
      <c r="BF79" s="19">
        <v>1.1916739766E10</v>
      </c>
      <c r="BG79" s="19" t="s">
        <v>2127</v>
      </c>
      <c r="BH79" s="19" t="s">
        <v>2128</v>
      </c>
      <c r="BI79" s="19"/>
      <c r="BJ79" s="19"/>
      <c r="BK79" s="19" t="s">
        <v>16</v>
      </c>
      <c r="BL79" s="19" t="s">
        <v>2113</v>
      </c>
      <c r="BM79" s="19" t="s">
        <v>2130</v>
      </c>
      <c r="BN79" s="19" t="s">
        <v>2172</v>
      </c>
      <c r="BO79" s="19" t="s">
        <v>2473</v>
      </c>
      <c r="BP79" s="19"/>
      <c r="BQ79" s="19" t="s">
        <v>2133</v>
      </c>
      <c r="BR79" s="19" t="s">
        <v>2133</v>
      </c>
      <c r="BS79" s="19" t="s">
        <v>2134</v>
      </c>
      <c r="BT79" s="19" t="s">
        <v>38</v>
      </c>
      <c r="BU79" s="19"/>
      <c r="BV79" s="19" t="s">
        <v>3699</v>
      </c>
      <c r="BW79" s="19"/>
      <c r="BX79" s="19"/>
      <c r="BY79" s="19"/>
      <c r="BZ79" s="19"/>
      <c r="CA79" s="19"/>
      <c r="CB79" s="19" t="s">
        <v>2113</v>
      </c>
      <c r="CC79" s="19"/>
      <c r="CD79" s="19" t="s">
        <v>2137</v>
      </c>
      <c r="CE79" s="19" t="s">
        <v>16</v>
      </c>
      <c r="CF79" s="19"/>
      <c r="CG79" s="19"/>
      <c r="CH79" s="19" t="s">
        <v>17</v>
      </c>
      <c r="CI79" s="21">
        <v>3.0</v>
      </c>
      <c r="CJ79" s="19" t="s">
        <v>17</v>
      </c>
      <c r="CK79" s="19"/>
      <c r="CL79" s="19"/>
      <c r="CM79" s="19"/>
      <c r="CN79" s="19" t="s">
        <v>3020</v>
      </c>
      <c r="CO79" s="19"/>
      <c r="CP79" s="19"/>
      <c r="CQ79" s="19"/>
      <c r="CR79" s="19" t="s">
        <v>2113</v>
      </c>
      <c r="CS79" s="19" t="s">
        <v>2113</v>
      </c>
      <c r="CT79" s="19" t="s">
        <v>2113</v>
      </c>
      <c r="CU79" s="19" t="s">
        <v>2113</v>
      </c>
      <c r="CV79" s="19" t="s">
        <v>2141</v>
      </c>
      <c r="CW79" s="19"/>
      <c r="CX79" s="19"/>
      <c r="CY79" s="19"/>
      <c r="CZ79" s="19"/>
      <c r="DA79" s="19" t="s">
        <v>16</v>
      </c>
      <c r="DB79" s="19" t="s">
        <v>17</v>
      </c>
      <c r="DC79" s="19" t="s">
        <v>2142</v>
      </c>
      <c r="DD79" s="19"/>
      <c r="DE79" s="19"/>
      <c r="DF79" s="19" t="s">
        <v>2578</v>
      </c>
      <c r="DG79" s="19" t="s">
        <v>2406</v>
      </c>
      <c r="DH79" s="19" t="s">
        <v>2144</v>
      </c>
      <c r="DI79" s="24">
        <v>45531.0</v>
      </c>
      <c r="DJ79" s="19" t="s">
        <v>2133</v>
      </c>
      <c r="DK79" s="19" t="s">
        <v>2145</v>
      </c>
      <c r="DL79" s="19" t="s">
        <v>2146</v>
      </c>
      <c r="DM79" s="19" t="s">
        <v>3183</v>
      </c>
      <c r="DN79" s="19">
        <v>13.0</v>
      </c>
      <c r="DO79" s="19">
        <v>13.0</v>
      </c>
      <c r="DP79" s="19" t="s">
        <v>3700</v>
      </c>
      <c r="DQ79" s="19" t="s">
        <v>3701</v>
      </c>
      <c r="DR79" s="19" t="s">
        <v>3702</v>
      </c>
      <c r="DS79" s="19" t="s">
        <v>2365</v>
      </c>
      <c r="DT79" s="19" t="s">
        <v>2350</v>
      </c>
      <c r="DU79" s="19"/>
      <c r="DV79" s="19"/>
      <c r="DW79" s="19" t="s">
        <v>2153</v>
      </c>
      <c r="DX79" s="19">
        <v>8.0</v>
      </c>
      <c r="DY79" s="19">
        <v>10.0</v>
      </c>
      <c r="DZ79" s="19">
        <v>0.0</v>
      </c>
      <c r="EA79" s="19">
        <v>10.0</v>
      </c>
      <c r="EB79" s="19">
        <v>3.0</v>
      </c>
      <c r="EC79" s="19">
        <v>20.0</v>
      </c>
      <c r="ED79" s="19" t="s">
        <v>2133</v>
      </c>
      <c r="EE79" s="24">
        <v>45531.0</v>
      </c>
      <c r="EF79" s="19" t="s">
        <v>2133</v>
      </c>
      <c r="EG79" s="19" t="s">
        <v>2145</v>
      </c>
      <c r="EH79" s="19" t="s">
        <v>2146</v>
      </c>
      <c r="EI79" s="22">
        <v>11.25</v>
      </c>
      <c r="EJ79" s="19">
        <v>41.0</v>
      </c>
      <c r="EK79" s="19" t="s">
        <v>2113</v>
      </c>
      <c r="EL79" s="19" t="s">
        <v>2163</v>
      </c>
      <c r="EM79" s="19" t="s">
        <v>3691</v>
      </c>
      <c r="EN79" s="19" t="s">
        <v>249</v>
      </c>
      <c r="EO79" s="19" t="s">
        <v>3015</v>
      </c>
      <c r="EP79" s="19" t="s">
        <v>2310</v>
      </c>
      <c r="EQ79" s="19" t="s">
        <v>3020</v>
      </c>
      <c r="ER79" s="19"/>
      <c r="ES79" s="19" t="s">
        <v>249</v>
      </c>
      <c r="ET79" s="19" t="s">
        <v>249</v>
      </c>
      <c r="EU79" s="19" t="s">
        <v>3689</v>
      </c>
      <c r="EV79" s="19">
        <v>6914.0</v>
      </c>
      <c r="EW79" s="19" t="s">
        <v>16</v>
      </c>
      <c r="EX79" s="19">
        <v>3.0</v>
      </c>
      <c r="EY79" s="25" t="s">
        <v>248</v>
      </c>
      <c r="EZ79" s="19" t="s">
        <v>2154</v>
      </c>
      <c r="FA79" s="5" t="s">
        <v>3703</v>
      </c>
      <c r="FB79" s="26" t="s">
        <v>2156</v>
      </c>
      <c r="FC79" s="26"/>
    </row>
    <row r="80">
      <c r="A80" s="19" t="s">
        <v>2112</v>
      </c>
      <c r="B80" s="19" t="s">
        <v>2113</v>
      </c>
      <c r="C80" s="19" t="s">
        <v>2113</v>
      </c>
      <c r="D80" s="19" t="s">
        <v>3704</v>
      </c>
      <c r="E80" s="19" t="s">
        <v>3705</v>
      </c>
      <c r="F80" s="19" t="s">
        <v>3706</v>
      </c>
      <c r="G80" s="19" t="s">
        <v>3707</v>
      </c>
      <c r="H80" s="19" t="s">
        <v>250</v>
      </c>
      <c r="I80" s="19" t="s">
        <v>252</v>
      </c>
      <c r="J80" s="19" t="s">
        <v>3708</v>
      </c>
      <c r="K80" s="19" t="s">
        <v>3709</v>
      </c>
      <c r="L80" s="20">
        <v>45446.0</v>
      </c>
      <c r="M80" s="20">
        <v>45447.0</v>
      </c>
      <c r="N80" s="20">
        <v>45447.0</v>
      </c>
      <c r="O80" s="19" t="s">
        <v>251</v>
      </c>
      <c r="P80" s="19">
        <v>0.0</v>
      </c>
      <c r="Q80" s="19">
        <v>20.0</v>
      </c>
      <c r="R80" s="19">
        <v>7573.0</v>
      </c>
      <c r="S80" s="20" t="s">
        <v>3710</v>
      </c>
      <c r="T80" s="20">
        <v>45461.0</v>
      </c>
      <c r="U80" s="19" t="s">
        <v>3706</v>
      </c>
      <c r="V80" s="19"/>
      <c r="W80" s="19"/>
      <c r="X80" s="21">
        <v>20.0</v>
      </c>
      <c r="Y80" s="21">
        <v>10.0</v>
      </c>
      <c r="Z80" s="21">
        <v>3.0</v>
      </c>
      <c r="AA80" s="21">
        <v>0.0</v>
      </c>
      <c r="AB80" s="5">
        <v>33.0</v>
      </c>
      <c r="AC80" s="19">
        <v>5.0</v>
      </c>
      <c r="AD80" s="19">
        <v>4.0</v>
      </c>
      <c r="AE80" s="19">
        <v>4.0</v>
      </c>
      <c r="AF80" s="19">
        <v>5.0</v>
      </c>
      <c r="AG80" s="19">
        <v>4.0</v>
      </c>
      <c r="AH80" s="19">
        <v>5.0</v>
      </c>
      <c r="AI80" s="22">
        <v>13.21875</v>
      </c>
      <c r="AJ80" s="19">
        <v>13.0</v>
      </c>
      <c r="AK80" s="19">
        <v>14.0</v>
      </c>
      <c r="AL80" s="19">
        <v>15.0</v>
      </c>
      <c r="AM80" s="19">
        <v>42.0</v>
      </c>
      <c r="AN80" s="19">
        <v>55.2</v>
      </c>
      <c r="AO80" s="19">
        <v>88.2</v>
      </c>
      <c r="AP80" s="19">
        <v>160.0</v>
      </c>
      <c r="AQ80" s="23">
        <v>78.0</v>
      </c>
      <c r="AR80" s="23">
        <v>14.0</v>
      </c>
      <c r="AS80" s="22"/>
      <c r="AT80" s="19" t="s">
        <v>2117</v>
      </c>
      <c r="AU80" s="19" t="s">
        <v>3711</v>
      </c>
      <c r="AV80" s="19" t="s">
        <v>3712</v>
      </c>
      <c r="AW80" s="19" t="s">
        <v>3713</v>
      </c>
      <c r="AX80" s="20">
        <v>37888.0</v>
      </c>
      <c r="AY80" s="19" t="s">
        <v>2467</v>
      </c>
      <c r="AZ80" s="19" t="s">
        <v>2122</v>
      </c>
      <c r="BA80" s="19" t="s">
        <v>3714</v>
      </c>
      <c r="BB80" s="19" t="s">
        <v>3715</v>
      </c>
      <c r="BC80" s="19" t="s">
        <v>3716</v>
      </c>
      <c r="BD80" s="19" t="s">
        <v>3717</v>
      </c>
      <c r="BE80" s="19" t="s">
        <v>3718</v>
      </c>
      <c r="BF80" s="19">
        <v>1.1948416379E10</v>
      </c>
      <c r="BG80" s="19" t="s">
        <v>2127</v>
      </c>
      <c r="BH80" s="19" t="s">
        <v>2128</v>
      </c>
      <c r="BI80" s="19"/>
      <c r="BJ80" s="19" t="s">
        <v>2128</v>
      </c>
      <c r="BK80" s="19" t="s">
        <v>17</v>
      </c>
      <c r="BL80" s="19" t="s">
        <v>2113</v>
      </c>
      <c r="BM80" s="19" t="s">
        <v>2130</v>
      </c>
      <c r="BN80" s="19" t="s">
        <v>2401</v>
      </c>
      <c r="BO80" s="19" t="s">
        <v>2473</v>
      </c>
      <c r="BP80" s="19" t="s">
        <v>3719</v>
      </c>
      <c r="BQ80" s="19" t="s">
        <v>2133</v>
      </c>
      <c r="BR80" s="19" t="s">
        <v>2133</v>
      </c>
      <c r="BS80" s="19" t="s">
        <v>2134</v>
      </c>
      <c r="BT80" s="19" t="s">
        <v>38</v>
      </c>
      <c r="BU80" s="19" t="s">
        <v>3720</v>
      </c>
      <c r="BV80" s="19" t="s">
        <v>3721</v>
      </c>
      <c r="BW80" s="19"/>
      <c r="BX80" s="19"/>
      <c r="BY80" s="19"/>
      <c r="BZ80" s="19" t="s">
        <v>2113</v>
      </c>
      <c r="CA80" s="19" t="s">
        <v>2113</v>
      </c>
      <c r="CB80" s="19" t="s">
        <v>2113</v>
      </c>
      <c r="CC80" s="19"/>
      <c r="CD80" s="19" t="s">
        <v>2137</v>
      </c>
      <c r="CE80" s="19" t="s">
        <v>16</v>
      </c>
      <c r="CF80" s="19"/>
      <c r="CG80" s="19"/>
      <c r="CH80" s="19" t="s">
        <v>16</v>
      </c>
      <c r="CI80" s="21">
        <v>0.0</v>
      </c>
      <c r="CJ80" s="19" t="s">
        <v>17</v>
      </c>
      <c r="CK80" s="19"/>
      <c r="CL80" s="19"/>
      <c r="CM80" s="19" t="s">
        <v>2138</v>
      </c>
      <c r="CN80" s="19" t="s">
        <v>2475</v>
      </c>
      <c r="CO80" s="19"/>
      <c r="CP80" s="19" t="s">
        <v>2225</v>
      </c>
      <c r="CQ80" s="19"/>
      <c r="CR80" s="19"/>
      <c r="CS80" s="19"/>
      <c r="CT80" s="19"/>
      <c r="CU80" s="19"/>
      <c r="CV80" s="19" t="s">
        <v>2179</v>
      </c>
      <c r="CW80" s="19"/>
      <c r="CX80" s="19"/>
      <c r="CY80" s="19" t="s">
        <v>2113</v>
      </c>
      <c r="CZ80" s="19" t="s">
        <v>2113</v>
      </c>
      <c r="DA80" s="19" t="s">
        <v>16</v>
      </c>
      <c r="DB80" s="19" t="s">
        <v>17</v>
      </c>
      <c r="DC80" s="19" t="s">
        <v>2477</v>
      </c>
      <c r="DD80" s="19" t="s">
        <v>2113</v>
      </c>
      <c r="DE80" s="19" t="s">
        <v>2113</v>
      </c>
      <c r="DF80" s="19" t="s">
        <v>2578</v>
      </c>
      <c r="DG80" s="19" t="s">
        <v>2142</v>
      </c>
      <c r="DH80" s="19" t="s">
        <v>2144</v>
      </c>
      <c r="DI80" s="24">
        <v>45533.0</v>
      </c>
      <c r="DJ80" s="19" t="s">
        <v>2133</v>
      </c>
      <c r="DK80" s="19" t="s">
        <v>2271</v>
      </c>
      <c r="DL80" s="19" t="s">
        <v>2146</v>
      </c>
      <c r="DM80" s="19" t="s">
        <v>2906</v>
      </c>
      <c r="DN80" s="19">
        <v>18.0</v>
      </c>
      <c r="DO80" s="19">
        <v>18.0</v>
      </c>
      <c r="DP80" s="19"/>
      <c r="DQ80" s="19"/>
      <c r="DR80" s="19"/>
      <c r="DS80" s="19" t="s">
        <v>2151</v>
      </c>
      <c r="DT80" s="19" t="s">
        <v>2186</v>
      </c>
      <c r="DU80" s="19" t="s">
        <v>3722</v>
      </c>
      <c r="DV80" s="19"/>
      <c r="DW80" s="19" t="s">
        <v>2153</v>
      </c>
      <c r="DX80" s="19">
        <v>12.0</v>
      </c>
      <c r="DY80" s="19">
        <v>10.0</v>
      </c>
      <c r="DZ80" s="19">
        <v>0.0</v>
      </c>
      <c r="EA80" s="19">
        <v>10.0</v>
      </c>
      <c r="EB80" s="19">
        <v>0.0</v>
      </c>
      <c r="EC80" s="19">
        <v>20.0</v>
      </c>
      <c r="ED80" s="19" t="s">
        <v>2133</v>
      </c>
      <c r="EE80" s="24">
        <v>45533.0</v>
      </c>
      <c r="EF80" s="19" t="s">
        <v>2133</v>
      </c>
      <c r="EG80" s="19" t="s">
        <v>2271</v>
      </c>
      <c r="EH80" s="19" t="s">
        <v>2146</v>
      </c>
      <c r="EI80" s="22">
        <v>13.21875</v>
      </c>
      <c r="EJ80" s="19">
        <v>42.0</v>
      </c>
      <c r="EK80" s="19" t="s">
        <v>2113</v>
      </c>
      <c r="EL80" s="19" t="s">
        <v>2117</v>
      </c>
      <c r="EM80" s="19" t="s">
        <v>3711</v>
      </c>
      <c r="EN80" s="19" t="s">
        <v>252</v>
      </c>
      <c r="EO80" s="19" t="s">
        <v>2467</v>
      </c>
      <c r="EP80" s="19" t="s">
        <v>2122</v>
      </c>
      <c r="EQ80" s="19" t="s">
        <v>2475</v>
      </c>
      <c r="ER80" s="19"/>
      <c r="ES80" s="19" t="s">
        <v>252</v>
      </c>
      <c r="ET80" s="19" t="s">
        <v>252</v>
      </c>
      <c r="EU80" s="19" t="s">
        <v>3709</v>
      </c>
      <c r="EV80" s="19">
        <v>7573.0</v>
      </c>
      <c r="EW80" s="19" t="s">
        <v>16</v>
      </c>
      <c r="EX80" s="19">
        <v>3.0</v>
      </c>
      <c r="EY80" s="25" t="s">
        <v>251</v>
      </c>
      <c r="EZ80" s="19" t="s">
        <v>2154</v>
      </c>
      <c r="FA80" s="5" t="s">
        <v>3723</v>
      </c>
      <c r="FB80" s="26" t="s">
        <v>2156</v>
      </c>
      <c r="FC80" s="26"/>
    </row>
    <row r="81" hidden="1">
      <c r="A81" s="19" t="s">
        <v>2156</v>
      </c>
      <c r="B81" s="19" t="s">
        <v>2113</v>
      </c>
      <c r="C81" s="19" t="s">
        <v>2113</v>
      </c>
      <c r="D81" s="27" t="s">
        <v>3724</v>
      </c>
      <c r="E81" s="19" t="s">
        <v>3725</v>
      </c>
      <c r="F81" s="19" t="s">
        <v>3724</v>
      </c>
      <c r="G81" s="19"/>
      <c r="H81" s="27" t="s">
        <v>3724</v>
      </c>
      <c r="I81" s="19" t="s">
        <v>3726</v>
      </c>
      <c r="J81" s="19" t="s">
        <v>3727</v>
      </c>
      <c r="K81" s="19" t="s">
        <v>3728</v>
      </c>
      <c r="L81" s="20">
        <v>45400.0</v>
      </c>
      <c r="M81" s="20">
        <v>45411.0</v>
      </c>
      <c r="N81" s="20">
        <v>45411.0</v>
      </c>
      <c r="O81" s="19" t="s">
        <v>3729</v>
      </c>
      <c r="P81" s="19">
        <v>0.0</v>
      </c>
      <c r="Q81" s="19">
        <v>18.0</v>
      </c>
      <c r="R81" s="19">
        <v>6685.0</v>
      </c>
      <c r="S81" s="20" t="s">
        <v>3730</v>
      </c>
      <c r="T81" s="20">
        <v>45461.0</v>
      </c>
      <c r="U81" s="19" t="s">
        <v>3724</v>
      </c>
      <c r="V81" s="19"/>
      <c r="W81" s="19"/>
      <c r="X81" s="21">
        <v>20.0</v>
      </c>
      <c r="Y81" s="21">
        <v>10.0</v>
      </c>
      <c r="Z81" s="21">
        <v>2.0</v>
      </c>
      <c r="AA81" s="21">
        <v>2.0</v>
      </c>
      <c r="AB81" s="5">
        <v>34.0</v>
      </c>
      <c r="AC81" s="19">
        <v>3.5</v>
      </c>
      <c r="AD81" s="19">
        <v>4.0</v>
      </c>
      <c r="AE81" s="19">
        <v>3.5</v>
      </c>
      <c r="AF81" s="19">
        <v>3.5</v>
      </c>
      <c r="AG81" s="19">
        <v>4.0</v>
      </c>
      <c r="AH81" s="19">
        <v>4.0</v>
      </c>
      <c r="AI81" s="22">
        <v>11.203125</v>
      </c>
      <c r="AJ81" s="19">
        <v>14.0</v>
      </c>
      <c r="AK81" s="19">
        <v>15.0</v>
      </c>
      <c r="AL81" s="19">
        <v>14.0</v>
      </c>
      <c r="AM81" s="19">
        <v>43.0</v>
      </c>
      <c r="AN81" s="19">
        <v>54.2</v>
      </c>
      <c r="AO81" s="19">
        <v>88.2</v>
      </c>
      <c r="AP81" s="19">
        <v>138.0</v>
      </c>
      <c r="AQ81" s="19">
        <v>80.0</v>
      </c>
      <c r="AR81" s="19">
        <v>5.0</v>
      </c>
      <c r="AS81" s="22"/>
      <c r="AT81" s="19" t="s">
        <v>2117</v>
      </c>
      <c r="AU81" s="19" t="s">
        <v>3731</v>
      </c>
      <c r="AV81" s="19" t="s">
        <v>3732</v>
      </c>
      <c r="AW81" s="19" t="s">
        <v>3733</v>
      </c>
      <c r="AX81" s="20">
        <v>38776.0</v>
      </c>
      <c r="AY81" s="19" t="s">
        <v>3734</v>
      </c>
      <c r="AZ81" s="19" t="s">
        <v>2422</v>
      </c>
      <c r="BA81" s="19" t="s">
        <v>3735</v>
      </c>
      <c r="BB81" s="19" t="s">
        <v>3736</v>
      </c>
      <c r="BC81" s="19" t="s">
        <v>3737</v>
      </c>
      <c r="BD81" s="19" t="s">
        <v>3738</v>
      </c>
      <c r="BE81" s="19" t="s">
        <v>3739</v>
      </c>
      <c r="BF81" s="19">
        <v>1.1986858036E10</v>
      </c>
      <c r="BG81" s="19" t="s">
        <v>2127</v>
      </c>
      <c r="BH81" s="19" t="s">
        <v>2128</v>
      </c>
      <c r="BI81" s="19"/>
      <c r="BJ81" s="19" t="s">
        <v>2128</v>
      </c>
      <c r="BK81" s="19" t="s">
        <v>16</v>
      </c>
      <c r="BL81" s="19"/>
      <c r="BM81" s="19" t="s">
        <v>2130</v>
      </c>
      <c r="BN81" s="19" t="s">
        <v>17</v>
      </c>
      <c r="BO81" s="19" t="s">
        <v>3199</v>
      </c>
      <c r="BP81" s="19" t="s">
        <v>3740</v>
      </c>
      <c r="BQ81" s="19" t="s">
        <v>3251</v>
      </c>
      <c r="BR81" s="19" t="s">
        <v>3251</v>
      </c>
      <c r="BS81" s="19" t="s">
        <v>2134</v>
      </c>
      <c r="BT81" s="19" t="s">
        <v>177</v>
      </c>
      <c r="BU81" s="19" t="s">
        <v>3741</v>
      </c>
      <c r="BV81" s="19" t="s">
        <v>3742</v>
      </c>
      <c r="BW81" s="19"/>
      <c r="BX81" s="19"/>
      <c r="BY81" s="19"/>
      <c r="BZ81" s="19"/>
      <c r="CA81" s="19"/>
      <c r="CB81" s="19" t="s">
        <v>2113</v>
      </c>
      <c r="CC81" s="19"/>
      <c r="CD81" s="19" t="s">
        <v>2137</v>
      </c>
      <c r="CE81" s="19" t="s">
        <v>16</v>
      </c>
      <c r="CF81" s="19"/>
      <c r="CG81" s="19"/>
      <c r="CH81" s="19" t="s">
        <v>16</v>
      </c>
      <c r="CI81" s="21">
        <v>0.0</v>
      </c>
      <c r="CJ81" s="19" t="s">
        <v>17</v>
      </c>
      <c r="CK81" s="19"/>
      <c r="CL81" s="19"/>
      <c r="CM81" s="19" t="s">
        <v>2749</v>
      </c>
      <c r="CN81" s="19" t="s">
        <v>3253</v>
      </c>
      <c r="CO81" s="19"/>
      <c r="CP81" s="19" t="s">
        <v>2134</v>
      </c>
      <c r="CQ81" s="19"/>
      <c r="CR81" s="19"/>
      <c r="CS81" s="19"/>
      <c r="CT81" s="19"/>
      <c r="CU81" s="19"/>
      <c r="CV81" s="19" t="s">
        <v>2141</v>
      </c>
      <c r="CW81" s="19" t="s">
        <v>2113</v>
      </c>
      <c r="CX81" s="19" t="s">
        <v>2113</v>
      </c>
      <c r="CY81" s="19"/>
      <c r="CZ81" s="19"/>
      <c r="DA81" s="19" t="s">
        <v>16</v>
      </c>
      <c r="DB81" s="19" t="s">
        <v>17</v>
      </c>
      <c r="DC81" s="19" t="s">
        <v>2804</v>
      </c>
      <c r="DD81" s="19" t="s">
        <v>2113</v>
      </c>
      <c r="DE81" s="19" t="s">
        <v>2113</v>
      </c>
      <c r="DF81" s="19" t="s">
        <v>3163</v>
      </c>
      <c r="DG81" s="19" t="s">
        <v>2804</v>
      </c>
      <c r="DH81" s="19" t="s">
        <v>2144</v>
      </c>
      <c r="DI81" s="24">
        <v>45518.0</v>
      </c>
      <c r="DJ81" s="19" t="s">
        <v>3257</v>
      </c>
      <c r="DK81" s="19" t="s">
        <v>2271</v>
      </c>
      <c r="DL81" s="19" t="s">
        <v>2207</v>
      </c>
      <c r="DM81" s="22" t="s">
        <v>3743</v>
      </c>
      <c r="DN81" s="19">
        <v>1.0</v>
      </c>
      <c r="DO81" s="19">
        <v>1.0</v>
      </c>
      <c r="DP81" s="19" t="s">
        <v>3744</v>
      </c>
      <c r="DQ81" s="19" t="s">
        <v>3745</v>
      </c>
      <c r="DR81" s="19" t="s">
        <v>3746</v>
      </c>
      <c r="DS81" s="19" t="s">
        <v>2185</v>
      </c>
      <c r="DT81" s="19" t="s">
        <v>2209</v>
      </c>
      <c r="DU81" s="19"/>
      <c r="DV81" s="19"/>
      <c r="DW81" s="19" t="s">
        <v>2153</v>
      </c>
      <c r="DX81" s="19">
        <v>1.0</v>
      </c>
      <c r="DY81" s="19">
        <v>10.0</v>
      </c>
      <c r="DZ81" s="19">
        <v>2.0</v>
      </c>
      <c r="EA81" s="19">
        <v>10.0</v>
      </c>
      <c r="EB81" s="19">
        <v>0.0</v>
      </c>
      <c r="EC81" s="19">
        <v>20.0</v>
      </c>
      <c r="ED81" s="19" t="s">
        <v>3257</v>
      </c>
      <c r="EE81" s="24">
        <v>45518.0</v>
      </c>
      <c r="EF81" s="19" t="s">
        <v>3257</v>
      </c>
      <c r="EG81" s="19" t="s">
        <v>2271</v>
      </c>
      <c r="EH81" s="19" t="s">
        <v>2207</v>
      </c>
      <c r="EI81" s="22">
        <v>11.203125</v>
      </c>
      <c r="EJ81" s="19">
        <v>43.0</v>
      </c>
      <c r="EK81" s="19" t="s">
        <v>2113</v>
      </c>
      <c r="EL81" s="19" t="s">
        <v>2117</v>
      </c>
      <c r="EM81" s="19" t="s">
        <v>3731</v>
      </c>
      <c r="EN81" s="19" t="s">
        <v>3726</v>
      </c>
      <c r="EO81" s="19" t="s">
        <v>3734</v>
      </c>
      <c r="EP81" s="19" t="s">
        <v>2422</v>
      </c>
      <c r="EQ81" s="19" t="s">
        <v>3253</v>
      </c>
      <c r="ER81" s="19"/>
      <c r="ES81" s="19" t="s">
        <v>3726</v>
      </c>
      <c r="ET81" s="19" t="s">
        <v>3726</v>
      </c>
      <c r="EU81" s="19" t="s">
        <v>3728</v>
      </c>
      <c r="EV81" s="19">
        <v>6685.0</v>
      </c>
      <c r="EW81" s="19" t="s">
        <v>16</v>
      </c>
      <c r="EX81" s="19">
        <v>2.0</v>
      </c>
      <c r="EY81" s="25" t="s">
        <v>3729</v>
      </c>
      <c r="EZ81" s="19" t="s">
        <v>2154</v>
      </c>
      <c r="FA81" s="5" t="s">
        <v>3747</v>
      </c>
      <c r="FB81" s="26" t="s">
        <v>2633</v>
      </c>
      <c r="FC81" s="26" t="s">
        <v>2634</v>
      </c>
    </row>
    <row r="82">
      <c r="A82" s="19" t="s">
        <v>2112</v>
      </c>
      <c r="B82" s="19" t="s">
        <v>2113</v>
      </c>
      <c r="C82" s="19" t="s">
        <v>2113</v>
      </c>
      <c r="D82" s="19" t="s">
        <v>253</v>
      </c>
      <c r="E82" s="19" t="s">
        <v>3748</v>
      </c>
      <c r="F82" s="19" t="s">
        <v>253</v>
      </c>
      <c r="G82" s="19"/>
      <c r="H82" s="19" t="s">
        <v>253</v>
      </c>
      <c r="I82" s="19" t="s">
        <v>255</v>
      </c>
      <c r="J82" s="19" t="s">
        <v>3749</v>
      </c>
      <c r="K82" s="19" t="s">
        <v>3750</v>
      </c>
      <c r="L82" s="20">
        <v>45414.0</v>
      </c>
      <c r="M82" s="20">
        <v>45428.0</v>
      </c>
      <c r="N82" s="20">
        <v>45428.0</v>
      </c>
      <c r="O82" s="19" t="s">
        <v>254</v>
      </c>
      <c r="P82" s="19">
        <v>0.0</v>
      </c>
      <c r="Q82" s="19">
        <v>21.0</v>
      </c>
      <c r="R82" s="19">
        <v>7964.0</v>
      </c>
      <c r="S82" s="20" t="s">
        <v>3751</v>
      </c>
      <c r="T82" s="20">
        <v>45461.0</v>
      </c>
      <c r="U82" s="19" t="s">
        <v>253</v>
      </c>
      <c r="V82" s="19"/>
      <c r="W82" s="19" t="s">
        <v>3752</v>
      </c>
      <c r="X82" s="21">
        <v>20.0</v>
      </c>
      <c r="Y82" s="21">
        <v>10.0</v>
      </c>
      <c r="Z82" s="21">
        <v>5.0</v>
      </c>
      <c r="AA82" s="21">
        <v>0.0</v>
      </c>
      <c r="AB82" s="5">
        <v>35.0</v>
      </c>
      <c r="AC82" s="19">
        <v>4.0</v>
      </c>
      <c r="AD82" s="19">
        <v>3.0</v>
      </c>
      <c r="AE82" s="19">
        <v>4.0</v>
      </c>
      <c r="AF82" s="19">
        <v>4.0</v>
      </c>
      <c r="AG82" s="19">
        <v>4.0</v>
      </c>
      <c r="AH82" s="19">
        <v>3.0</v>
      </c>
      <c r="AI82" s="22">
        <v>10.96875</v>
      </c>
      <c r="AJ82" s="19">
        <v>15.0</v>
      </c>
      <c r="AK82" s="19">
        <v>15.0</v>
      </c>
      <c r="AL82" s="19">
        <v>12.0</v>
      </c>
      <c r="AM82" s="19">
        <v>42.0</v>
      </c>
      <c r="AN82" s="19">
        <v>53.0</v>
      </c>
      <c r="AO82" s="19">
        <v>88.0</v>
      </c>
      <c r="AP82" s="19">
        <v>67.0</v>
      </c>
      <c r="AQ82" s="23">
        <v>79.0</v>
      </c>
      <c r="AR82" s="23">
        <v>10.0</v>
      </c>
      <c r="AS82" s="22"/>
      <c r="AT82" s="19" t="s">
        <v>2117</v>
      </c>
      <c r="AU82" s="19" t="s">
        <v>3753</v>
      </c>
      <c r="AV82" s="19" t="s">
        <v>3754</v>
      </c>
      <c r="AW82" s="19" t="s">
        <v>3269</v>
      </c>
      <c r="AX82" s="20">
        <v>37497.0</v>
      </c>
      <c r="AY82" s="19" t="s">
        <v>2121</v>
      </c>
      <c r="AZ82" s="19" t="s">
        <v>2310</v>
      </c>
      <c r="BA82" s="19" t="s">
        <v>3755</v>
      </c>
      <c r="BB82" s="19" t="s">
        <v>3756</v>
      </c>
      <c r="BC82" s="19" t="s">
        <v>3757</v>
      </c>
      <c r="BD82" s="19" t="s">
        <v>3758</v>
      </c>
      <c r="BE82" s="19" t="s">
        <v>3759</v>
      </c>
      <c r="BF82" s="19">
        <v>1.1939064182E10</v>
      </c>
      <c r="BG82" s="19" t="s">
        <v>2127</v>
      </c>
      <c r="BH82" s="19" t="s">
        <v>2128</v>
      </c>
      <c r="BI82" s="19"/>
      <c r="BJ82" s="19" t="s">
        <v>2128</v>
      </c>
      <c r="BK82" s="19" t="s">
        <v>17</v>
      </c>
      <c r="BL82" s="19"/>
      <c r="BM82" s="19" t="s">
        <v>2130</v>
      </c>
      <c r="BN82" s="19" t="s">
        <v>17</v>
      </c>
      <c r="BO82" s="19" t="s">
        <v>2132</v>
      </c>
      <c r="BP82" s="19"/>
      <c r="BQ82" s="19" t="s">
        <v>2133</v>
      </c>
      <c r="BR82" s="19" t="s">
        <v>2133</v>
      </c>
      <c r="BS82" s="19" t="s">
        <v>2243</v>
      </c>
      <c r="BT82" s="19" t="s">
        <v>15</v>
      </c>
      <c r="BU82" s="19" t="s">
        <v>3760</v>
      </c>
      <c r="BV82" s="19" t="s">
        <v>3761</v>
      </c>
      <c r="BW82" s="19" t="s">
        <v>2113</v>
      </c>
      <c r="BX82" s="19"/>
      <c r="BY82" s="19"/>
      <c r="BZ82" s="19"/>
      <c r="CA82" s="19"/>
      <c r="CB82" s="19" t="s">
        <v>2113</v>
      </c>
      <c r="CC82" s="19"/>
      <c r="CD82" s="19" t="s">
        <v>2137</v>
      </c>
      <c r="CE82" s="19" t="s">
        <v>16</v>
      </c>
      <c r="CF82" s="19"/>
      <c r="CG82" s="19"/>
      <c r="CH82" s="19" t="s">
        <v>16</v>
      </c>
      <c r="CI82" s="21">
        <v>0.0</v>
      </c>
      <c r="CJ82" s="19" t="s">
        <v>17</v>
      </c>
      <c r="CK82" s="19"/>
      <c r="CL82" s="19"/>
      <c r="CM82" s="19" t="s">
        <v>2138</v>
      </c>
      <c r="CN82" s="19" t="s">
        <v>2139</v>
      </c>
      <c r="CO82" s="19"/>
      <c r="CP82" s="19" t="s">
        <v>2267</v>
      </c>
      <c r="CQ82" s="19"/>
      <c r="CR82" s="19"/>
      <c r="CS82" s="19"/>
      <c r="CT82" s="19"/>
      <c r="CU82" s="19"/>
      <c r="CV82" s="19" t="s">
        <v>2179</v>
      </c>
      <c r="CW82" s="19" t="s">
        <v>2113</v>
      </c>
      <c r="CX82" s="19" t="s">
        <v>2113</v>
      </c>
      <c r="CY82" s="19"/>
      <c r="CZ82" s="19"/>
      <c r="DA82" s="19" t="s">
        <v>16</v>
      </c>
      <c r="DB82" s="19" t="s">
        <v>17</v>
      </c>
      <c r="DC82" s="19" t="s">
        <v>3524</v>
      </c>
      <c r="DD82" s="19" t="s">
        <v>2113</v>
      </c>
      <c r="DE82" s="19" t="s">
        <v>2113</v>
      </c>
      <c r="DF82" s="19" t="s">
        <v>2406</v>
      </c>
      <c r="DG82" s="19" t="s">
        <v>2142</v>
      </c>
      <c r="DH82" s="19" t="s">
        <v>2144</v>
      </c>
      <c r="DI82" s="24">
        <v>45531.0</v>
      </c>
      <c r="DJ82" s="19" t="s">
        <v>2133</v>
      </c>
      <c r="DK82" s="19" t="s">
        <v>2271</v>
      </c>
      <c r="DL82" s="19" t="s">
        <v>2146</v>
      </c>
      <c r="DM82" s="19" t="s">
        <v>2827</v>
      </c>
      <c r="DN82" s="19">
        <v>14.0</v>
      </c>
      <c r="DO82" s="19">
        <v>14.0</v>
      </c>
      <c r="DP82" s="19"/>
      <c r="DQ82" s="19"/>
      <c r="DR82" s="19"/>
      <c r="DS82" s="19" t="s">
        <v>2365</v>
      </c>
      <c r="DT82" s="19" t="s">
        <v>2209</v>
      </c>
      <c r="DU82" s="19" t="s">
        <v>3762</v>
      </c>
      <c r="DV82" s="19"/>
      <c r="DW82" s="19" t="s">
        <v>2479</v>
      </c>
      <c r="DX82" s="19">
        <v>11.0</v>
      </c>
      <c r="DY82" s="19">
        <v>10.0</v>
      </c>
      <c r="DZ82" s="19">
        <v>0.0</v>
      </c>
      <c r="EA82" s="19">
        <v>10.0</v>
      </c>
      <c r="EB82" s="19">
        <v>0.0</v>
      </c>
      <c r="EC82" s="19">
        <v>20.0</v>
      </c>
      <c r="ED82" s="19" t="s">
        <v>2133</v>
      </c>
      <c r="EE82" s="24">
        <v>45531.0</v>
      </c>
      <c r="EF82" s="19" t="s">
        <v>2133</v>
      </c>
      <c r="EG82" s="19" t="s">
        <v>2271</v>
      </c>
      <c r="EH82" s="19" t="s">
        <v>2146</v>
      </c>
      <c r="EI82" s="22">
        <v>10.96875</v>
      </c>
      <c r="EJ82" s="19">
        <v>42.0</v>
      </c>
      <c r="EK82" s="19" t="s">
        <v>2113</v>
      </c>
      <c r="EL82" s="19" t="s">
        <v>2117</v>
      </c>
      <c r="EM82" s="19" t="s">
        <v>3753</v>
      </c>
      <c r="EN82" s="19" t="s">
        <v>255</v>
      </c>
      <c r="EO82" s="19" t="s">
        <v>2121</v>
      </c>
      <c r="EP82" s="19" t="s">
        <v>2310</v>
      </c>
      <c r="EQ82" s="19" t="s">
        <v>2139</v>
      </c>
      <c r="ER82" s="19"/>
      <c r="ES82" s="19" t="s">
        <v>255</v>
      </c>
      <c r="ET82" s="19" t="s">
        <v>255</v>
      </c>
      <c r="EU82" s="19" t="s">
        <v>3750</v>
      </c>
      <c r="EV82" s="19">
        <v>7964.0</v>
      </c>
      <c r="EW82" s="19" t="s">
        <v>16</v>
      </c>
      <c r="EX82" s="19">
        <v>5.0</v>
      </c>
      <c r="EY82" s="25" t="s">
        <v>254</v>
      </c>
      <c r="EZ82" s="19" t="s">
        <v>2154</v>
      </c>
      <c r="FA82" s="5" t="s">
        <v>3763</v>
      </c>
      <c r="FB82" s="26" t="s">
        <v>2156</v>
      </c>
      <c r="FC82" s="26"/>
    </row>
    <row r="83">
      <c r="A83" s="19" t="s">
        <v>2112</v>
      </c>
      <c r="B83" s="19" t="s">
        <v>2113</v>
      </c>
      <c r="C83" s="19" t="s">
        <v>2113</v>
      </c>
      <c r="D83" s="19" t="s">
        <v>3764</v>
      </c>
      <c r="E83" s="19" t="s">
        <v>3765</v>
      </c>
      <c r="F83" s="19" t="s">
        <v>256</v>
      </c>
      <c r="G83" s="19" t="s">
        <v>3765</v>
      </c>
      <c r="H83" s="19" t="s">
        <v>256</v>
      </c>
      <c r="I83" s="19" t="s">
        <v>258</v>
      </c>
      <c r="J83" s="19" t="s">
        <v>3766</v>
      </c>
      <c r="K83" s="19" t="s">
        <v>3767</v>
      </c>
      <c r="L83" s="20">
        <v>45394.0</v>
      </c>
      <c r="M83" s="20">
        <v>45399.0</v>
      </c>
      <c r="N83" s="20">
        <v>45399.0</v>
      </c>
      <c r="O83" s="19" t="s">
        <v>257</v>
      </c>
      <c r="P83" s="19">
        <v>0.0</v>
      </c>
      <c r="Q83" s="19">
        <v>22.0</v>
      </c>
      <c r="R83" s="19">
        <v>8253.0</v>
      </c>
      <c r="S83" s="20" t="s">
        <v>3768</v>
      </c>
      <c r="T83" s="20">
        <v>45461.0</v>
      </c>
      <c r="U83" s="19" t="s">
        <v>256</v>
      </c>
      <c r="V83" s="19"/>
      <c r="W83" s="19" t="s">
        <v>3769</v>
      </c>
      <c r="X83" s="21">
        <v>20.0</v>
      </c>
      <c r="Y83" s="21">
        <v>10.0</v>
      </c>
      <c r="Z83" s="21">
        <v>2.0</v>
      </c>
      <c r="AA83" s="21">
        <v>0.0</v>
      </c>
      <c r="AB83" s="5">
        <v>32.0</v>
      </c>
      <c r="AC83" s="19">
        <v>5.0</v>
      </c>
      <c r="AD83" s="19">
        <v>5.0</v>
      </c>
      <c r="AE83" s="19">
        <v>5.0</v>
      </c>
      <c r="AF83" s="19">
        <v>5.0</v>
      </c>
      <c r="AG83" s="19">
        <v>5.0</v>
      </c>
      <c r="AH83" s="19">
        <v>5.0</v>
      </c>
      <c r="AI83" s="22">
        <v>15.0</v>
      </c>
      <c r="AJ83" s="19">
        <v>14.0</v>
      </c>
      <c r="AK83" s="19">
        <v>13.0</v>
      </c>
      <c r="AL83" s="19">
        <v>14.0</v>
      </c>
      <c r="AM83" s="19">
        <v>41.0</v>
      </c>
      <c r="AN83" s="19">
        <v>56.0</v>
      </c>
      <c r="AO83" s="19">
        <v>88.0</v>
      </c>
      <c r="AP83" s="19">
        <v>187.0</v>
      </c>
      <c r="AQ83" s="23">
        <v>80.0</v>
      </c>
      <c r="AR83" s="23">
        <v>11.0</v>
      </c>
      <c r="AS83" s="22"/>
      <c r="AT83" s="19" t="s">
        <v>2163</v>
      </c>
      <c r="AU83" s="19" t="s">
        <v>3770</v>
      </c>
      <c r="AV83" s="19" t="s">
        <v>3771</v>
      </c>
      <c r="AW83" s="19" t="s">
        <v>3772</v>
      </c>
      <c r="AX83" s="20">
        <v>37208.0</v>
      </c>
      <c r="AY83" s="19" t="s">
        <v>3773</v>
      </c>
      <c r="AZ83" s="19" t="s">
        <v>2445</v>
      </c>
      <c r="BA83" s="19" t="s">
        <v>3774</v>
      </c>
      <c r="BB83" s="19" t="s">
        <v>3775</v>
      </c>
      <c r="BC83" s="19" t="s">
        <v>3776</v>
      </c>
      <c r="BD83" s="19" t="s">
        <v>3777</v>
      </c>
      <c r="BE83" s="19" t="s">
        <v>3778</v>
      </c>
      <c r="BF83" s="19">
        <v>1.1972002104E10</v>
      </c>
      <c r="BG83" s="19" t="s">
        <v>2127</v>
      </c>
      <c r="BH83" s="19" t="s">
        <v>2128</v>
      </c>
      <c r="BI83" s="19"/>
      <c r="BJ83" s="19" t="s">
        <v>2427</v>
      </c>
      <c r="BK83" s="19" t="s">
        <v>17</v>
      </c>
      <c r="BL83" s="19" t="s">
        <v>2113</v>
      </c>
      <c r="BM83" s="19" t="s">
        <v>2130</v>
      </c>
      <c r="BN83" s="19" t="s">
        <v>2401</v>
      </c>
      <c r="BO83" s="19" t="s">
        <v>3199</v>
      </c>
      <c r="BP83" s="19" t="s">
        <v>3779</v>
      </c>
      <c r="BQ83" s="19" t="s">
        <v>2133</v>
      </c>
      <c r="BR83" s="19" t="s">
        <v>2133</v>
      </c>
      <c r="BS83" s="19" t="s">
        <v>2134</v>
      </c>
      <c r="BT83" s="19" t="s">
        <v>15</v>
      </c>
      <c r="BU83" s="19" t="s">
        <v>3780</v>
      </c>
      <c r="BV83" s="19" t="s">
        <v>3781</v>
      </c>
      <c r="BW83" s="19"/>
      <c r="BX83" s="19" t="s">
        <v>2113</v>
      </c>
      <c r="BY83" s="19" t="s">
        <v>2113</v>
      </c>
      <c r="BZ83" s="19" t="s">
        <v>2113</v>
      </c>
      <c r="CA83" s="19"/>
      <c r="CB83" s="19" t="s">
        <v>2113</v>
      </c>
      <c r="CC83" s="19"/>
      <c r="CD83" s="19" t="s">
        <v>2137</v>
      </c>
      <c r="CE83" s="19" t="s">
        <v>16</v>
      </c>
      <c r="CF83" s="19"/>
      <c r="CG83" s="19"/>
      <c r="CH83" s="19" t="s">
        <v>16</v>
      </c>
      <c r="CI83" s="21">
        <v>0.0</v>
      </c>
      <c r="CJ83" s="19" t="s">
        <v>17</v>
      </c>
      <c r="CK83" s="19"/>
      <c r="CL83" s="19" t="s">
        <v>2113</v>
      </c>
      <c r="CM83" s="19" t="s">
        <v>2138</v>
      </c>
      <c r="CN83" s="19" t="s">
        <v>3202</v>
      </c>
      <c r="CO83" s="19"/>
      <c r="CP83" s="19" t="s">
        <v>2140</v>
      </c>
      <c r="CQ83" s="19"/>
      <c r="CR83" s="19" t="s">
        <v>2113</v>
      </c>
      <c r="CS83" s="19" t="s">
        <v>2113</v>
      </c>
      <c r="CT83" s="19"/>
      <c r="CU83" s="19"/>
      <c r="CV83" s="19" t="s">
        <v>2179</v>
      </c>
      <c r="CW83" s="19"/>
      <c r="CX83" s="19"/>
      <c r="CY83" s="19" t="s">
        <v>2113</v>
      </c>
      <c r="CZ83" s="19" t="s">
        <v>2113</v>
      </c>
      <c r="DA83" s="19" t="s">
        <v>16</v>
      </c>
      <c r="DB83" s="19" t="s">
        <v>17</v>
      </c>
      <c r="DC83" s="19" t="s">
        <v>2826</v>
      </c>
      <c r="DD83" s="19" t="s">
        <v>2113</v>
      </c>
      <c r="DE83" s="19" t="s">
        <v>2113</v>
      </c>
      <c r="DF83" s="19" t="s">
        <v>2146</v>
      </c>
      <c r="DG83" s="19" t="s">
        <v>3782</v>
      </c>
      <c r="DH83" s="19" t="s">
        <v>2144</v>
      </c>
      <c r="DI83" s="24">
        <v>45524.0</v>
      </c>
      <c r="DJ83" s="19" t="s">
        <v>2133</v>
      </c>
      <c r="DK83" s="19" t="s">
        <v>2271</v>
      </c>
      <c r="DL83" s="19" t="s">
        <v>2146</v>
      </c>
      <c r="DM83" s="19" t="s">
        <v>2628</v>
      </c>
      <c r="DN83" s="19">
        <v>8.0</v>
      </c>
      <c r="DO83" s="19">
        <v>8.0</v>
      </c>
      <c r="DP83" s="19"/>
      <c r="DQ83" s="19"/>
      <c r="DR83" s="19"/>
      <c r="DS83" s="19" t="s">
        <v>2365</v>
      </c>
      <c r="DT83" s="19" t="s">
        <v>2152</v>
      </c>
      <c r="DU83" s="19" t="s">
        <v>3783</v>
      </c>
      <c r="DV83" s="19"/>
      <c r="DW83" s="19" t="s">
        <v>2153</v>
      </c>
      <c r="DX83" s="19">
        <v>7.0</v>
      </c>
      <c r="DY83" s="19">
        <v>10.0</v>
      </c>
      <c r="DZ83" s="19">
        <v>0.0</v>
      </c>
      <c r="EA83" s="19">
        <v>10.0</v>
      </c>
      <c r="EB83" s="19">
        <v>0.0</v>
      </c>
      <c r="EC83" s="19">
        <v>20.0</v>
      </c>
      <c r="ED83" s="19" t="s">
        <v>2133</v>
      </c>
      <c r="EE83" s="24">
        <v>45524.0</v>
      </c>
      <c r="EF83" s="19" t="s">
        <v>2133</v>
      </c>
      <c r="EG83" s="19" t="s">
        <v>2271</v>
      </c>
      <c r="EH83" s="19" t="s">
        <v>2146</v>
      </c>
      <c r="EI83" s="22">
        <v>15.0</v>
      </c>
      <c r="EJ83" s="19">
        <v>41.0</v>
      </c>
      <c r="EK83" s="19" t="s">
        <v>2113</v>
      </c>
      <c r="EL83" s="19" t="s">
        <v>2163</v>
      </c>
      <c r="EM83" s="19" t="s">
        <v>3770</v>
      </c>
      <c r="EN83" s="19" t="s">
        <v>258</v>
      </c>
      <c r="EO83" s="19" t="s">
        <v>3773</v>
      </c>
      <c r="EP83" s="19" t="s">
        <v>2445</v>
      </c>
      <c r="EQ83" s="19" t="s">
        <v>3202</v>
      </c>
      <c r="ER83" s="19"/>
      <c r="ES83" s="19" t="s">
        <v>258</v>
      </c>
      <c r="ET83" s="19" t="s">
        <v>258</v>
      </c>
      <c r="EU83" s="19" t="s">
        <v>3767</v>
      </c>
      <c r="EV83" s="19">
        <v>8253.0</v>
      </c>
      <c r="EW83" s="19" t="s">
        <v>16</v>
      </c>
      <c r="EX83" s="19">
        <v>2.0</v>
      </c>
      <c r="EY83" s="25" t="s">
        <v>257</v>
      </c>
      <c r="EZ83" s="19" t="s">
        <v>2154</v>
      </c>
      <c r="FA83" s="5" t="s">
        <v>3784</v>
      </c>
      <c r="FB83" s="26" t="s">
        <v>2156</v>
      </c>
      <c r="FC83" s="26"/>
    </row>
    <row r="84">
      <c r="A84" s="19" t="s">
        <v>2112</v>
      </c>
      <c r="B84" s="19" t="s">
        <v>2113</v>
      </c>
      <c r="C84" s="19" t="s">
        <v>2113</v>
      </c>
      <c r="D84" s="19" t="s">
        <v>259</v>
      </c>
      <c r="E84" s="19" t="s">
        <v>3785</v>
      </c>
      <c r="F84" s="19" t="s">
        <v>259</v>
      </c>
      <c r="G84" s="19"/>
      <c r="H84" s="19" t="s">
        <v>259</v>
      </c>
      <c r="I84" s="19" t="s">
        <v>261</v>
      </c>
      <c r="J84" s="19" t="s">
        <v>3786</v>
      </c>
      <c r="K84" s="19" t="s">
        <v>3787</v>
      </c>
      <c r="L84" s="20">
        <v>45460.0</v>
      </c>
      <c r="M84" s="20">
        <v>45462.0</v>
      </c>
      <c r="N84" s="20">
        <v>45462.0</v>
      </c>
      <c r="O84" s="19" t="s">
        <v>260</v>
      </c>
      <c r="P84" s="19">
        <v>0.0</v>
      </c>
      <c r="Q84" s="19">
        <v>22.0</v>
      </c>
      <c r="R84" s="19">
        <v>8200.0</v>
      </c>
      <c r="S84" s="20" t="s">
        <v>3788</v>
      </c>
      <c r="T84" s="20">
        <v>45461.0</v>
      </c>
      <c r="U84" s="19" t="s">
        <v>259</v>
      </c>
      <c r="V84" s="19"/>
      <c r="W84" s="19"/>
      <c r="X84" s="21">
        <v>20.0</v>
      </c>
      <c r="Y84" s="21">
        <v>5.0</v>
      </c>
      <c r="Z84" s="21">
        <v>5.0</v>
      </c>
      <c r="AA84" s="21">
        <v>0.0</v>
      </c>
      <c r="AB84" s="5">
        <v>30.0</v>
      </c>
      <c r="AC84" s="19">
        <v>4.2</v>
      </c>
      <c r="AD84" s="19">
        <v>4.6</v>
      </c>
      <c r="AE84" s="19">
        <v>4.4</v>
      </c>
      <c r="AF84" s="19">
        <v>4.4</v>
      </c>
      <c r="AG84" s="19">
        <v>3.4</v>
      </c>
      <c r="AH84" s="19">
        <v>4.8</v>
      </c>
      <c r="AI84" s="22">
        <v>13.012500000000001</v>
      </c>
      <c r="AJ84" s="19">
        <v>15.0</v>
      </c>
      <c r="AK84" s="19">
        <v>15.0</v>
      </c>
      <c r="AL84" s="19">
        <v>15.0</v>
      </c>
      <c r="AM84" s="19">
        <v>45.0</v>
      </c>
      <c r="AN84" s="19">
        <v>58.0</v>
      </c>
      <c r="AO84" s="19">
        <v>88.0</v>
      </c>
      <c r="AP84" s="19">
        <v>216.0</v>
      </c>
      <c r="AQ84" s="23">
        <v>81.0</v>
      </c>
      <c r="AR84" s="23">
        <v>8.0</v>
      </c>
      <c r="AS84" s="22"/>
      <c r="AT84" s="19" t="s">
        <v>2117</v>
      </c>
      <c r="AU84" s="19" t="s">
        <v>3789</v>
      </c>
      <c r="AV84" s="19" t="s">
        <v>3790</v>
      </c>
      <c r="AW84" s="19" t="s">
        <v>3791</v>
      </c>
      <c r="AX84" s="20">
        <v>37261.0</v>
      </c>
      <c r="AY84" s="19" t="s">
        <v>2358</v>
      </c>
      <c r="AZ84" s="19" t="s">
        <v>2310</v>
      </c>
      <c r="BA84" s="19" t="s">
        <v>3792</v>
      </c>
      <c r="BB84" s="19" t="s">
        <v>3793</v>
      </c>
      <c r="BC84" s="19" t="s">
        <v>3794</v>
      </c>
      <c r="BD84" s="19" t="s">
        <v>3795</v>
      </c>
      <c r="BE84" s="19" t="s">
        <v>3786</v>
      </c>
      <c r="BF84" s="19">
        <v>1.1991703955E10</v>
      </c>
      <c r="BG84" s="19" t="s">
        <v>3518</v>
      </c>
      <c r="BH84" s="19" t="s">
        <v>2128</v>
      </c>
      <c r="BI84" s="19"/>
      <c r="BJ84" s="19" t="s">
        <v>2427</v>
      </c>
      <c r="BK84" s="19" t="s">
        <v>17</v>
      </c>
      <c r="BL84" s="19" t="s">
        <v>2113</v>
      </c>
      <c r="BM84" s="19" t="s">
        <v>2130</v>
      </c>
      <c r="BN84" s="19" t="s">
        <v>17</v>
      </c>
      <c r="BO84" s="19" t="s">
        <v>2132</v>
      </c>
      <c r="BP84" s="19" t="s">
        <v>3796</v>
      </c>
      <c r="BQ84" s="19" t="s">
        <v>2174</v>
      </c>
      <c r="BR84" s="19" t="s">
        <v>2174</v>
      </c>
      <c r="BS84" s="19" t="s">
        <v>2243</v>
      </c>
      <c r="BT84" s="19" t="s">
        <v>34</v>
      </c>
      <c r="BU84" s="19" t="s">
        <v>3797</v>
      </c>
      <c r="BV84" s="19" t="s">
        <v>3798</v>
      </c>
      <c r="BW84" s="19"/>
      <c r="BX84" s="19"/>
      <c r="BY84" s="19"/>
      <c r="BZ84" s="19" t="s">
        <v>2113</v>
      </c>
      <c r="CA84" s="19"/>
      <c r="CB84" s="19" t="s">
        <v>2113</v>
      </c>
      <c r="CC84" s="19"/>
      <c r="CD84" s="19" t="s">
        <v>2137</v>
      </c>
      <c r="CE84" s="19" t="s">
        <v>16</v>
      </c>
      <c r="CF84" s="19"/>
      <c r="CG84" s="19"/>
      <c r="CH84" s="19" t="s">
        <v>16</v>
      </c>
      <c r="CI84" s="21">
        <v>0.0</v>
      </c>
      <c r="CJ84" s="19" t="s">
        <v>16</v>
      </c>
      <c r="CK84" s="19"/>
      <c r="CL84" s="19"/>
      <c r="CM84" s="19" t="s">
        <v>2138</v>
      </c>
      <c r="CN84" s="19" t="s">
        <v>2266</v>
      </c>
      <c r="CO84" s="19"/>
      <c r="CP84" s="19" t="s">
        <v>2246</v>
      </c>
      <c r="CQ84" s="19"/>
      <c r="CR84" s="19" t="s">
        <v>2113</v>
      </c>
      <c r="CS84" s="19" t="s">
        <v>2113</v>
      </c>
      <c r="CT84" s="19" t="s">
        <v>2113</v>
      </c>
      <c r="CU84" s="19" t="s">
        <v>2113</v>
      </c>
      <c r="CV84" s="19" t="s">
        <v>2141</v>
      </c>
      <c r="CW84" s="19"/>
      <c r="CX84" s="19"/>
      <c r="CY84" s="19"/>
      <c r="CZ84" s="19"/>
      <c r="DA84" s="19" t="s">
        <v>16</v>
      </c>
      <c r="DB84" s="19" t="s">
        <v>16</v>
      </c>
      <c r="DC84" s="19" t="s">
        <v>2345</v>
      </c>
      <c r="DD84" s="19"/>
      <c r="DE84" s="19"/>
      <c r="DF84" s="19" t="s">
        <v>2433</v>
      </c>
      <c r="DG84" s="19" t="s">
        <v>3223</v>
      </c>
      <c r="DH84" s="19" t="s">
        <v>2144</v>
      </c>
      <c r="DI84" s="24">
        <v>45518.0</v>
      </c>
      <c r="DJ84" s="19" t="s">
        <v>2174</v>
      </c>
      <c r="DK84" s="19" t="s">
        <v>2145</v>
      </c>
      <c r="DL84" s="19" t="s">
        <v>2183</v>
      </c>
      <c r="DM84" s="19" t="s">
        <v>2228</v>
      </c>
      <c r="DN84" s="19">
        <v>3.0</v>
      </c>
      <c r="DO84" s="19">
        <v>3.0</v>
      </c>
      <c r="DP84" s="19" t="s">
        <v>3799</v>
      </c>
      <c r="DQ84" s="19" t="s">
        <v>3800</v>
      </c>
      <c r="DR84" s="19" t="s">
        <v>3801</v>
      </c>
      <c r="DS84" s="19" t="s">
        <v>2365</v>
      </c>
      <c r="DT84" s="19" t="s">
        <v>2366</v>
      </c>
      <c r="DU84" s="19"/>
      <c r="DV84" s="19"/>
      <c r="DW84" s="19" t="s">
        <v>2153</v>
      </c>
      <c r="DX84" s="19">
        <v>9.0</v>
      </c>
      <c r="DY84" s="19">
        <v>5.0</v>
      </c>
      <c r="DZ84" s="19">
        <v>0.0</v>
      </c>
      <c r="EA84" s="19">
        <v>5.0</v>
      </c>
      <c r="EB84" s="19">
        <v>0.0</v>
      </c>
      <c r="EC84" s="19">
        <v>20.0</v>
      </c>
      <c r="ED84" s="19" t="s">
        <v>2174</v>
      </c>
      <c r="EE84" s="24">
        <v>45518.0</v>
      </c>
      <c r="EF84" s="19" t="s">
        <v>2174</v>
      </c>
      <c r="EG84" s="19" t="s">
        <v>2145</v>
      </c>
      <c r="EH84" s="19" t="s">
        <v>2183</v>
      </c>
      <c r="EI84" s="22">
        <v>13.012500000000001</v>
      </c>
      <c r="EJ84" s="19">
        <v>45.0</v>
      </c>
      <c r="EK84" s="19"/>
      <c r="EL84" s="19" t="s">
        <v>2117</v>
      </c>
      <c r="EM84" s="19" t="s">
        <v>3789</v>
      </c>
      <c r="EN84" s="19" t="s">
        <v>261</v>
      </c>
      <c r="EO84" s="19" t="s">
        <v>2358</v>
      </c>
      <c r="EP84" s="19" t="s">
        <v>2310</v>
      </c>
      <c r="EQ84" s="19" t="s">
        <v>2266</v>
      </c>
      <c r="ER84" s="19"/>
      <c r="ES84" s="19" t="s">
        <v>261</v>
      </c>
      <c r="ET84" s="19" t="s">
        <v>261</v>
      </c>
      <c r="EU84" s="19" t="s">
        <v>3787</v>
      </c>
      <c r="EV84" s="19">
        <v>8200.0</v>
      </c>
      <c r="EW84" s="19" t="s">
        <v>16</v>
      </c>
      <c r="EX84" s="19">
        <v>5.0</v>
      </c>
      <c r="EY84" s="25" t="s">
        <v>260</v>
      </c>
      <c r="EZ84" s="19" t="s">
        <v>2154</v>
      </c>
      <c r="FA84" s="5" t="s">
        <v>3802</v>
      </c>
      <c r="FB84" s="26" t="s">
        <v>2156</v>
      </c>
      <c r="FC84" s="26"/>
    </row>
    <row r="85">
      <c r="A85" s="19" t="s">
        <v>2156</v>
      </c>
      <c r="B85" s="19" t="s">
        <v>2113</v>
      </c>
      <c r="C85" s="19" t="s">
        <v>2113</v>
      </c>
      <c r="D85" s="19" t="s">
        <v>262</v>
      </c>
      <c r="E85" s="19" t="s">
        <v>3803</v>
      </c>
      <c r="F85" s="19" t="s">
        <v>262</v>
      </c>
      <c r="G85" s="19"/>
      <c r="H85" s="19" t="s">
        <v>262</v>
      </c>
      <c r="I85" s="19" t="s">
        <v>264</v>
      </c>
      <c r="J85" s="19" t="s">
        <v>3804</v>
      </c>
      <c r="K85" s="19" t="s">
        <v>3805</v>
      </c>
      <c r="L85" s="20">
        <v>45409.0</v>
      </c>
      <c r="M85" s="20">
        <v>45411.0</v>
      </c>
      <c r="N85" s="20">
        <v>45411.0</v>
      </c>
      <c r="O85" s="19" t="s">
        <v>263</v>
      </c>
      <c r="P85" s="19">
        <v>0.0</v>
      </c>
      <c r="Q85" s="19">
        <v>22.0</v>
      </c>
      <c r="R85" s="19">
        <v>8274.0</v>
      </c>
      <c r="S85" s="20" t="s">
        <v>3806</v>
      </c>
      <c r="T85" s="20">
        <v>45461.0</v>
      </c>
      <c r="U85" s="19" t="s">
        <v>262</v>
      </c>
      <c r="V85" s="19"/>
      <c r="W85" s="19" t="s">
        <v>3807</v>
      </c>
      <c r="X85" s="21">
        <v>20.0</v>
      </c>
      <c r="Y85" s="21">
        <v>5.0</v>
      </c>
      <c r="Z85" s="21">
        <v>5.0</v>
      </c>
      <c r="AA85" s="21">
        <v>0.0</v>
      </c>
      <c r="AB85" s="5">
        <v>30.0</v>
      </c>
      <c r="AC85" s="19">
        <v>5.0</v>
      </c>
      <c r="AD85" s="19">
        <v>5.0</v>
      </c>
      <c r="AE85" s="19">
        <v>5.0</v>
      </c>
      <c r="AF85" s="19">
        <v>5.0</v>
      </c>
      <c r="AG85" s="19">
        <v>5.0</v>
      </c>
      <c r="AH85" s="19">
        <v>5.0</v>
      </c>
      <c r="AI85" s="22">
        <v>15.0</v>
      </c>
      <c r="AJ85" s="19">
        <v>13.0</v>
      </c>
      <c r="AK85" s="19">
        <v>15.0</v>
      </c>
      <c r="AL85" s="19">
        <v>15.0</v>
      </c>
      <c r="AM85" s="19">
        <v>43.0</v>
      </c>
      <c r="AN85" s="19">
        <v>58.0</v>
      </c>
      <c r="AO85" s="19">
        <v>88.0</v>
      </c>
      <c r="AP85" s="19">
        <v>215.0</v>
      </c>
      <c r="AQ85" s="23">
        <v>82.0</v>
      </c>
      <c r="AR85" s="23">
        <v>15.0</v>
      </c>
      <c r="AS85" s="22"/>
      <c r="AT85" s="19" t="s">
        <v>2282</v>
      </c>
      <c r="AU85" s="19" t="s">
        <v>2283</v>
      </c>
      <c r="AV85" s="19" t="s">
        <v>3808</v>
      </c>
      <c r="AW85" s="19"/>
      <c r="AX85" s="20">
        <v>37187.0</v>
      </c>
      <c r="AY85" s="19" t="s">
        <v>2286</v>
      </c>
      <c r="AZ85" s="19" t="s">
        <v>2310</v>
      </c>
      <c r="BA85" s="19" t="s">
        <v>3809</v>
      </c>
      <c r="BB85" s="19" t="s">
        <v>3810</v>
      </c>
      <c r="BC85" s="19" t="s">
        <v>3811</v>
      </c>
      <c r="BD85" s="19" t="s">
        <v>3812</v>
      </c>
      <c r="BE85" s="19" t="s">
        <v>3804</v>
      </c>
      <c r="BF85" s="19">
        <v>1.1938048257E10</v>
      </c>
      <c r="BG85" s="19" t="s">
        <v>3518</v>
      </c>
      <c r="BH85" s="19" t="s">
        <v>2128</v>
      </c>
      <c r="BI85" s="19"/>
      <c r="BJ85" s="19" t="s">
        <v>2427</v>
      </c>
      <c r="BK85" s="19" t="s">
        <v>17</v>
      </c>
      <c r="BL85" s="19" t="s">
        <v>2113</v>
      </c>
      <c r="BM85" s="19" t="s">
        <v>2130</v>
      </c>
      <c r="BN85" s="19" t="s">
        <v>17</v>
      </c>
      <c r="BO85" s="19" t="s">
        <v>2132</v>
      </c>
      <c r="BP85" s="19" t="s">
        <v>3813</v>
      </c>
      <c r="BQ85" s="19" t="s">
        <v>2133</v>
      </c>
      <c r="BR85" s="19" t="s">
        <v>2133</v>
      </c>
      <c r="BS85" s="19" t="s">
        <v>2243</v>
      </c>
      <c r="BT85" s="19" t="s">
        <v>38</v>
      </c>
      <c r="BU85" s="19" t="s">
        <v>3814</v>
      </c>
      <c r="BV85" s="19" t="s">
        <v>3815</v>
      </c>
      <c r="BW85" s="19"/>
      <c r="BX85" s="19" t="s">
        <v>2113</v>
      </c>
      <c r="BY85" s="19" t="s">
        <v>2113</v>
      </c>
      <c r="BZ85" s="19" t="s">
        <v>2113</v>
      </c>
      <c r="CA85" s="19" t="s">
        <v>2113</v>
      </c>
      <c r="CB85" s="19" t="s">
        <v>2113</v>
      </c>
      <c r="CC85" s="19"/>
      <c r="CD85" s="19" t="s">
        <v>2137</v>
      </c>
      <c r="CE85" s="19" t="s">
        <v>16</v>
      </c>
      <c r="CF85" s="19" t="s">
        <v>2113</v>
      </c>
      <c r="CG85" s="19"/>
      <c r="CH85" s="19" t="s">
        <v>16</v>
      </c>
      <c r="CI85" s="21">
        <v>0.0</v>
      </c>
      <c r="CJ85" s="19" t="s">
        <v>16</v>
      </c>
      <c r="CK85" s="19"/>
      <c r="CL85" s="19"/>
      <c r="CM85" s="19" t="s">
        <v>2138</v>
      </c>
      <c r="CN85" s="19" t="s">
        <v>2294</v>
      </c>
      <c r="CO85" s="19"/>
      <c r="CP85" s="19" t="s">
        <v>2246</v>
      </c>
      <c r="CQ85" s="19" t="s">
        <v>2113</v>
      </c>
      <c r="CR85" s="19" t="s">
        <v>2113</v>
      </c>
      <c r="CS85" s="19" t="s">
        <v>2113</v>
      </c>
      <c r="CT85" s="19" t="s">
        <v>2113</v>
      </c>
      <c r="CU85" s="19" t="s">
        <v>2113</v>
      </c>
      <c r="CV85" s="19" t="s">
        <v>2141</v>
      </c>
      <c r="CW85" s="19" t="s">
        <v>2113</v>
      </c>
      <c r="CX85" s="19" t="s">
        <v>2113</v>
      </c>
      <c r="CY85" s="19" t="s">
        <v>2113</v>
      </c>
      <c r="CZ85" s="19" t="s">
        <v>2113</v>
      </c>
      <c r="DA85" s="19" t="s">
        <v>16</v>
      </c>
      <c r="DB85" s="19" t="s">
        <v>16</v>
      </c>
      <c r="DC85" s="19" t="s">
        <v>2671</v>
      </c>
      <c r="DD85" s="19" t="s">
        <v>2113</v>
      </c>
      <c r="DE85" s="19" t="s">
        <v>2113</v>
      </c>
      <c r="DF85" s="19" t="s">
        <v>2579</v>
      </c>
      <c r="DG85" s="19" t="s">
        <v>2295</v>
      </c>
      <c r="DH85" s="19" t="s">
        <v>2144</v>
      </c>
      <c r="DI85" s="24">
        <v>45518.0</v>
      </c>
      <c r="DJ85" s="19" t="s">
        <v>2133</v>
      </c>
      <c r="DK85" s="19" t="s">
        <v>2271</v>
      </c>
      <c r="DL85" s="19" t="s">
        <v>2146</v>
      </c>
      <c r="DM85" s="19"/>
      <c r="DN85" s="19">
        <v>4.0</v>
      </c>
      <c r="DO85" s="19">
        <v>4.0</v>
      </c>
      <c r="DP85" s="19" t="s">
        <v>3816</v>
      </c>
      <c r="DQ85" s="19" t="s">
        <v>3817</v>
      </c>
      <c r="DR85" s="19" t="s">
        <v>3818</v>
      </c>
      <c r="DS85" s="19" t="s">
        <v>2185</v>
      </c>
      <c r="DT85" s="19" t="s">
        <v>2301</v>
      </c>
      <c r="DU85" s="19"/>
      <c r="DV85" s="19"/>
      <c r="DW85" s="19" t="s">
        <v>2153</v>
      </c>
      <c r="DX85" s="19">
        <v>1.0</v>
      </c>
      <c r="DY85" s="19">
        <v>5.0</v>
      </c>
      <c r="DZ85" s="19">
        <v>0.0</v>
      </c>
      <c r="EA85" s="19">
        <v>5.0</v>
      </c>
      <c r="EB85" s="19">
        <v>0.0</v>
      </c>
      <c r="EC85" s="19">
        <v>20.0</v>
      </c>
      <c r="ED85" s="19" t="s">
        <v>2133</v>
      </c>
      <c r="EE85" s="24">
        <v>45518.0</v>
      </c>
      <c r="EF85" s="19" t="s">
        <v>2133</v>
      </c>
      <c r="EG85" s="19" t="s">
        <v>2271</v>
      </c>
      <c r="EH85" s="19" t="s">
        <v>2146</v>
      </c>
      <c r="EI85" s="22">
        <v>15.0</v>
      </c>
      <c r="EJ85" s="19">
        <v>43.0</v>
      </c>
      <c r="EK85" s="19"/>
      <c r="EL85" s="19" t="s">
        <v>2282</v>
      </c>
      <c r="EM85" s="19" t="s">
        <v>2283</v>
      </c>
      <c r="EN85" s="19" t="s">
        <v>264</v>
      </c>
      <c r="EO85" s="19" t="s">
        <v>2286</v>
      </c>
      <c r="EP85" s="19" t="s">
        <v>2310</v>
      </c>
      <c r="EQ85" s="19" t="s">
        <v>2294</v>
      </c>
      <c r="ER85" s="19"/>
      <c r="ES85" s="19" t="s">
        <v>264</v>
      </c>
      <c r="ET85" s="19" t="s">
        <v>264</v>
      </c>
      <c r="EU85" s="19" t="s">
        <v>3805</v>
      </c>
      <c r="EV85" s="19">
        <v>8274.0</v>
      </c>
      <c r="EW85" s="19" t="s">
        <v>16</v>
      </c>
      <c r="EX85" s="19">
        <v>5.0</v>
      </c>
      <c r="EY85" s="25" t="s">
        <v>263</v>
      </c>
      <c r="EZ85" s="19" t="s">
        <v>2154</v>
      </c>
      <c r="FA85" s="5" t="s">
        <v>3819</v>
      </c>
      <c r="FB85" s="26" t="s">
        <v>2156</v>
      </c>
      <c r="FC85" s="26"/>
    </row>
    <row r="86">
      <c r="A86" s="19" t="s">
        <v>17</v>
      </c>
      <c r="B86" s="19" t="s">
        <v>2113</v>
      </c>
      <c r="C86" s="19" t="s">
        <v>2113</v>
      </c>
      <c r="D86" s="19" t="s">
        <v>265</v>
      </c>
      <c r="E86" s="19" t="s">
        <v>3820</v>
      </c>
      <c r="F86" s="19" t="s">
        <v>265</v>
      </c>
      <c r="G86" s="19"/>
      <c r="H86" s="19" t="s">
        <v>265</v>
      </c>
      <c r="I86" s="19" t="s">
        <v>267</v>
      </c>
      <c r="J86" s="19" t="s">
        <v>3821</v>
      </c>
      <c r="K86" s="19" t="s">
        <v>3822</v>
      </c>
      <c r="L86" s="20">
        <v>45420.0</v>
      </c>
      <c r="M86" s="20">
        <v>45428.0</v>
      </c>
      <c r="N86" s="20">
        <v>45428.0</v>
      </c>
      <c r="O86" s="19" t="s">
        <v>266</v>
      </c>
      <c r="P86" s="19">
        <v>0.0</v>
      </c>
      <c r="Q86" s="19">
        <v>20.0</v>
      </c>
      <c r="R86" s="19">
        <v>7635.0</v>
      </c>
      <c r="S86" s="20" t="s">
        <v>3823</v>
      </c>
      <c r="T86" s="20">
        <v>45461.0</v>
      </c>
      <c r="U86" s="19" t="s">
        <v>265</v>
      </c>
      <c r="V86" s="19"/>
      <c r="W86" s="19"/>
      <c r="X86" s="21">
        <v>20.0</v>
      </c>
      <c r="Y86" s="21">
        <v>10.0</v>
      </c>
      <c r="Z86" s="21">
        <v>3.0</v>
      </c>
      <c r="AA86" s="21">
        <v>0.0</v>
      </c>
      <c r="AB86" s="5">
        <v>33.0</v>
      </c>
      <c r="AC86" s="19">
        <v>5.0</v>
      </c>
      <c r="AD86" s="19">
        <v>5.0</v>
      </c>
      <c r="AE86" s="19">
        <v>4.0</v>
      </c>
      <c r="AF86" s="19">
        <v>4.0</v>
      </c>
      <c r="AG86" s="19">
        <v>3.0</v>
      </c>
      <c r="AH86" s="19">
        <v>4.0</v>
      </c>
      <c r="AI86" s="22">
        <v>12.75</v>
      </c>
      <c r="AJ86" s="19">
        <v>15.0</v>
      </c>
      <c r="AK86" s="19">
        <v>14.0</v>
      </c>
      <c r="AL86" s="19">
        <v>13.0</v>
      </c>
      <c r="AM86" s="19">
        <v>42.0</v>
      </c>
      <c r="AN86" s="19">
        <v>54.8</v>
      </c>
      <c r="AO86" s="19">
        <v>87.8</v>
      </c>
      <c r="AP86" s="19">
        <v>159.0</v>
      </c>
      <c r="AQ86" s="23">
        <v>83.0</v>
      </c>
      <c r="AR86" s="23">
        <v>1.0</v>
      </c>
      <c r="AS86" s="22"/>
      <c r="AT86" s="19" t="s">
        <v>2282</v>
      </c>
      <c r="AU86" s="19" t="s">
        <v>3824</v>
      </c>
      <c r="AV86" s="19" t="s">
        <v>3825</v>
      </c>
      <c r="AW86" s="19" t="s">
        <v>2166</v>
      </c>
      <c r="AX86" s="20">
        <v>37826.0</v>
      </c>
      <c r="AY86" s="19" t="s">
        <v>3826</v>
      </c>
      <c r="AZ86" s="19" t="s">
        <v>2122</v>
      </c>
      <c r="BA86" s="19" t="s">
        <v>3827</v>
      </c>
      <c r="BB86" s="19" t="s">
        <v>3828</v>
      </c>
      <c r="BC86" s="19" t="s">
        <v>3829</v>
      </c>
      <c r="BD86" s="19" t="s">
        <v>3830</v>
      </c>
      <c r="BE86" s="19" t="s">
        <v>3821</v>
      </c>
      <c r="BF86" s="19">
        <v>1.1939591555E10</v>
      </c>
      <c r="BG86" s="19" t="s">
        <v>2127</v>
      </c>
      <c r="BH86" s="19" t="s">
        <v>2128</v>
      </c>
      <c r="BI86" s="19"/>
      <c r="BJ86" s="19" t="s">
        <v>2128</v>
      </c>
      <c r="BK86" s="19" t="s">
        <v>17</v>
      </c>
      <c r="BL86" s="19"/>
      <c r="BM86" s="19" t="s">
        <v>2130</v>
      </c>
      <c r="BN86" s="19" t="s">
        <v>3445</v>
      </c>
      <c r="BO86" s="19" t="s">
        <v>2473</v>
      </c>
      <c r="BP86" s="19" t="s">
        <v>3831</v>
      </c>
      <c r="BQ86" s="19" t="s">
        <v>3832</v>
      </c>
      <c r="BR86" s="19" t="s">
        <v>3832</v>
      </c>
      <c r="BS86" s="19" t="s">
        <v>2134</v>
      </c>
      <c r="BT86" s="19" t="s">
        <v>268</v>
      </c>
      <c r="BU86" s="19" t="s">
        <v>3833</v>
      </c>
      <c r="BV86" s="19" t="s">
        <v>3834</v>
      </c>
      <c r="BW86" s="19"/>
      <c r="BX86" s="19"/>
      <c r="BY86" s="19" t="s">
        <v>2113</v>
      </c>
      <c r="BZ86" s="19" t="s">
        <v>2113</v>
      </c>
      <c r="CA86" s="19"/>
      <c r="CB86" s="19" t="s">
        <v>2113</v>
      </c>
      <c r="CC86" s="19" t="s">
        <v>2113</v>
      </c>
      <c r="CD86" s="19" t="s">
        <v>2137</v>
      </c>
      <c r="CE86" s="19" t="s">
        <v>16</v>
      </c>
      <c r="CF86" s="19"/>
      <c r="CG86" s="19"/>
      <c r="CH86" s="19" t="s">
        <v>16</v>
      </c>
      <c r="CI86" s="21">
        <v>0.0</v>
      </c>
      <c r="CJ86" s="19" t="s">
        <v>16</v>
      </c>
      <c r="CK86" s="19"/>
      <c r="CL86" s="19"/>
      <c r="CM86" s="19" t="s">
        <v>2138</v>
      </c>
      <c r="CN86" s="19" t="s">
        <v>3835</v>
      </c>
      <c r="CO86" s="19"/>
      <c r="CP86" s="19" t="s">
        <v>2178</v>
      </c>
      <c r="CQ86" s="19"/>
      <c r="CR86" s="19" t="s">
        <v>2113</v>
      </c>
      <c r="CS86" s="19" t="s">
        <v>2113</v>
      </c>
      <c r="CT86" s="19" t="s">
        <v>2113</v>
      </c>
      <c r="CU86" s="19" t="s">
        <v>2113</v>
      </c>
      <c r="CV86" s="19" t="s">
        <v>2141</v>
      </c>
      <c r="CW86" s="19" t="s">
        <v>2113</v>
      </c>
      <c r="CX86" s="19" t="s">
        <v>2113</v>
      </c>
      <c r="CY86" s="19" t="s">
        <v>2113</v>
      </c>
      <c r="CZ86" s="19" t="s">
        <v>2113</v>
      </c>
      <c r="DA86" s="19" t="s">
        <v>16</v>
      </c>
      <c r="DB86" s="19" t="s">
        <v>16</v>
      </c>
      <c r="DC86" s="19" t="s">
        <v>3836</v>
      </c>
      <c r="DD86" s="19" t="s">
        <v>2113</v>
      </c>
      <c r="DE86" s="19" t="s">
        <v>2113</v>
      </c>
      <c r="DF86" s="19" t="s">
        <v>2433</v>
      </c>
      <c r="DG86" s="19" t="s">
        <v>3256</v>
      </c>
      <c r="DH86" s="19" t="s">
        <v>2144</v>
      </c>
      <c r="DI86" s="24">
        <v>45519.0</v>
      </c>
      <c r="DJ86" s="19" t="s">
        <v>3257</v>
      </c>
      <c r="DK86" s="19" t="s">
        <v>2271</v>
      </c>
      <c r="DL86" s="19" t="s">
        <v>2207</v>
      </c>
      <c r="DM86" s="22" t="s">
        <v>3450</v>
      </c>
      <c r="DN86" s="19">
        <v>3.0</v>
      </c>
      <c r="DO86" s="19">
        <v>3.0</v>
      </c>
      <c r="DP86" s="19" t="s">
        <v>3837</v>
      </c>
      <c r="DQ86" s="19" t="s">
        <v>3838</v>
      </c>
      <c r="DR86" s="19" t="s">
        <v>3839</v>
      </c>
      <c r="DS86" s="19" t="s">
        <v>2185</v>
      </c>
      <c r="DT86" s="19" t="s">
        <v>2350</v>
      </c>
      <c r="DU86" s="19"/>
      <c r="DV86" s="19"/>
      <c r="DW86" s="19" t="s">
        <v>2153</v>
      </c>
      <c r="DX86" s="19">
        <v>2.0</v>
      </c>
      <c r="DY86" s="19">
        <v>10.0</v>
      </c>
      <c r="DZ86" s="19">
        <v>0.0</v>
      </c>
      <c r="EA86" s="19">
        <v>10.0</v>
      </c>
      <c r="EB86" s="19">
        <v>0.0</v>
      </c>
      <c r="EC86" s="19">
        <v>20.0</v>
      </c>
      <c r="ED86" s="19" t="s">
        <v>3257</v>
      </c>
      <c r="EE86" s="24">
        <v>45519.0</v>
      </c>
      <c r="EF86" s="19" t="s">
        <v>3257</v>
      </c>
      <c r="EG86" s="19" t="s">
        <v>2271</v>
      </c>
      <c r="EH86" s="19" t="s">
        <v>2207</v>
      </c>
      <c r="EI86" s="22">
        <v>12.75</v>
      </c>
      <c r="EJ86" s="19">
        <v>42.0</v>
      </c>
      <c r="EK86" s="19"/>
      <c r="EL86" s="19" t="s">
        <v>2282</v>
      </c>
      <c r="EM86" s="19" t="s">
        <v>3824</v>
      </c>
      <c r="EN86" s="19" t="s">
        <v>267</v>
      </c>
      <c r="EO86" s="19" t="s">
        <v>3826</v>
      </c>
      <c r="EP86" s="19" t="s">
        <v>2122</v>
      </c>
      <c r="EQ86" s="19" t="s">
        <v>3835</v>
      </c>
      <c r="ER86" s="19"/>
      <c r="ES86" s="19" t="s">
        <v>267</v>
      </c>
      <c r="ET86" s="19" t="s">
        <v>267</v>
      </c>
      <c r="EU86" s="19" t="s">
        <v>3822</v>
      </c>
      <c r="EV86" s="19">
        <v>7635.0</v>
      </c>
      <c r="EW86" s="19" t="s">
        <v>16</v>
      </c>
      <c r="EX86" s="19">
        <v>3.0</v>
      </c>
      <c r="EY86" s="25" t="s">
        <v>266</v>
      </c>
      <c r="EZ86" s="19" t="s">
        <v>2154</v>
      </c>
      <c r="FA86" s="5" t="s">
        <v>3840</v>
      </c>
      <c r="FB86" s="26" t="s">
        <v>2156</v>
      </c>
      <c r="FC86" s="26"/>
    </row>
    <row r="87">
      <c r="A87" s="19" t="s">
        <v>2112</v>
      </c>
      <c r="B87" s="19" t="s">
        <v>2113</v>
      </c>
      <c r="C87" s="19" t="s">
        <v>2113</v>
      </c>
      <c r="D87" s="19" t="s">
        <v>3841</v>
      </c>
      <c r="E87" s="19" t="s">
        <v>3842</v>
      </c>
      <c r="F87" s="19" t="s">
        <v>269</v>
      </c>
      <c r="G87" s="19" t="s">
        <v>3843</v>
      </c>
      <c r="H87" s="19" t="s">
        <v>269</v>
      </c>
      <c r="I87" s="19" t="s">
        <v>271</v>
      </c>
      <c r="J87" s="19" t="s">
        <v>3844</v>
      </c>
      <c r="K87" s="19" t="s">
        <v>3845</v>
      </c>
      <c r="L87" s="20">
        <v>45397.0</v>
      </c>
      <c r="M87" s="20">
        <v>45411.0</v>
      </c>
      <c r="N87" s="20">
        <v>45411.0</v>
      </c>
      <c r="O87" s="19" t="s">
        <v>270</v>
      </c>
      <c r="P87" s="19">
        <v>0.0</v>
      </c>
      <c r="Q87" s="19">
        <v>26.0</v>
      </c>
      <c r="R87" s="19">
        <v>9663.0</v>
      </c>
      <c r="S87" s="20" t="s">
        <v>3846</v>
      </c>
      <c r="T87" s="20">
        <v>45461.0</v>
      </c>
      <c r="U87" s="19" t="s">
        <v>269</v>
      </c>
      <c r="V87" s="19"/>
      <c r="W87" s="19"/>
      <c r="X87" s="21">
        <v>20.0</v>
      </c>
      <c r="Y87" s="21">
        <v>10.0</v>
      </c>
      <c r="Z87" s="21">
        <v>1.0</v>
      </c>
      <c r="AA87" s="21">
        <v>2.0</v>
      </c>
      <c r="AB87" s="5">
        <v>33.0</v>
      </c>
      <c r="AC87" s="19">
        <v>3.0</v>
      </c>
      <c r="AD87" s="19">
        <v>3.0</v>
      </c>
      <c r="AE87" s="19">
        <v>3.5</v>
      </c>
      <c r="AF87" s="19">
        <v>4.0</v>
      </c>
      <c r="AG87" s="19">
        <v>2.5</v>
      </c>
      <c r="AH87" s="19">
        <v>3.5</v>
      </c>
      <c r="AI87" s="22">
        <v>9.75</v>
      </c>
      <c r="AJ87" s="19">
        <v>15.0</v>
      </c>
      <c r="AK87" s="19">
        <v>15.0</v>
      </c>
      <c r="AL87" s="19">
        <v>15.0</v>
      </c>
      <c r="AM87" s="19">
        <v>45.0</v>
      </c>
      <c r="AN87" s="19">
        <v>54.8</v>
      </c>
      <c r="AO87" s="19">
        <v>87.8</v>
      </c>
      <c r="AP87" s="19">
        <v>173.0</v>
      </c>
      <c r="AQ87" s="23">
        <v>84.0</v>
      </c>
      <c r="AR87" s="23">
        <v>12.0</v>
      </c>
      <c r="AS87" s="19"/>
      <c r="AT87" s="19" t="s">
        <v>2117</v>
      </c>
      <c r="AU87" s="19" t="s">
        <v>3847</v>
      </c>
      <c r="AV87" s="19" t="s">
        <v>3848</v>
      </c>
      <c r="AW87" s="19"/>
      <c r="AX87" s="20">
        <v>35798.0</v>
      </c>
      <c r="AY87" s="19" t="s">
        <v>3077</v>
      </c>
      <c r="AZ87" s="19" t="s">
        <v>3849</v>
      </c>
      <c r="BA87" s="19" t="s">
        <v>3850</v>
      </c>
      <c r="BB87" s="19" t="s">
        <v>3851</v>
      </c>
      <c r="BC87" s="19" t="s">
        <v>3852</v>
      </c>
      <c r="BD87" s="19" t="s">
        <v>3853</v>
      </c>
      <c r="BE87" s="19" t="s">
        <v>3854</v>
      </c>
      <c r="BF87" s="19">
        <v>1.1987172014E10</v>
      </c>
      <c r="BG87" s="19" t="s">
        <v>2127</v>
      </c>
      <c r="BH87" s="19" t="s">
        <v>2128</v>
      </c>
      <c r="BI87" s="19"/>
      <c r="BJ87" s="19"/>
      <c r="BK87" s="19" t="s">
        <v>16</v>
      </c>
      <c r="BL87" s="19"/>
      <c r="BM87" s="19" t="s">
        <v>2130</v>
      </c>
      <c r="BN87" s="19" t="s">
        <v>2172</v>
      </c>
      <c r="BO87" s="19" t="s">
        <v>3082</v>
      </c>
      <c r="BP87" s="19"/>
      <c r="BQ87" s="19" t="s">
        <v>2174</v>
      </c>
      <c r="BR87" s="19" t="s">
        <v>2174</v>
      </c>
      <c r="BS87" s="19" t="s">
        <v>2134</v>
      </c>
      <c r="BT87" s="19" t="s">
        <v>21</v>
      </c>
      <c r="BU87" s="19"/>
      <c r="BV87" s="19" t="s">
        <v>3855</v>
      </c>
      <c r="BW87" s="19" t="s">
        <v>2113</v>
      </c>
      <c r="BX87" s="19"/>
      <c r="BY87" s="19"/>
      <c r="BZ87" s="19"/>
      <c r="CA87" s="19"/>
      <c r="CB87" s="19" t="s">
        <v>2113</v>
      </c>
      <c r="CC87" s="19"/>
      <c r="CD87" s="19" t="s">
        <v>2137</v>
      </c>
      <c r="CE87" s="19" t="s">
        <v>16</v>
      </c>
      <c r="CF87" s="19"/>
      <c r="CG87" s="19"/>
      <c r="CH87" s="19" t="s">
        <v>16</v>
      </c>
      <c r="CI87" s="21">
        <v>0.0</v>
      </c>
      <c r="CJ87" s="19" t="s">
        <v>16</v>
      </c>
      <c r="CK87" s="19"/>
      <c r="CL87" s="19"/>
      <c r="CM87" s="19"/>
      <c r="CN87" s="19" t="s">
        <v>3085</v>
      </c>
      <c r="CO87" s="19"/>
      <c r="CP87" s="19"/>
      <c r="CQ87" s="19"/>
      <c r="CR87" s="19" t="s">
        <v>2113</v>
      </c>
      <c r="CS87" s="19" t="s">
        <v>2113</v>
      </c>
      <c r="CT87" s="19" t="s">
        <v>2113</v>
      </c>
      <c r="CU87" s="19" t="s">
        <v>2113</v>
      </c>
      <c r="CV87" s="19" t="s">
        <v>2141</v>
      </c>
      <c r="CW87" s="19" t="s">
        <v>2113</v>
      </c>
      <c r="CX87" s="19" t="s">
        <v>2113</v>
      </c>
      <c r="CY87" s="19" t="s">
        <v>2113</v>
      </c>
      <c r="CZ87" s="19" t="s">
        <v>2113</v>
      </c>
      <c r="DA87" s="19" t="s">
        <v>16</v>
      </c>
      <c r="DB87" s="19" t="s">
        <v>16</v>
      </c>
      <c r="DC87" s="19" t="s">
        <v>3856</v>
      </c>
      <c r="DD87" s="19" t="s">
        <v>2113</v>
      </c>
      <c r="DE87" s="19" t="s">
        <v>2113</v>
      </c>
      <c r="DF87" s="19" t="s">
        <v>2345</v>
      </c>
      <c r="DG87" s="19" t="s">
        <v>2181</v>
      </c>
      <c r="DH87" s="19" t="s">
        <v>2144</v>
      </c>
      <c r="DI87" s="24">
        <v>45533.0</v>
      </c>
      <c r="DJ87" s="19" t="s">
        <v>2174</v>
      </c>
      <c r="DK87" s="19" t="s">
        <v>2145</v>
      </c>
      <c r="DL87" s="19" t="s">
        <v>2207</v>
      </c>
      <c r="DM87" s="19" t="s">
        <v>2208</v>
      </c>
      <c r="DN87" s="19">
        <v>5.0</v>
      </c>
      <c r="DO87" s="19">
        <v>5.0</v>
      </c>
      <c r="DP87" s="19" t="s">
        <v>3857</v>
      </c>
      <c r="DQ87" s="19" t="s">
        <v>3858</v>
      </c>
      <c r="DR87" s="19" t="s">
        <v>3859</v>
      </c>
      <c r="DS87" s="19" t="s">
        <v>2151</v>
      </c>
      <c r="DT87" s="19" t="s">
        <v>2209</v>
      </c>
      <c r="DU87" s="19"/>
      <c r="DV87" s="19" t="s">
        <v>2211</v>
      </c>
      <c r="DW87" s="19" t="s">
        <v>2153</v>
      </c>
      <c r="DX87" s="19">
        <v>13.0</v>
      </c>
      <c r="DY87" s="19">
        <v>10.0</v>
      </c>
      <c r="DZ87" s="19">
        <v>2.0</v>
      </c>
      <c r="EA87" s="19">
        <v>10.0</v>
      </c>
      <c r="EB87" s="19">
        <v>0.0</v>
      </c>
      <c r="EC87" s="19">
        <v>20.0</v>
      </c>
      <c r="ED87" s="19" t="s">
        <v>2174</v>
      </c>
      <c r="EE87" s="24">
        <v>45533.0</v>
      </c>
      <c r="EF87" s="19" t="s">
        <v>2174</v>
      </c>
      <c r="EG87" s="19" t="s">
        <v>2145</v>
      </c>
      <c r="EH87" s="19" t="s">
        <v>2207</v>
      </c>
      <c r="EI87" s="22">
        <v>9.75</v>
      </c>
      <c r="EJ87" s="19">
        <v>45.0</v>
      </c>
      <c r="EK87" s="19"/>
      <c r="EL87" s="19" t="s">
        <v>2117</v>
      </c>
      <c r="EM87" s="19" t="s">
        <v>3847</v>
      </c>
      <c r="EN87" s="19" t="s">
        <v>271</v>
      </c>
      <c r="EO87" s="19" t="s">
        <v>3077</v>
      </c>
      <c r="EP87" s="19" t="s">
        <v>3849</v>
      </c>
      <c r="EQ87" s="19" t="s">
        <v>3085</v>
      </c>
      <c r="ER87" s="19"/>
      <c r="ES87" s="19" t="s">
        <v>271</v>
      </c>
      <c r="ET87" s="19" t="s">
        <v>271</v>
      </c>
      <c r="EU87" s="19" t="s">
        <v>3845</v>
      </c>
      <c r="EV87" s="19">
        <v>9663.0</v>
      </c>
      <c r="EW87" s="19" t="s">
        <v>16</v>
      </c>
      <c r="EX87" s="19">
        <v>1.0</v>
      </c>
      <c r="EY87" s="25" t="s">
        <v>270</v>
      </c>
      <c r="EZ87" s="19" t="s">
        <v>2154</v>
      </c>
      <c r="FA87" s="5" t="s">
        <v>3860</v>
      </c>
      <c r="FB87" s="26" t="s">
        <v>2156</v>
      </c>
      <c r="FC87" s="26"/>
    </row>
    <row r="88">
      <c r="A88" s="19" t="s">
        <v>2112</v>
      </c>
      <c r="B88" s="19" t="s">
        <v>2113</v>
      </c>
      <c r="C88" s="19" t="s">
        <v>2113</v>
      </c>
      <c r="D88" s="19" t="s">
        <v>272</v>
      </c>
      <c r="E88" s="19" t="s">
        <v>3861</v>
      </c>
      <c r="F88" s="19" t="s">
        <v>272</v>
      </c>
      <c r="G88" s="19"/>
      <c r="H88" s="19" t="s">
        <v>272</v>
      </c>
      <c r="I88" s="19" t="s">
        <v>274</v>
      </c>
      <c r="J88" s="19" t="s">
        <v>3862</v>
      </c>
      <c r="K88" s="19" t="s">
        <v>3863</v>
      </c>
      <c r="L88" s="20">
        <v>45396.0</v>
      </c>
      <c r="M88" s="20">
        <v>45411.0</v>
      </c>
      <c r="N88" s="20">
        <v>45411.0</v>
      </c>
      <c r="O88" s="19" t="s">
        <v>273</v>
      </c>
      <c r="P88" s="19">
        <v>0.0</v>
      </c>
      <c r="Q88" s="19">
        <v>21.0</v>
      </c>
      <c r="R88" s="19">
        <v>7775.0</v>
      </c>
      <c r="S88" s="20" t="s">
        <v>3864</v>
      </c>
      <c r="T88" s="20">
        <v>45461.0</v>
      </c>
      <c r="U88" s="19" t="s">
        <v>272</v>
      </c>
      <c r="V88" s="19"/>
      <c r="W88" s="19"/>
      <c r="X88" s="21">
        <v>20.0</v>
      </c>
      <c r="Y88" s="21">
        <v>10.0</v>
      </c>
      <c r="Z88" s="21">
        <v>5.0</v>
      </c>
      <c r="AA88" s="21">
        <v>0.0</v>
      </c>
      <c r="AB88" s="5">
        <v>35.0</v>
      </c>
      <c r="AC88" s="19">
        <v>5.0</v>
      </c>
      <c r="AD88" s="19">
        <v>5.0</v>
      </c>
      <c r="AE88" s="19">
        <v>4.0</v>
      </c>
      <c r="AF88" s="19">
        <v>5.0</v>
      </c>
      <c r="AG88" s="19">
        <v>4.0</v>
      </c>
      <c r="AH88" s="19">
        <v>4.0</v>
      </c>
      <c r="AI88" s="22">
        <v>13.5</v>
      </c>
      <c r="AJ88" s="19">
        <v>12.0</v>
      </c>
      <c r="AK88" s="19">
        <v>14.0</v>
      </c>
      <c r="AL88" s="19">
        <v>13.0</v>
      </c>
      <c r="AM88" s="19">
        <v>39.0</v>
      </c>
      <c r="AN88" s="19">
        <v>52.5</v>
      </c>
      <c r="AO88" s="19">
        <v>87.5</v>
      </c>
      <c r="AP88" s="19">
        <v>72.0</v>
      </c>
      <c r="AQ88" s="23">
        <v>85.0</v>
      </c>
      <c r="AR88" s="23">
        <v>16.0</v>
      </c>
      <c r="AS88" s="22"/>
      <c r="AT88" s="19" t="s">
        <v>2163</v>
      </c>
      <c r="AU88" s="19" t="s">
        <v>3865</v>
      </c>
      <c r="AV88" s="19" t="s">
        <v>3866</v>
      </c>
      <c r="AW88" s="19"/>
      <c r="AX88" s="20">
        <v>37686.0</v>
      </c>
      <c r="AY88" s="19" t="s">
        <v>2286</v>
      </c>
      <c r="AZ88" s="19" t="s">
        <v>2122</v>
      </c>
      <c r="BA88" s="19" t="s">
        <v>3867</v>
      </c>
      <c r="BB88" s="19" t="s">
        <v>3868</v>
      </c>
      <c r="BC88" s="19" t="s">
        <v>3869</v>
      </c>
      <c r="BD88" s="19" t="s">
        <v>3870</v>
      </c>
      <c r="BE88" s="19" t="s">
        <v>3871</v>
      </c>
      <c r="BF88" s="19">
        <v>1.1950561652E10</v>
      </c>
      <c r="BG88" s="19" t="s">
        <v>2127</v>
      </c>
      <c r="BH88" s="19" t="s">
        <v>2128</v>
      </c>
      <c r="BI88" s="19"/>
      <c r="BJ88" s="19"/>
      <c r="BK88" s="19" t="s">
        <v>16</v>
      </c>
      <c r="BL88" s="19" t="s">
        <v>2113</v>
      </c>
      <c r="BM88" s="19" t="s">
        <v>2130</v>
      </c>
      <c r="BN88" s="19" t="s">
        <v>2131</v>
      </c>
      <c r="BO88" s="19" t="s">
        <v>2132</v>
      </c>
      <c r="BP88" s="19"/>
      <c r="BQ88" s="19" t="s">
        <v>2133</v>
      </c>
      <c r="BR88" s="19" t="s">
        <v>2133</v>
      </c>
      <c r="BS88" s="19" t="s">
        <v>2134</v>
      </c>
      <c r="BT88" s="19" t="s">
        <v>38</v>
      </c>
      <c r="BU88" s="19" t="s">
        <v>3872</v>
      </c>
      <c r="BV88" s="19" t="s">
        <v>3873</v>
      </c>
      <c r="BW88" s="19"/>
      <c r="BX88" s="19"/>
      <c r="BY88" s="19"/>
      <c r="BZ88" s="19"/>
      <c r="CA88" s="19"/>
      <c r="CB88" s="19"/>
      <c r="CC88" s="19"/>
      <c r="CD88" s="19" t="s">
        <v>2137</v>
      </c>
      <c r="CE88" s="19" t="s">
        <v>16</v>
      </c>
      <c r="CF88" s="19"/>
      <c r="CG88" s="19"/>
      <c r="CH88" s="19" t="s">
        <v>16</v>
      </c>
      <c r="CI88" s="21">
        <v>0.0</v>
      </c>
      <c r="CJ88" s="19" t="s">
        <v>17</v>
      </c>
      <c r="CK88" s="19"/>
      <c r="CL88" s="19"/>
      <c r="CM88" s="19" t="s">
        <v>2138</v>
      </c>
      <c r="CN88" s="19" t="s">
        <v>2294</v>
      </c>
      <c r="CO88" s="19"/>
      <c r="CP88" s="19"/>
      <c r="CQ88" s="19"/>
      <c r="CR88" s="19"/>
      <c r="CS88" s="19"/>
      <c r="CT88" s="19"/>
      <c r="CU88" s="19"/>
      <c r="CV88" s="19" t="s">
        <v>2141</v>
      </c>
      <c r="CW88" s="19" t="s">
        <v>2113</v>
      </c>
      <c r="CX88" s="19" t="s">
        <v>2113</v>
      </c>
      <c r="CY88" s="19" t="s">
        <v>2113</v>
      </c>
      <c r="CZ88" s="19" t="s">
        <v>2113</v>
      </c>
      <c r="DA88" s="19" t="s">
        <v>16</v>
      </c>
      <c r="DB88" s="19" t="s">
        <v>17</v>
      </c>
      <c r="DC88" s="19" t="s">
        <v>2296</v>
      </c>
      <c r="DD88" s="19"/>
      <c r="DE88" s="19"/>
      <c r="DF88" s="19" t="s">
        <v>3874</v>
      </c>
      <c r="DG88" s="19" t="s">
        <v>2146</v>
      </c>
      <c r="DH88" s="19" t="s">
        <v>2144</v>
      </c>
      <c r="DI88" s="24">
        <v>45525.0</v>
      </c>
      <c r="DJ88" s="19" t="s">
        <v>2133</v>
      </c>
      <c r="DK88" s="19" t="s">
        <v>2271</v>
      </c>
      <c r="DL88" s="19" t="s">
        <v>2146</v>
      </c>
      <c r="DM88" s="19" t="s">
        <v>2408</v>
      </c>
      <c r="DN88" s="19">
        <v>10.0</v>
      </c>
      <c r="DO88" s="19">
        <v>10.0</v>
      </c>
      <c r="DP88" s="19" t="s">
        <v>3875</v>
      </c>
      <c r="DQ88" s="19" t="s">
        <v>3876</v>
      </c>
      <c r="DR88" s="19" t="s">
        <v>3877</v>
      </c>
      <c r="DS88" s="19" t="s">
        <v>2185</v>
      </c>
      <c r="DT88" s="19" t="s">
        <v>2209</v>
      </c>
      <c r="DU88" s="19"/>
      <c r="DV88" s="19"/>
      <c r="DW88" s="19" t="s">
        <v>2479</v>
      </c>
      <c r="DX88" s="19">
        <v>6.0</v>
      </c>
      <c r="DY88" s="19">
        <v>10.0</v>
      </c>
      <c r="DZ88" s="19">
        <v>0.0</v>
      </c>
      <c r="EA88" s="19">
        <v>10.0</v>
      </c>
      <c r="EB88" s="19">
        <v>0.0</v>
      </c>
      <c r="EC88" s="19">
        <v>20.0</v>
      </c>
      <c r="ED88" s="19" t="s">
        <v>2133</v>
      </c>
      <c r="EE88" s="24">
        <v>45525.0</v>
      </c>
      <c r="EF88" s="19" t="s">
        <v>2133</v>
      </c>
      <c r="EG88" s="19" t="s">
        <v>2271</v>
      </c>
      <c r="EH88" s="19" t="s">
        <v>2146</v>
      </c>
      <c r="EI88" s="22">
        <v>13.5</v>
      </c>
      <c r="EJ88" s="19">
        <v>39.0</v>
      </c>
      <c r="EK88" s="19" t="s">
        <v>2113</v>
      </c>
      <c r="EL88" s="19" t="s">
        <v>2163</v>
      </c>
      <c r="EM88" s="19" t="s">
        <v>3865</v>
      </c>
      <c r="EN88" s="19" t="s">
        <v>274</v>
      </c>
      <c r="EO88" s="19" t="s">
        <v>2286</v>
      </c>
      <c r="EP88" s="19" t="s">
        <v>2122</v>
      </c>
      <c r="EQ88" s="19" t="s">
        <v>2294</v>
      </c>
      <c r="ER88" s="19"/>
      <c r="ES88" s="19" t="s">
        <v>274</v>
      </c>
      <c r="ET88" s="19" t="s">
        <v>274</v>
      </c>
      <c r="EU88" s="19" t="s">
        <v>3863</v>
      </c>
      <c r="EV88" s="19">
        <v>7775.0</v>
      </c>
      <c r="EW88" s="19" t="s">
        <v>16</v>
      </c>
      <c r="EX88" s="19">
        <v>5.0</v>
      </c>
      <c r="EY88" s="25" t="s">
        <v>273</v>
      </c>
      <c r="EZ88" s="19" t="s">
        <v>2154</v>
      </c>
      <c r="FA88" s="5" t="s">
        <v>3878</v>
      </c>
      <c r="FB88" s="26" t="s">
        <v>2156</v>
      </c>
      <c r="FC88" s="26"/>
    </row>
    <row r="89">
      <c r="A89" s="19" t="s">
        <v>2112</v>
      </c>
      <c r="B89" s="19" t="s">
        <v>2113</v>
      </c>
      <c r="C89" s="19" t="s">
        <v>2113</v>
      </c>
      <c r="D89" s="19" t="s">
        <v>275</v>
      </c>
      <c r="E89" s="19" t="s">
        <v>3879</v>
      </c>
      <c r="F89" s="19" t="s">
        <v>275</v>
      </c>
      <c r="G89" s="19"/>
      <c r="H89" s="19" t="s">
        <v>275</v>
      </c>
      <c r="I89" s="19" t="s">
        <v>277</v>
      </c>
      <c r="J89" s="19" t="s">
        <v>3880</v>
      </c>
      <c r="K89" s="19" t="s">
        <v>3881</v>
      </c>
      <c r="L89" s="20">
        <v>45439.0</v>
      </c>
      <c r="M89" s="20">
        <v>45440.0</v>
      </c>
      <c r="N89" s="20">
        <v>45440.0</v>
      </c>
      <c r="O89" s="19" t="s">
        <v>276</v>
      </c>
      <c r="P89" s="19">
        <v>0.0</v>
      </c>
      <c r="Q89" s="19">
        <v>24.0</v>
      </c>
      <c r="R89" s="19">
        <v>8767.0</v>
      </c>
      <c r="S89" s="20" t="s">
        <v>3882</v>
      </c>
      <c r="T89" s="20">
        <v>45461.0</v>
      </c>
      <c r="U89" s="19" t="s">
        <v>275</v>
      </c>
      <c r="V89" s="19"/>
      <c r="W89" s="19"/>
      <c r="X89" s="21">
        <v>20.0</v>
      </c>
      <c r="Y89" s="21">
        <v>5.0</v>
      </c>
      <c r="Z89" s="21">
        <v>4.0</v>
      </c>
      <c r="AA89" s="21">
        <v>0.0</v>
      </c>
      <c r="AB89" s="5">
        <v>29.0</v>
      </c>
      <c r="AC89" s="19">
        <v>4.6</v>
      </c>
      <c r="AD89" s="19">
        <v>5.0</v>
      </c>
      <c r="AE89" s="19">
        <v>4.6</v>
      </c>
      <c r="AF89" s="19">
        <v>5.0</v>
      </c>
      <c r="AG89" s="19">
        <v>5.0</v>
      </c>
      <c r="AH89" s="19">
        <v>4.8</v>
      </c>
      <c r="AI89" s="22">
        <v>14.4375</v>
      </c>
      <c r="AJ89" s="19">
        <v>14.0</v>
      </c>
      <c r="AK89" s="19">
        <v>15.0</v>
      </c>
      <c r="AL89" s="19">
        <v>15.0</v>
      </c>
      <c r="AM89" s="19">
        <v>44.0</v>
      </c>
      <c r="AN89" s="19">
        <v>58.4</v>
      </c>
      <c r="AO89" s="19">
        <v>87.4</v>
      </c>
      <c r="AP89" s="19">
        <v>224.0</v>
      </c>
      <c r="AQ89" s="23">
        <v>86.0</v>
      </c>
      <c r="AR89" s="23">
        <v>8.0</v>
      </c>
      <c r="AS89" s="22"/>
      <c r="AT89" s="19" t="s">
        <v>2282</v>
      </c>
      <c r="AU89" s="19" t="s">
        <v>2855</v>
      </c>
      <c r="AV89" s="19" t="s">
        <v>3883</v>
      </c>
      <c r="AW89" s="19"/>
      <c r="AX89" s="20">
        <v>36694.0</v>
      </c>
      <c r="AY89" s="19" t="s">
        <v>3232</v>
      </c>
      <c r="AZ89" s="19" t="s">
        <v>2122</v>
      </c>
      <c r="BA89" s="19" t="s">
        <v>3884</v>
      </c>
      <c r="BB89" s="19" t="s">
        <v>3139</v>
      </c>
      <c r="BC89" s="19" t="s">
        <v>3885</v>
      </c>
      <c r="BD89" s="19" t="s">
        <v>3886</v>
      </c>
      <c r="BE89" s="19" t="s">
        <v>3887</v>
      </c>
      <c r="BF89" s="19">
        <v>1.1946799318E10</v>
      </c>
      <c r="BG89" s="19" t="s">
        <v>3518</v>
      </c>
      <c r="BH89" s="19" t="s">
        <v>2128</v>
      </c>
      <c r="BI89" s="19"/>
      <c r="BJ89" s="19" t="s">
        <v>2427</v>
      </c>
      <c r="BK89" s="19" t="s">
        <v>17</v>
      </c>
      <c r="BL89" s="19" t="s">
        <v>2113</v>
      </c>
      <c r="BM89" s="19" t="s">
        <v>2130</v>
      </c>
      <c r="BN89" s="19" t="s">
        <v>3888</v>
      </c>
      <c r="BO89" s="19" t="s">
        <v>2317</v>
      </c>
      <c r="BP89" s="19" t="s">
        <v>3889</v>
      </c>
      <c r="BQ89" s="19" t="s">
        <v>2325</v>
      </c>
      <c r="BR89" s="19" t="s">
        <v>2325</v>
      </c>
      <c r="BS89" s="19" t="s">
        <v>2134</v>
      </c>
      <c r="BT89" s="19" t="s">
        <v>118</v>
      </c>
      <c r="BU89" s="19" t="s">
        <v>3890</v>
      </c>
      <c r="BV89" s="19" t="s">
        <v>3891</v>
      </c>
      <c r="BW89" s="19"/>
      <c r="BX89" s="19" t="s">
        <v>2113</v>
      </c>
      <c r="BY89" s="19" t="s">
        <v>2113</v>
      </c>
      <c r="BZ89" s="19" t="s">
        <v>2113</v>
      </c>
      <c r="CA89" s="19" t="s">
        <v>2113</v>
      </c>
      <c r="CB89" s="19" t="s">
        <v>2113</v>
      </c>
      <c r="CC89" s="19"/>
      <c r="CD89" s="19" t="s">
        <v>2137</v>
      </c>
      <c r="CE89" s="19" t="s">
        <v>16</v>
      </c>
      <c r="CF89" s="19"/>
      <c r="CG89" s="19"/>
      <c r="CH89" s="19" t="s">
        <v>16</v>
      </c>
      <c r="CI89" s="21">
        <v>0.0</v>
      </c>
      <c r="CJ89" s="19" t="s">
        <v>16</v>
      </c>
      <c r="CK89" s="19"/>
      <c r="CL89" s="19"/>
      <c r="CM89" s="19" t="s">
        <v>2344</v>
      </c>
      <c r="CN89" s="19" t="s">
        <v>2868</v>
      </c>
      <c r="CO89" s="19"/>
      <c r="CP89" s="19" t="s">
        <v>2246</v>
      </c>
      <c r="CQ89" s="19"/>
      <c r="CR89" s="19" t="s">
        <v>2113</v>
      </c>
      <c r="CS89" s="19" t="s">
        <v>2113</v>
      </c>
      <c r="CT89" s="19"/>
      <c r="CU89" s="19"/>
      <c r="CV89" s="19" t="s">
        <v>2179</v>
      </c>
      <c r="CW89" s="19" t="s">
        <v>2113</v>
      </c>
      <c r="CX89" s="19" t="s">
        <v>2113</v>
      </c>
      <c r="CY89" s="19"/>
      <c r="CZ89" s="19"/>
      <c r="DA89" s="19" t="s">
        <v>16</v>
      </c>
      <c r="DB89" s="19" t="s">
        <v>16</v>
      </c>
      <c r="DC89" s="19" t="s">
        <v>2498</v>
      </c>
      <c r="DD89" s="19" t="s">
        <v>2113</v>
      </c>
      <c r="DE89" s="19" t="s">
        <v>2113</v>
      </c>
      <c r="DF89" s="19" t="s">
        <v>2869</v>
      </c>
      <c r="DG89" s="19" t="s">
        <v>3892</v>
      </c>
      <c r="DH89" s="19" t="s">
        <v>2144</v>
      </c>
      <c r="DI89" s="24">
        <v>45525.0</v>
      </c>
      <c r="DJ89" s="19" t="s">
        <v>2325</v>
      </c>
      <c r="DK89" s="19" t="s">
        <v>2271</v>
      </c>
      <c r="DL89" s="19" t="s">
        <v>2326</v>
      </c>
      <c r="DM89" s="19"/>
      <c r="DN89" s="19">
        <v>10.0</v>
      </c>
      <c r="DO89" s="19">
        <v>10.0</v>
      </c>
      <c r="DP89" s="19"/>
      <c r="DQ89" s="19"/>
      <c r="DR89" s="19"/>
      <c r="DS89" s="19" t="s">
        <v>2365</v>
      </c>
      <c r="DT89" s="19" t="s">
        <v>2301</v>
      </c>
      <c r="DU89" s="19" t="s">
        <v>3893</v>
      </c>
      <c r="DV89" s="19"/>
      <c r="DW89" s="19" t="s">
        <v>2479</v>
      </c>
      <c r="DX89" s="19">
        <v>11.0</v>
      </c>
      <c r="DY89" s="19">
        <v>5.0</v>
      </c>
      <c r="DZ89" s="19">
        <v>0.0</v>
      </c>
      <c r="EA89" s="19">
        <v>5.0</v>
      </c>
      <c r="EB89" s="19">
        <v>0.0</v>
      </c>
      <c r="EC89" s="19">
        <v>20.0</v>
      </c>
      <c r="ED89" s="19" t="s">
        <v>2325</v>
      </c>
      <c r="EE89" s="24">
        <v>45525.0</v>
      </c>
      <c r="EF89" s="19" t="s">
        <v>2325</v>
      </c>
      <c r="EG89" s="19" t="s">
        <v>2271</v>
      </c>
      <c r="EH89" s="19" t="s">
        <v>2326</v>
      </c>
      <c r="EI89" s="22">
        <v>14.4375</v>
      </c>
      <c r="EJ89" s="19">
        <v>44.0</v>
      </c>
      <c r="EK89" s="19"/>
      <c r="EL89" s="19" t="s">
        <v>2282</v>
      </c>
      <c r="EM89" s="19" t="s">
        <v>2855</v>
      </c>
      <c r="EN89" s="19" t="s">
        <v>277</v>
      </c>
      <c r="EO89" s="19" t="s">
        <v>3232</v>
      </c>
      <c r="EP89" s="19" t="s">
        <v>2122</v>
      </c>
      <c r="EQ89" s="19" t="s">
        <v>2868</v>
      </c>
      <c r="ER89" s="19"/>
      <c r="ES89" s="19" t="s">
        <v>277</v>
      </c>
      <c r="ET89" s="19" t="s">
        <v>277</v>
      </c>
      <c r="EU89" s="19" t="s">
        <v>3881</v>
      </c>
      <c r="EV89" s="19">
        <v>8767.0</v>
      </c>
      <c r="EW89" s="19" t="s">
        <v>16</v>
      </c>
      <c r="EX89" s="19">
        <v>4.0</v>
      </c>
      <c r="EY89" s="25" t="s">
        <v>276</v>
      </c>
      <c r="EZ89" s="19" t="s">
        <v>2154</v>
      </c>
      <c r="FA89" s="5" t="s">
        <v>3894</v>
      </c>
      <c r="FB89" s="26" t="s">
        <v>2156</v>
      </c>
      <c r="FC89" s="26"/>
    </row>
    <row r="90">
      <c r="A90" s="19" t="s">
        <v>2156</v>
      </c>
      <c r="B90" s="19" t="s">
        <v>2113</v>
      </c>
      <c r="C90" s="19" t="s">
        <v>2113</v>
      </c>
      <c r="D90" s="19" t="s">
        <v>3895</v>
      </c>
      <c r="E90" s="19" t="s">
        <v>3896</v>
      </c>
      <c r="F90" s="19" t="s">
        <v>3897</v>
      </c>
      <c r="G90" s="19" t="s">
        <v>3898</v>
      </c>
      <c r="H90" s="19" t="s">
        <v>278</v>
      </c>
      <c r="I90" s="19" t="s">
        <v>280</v>
      </c>
      <c r="J90" s="19" t="s">
        <v>3899</v>
      </c>
      <c r="K90" s="19" t="s">
        <v>3900</v>
      </c>
      <c r="L90" s="20">
        <v>45457.0</v>
      </c>
      <c r="M90" s="20">
        <v>45457.0</v>
      </c>
      <c r="N90" s="20">
        <v>45457.0</v>
      </c>
      <c r="O90" s="19" t="s">
        <v>279</v>
      </c>
      <c r="P90" s="19">
        <v>0.0</v>
      </c>
      <c r="Q90" s="19">
        <v>26.0</v>
      </c>
      <c r="R90" s="19">
        <v>9785.0</v>
      </c>
      <c r="S90" s="20" t="s">
        <v>3901</v>
      </c>
      <c r="T90" s="20">
        <v>45461.0</v>
      </c>
      <c r="U90" s="19" t="s">
        <v>3897</v>
      </c>
      <c r="V90" s="19"/>
      <c r="W90" s="19" t="s">
        <v>3902</v>
      </c>
      <c r="X90" s="21">
        <v>20.0</v>
      </c>
      <c r="Y90" s="21">
        <v>5.0</v>
      </c>
      <c r="Z90" s="21">
        <v>3.0</v>
      </c>
      <c r="AA90" s="21">
        <v>0.0</v>
      </c>
      <c r="AB90" s="5">
        <v>28.0</v>
      </c>
      <c r="AC90" s="19">
        <v>4.0</v>
      </c>
      <c r="AD90" s="19">
        <v>5.0</v>
      </c>
      <c r="AE90" s="19">
        <v>5.0</v>
      </c>
      <c r="AF90" s="19">
        <v>5.0</v>
      </c>
      <c r="AG90" s="19">
        <v>4.0</v>
      </c>
      <c r="AH90" s="19">
        <v>5.0</v>
      </c>
      <c r="AI90" s="22">
        <v>14.15625</v>
      </c>
      <c r="AJ90" s="19">
        <v>15.0</v>
      </c>
      <c r="AK90" s="19">
        <v>15.0</v>
      </c>
      <c r="AL90" s="19">
        <v>15.0</v>
      </c>
      <c r="AM90" s="19">
        <v>45.0</v>
      </c>
      <c r="AN90" s="19">
        <v>59.2</v>
      </c>
      <c r="AO90" s="19">
        <v>87.2</v>
      </c>
      <c r="AP90" s="19">
        <v>228.0</v>
      </c>
      <c r="AQ90" s="23">
        <v>87.0</v>
      </c>
      <c r="AR90" s="23">
        <v>2.0</v>
      </c>
      <c r="AS90" s="22"/>
      <c r="AT90" s="19" t="s">
        <v>2163</v>
      </c>
      <c r="AU90" s="19" t="s">
        <v>3903</v>
      </c>
      <c r="AV90" s="19" t="s">
        <v>3904</v>
      </c>
      <c r="AW90" s="19"/>
      <c r="AX90" s="20">
        <v>35676.0</v>
      </c>
      <c r="AY90" s="19" t="s">
        <v>3905</v>
      </c>
      <c r="AZ90" s="19" t="s">
        <v>2445</v>
      </c>
      <c r="BA90" s="19" t="s">
        <v>3906</v>
      </c>
      <c r="BB90" s="19" t="s">
        <v>3907</v>
      </c>
      <c r="BC90" s="19" t="s">
        <v>3908</v>
      </c>
      <c r="BD90" s="19" t="s">
        <v>3909</v>
      </c>
      <c r="BE90" s="19" t="s">
        <v>3899</v>
      </c>
      <c r="BF90" s="19">
        <v>1.1914172829E10</v>
      </c>
      <c r="BG90" s="19" t="s">
        <v>3518</v>
      </c>
      <c r="BH90" s="19" t="s">
        <v>2128</v>
      </c>
      <c r="BI90" s="19"/>
      <c r="BJ90" s="19" t="s">
        <v>2129</v>
      </c>
      <c r="BK90" s="19" t="s">
        <v>17</v>
      </c>
      <c r="BL90" s="19" t="s">
        <v>2113</v>
      </c>
      <c r="BM90" s="19" t="s">
        <v>2130</v>
      </c>
      <c r="BN90" s="19" t="s">
        <v>3910</v>
      </c>
      <c r="BO90" s="19" t="s">
        <v>2473</v>
      </c>
      <c r="BP90" s="19" t="s">
        <v>3911</v>
      </c>
      <c r="BQ90" s="19" t="s">
        <v>2133</v>
      </c>
      <c r="BR90" s="19" t="s">
        <v>2133</v>
      </c>
      <c r="BS90" s="19" t="s">
        <v>2134</v>
      </c>
      <c r="BT90" s="19" t="s">
        <v>222</v>
      </c>
      <c r="BU90" s="19" t="s">
        <v>3912</v>
      </c>
      <c r="BV90" s="19" t="s">
        <v>3913</v>
      </c>
      <c r="BW90" s="19"/>
      <c r="BX90" s="19"/>
      <c r="BY90" s="19"/>
      <c r="BZ90" s="19"/>
      <c r="CA90" s="19"/>
      <c r="CB90" s="19"/>
      <c r="CC90" s="19"/>
      <c r="CD90" s="19" t="s">
        <v>2137</v>
      </c>
      <c r="CE90" s="19" t="s">
        <v>16</v>
      </c>
      <c r="CF90" s="19"/>
      <c r="CG90" s="19"/>
      <c r="CH90" s="19" t="s">
        <v>16</v>
      </c>
      <c r="CI90" s="21">
        <v>0.0</v>
      </c>
      <c r="CJ90" s="19" t="s">
        <v>17</v>
      </c>
      <c r="CK90" s="19"/>
      <c r="CL90" s="19" t="s">
        <v>2113</v>
      </c>
      <c r="CM90" s="19" t="s">
        <v>3102</v>
      </c>
      <c r="CN90" s="19" t="s">
        <v>3544</v>
      </c>
      <c r="CO90" s="19"/>
      <c r="CP90" s="19" t="s">
        <v>2246</v>
      </c>
      <c r="CQ90" s="19"/>
      <c r="CR90" s="19" t="s">
        <v>2113</v>
      </c>
      <c r="CS90" s="19" t="s">
        <v>2113</v>
      </c>
      <c r="CT90" s="19" t="s">
        <v>2113</v>
      </c>
      <c r="CU90" s="19" t="s">
        <v>2113</v>
      </c>
      <c r="CV90" s="19" t="s">
        <v>2141</v>
      </c>
      <c r="CW90" s="19"/>
      <c r="CX90" s="19"/>
      <c r="CY90" s="19"/>
      <c r="CZ90" s="19"/>
      <c r="DA90" s="19" t="s">
        <v>16</v>
      </c>
      <c r="DB90" s="19" t="s">
        <v>17</v>
      </c>
      <c r="DC90" s="19" t="s">
        <v>2142</v>
      </c>
      <c r="DD90" s="19" t="s">
        <v>2113</v>
      </c>
      <c r="DE90" s="19" t="s">
        <v>2113</v>
      </c>
      <c r="DF90" s="19" t="s">
        <v>3222</v>
      </c>
      <c r="DG90" s="19" t="s">
        <v>3914</v>
      </c>
      <c r="DH90" s="19" t="s">
        <v>2144</v>
      </c>
      <c r="DI90" s="24">
        <v>45519.0</v>
      </c>
      <c r="DJ90" s="19" t="s">
        <v>2133</v>
      </c>
      <c r="DK90" s="19" t="s">
        <v>2271</v>
      </c>
      <c r="DL90" s="19" t="s">
        <v>2146</v>
      </c>
      <c r="DM90" s="19" t="s">
        <v>2751</v>
      </c>
      <c r="DN90" s="19">
        <v>6.0</v>
      </c>
      <c r="DO90" s="19">
        <v>6.0</v>
      </c>
      <c r="DP90" s="19" t="s">
        <v>3915</v>
      </c>
      <c r="DQ90" s="19" t="s">
        <v>3916</v>
      </c>
      <c r="DR90" s="19" t="s">
        <v>3917</v>
      </c>
      <c r="DS90" s="19" t="s">
        <v>2365</v>
      </c>
      <c r="DT90" s="19" t="s">
        <v>2209</v>
      </c>
      <c r="DU90" s="19"/>
      <c r="DV90" s="19"/>
      <c r="DW90" s="19" t="s">
        <v>2153</v>
      </c>
      <c r="DX90" s="19">
        <v>7.0</v>
      </c>
      <c r="DY90" s="19">
        <v>5.0</v>
      </c>
      <c r="DZ90" s="19">
        <v>0.0</v>
      </c>
      <c r="EA90" s="19">
        <v>5.0</v>
      </c>
      <c r="EB90" s="19">
        <v>0.0</v>
      </c>
      <c r="EC90" s="19">
        <v>20.0</v>
      </c>
      <c r="ED90" s="19" t="s">
        <v>2133</v>
      </c>
      <c r="EE90" s="24">
        <v>45519.0</v>
      </c>
      <c r="EF90" s="19" t="s">
        <v>2133</v>
      </c>
      <c r="EG90" s="19" t="s">
        <v>2271</v>
      </c>
      <c r="EH90" s="19" t="s">
        <v>2146</v>
      </c>
      <c r="EI90" s="22">
        <v>14.15625</v>
      </c>
      <c r="EJ90" s="19">
        <v>45.0</v>
      </c>
      <c r="EK90" s="19" t="s">
        <v>2113</v>
      </c>
      <c r="EL90" s="19" t="s">
        <v>2163</v>
      </c>
      <c r="EM90" s="19" t="s">
        <v>3903</v>
      </c>
      <c r="EN90" s="19" t="s">
        <v>280</v>
      </c>
      <c r="EO90" s="19" t="s">
        <v>3905</v>
      </c>
      <c r="EP90" s="19" t="s">
        <v>2445</v>
      </c>
      <c r="EQ90" s="19" t="s">
        <v>3544</v>
      </c>
      <c r="ER90" s="19"/>
      <c r="ES90" s="19" t="s">
        <v>280</v>
      </c>
      <c r="ET90" s="19" t="s">
        <v>280</v>
      </c>
      <c r="EU90" s="19" t="s">
        <v>3900</v>
      </c>
      <c r="EV90" s="19">
        <v>9785.0</v>
      </c>
      <c r="EW90" s="19" t="s">
        <v>16</v>
      </c>
      <c r="EX90" s="19">
        <v>3.0</v>
      </c>
      <c r="EY90" s="25" t="s">
        <v>279</v>
      </c>
      <c r="EZ90" s="19" t="s">
        <v>2154</v>
      </c>
      <c r="FA90" s="5" t="s">
        <v>3918</v>
      </c>
      <c r="FB90" s="26" t="s">
        <v>2156</v>
      </c>
      <c r="FC90" s="26"/>
    </row>
    <row r="91">
      <c r="A91" s="19" t="s">
        <v>2112</v>
      </c>
      <c r="B91" s="19" t="s">
        <v>2113</v>
      </c>
      <c r="C91" s="19" t="s">
        <v>2113</v>
      </c>
      <c r="D91" s="19" t="s">
        <v>281</v>
      </c>
      <c r="E91" s="19" t="s">
        <v>281</v>
      </c>
      <c r="F91" s="19" t="s">
        <v>281</v>
      </c>
      <c r="G91" s="19"/>
      <c r="H91" s="19" t="s">
        <v>281</v>
      </c>
      <c r="I91" s="19" t="s">
        <v>283</v>
      </c>
      <c r="J91" s="19" t="s">
        <v>3919</v>
      </c>
      <c r="K91" s="19" t="s">
        <v>3920</v>
      </c>
      <c r="L91" s="20">
        <v>45415.0</v>
      </c>
      <c r="M91" s="20">
        <v>45428.0</v>
      </c>
      <c r="N91" s="20">
        <v>45428.0</v>
      </c>
      <c r="O91" s="19" t="s">
        <v>282</v>
      </c>
      <c r="P91" s="19">
        <v>0.0</v>
      </c>
      <c r="Q91" s="19">
        <v>18.0</v>
      </c>
      <c r="R91" s="19">
        <v>6896.0</v>
      </c>
      <c r="S91" s="20" t="s">
        <v>3921</v>
      </c>
      <c r="T91" s="20">
        <v>45461.0</v>
      </c>
      <c r="U91" s="19" t="s">
        <v>281</v>
      </c>
      <c r="V91" s="19"/>
      <c r="W91" s="19"/>
      <c r="X91" s="21">
        <v>20.0</v>
      </c>
      <c r="Y91" s="21">
        <v>10.0</v>
      </c>
      <c r="Z91" s="21">
        <v>4.0</v>
      </c>
      <c r="AA91" s="21">
        <v>0.0</v>
      </c>
      <c r="AB91" s="5">
        <v>34.0</v>
      </c>
      <c r="AC91" s="19">
        <v>4.0</v>
      </c>
      <c r="AD91" s="19">
        <v>4.5</v>
      </c>
      <c r="AE91" s="19">
        <v>4.5</v>
      </c>
      <c r="AF91" s="19">
        <v>4.5</v>
      </c>
      <c r="AG91" s="19">
        <v>3.5</v>
      </c>
      <c r="AH91" s="19">
        <v>5.0</v>
      </c>
      <c r="AI91" s="22">
        <v>13.078125</v>
      </c>
      <c r="AJ91" s="19">
        <v>13.3</v>
      </c>
      <c r="AK91" s="19">
        <v>13.7</v>
      </c>
      <c r="AL91" s="19">
        <v>13.0</v>
      </c>
      <c r="AM91" s="19">
        <v>40.0</v>
      </c>
      <c r="AN91" s="19">
        <v>53.1</v>
      </c>
      <c r="AO91" s="19">
        <v>87.1</v>
      </c>
      <c r="AP91" s="19">
        <v>131.0</v>
      </c>
      <c r="AQ91" s="23">
        <v>88.0</v>
      </c>
      <c r="AR91" s="23">
        <v>9.0</v>
      </c>
      <c r="AS91" s="22"/>
      <c r="AT91" s="19" t="s">
        <v>2282</v>
      </c>
      <c r="AU91" s="19" t="s">
        <v>3230</v>
      </c>
      <c r="AV91" s="19" t="s">
        <v>3922</v>
      </c>
      <c r="AW91" s="19" t="s">
        <v>3923</v>
      </c>
      <c r="AX91" s="20">
        <v>38565.0</v>
      </c>
      <c r="AY91" s="19" t="s">
        <v>3232</v>
      </c>
      <c r="AZ91" s="19" t="s">
        <v>2310</v>
      </c>
      <c r="BA91" s="19" t="s">
        <v>3924</v>
      </c>
      <c r="BB91" s="19" t="s">
        <v>3925</v>
      </c>
      <c r="BC91" s="19" t="s">
        <v>3926</v>
      </c>
      <c r="BD91" s="19" t="s">
        <v>3927</v>
      </c>
      <c r="BE91" s="19" t="s">
        <v>3928</v>
      </c>
      <c r="BF91" s="19">
        <v>1.1939431411E10</v>
      </c>
      <c r="BG91" s="19" t="s">
        <v>2127</v>
      </c>
      <c r="BH91" s="19" t="s">
        <v>2128</v>
      </c>
      <c r="BI91" s="19"/>
      <c r="BJ91" s="19"/>
      <c r="BK91" s="19" t="s">
        <v>16</v>
      </c>
      <c r="BL91" s="19"/>
      <c r="BM91" s="19" t="s">
        <v>2130</v>
      </c>
      <c r="BN91" s="19" t="s">
        <v>2708</v>
      </c>
      <c r="BO91" s="19" t="s">
        <v>2317</v>
      </c>
      <c r="BP91" s="19" t="s">
        <v>3929</v>
      </c>
      <c r="BQ91" s="19" t="s">
        <v>2325</v>
      </c>
      <c r="BR91" s="19" t="s">
        <v>2325</v>
      </c>
      <c r="BS91" s="19" t="s">
        <v>2134</v>
      </c>
      <c r="BT91" s="19" t="s">
        <v>118</v>
      </c>
      <c r="BU91" s="19" t="s">
        <v>3930</v>
      </c>
      <c r="BV91" s="19" t="s">
        <v>3931</v>
      </c>
      <c r="BW91" s="19" t="s">
        <v>2113</v>
      </c>
      <c r="BX91" s="19"/>
      <c r="BY91" s="19"/>
      <c r="BZ91" s="19"/>
      <c r="CA91" s="19"/>
      <c r="CB91" s="19" t="s">
        <v>2113</v>
      </c>
      <c r="CC91" s="19"/>
      <c r="CD91" s="19" t="s">
        <v>2137</v>
      </c>
      <c r="CE91" s="19" t="s">
        <v>17</v>
      </c>
      <c r="CF91" s="19"/>
      <c r="CG91" s="19"/>
      <c r="CH91" s="19" t="s">
        <v>16</v>
      </c>
      <c r="CI91" s="21">
        <v>0.0</v>
      </c>
      <c r="CJ91" s="19" t="s">
        <v>16</v>
      </c>
      <c r="CK91" s="19"/>
      <c r="CL91" s="19"/>
      <c r="CM91" s="19"/>
      <c r="CN91" s="19" t="s">
        <v>2868</v>
      </c>
      <c r="CO91" s="19" t="s">
        <v>3932</v>
      </c>
      <c r="CP91" s="19"/>
      <c r="CQ91" s="19"/>
      <c r="CR91" s="19"/>
      <c r="CS91" s="19"/>
      <c r="CT91" s="19" t="s">
        <v>2113</v>
      </c>
      <c r="CU91" s="19" t="s">
        <v>2113</v>
      </c>
      <c r="CV91" s="19" t="s">
        <v>2179</v>
      </c>
      <c r="CW91" s="19"/>
      <c r="CX91" s="19"/>
      <c r="CY91" s="19"/>
      <c r="CZ91" s="19"/>
      <c r="DA91" s="19" t="s">
        <v>17</v>
      </c>
      <c r="DB91" s="19" t="s">
        <v>16</v>
      </c>
      <c r="DC91" s="19" t="s">
        <v>2455</v>
      </c>
      <c r="DD91" s="19" t="s">
        <v>2113</v>
      </c>
      <c r="DE91" s="19" t="s">
        <v>2113</v>
      </c>
      <c r="DF91" s="19" t="s">
        <v>2433</v>
      </c>
      <c r="DG91" s="19" t="s">
        <v>3933</v>
      </c>
      <c r="DH91" s="19" t="s">
        <v>2144</v>
      </c>
      <c r="DI91" s="24">
        <v>45524.0</v>
      </c>
      <c r="DJ91" s="19" t="s">
        <v>2325</v>
      </c>
      <c r="DK91" s="19" t="s">
        <v>2145</v>
      </c>
      <c r="DL91" s="19" t="s">
        <v>2326</v>
      </c>
      <c r="DM91" s="19"/>
      <c r="DN91" s="19">
        <v>7.0</v>
      </c>
      <c r="DO91" s="19">
        <v>7.0</v>
      </c>
      <c r="DP91" s="19"/>
      <c r="DQ91" s="19"/>
      <c r="DR91" s="19"/>
      <c r="DS91" s="19" t="s">
        <v>2185</v>
      </c>
      <c r="DT91" s="19" t="s">
        <v>2350</v>
      </c>
      <c r="DU91" s="19" t="s">
        <v>3934</v>
      </c>
      <c r="DV91" s="19"/>
      <c r="DW91" s="19" t="s">
        <v>3306</v>
      </c>
      <c r="DX91" s="19">
        <v>4.0</v>
      </c>
      <c r="DY91" s="19">
        <v>10.0</v>
      </c>
      <c r="DZ91" s="19">
        <v>0.0</v>
      </c>
      <c r="EA91" s="19">
        <v>10.0</v>
      </c>
      <c r="EB91" s="19">
        <v>0.0</v>
      </c>
      <c r="EC91" s="19">
        <v>20.0</v>
      </c>
      <c r="ED91" s="19" t="s">
        <v>2325</v>
      </c>
      <c r="EE91" s="24">
        <v>45524.0</v>
      </c>
      <c r="EF91" s="19" t="s">
        <v>2325</v>
      </c>
      <c r="EG91" s="19" t="s">
        <v>2145</v>
      </c>
      <c r="EH91" s="19" t="s">
        <v>2326</v>
      </c>
      <c r="EI91" s="22">
        <v>13.078125</v>
      </c>
      <c r="EJ91" s="19">
        <v>40.0</v>
      </c>
      <c r="EK91" s="19"/>
      <c r="EL91" s="19" t="s">
        <v>2282</v>
      </c>
      <c r="EM91" s="19" t="s">
        <v>3230</v>
      </c>
      <c r="EN91" s="19" t="s">
        <v>283</v>
      </c>
      <c r="EO91" s="19" t="s">
        <v>3232</v>
      </c>
      <c r="EP91" s="19" t="s">
        <v>2310</v>
      </c>
      <c r="EQ91" s="19" t="s">
        <v>2868</v>
      </c>
      <c r="ER91" s="19" t="s">
        <v>3932</v>
      </c>
      <c r="ES91" s="19" t="s">
        <v>283</v>
      </c>
      <c r="ET91" s="19" t="s">
        <v>283</v>
      </c>
      <c r="EU91" s="19" t="s">
        <v>3920</v>
      </c>
      <c r="EV91" s="19">
        <v>6896.0</v>
      </c>
      <c r="EW91" s="19" t="s">
        <v>17</v>
      </c>
      <c r="EX91" s="19">
        <v>4.0</v>
      </c>
      <c r="EY91" s="25" t="s">
        <v>282</v>
      </c>
      <c r="EZ91" s="19" t="s">
        <v>3935</v>
      </c>
      <c r="FA91" s="5" t="s">
        <v>3936</v>
      </c>
      <c r="FB91" s="26" t="s">
        <v>2156</v>
      </c>
      <c r="FC91" s="26"/>
    </row>
    <row r="92">
      <c r="A92" s="19" t="s">
        <v>2112</v>
      </c>
      <c r="B92" s="19" t="s">
        <v>2113</v>
      </c>
      <c r="C92" s="19" t="s">
        <v>2113</v>
      </c>
      <c r="D92" s="19" t="s">
        <v>3937</v>
      </c>
      <c r="E92" s="19" t="s">
        <v>3938</v>
      </c>
      <c r="F92" s="19" t="s">
        <v>3937</v>
      </c>
      <c r="G92" s="19"/>
      <c r="H92" s="19" t="s">
        <v>284</v>
      </c>
      <c r="I92" s="19" t="s">
        <v>286</v>
      </c>
      <c r="J92" s="19" t="s">
        <v>3939</v>
      </c>
      <c r="K92" s="19" t="s">
        <v>3940</v>
      </c>
      <c r="L92" s="20">
        <v>45426.0</v>
      </c>
      <c r="M92" s="20">
        <v>45428.0</v>
      </c>
      <c r="N92" s="20">
        <v>45428.0</v>
      </c>
      <c r="O92" s="19" t="s">
        <v>285</v>
      </c>
      <c r="P92" s="19">
        <v>0.0</v>
      </c>
      <c r="Q92" s="19">
        <v>21.0</v>
      </c>
      <c r="R92" s="19">
        <v>7929.0</v>
      </c>
      <c r="S92" s="20" t="s">
        <v>3941</v>
      </c>
      <c r="T92" s="20">
        <v>45461.0</v>
      </c>
      <c r="U92" s="19" t="s">
        <v>3937</v>
      </c>
      <c r="V92" s="19"/>
      <c r="W92" s="19" t="s">
        <v>3942</v>
      </c>
      <c r="X92" s="21">
        <v>20.0</v>
      </c>
      <c r="Y92" s="21">
        <v>5.0</v>
      </c>
      <c r="Z92" s="21">
        <v>3.0</v>
      </c>
      <c r="AA92" s="21">
        <v>0.0</v>
      </c>
      <c r="AB92" s="5">
        <v>28.0</v>
      </c>
      <c r="AC92" s="19">
        <v>5.0</v>
      </c>
      <c r="AD92" s="19">
        <v>5.0</v>
      </c>
      <c r="AE92" s="19">
        <v>5.0</v>
      </c>
      <c r="AF92" s="19">
        <v>4.0</v>
      </c>
      <c r="AG92" s="19">
        <v>4.5</v>
      </c>
      <c r="AH92" s="19">
        <v>4.0</v>
      </c>
      <c r="AI92" s="22">
        <v>14.0625</v>
      </c>
      <c r="AJ92" s="19">
        <v>15.0</v>
      </c>
      <c r="AK92" s="19">
        <v>15.0</v>
      </c>
      <c r="AL92" s="19">
        <v>15.0</v>
      </c>
      <c r="AM92" s="19">
        <v>45.0</v>
      </c>
      <c r="AN92" s="19">
        <v>59.1</v>
      </c>
      <c r="AO92" s="19">
        <v>87.1</v>
      </c>
      <c r="AP92" s="19">
        <v>234.0</v>
      </c>
      <c r="AQ92" s="23">
        <v>89.0</v>
      </c>
      <c r="AR92" s="23">
        <v>3.0</v>
      </c>
      <c r="AS92" s="22"/>
      <c r="AT92" s="19" t="s">
        <v>2163</v>
      </c>
      <c r="AU92" s="19" t="s">
        <v>3943</v>
      </c>
      <c r="AV92" s="19" t="s">
        <v>3944</v>
      </c>
      <c r="AW92" s="19" t="s">
        <v>3945</v>
      </c>
      <c r="AX92" s="20">
        <v>37532.0</v>
      </c>
      <c r="AY92" s="19" t="s">
        <v>3946</v>
      </c>
      <c r="AZ92" s="19" t="s">
        <v>2122</v>
      </c>
      <c r="BA92" s="19" t="s">
        <v>3947</v>
      </c>
      <c r="BB92" s="19" t="s">
        <v>3574</v>
      </c>
      <c r="BC92" s="19" t="s">
        <v>3948</v>
      </c>
      <c r="BD92" s="19" t="s">
        <v>3949</v>
      </c>
      <c r="BE92" s="19" t="s">
        <v>3950</v>
      </c>
      <c r="BF92" s="19">
        <v>1.1971190967E10</v>
      </c>
      <c r="BG92" s="19" t="s">
        <v>3518</v>
      </c>
      <c r="BH92" s="19" t="s">
        <v>2128</v>
      </c>
      <c r="BI92" s="19"/>
      <c r="BJ92" s="19" t="s">
        <v>2128</v>
      </c>
      <c r="BK92" s="19" t="s">
        <v>17</v>
      </c>
      <c r="BL92" s="19" t="s">
        <v>2113</v>
      </c>
      <c r="BM92" s="19" t="s">
        <v>2130</v>
      </c>
      <c r="BN92" s="19" t="s">
        <v>3951</v>
      </c>
      <c r="BO92" s="19" t="s">
        <v>2473</v>
      </c>
      <c r="BP92" s="19"/>
      <c r="BQ92" s="19" t="s">
        <v>2133</v>
      </c>
      <c r="BR92" s="19" t="s">
        <v>2133</v>
      </c>
      <c r="BS92" s="19" t="s">
        <v>3521</v>
      </c>
      <c r="BT92" s="19" t="s">
        <v>222</v>
      </c>
      <c r="BU92" s="19" t="s">
        <v>3952</v>
      </c>
      <c r="BV92" s="19" t="s">
        <v>3953</v>
      </c>
      <c r="BW92" s="19"/>
      <c r="BX92" s="19"/>
      <c r="BY92" s="19" t="s">
        <v>2113</v>
      </c>
      <c r="BZ92" s="19" t="s">
        <v>2113</v>
      </c>
      <c r="CA92" s="19" t="s">
        <v>2113</v>
      </c>
      <c r="CB92" s="19" t="s">
        <v>2113</v>
      </c>
      <c r="CC92" s="19"/>
      <c r="CD92" s="19" t="s">
        <v>2137</v>
      </c>
      <c r="CE92" s="19" t="s">
        <v>16</v>
      </c>
      <c r="CF92" s="19"/>
      <c r="CG92" s="19"/>
      <c r="CH92" s="19" t="s">
        <v>16</v>
      </c>
      <c r="CI92" s="21">
        <v>0.0</v>
      </c>
      <c r="CJ92" s="19" t="s">
        <v>17</v>
      </c>
      <c r="CK92" s="19"/>
      <c r="CL92" s="19"/>
      <c r="CM92" s="19" t="s">
        <v>2138</v>
      </c>
      <c r="CN92" s="19" t="s">
        <v>3544</v>
      </c>
      <c r="CO92" s="19"/>
      <c r="CP92" s="19" t="s">
        <v>3954</v>
      </c>
      <c r="CQ92" s="19"/>
      <c r="CR92" s="19"/>
      <c r="CS92" s="19"/>
      <c r="CT92" s="19"/>
      <c r="CU92" s="19"/>
      <c r="CV92" s="19" t="s">
        <v>2141</v>
      </c>
      <c r="CW92" s="19" t="s">
        <v>2113</v>
      </c>
      <c r="CX92" s="19" t="s">
        <v>2113</v>
      </c>
      <c r="CY92" s="19"/>
      <c r="CZ92" s="19"/>
      <c r="DA92" s="19" t="s">
        <v>16</v>
      </c>
      <c r="DB92" s="19" t="s">
        <v>17</v>
      </c>
      <c r="DC92" s="19" t="s">
        <v>2146</v>
      </c>
      <c r="DD92" s="19" t="s">
        <v>2113</v>
      </c>
      <c r="DE92" s="19" t="s">
        <v>2113</v>
      </c>
      <c r="DF92" s="19" t="s">
        <v>2248</v>
      </c>
      <c r="DG92" s="19" t="s">
        <v>3955</v>
      </c>
      <c r="DH92" s="19" t="s">
        <v>2144</v>
      </c>
      <c r="DI92" s="24">
        <v>45532.0</v>
      </c>
      <c r="DJ92" s="19" t="s">
        <v>2133</v>
      </c>
      <c r="DK92" s="19" t="s">
        <v>2271</v>
      </c>
      <c r="DL92" s="19" t="s">
        <v>2146</v>
      </c>
      <c r="DM92" s="19" t="s">
        <v>3526</v>
      </c>
      <c r="DN92" s="19">
        <v>16.0</v>
      </c>
      <c r="DO92" s="19">
        <v>16.0</v>
      </c>
      <c r="DP92" s="19" t="s">
        <v>3956</v>
      </c>
      <c r="DQ92" s="19" t="s">
        <v>3957</v>
      </c>
      <c r="DR92" s="19" t="s">
        <v>3958</v>
      </c>
      <c r="DS92" s="19" t="s">
        <v>2151</v>
      </c>
      <c r="DT92" s="19" t="s">
        <v>2350</v>
      </c>
      <c r="DU92" s="19"/>
      <c r="DV92" s="19"/>
      <c r="DW92" s="19" t="s">
        <v>2153</v>
      </c>
      <c r="DX92" s="19">
        <v>12.0</v>
      </c>
      <c r="DY92" s="19">
        <v>5.0</v>
      </c>
      <c r="DZ92" s="19">
        <v>0.0</v>
      </c>
      <c r="EA92" s="19">
        <v>5.0</v>
      </c>
      <c r="EB92" s="19">
        <v>0.0</v>
      </c>
      <c r="EC92" s="19">
        <v>20.0</v>
      </c>
      <c r="ED92" s="19" t="s">
        <v>2133</v>
      </c>
      <c r="EE92" s="24">
        <v>45532.0</v>
      </c>
      <c r="EF92" s="19" t="s">
        <v>2133</v>
      </c>
      <c r="EG92" s="19" t="s">
        <v>2271</v>
      </c>
      <c r="EH92" s="19" t="s">
        <v>2146</v>
      </c>
      <c r="EI92" s="22">
        <v>14.0625</v>
      </c>
      <c r="EJ92" s="19">
        <v>45.0</v>
      </c>
      <c r="EK92" s="19" t="s">
        <v>2113</v>
      </c>
      <c r="EL92" s="19" t="s">
        <v>2163</v>
      </c>
      <c r="EM92" s="19" t="s">
        <v>3943</v>
      </c>
      <c r="EN92" s="19" t="s">
        <v>286</v>
      </c>
      <c r="EO92" s="19" t="s">
        <v>3946</v>
      </c>
      <c r="EP92" s="19" t="s">
        <v>2122</v>
      </c>
      <c r="EQ92" s="19" t="s">
        <v>3544</v>
      </c>
      <c r="ER92" s="19"/>
      <c r="ES92" s="19" t="s">
        <v>286</v>
      </c>
      <c r="ET92" s="19" t="s">
        <v>286</v>
      </c>
      <c r="EU92" s="19" t="s">
        <v>3940</v>
      </c>
      <c r="EV92" s="19">
        <v>7929.0</v>
      </c>
      <c r="EW92" s="19" t="s">
        <v>16</v>
      </c>
      <c r="EX92" s="19">
        <v>3.0</v>
      </c>
      <c r="EY92" s="25" t="s">
        <v>285</v>
      </c>
      <c r="EZ92" s="19" t="s">
        <v>2154</v>
      </c>
      <c r="FA92" s="5" t="s">
        <v>3959</v>
      </c>
      <c r="FB92" s="26" t="s">
        <v>2156</v>
      </c>
      <c r="FC92" s="26"/>
    </row>
    <row r="93">
      <c r="A93" s="19" t="s">
        <v>2156</v>
      </c>
      <c r="B93" s="19" t="s">
        <v>2113</v>
      </c>
      <c r="C93" s="19" t="s">
        <v>2113</v>
      </c>
      <c r="D93" s="19" t="s">
        <v>3960</v>
      </c>
      <c r="E93" s="19" t="s">
        <v>3961</v>
      </c>
      <c r="F93" s="19" t="s">
        <v>3962</v>
      </c>
      <c r="G93" s="19" t="s">
        <v>3963</v>
      </c>
      <c r="H93" s="19" t="s">
        <v>287</v>
      </c>
      <c r="I93" s="19" t="s">
        <v>289</v>
      </c>
      <c r="J93" s="19" t="s">
        <v>3964</v>
      </c>
      <c r="K93" s="19" t="s">
        <v>3965</v>
      </c>
      <c r="L93" s="20">
        <v>45401.0</v>
      </c>
      <c r="M93" s="20">
        <v>45411.0</v>
      </c>
      <c r="N93" s="20">
        <v>45411.0</v>
      </c>
      <c r="O93" s="19" t="s">
        <v>288</v>
      </c>
      <c r="P93" s="19">
        <v>0.0</v>
      </c>
      <c r="Q93" s="19">
        <v>19.0</v>
      </c>
      <c r="R93" s="19">
        <v>7210.0</v>
      </c>
      <c r="S93" s="20" t="s">
        <v>2392</v>
      </c>
      <c r="T93" s="20">
        <v>45461.0</v>
      </c>
      <c r="U93" s="19" t="s">
        <v>3962</v>
      </c>
      <c r="V93" s="19"/>
      <c r="W93" s="19"/>
      <c r="X93" s="21">
        <v>20.0</v>
      </c>
      <c r="Y93" s="21">
        <v>5.0</v>
      </c>
      <c r="Z93" s="21">
        <v>4.0</v>
      </c>
      <c r="AA93" s="21">
        <v>0.0</v>
      </c>
      <c r="AB93" s="5">
        <v>29.0</v>
      </c>
      <c r="AC93" s="19">
        <v>5.0</v>
      </c>
      <c r="AD93" s="19">
        <v>4.0</v>
      </c>
      <c r="AE93" s="19">
        <v>4.5</v>
      </c>
      <c r="AF93" s="19">
        <v>4.5</v>
      </c>
      <c r="AG93" s="19">
        <v>4.0</v>
      </c>
      <c r="AH93" s="19">
        <v>4.0</v>
      </c>
      <c r="AI93" s="22">
        <v>13.03125</v>
      </c>
      <c r="AJ93" s="19">
        <v>15.0</v>
      </c>
      <c r="AK93" s="19">
        <v>15.0</v>
      </c>
      <c r="AL93" s="19">
        <v>15.0</v>
      </c>
      <c r="AM93" s="19">
        <v>45.0</v>
      </c>
      <c r="AN93" s="19">
        <v>58.0</v>
      </c>
      <c r="AO93" s="19">
        <v>87.0</v>
      </c>
      <c r="AP93" s="19">
        <v>226.0</v>
      </c>
      <c r="AQ93" s="23">
        <v>90.0</v>
      </c>
      <c r="AR93" s="23">
        <v>10.0</v>
      </c>
      <c r="AS93" s="22"/>
      <c r="AT93" s="19" t="s">
        <v>2163</v>
      </c>
      <c r="AU93" s="19" t="s">
        <v>3966</v>
      </c>
      <c r="AV93" s="19" t="s">
        <v>3967</v>
      </c>
      <c r="AW93" s="19" t="s">
        <v>3923</v>
      </c>
      <c r="AX93" s="20">
        <v>38251.0</v>
      </c>
      <c r="AY93" s="19" t="s">
        <v>2858</v>
      </c>
      <c r="AZ93" s="19" t="s">
        <v>2122</v>
      </c>
      <c r="BA93" s="19" t="s">
        <v>3968</v>
      </c>
      <c r="BB93" s="19" t="s">
        <v>3969</v>
      </c>
      <c r="BC93" s="19" t="s">
        <v>3970</v>
      </c>
      <c r="BD93" s="19" t="s">
        <v>3971</v>
      </c>
      <c r="BE93" s="19" t="s">
        <v>3964</v>
      </c>
      <c r="BF93" s="19">
        <v>1.1948807591E10</v>
      </c>
      <c r="BG93" s="19" t="s">
        <v>3518</v>
      </c>
      <c r="BH93" s="19" t="s">
        <v>2128</v>
      </c>
      <c r="BI93" s="19"/>
      <c r="BJ93" s="19" t="s">
        <v>2427</v>
      </c>
      <c r="BK93" s="19" t="s">
        <v>17</v>
      </c>
      <c r="BL93" s="19"/>
      <c r="BM93" s="19" t="s">
        <v>2130</v>
      </c>
      <c r="BN93" s="19" t="s">
        <v>3972</v>
      </c>
      <c r="BO93" s="19" t="s">
        <v>2317</v>
      </c>
      <c r="BP93" s="19" t="s">
        <v>3973</v>
      </c>
      <c r="BQ93" s="19" t="s">
        <v>2325</v>
      </c>
      <c r="BR93" s="19" t="s">
        <v>2325</v>
      </c>
      <c r="BS93" s="19" t="s">
        <v>2134</v>
      </c>
      <c r="BT93" s="19" t="s">
        <v>118</v>
      </c>
      <c r="BU93" s="19" t="s">
        <v>3974</v>
      </c>
      <c r="BV93" s="19" t="s">
        <v>3975</v>
      </c>
      <c r="BW93" s="19"/>
      <c r="BX93" s="19"/>
      <c r="BY93" s="19" t="s">
        <v>2113</v>
      </c>
      <c r="BZ93" s="19"/>
      <c r="CA93" s="19"/>
      <c r="CB93" s="19" t="s">
        <v>2113</v>
      </c>
      <c r="CC93" s="19" t="s">
        <v>2113</v>
      </c>
      <c r="CD93" s="19" t="s">
        <v>2137</v>
      </c>
      <c r="CE93" s="19" t="s">
        <v>16</v>
      </c>
      <c r="CF93" s="19"/>
      <c r="CG93" s="19"/>
      <c r="CH93" s="19" t="s">
        <v>16</v>
      </c>
      <c r="CI93" s="21">
        <v>0.0</v>
      </c>
      <c r="CJ93" s="19" t="s">
        <v>17</v>
      </c>
      <c r="CK93" s="19"/>
      <c r="CL93" s="19"/>
      <c r="CM93" s="19" t="s">
        <v>2344</v>
      </c>
      <c r="CN93" s="19" t="s">
        <v>2868</v>
      </c>
      <c r="CO93" s="19"/>
      <c r="CP93" s="19" t="s">
        <v>2246</v>
      </c>
      <c r="CQ93" s="19"/>
      <c r="CR93" s="19"/>
      <c r="CS93" s="19"/>
      <c r="CT93" s="19"/>
      <c r="CU93" s="19"/>
      <c r="CV93" s="19" t="s">
        <v>2179</v>
      </c>
      <c r="CW93" s="19" t="s">
        <v>2113</v>
      </c>
      <c r="CX93" s="19" t="s">
        <v>2113</v>
      </c>
      <c r="CY93" s="19" t="s">
        <v>2113</v>
      </c>
      <c r="CZ93" s="19" t="s">
        <v>2113</v>
      </c>
      <c r="DA93" s="19" t="s">
        <v>16</v>
      </c>
      <c r="DB93" s="19" t="s">
        <v>17</v>
      </c>
      <c r="DC93" s="19" t="s">
        <v>3221</v>
      </c>
      <c r="DD93" s="19"/>
      <c r="DE93" s="19"/>
      <c r="DF93" s="19" t="s">
        <v>2455</v>
      </c>
      <c r="DG93" s="19" t="s">
        <v>3221</v>
      </c>
      <c r="DH93" s="19" t="s">
        <v>2144</v>
      </c>
      <c r="DI93" s="24">
        <v>45518.0</v>
      </c>
      <c r="DJ93" s="19" t="s">
        <v>2325</v>
      </c>
      <c r="DK93" s="19" t="s">
        <v>2271</v>
      </c>
      <c r="DL93" s="19" t="s">
        <v>2326</v>
      </c>
      <c r="DM93" s="19"/>
      <c r="DN93" s="19">
        <v>4.0</v>
      </c>
      <c r="DO93" s="19">
        <v>4.0</v>
      </c>
      <c r="DP93" s="19"/>
      <c r="DQ93" s="19"/>
      <c r="DR93" s="19"/>
      <c r="DS93" s="19" t="s">
        <v>2185</v>
      </c>
      <c r="DT93" s="19" t="s">
        <v>2152</v>
      </c>
      <c r="DU93" s="19" t="s">
        <v>3976</v>
      </c>
      <c r="DV93" s="19"/>
      <c r="DW93" s="19" t="s">
        <v>2153</v>
      </c>
      <c r="DX93" s="19">
        <v>3.0</v>
      </c>
      <c r="DY93" s="19">
        <v>5.0</v>
      </c>
      <c r="DZ93" s="19">
        <v>0.0</v>
      </c>
      <c r="EA93" s="19">
        <v>5.0</v>
      </c>
      <c r="EB93" s="19">
        <v>0.0</v>
      </c>
      <c r="EC93" s="19">
        <v>20.0</v>
      </c>
      <c r="ED93" s="19" t="s">
        <v>2325</v>
      </c>
      <c r="EE93" s="24">
        <v>45518.0</v>
      </c>
      <c r="EF93" s="19" t="s">
        <v>2325</v>
      </c>
      <c r="EG93" s="19" t="s">
        <v>2271</v>
      </c>
      <c r="EH93" s="19" t="s">
        <v>2326</v>
      </c>
      <c r="EI93" s="22">
        <v>13.03125</v>
      </c>
      <c r="EJ93" s="19">
        <v>45.0</v>
      </c>
      <c r="EK93" s="19" t="s">
        <v>2113</v>
      </c>
      <c r="EL93" s="19" t="s">
        <v>2163</v>
      </c>
      <c r="EM93" s="19" t="s">
        <v>3966</v>
      </c>
      <c r="EN93" s="19" t="s">
        <v>289</v>
      </c>
      <c r="EO93" s="19" t="s">
        <v>2858</v>
      </c>
      <c r="EP93" s="19" t="s">
        <v>2122</v>
      </c>
      <c r="EQ93" s="19" t="s">
        <v>2868</v>
      </c>
      <c r="ER93" s="19"/>
      <c r="ES93" s="19" t="s">
        <v>289</v>
      </c>
      <c r="ET93" s="19" t="s">
        <v>289</v>
      </c>
      <c r="EU93" s="19" t="s">
        <v>3965</v>
      </c>
      <c r="EV93" s="19">
        <v>7210.0</v>
      </c>
      <c r="EW93" s="19" t="s">
        <v>16</v>
      </c>
      <c r="EX93" s="19">
        <v>4.0</v>
      </c>
      <c r="EY93" s="25" t="s">
        <v>288</v>
      </c>
      <c r="EZ93" s="19" t="s">
        <v>2154</v>
      </c>
      <c r="FA93" s="5" t="s">
        <v>3977</v>
      </c>
      <c r="FB93" s="26" t="s">
        <v>2156</v>
      </c>
      <c r="FC93" s="26"/>
    </row>
    <row r="94">
      <c r="A94" s="19" t="s">
        <v>17</v>
      </c>
      <c r="B94" s="19" t="s">
        <v>2113</v>
      </c>
      <c r="C94" s="19" t="s">
        <v>2113</v>
      </c>
      <c r="D94" s="19" t="s">
        <v>290</v>
      </c>
      <c r="E94" s="19" t="s">
        <v>3978</v>
      </c>
      <c r="F94" s="19" t="s">
        <v>290</v>
      </c>
      <c r="G94" s="19"/>
      <c r="H94" s="19" t="s">
        <v>290</v>
      </c>
      <c r="I94" s="19" t="s">
        <v>292</v>
      </c>
      <c r="J94" s="19" t="s">
        <v>3979</v>
      </c>
      <c r="K94" s="19" t="s">
        <v>3980</v>
      </c>
      <c r="L94" s="20">
        <v>45394.0</v>
      </c>
      <c r="M94" s="20">
        <v>45404.0</v>
      </c>
      <c r="N94" s="20">
        <v>45404.0</v>
      </c>
      <c r="O94" s="19" t="s">
        <v>291</v>
      </c>
      <c r="P94" s="19">
        <v>0.0</v>
      </c>
      <c r="Q94" s="19">
        <v>22.0</v>
      </c>
      <c r="R94" s="19">
        <v>8320.0</v>
      </c>
      <c r="S94" s="20" t="s">
        <v>3981</v>
      </c>
      <c r="T94" s="20">
        <v>45461.0</v>
      </c>
      <c r="U94" s="19" t="s">
        <v>290</v>
      </c>
      <c r="V94" s="19"/>
      <c r="W94" s="19"/>
      <c r="X94" s="21">
        <v>20.0</v>
      </c>
      <c r="Y94" s="21">
        <v>10.0</v>
      </c>
      <c r="Z94" s="21">
        <v>3.0</v>
      </c>
      <c r="AA94" s="21">
        <v>0.0</v>
      </c>
      <c r="AB94" s="5">
        <v>33.0</v>
      </c>
      <c r="AC94" s="19">
        <v>3.0</v>
      </c>
      <c r="AD94" s="19">
        <v>4.0</v>
      </c>
      <c r="AE94" s="19">
        <v>3.0</v>
      </c>
      <c r="AF94" s="19">
        <v>2.5</v>
      </c>
      <c r="AG94" s="19">
        <v>2.0</v>
      </c>
      <c r="AH94" s="19">
        <v>2.0</v>
      </c>
      <c r="AI94" s="22">
        <v>8.71875</v>
      </c>
      <c r="AJ94" s="19">
        <v>15.0</v>
      </c>
      <c r="AK94" s="19">
        <v>15.0</v>
      </c>
      <c r="AL94" s="19">
        <v>15.0</v>
      </c>
      <c r="AM94" s="19">
        <v>45.0</v>
      </c>
      <c r="AN94" s="19">
        <v>53.7</v>
      </c>
      <c r="AO94" s="19">
        <v>86.7</v>
      </c>
      <c r="AP94" s="19">
        <v>149.0</v>
      </c>
      <c r="AQ94" s="23">
        <v>91.0</v>
      </c>
      <c r="AR94" s="23">
        <v>2.0</v>
      </c>
      <c r="AS94" s="22"/>
      <c r="AT94" s="19" t="s">
        <v>2117</v>
      </c>
      <c r="AU94" s="19" t="s">
        <v>3982</v>
      </c>
      <c r="AV94" s="19" t="s">
        <v>3983</v>
      </c>
      <c r="AW94" s="19"/>
      <c r="AX94" s="20">
        <v>37141.0</v>
      </c>
      <c r="AY94" s="19" t="s">
        <v>3826</v>
      </c>
      <c r="AZ94" s="19" t="s">
        <v>2122</v>
      </c>
      <c r="BA94" s="19" t="s">
        <v>3984</v>
      </c>
      <c r="BB94" s="19" t="s">
        <v>3985</v>
      </c>
      <c r="BC94" s="19" t="s">
        <v>3986</v>
      </c>
      <c r="BD94" s="19" t="s">
        <v>3987</v>
      </c>
      <c r="BE94" s="19" t="s">
        <v>3979</v>
      </c>
      <c r="BF94" s="19">
        <v>1.198947722E10</v>
      </c>
      <c r="BG94" s="19" t="s">
        <v>2127</v>
      </c>
      <c r="BH94" s="19" t="s">
        <v>2128</v>
      </c>
      <c r="BI94" s="19"/>
      <c r="BJ94" s="19"/>
      <c r="BK94" s="19" t="s">
        <v>16</v>
      </c>
      <c r="BL94" s="19"/>
      <c r="BM94" s="19" t="s">
        <v>2130</v>
      </c>
      <c r="BN94" s="19" t="s">
        <v>2172</v>
      </c>
      <c r="BO94" s="19" t="s">
        <v>2473</v>
      </c>
      <c r="BP94" s="19" t="s">
        <v>3988</v>
      </c>
      <c r="BQ94" s="19" t="s">
        <v>3832</v>
      </c>
      <c r="BR94" s="19" t="s">
        <v>3832</v>
      </c>
      <c r="BS94" s="19" t="s">
        <v>2134</v>
      </c>
      <c r="BT94" s="19" t="s">
        <v>268</v>
      </c>
      <c r="BU94" s="19"/>
      <c r="BV94" s="19" t="s">
        <v>3989</v>
      </c>
      <c r="BW94" s="19"/>
      <c r="BX94" s="19"/>
      <c r="BY94" s="19" t="s">
        <v>2113</v>
      </c>
      <c r="BZ94" s="19"/>
      <c r="CA94" s="19"/>
      <c r="CB94" s="19"/>
      <c r="CC94" s="19"/>
      <c r="CD94" s="19" t="s">
        <v>2137</v>
      </c>
      <c r="CE94" s="19" t="s">
        <v>16</v>
      </c>
      <c r="CF94" s="19"/>
      <c r="CG94" s="19"/>
      <c r="CH94" s="19" t="s">
        <v>16</v>
      </c>
      <c r="CI94" s="21">
        <v>0.0</v>
      </c>
      <c r="CJ94" s="19" t="s">
        <v>17</v>
      </c>
      <c r="CK94" s="19"/>
      <c r="CL94" s="19"/>
      <c r="CM94" s="19" t="s">
        <v>2138</v>
      </c>
      <c r="CN94" s="19" t="s">
        <v>3835</v>
      </c>
      <c r="CO94" s="19"/>
      <c r="CP94" s="19"/>
      <c r="CQ94" s="19" t="s">
        <v>2113</v>
      </c>
      <c r="CR94" s="19"/>
      <c r="CS94" s="19"/>
      <c r="CT94" s="19"/>
      <c r="CU94" s="19"/>
      <c r="CV94" s="19" t="s">
        <v>2179</v>
      </c>
      <c r="CW94" s="19" t="s">
        <v>2113</v>
      </c>
      <c r="CX94" s="19" t="s">
        <v>2113</v>
      </c>
      <c r="CY94" s="19" t="s">
        <v>2113</v>
      </c>
      <c r="CZ94" s="19" t="s">
        <v>2113</v>
      </c>
      <c r="DA94" s="19" t="s">
        <v>16</v>
      </c>
      <c r="DB94" s="19" t="s">
        <v>17</v>
      </c>
      <c r="DC94" s="19" t="s">
        <v>3836</v>
      </c>
      <c r="DD94" s="19" t="s">
        <v>2113</v>
      </c>
      <c r="DE94" s="19" t="s">
        <v>2113</v>
      </c>
      <c r="DF94" s="19" t="s">
        <v>3990</v>
      </c>
      <c r="DG94" s="19" t="s">
        <v>3991</v>
      </c>
      <c r="DH94" s="19" t="s">
        <v>2144</v>
      </c>
      <c r="DI94" s="24">
        <v>45519.0</v>
      </c>
      <c r="DJ94" s="19" t="s">
        <v>3257</v>
      </c>
      <c r="DK94" s="19" t="s">
        <v>2271</v>
      </c>
      <c r="DL94" s="19" t="s">
        <v>2207</v>
      </c>
      <c r="DM94" s="22" t="s">
        <v>3258</v>
      </c>
      <c r="DN94" s="19">
        <v>3.0</v>
      </c>
      <c r="DO94" s="19">
        <v>3.0</v>
      </c>
      <c r="DP94" s="19"/>
      <c r="DQ94" s="19"/>
      <c r="DR94" s="19"/>
      <c r="DS94" s="19" t="s">
        <v>2185</v>
      </c>
      <c r="DT94" s="19" t="s">
        <v>2350</v>
      </c>
      <c r="DU94" s="19" t="s">
        <v>3992</v>
      </c>
      <c r="DV94" s="19"/>
      <c r="DW94" s="19" t="s">
        <v>2153</v>
      </c>
      <c r="DX94" s="19">
        <v>2.0</v>
      </c>
      <c r="DY94" s="19">
        <v>10.0</v>
      </c>
      <c r="DZ94" s="19">
        <v>0.0</v>
      </c>
      <c r="EA94" s="19">
        <v>10.0</v>
      </c>
      <c r="EB94" s="19">
        <v>0.0</v>
      </c>
      <c r="EC94" s="19">
        <v>20.0</v>
      </c>
      <c r="ED94" s="19" t="s">
        <v>3257</v>
      </c>
      <c r="EE94" s="24">
        <v>45519.0</v>
      </c>
      <c r="EF94" s="19" t="s">
        <v>3257</v>
      </c>
      <c r="EG94" s="19" t="s">
        <v>2271</v>
      </c>
      <c r="EH94" s="19" t="s">
        <v>2207</v>
      </c>
      <c r="EI94" s="22">
        <v>8.71875</v>
      </c>
      <c r="EJ94" s="19">
        <v>45.0</v>
      </c>
      <c r="EK94" s="19" t="s">
        <v>2113</v>
      </c>
      <c r="EL94" s="19" t="s">
        <v>2117</v>
      </c>
      <c r="EM94" s="19" t="s">
        <v>3982</v>
      </c>
      <c r="EN94" s="19" t="s">
        <v>292</v>
      </c>
      <c r="EO94" s="19" t="s">
        <v>3826</v>
      </c>
      <c r="EP94" s="19" t="s">
        <v>2122</v>
      </c>
      <c r="EQ94" s="19" t="s">
        <v>3835</v>
      </c>
      <c r="ER94" s="19"/>
      <c r="ES94" s="19" t="s">
        <v>292</v>
      </c>
      <c r="ET94" s="19" t="s">
        <v>292</v>
      </c>
      <c r="EU94" s="19" t="s">
        <v>3980</v>
      </c>
      <c r="EV94" s="19">
        <v>8320.0</v>
      </c>
      <c r="EW94" s="19" t="s">
        <v>16</v>
      </c>
      <c r="EX94" s="19">
        <v>3.0</v>
      </c>
      <c r="EY94" s="25" t="s">
        <v>291</v>
      </c>
      <c r="EZ94" s="19" t="s">
        <v>2154</v>
      </c>
      <c r="FA94" s="5" t="s">
        <v>3993</v>
      </c>
      <c r="FB94" s="26" t="s">
        <v>2156</v>
      </c>
      <c r="FC94" s="26"/>
    </row>
    <row r="95">
      <c r="A95" s="19" t="s">
        <v>2156</v>
      </c>
      <c r="B95" s="19" t="s">
        <v>2113</v>
      </c>
      <c r="C95" s="19" t="s">
        <v>2113</v>
      </c>
      <c r="D95" s="19" t="s">
        <v>293</v>
      </c>
      <c r="E95" s="19" t="s">
        <v>3994</v>
      </c>
      <c r="F95" s="19" t="s">
        <v>293</v>
      </c>
      <c r="G95" s="19"/>
      <c r="H95" s="19" t="s">
        <v>293</v>
      </c>
      <c r="I95" s="19" t="s">
        <v>295</v>
      </c>
      <c r="J95" s="19" t="s">
        <v>3995</v>
      </c>
      <c r="K95" s="19" t="s">
        <v>3996</v>
      </c>
      <c r="L95" s="20">
        <v>45395.0</v>
      </c>
      <c r="M95" s="20">
        <v>45411.0</v>
      </c>
      <c r="N95" s="20">
        <v>45411.0</v>
      </c>
      <c r="O95" s="19" t="s">
        <v>294</v>
      </c>
      <c r="P95" s="19">
        <v>0.0</v>
      </c>
      <c r="Q95" s="19">
        <v>26.0</v>
      </c>
      <c r="R95" s="19">
        <v>9499.0</v>
      </c>
      <c r="S95" s="20" t="s">
        <v>3997</v>
      </c>
      <c r="T95" s="20">
        <v>45461.0</v>
      </c>
      <c r="U95" s="19" t="s">
        <v>293</v>
      </c>
      <c r="V95" s="19"/>
      <c r="W95" s="19"/>
      <c r="X95" s="21">
        <v>20.0</v>
      </c>
      <c r="Y95" s="21">
        <v>3.0</v>
      </c>
      <c r="Z95" s="21">
        <v>2.0</v>
      </c>
      <c r="AA95" s="21">
        <v>3.0</v>
      </c>
      <c r="AB95" s="5">
        <v>28.0</v>
      </c>
      <c r="AC95" s="19">
        <v>5.0</v>
      </c>
      <c r="AD95" s="19">
        <v>5.0</v>
      </c>
      <c r="AE95" s="19">
        <v>4.0</v>
      </c>
      <c r="AF95" s="19">
        <v>4.5</v>
      </c>
      <c r="AG95" s="19">
        <v>4.0</v>
      </c>
      <c r="AH95" s="19">
        <v>5.0</v>
      </c>
      <c r="AI95" s="22">
        <v>13.6875</v>
      </c>
      <c r="AJ95" s="19">
        <v>15.0</v>
      </c>
      <c r="AK95" s="19">
        <v>15.0</v>
      </c>
      <c r="AL95" s="19">
        <v>15.0</v>
      </c>
      <c r="AM95" s="19">
        <v>45.0</v>
      </c>
      <c r="AN95" s="19">
        <v>58.7</v>
      </c>
      <c r="AO95" s="19">
        <v>86.7</v>
      </c>
      <c r="AP95" s="19">
        <v>237.0</v>
      </c>
      <c r="AQ95" s="23">
        <v>92.0</v>
      </c>
      <c r="AR95" s="23">
        <v>5.0</v>
      </c>
      <c r="AS95" s="22"/>
      <c r="AT95" s="19" t="s">
        <v>2117</v>
      </c>
      <c r="AU95" s="19" t="s">
        <v>3998</v>
      </c>
      <c r="AV95" s="19" t="s">
        <v>3999</v>
      </c>
      <c r="AW95" s="19"/>
      <c r="AX95" s="20">
        <v>35962.0</v>
      </c>
      <c r="AY95" s="19" t="s">
        <v>4000</v>
      </c>
      <c r="AZ95" s="19" t="s">
        <v>2122</v>
      </c>
      <c r="BA95" s="19" t="s">
        <v>4001</v>
      </c>
      <c r="BB95" s="19" t="s">
        <v>4002</v>
      </c>
      <c r="BC95" s="19" t="s">
        <v>4003</v>
      </c>
      <c r="BD95" s="19" t="s">
        <v>4004</v>
      </c>
      <c r="BE95" s="19" t="s">
        <v>3995</v>
      </c>
      <c r="BF95" s="19">
        <v>1.1930236583E10</v>
      </c>
      <c r="BG95" s="19" t="s">
        <v>4005</v>
      </c>
      <c r="BH95" s="19" t="s">
        <v>2128</v>
      </c>
      <c r="BI95" s="19"/>
      <c r="BJ95" s="19" t="s">
        <v>2129</v>
      </c>
      <c r="BK95" s="19" t="s">
        <v>17</v>
      </c>
      <c r="BL95" s="19"/>
      <c r="BM95" s="19" t="s">
        <v>2130</v>
      </c>
      <c r="BN95" s="19" t="s">
        <v>17</v>
      </c>
      <c r="BO95" s="19" t="s">
        <v>3199</v>
      </c>
      <c r="BP95" s="19"/>
      <c r="BQ95" s="19" t="s">
        <v>3251</v>
      </c>
      <c r="BR95" s="19" t="s">
        <v>3251</v>
      </c>
      <c r="BS95" s="19" t="s">
        <v>2134</v>
      </c>
      <c r="BT95" s="19" t="s">
        <v>177</v>
      </c>
      <c r="BU95" s="19" t="s">
        <v>4006</v>
      </c>
      <c r="BV95" s="19" t="s">
        <v>4007</v>
      </c>
      <c r="BW95" s="19" t="s">
        <v>2113</v>
      </c>
      <c r="BX95" s="19"/>
      <c r="BY95" s="19"/>
      <c r="BZ95" s="19"/>
      <c r="CA95" s="19"/>
      <c r="CB95" s="19" t="s">
        <v>2113</v>
      </c>
      <c r="CC95" s="19"/>
      <c r="CD95" s="19" t="s">
        <v>2137</v>
      </c>
      <c r="CE95" s="19" t="s">
        <v>16</v>
      </c>
      <c r="CF95" s="19"/>
      <c r="CG95" s="19"/>
      <c r="CH95" s="19" t="s">
        <v>17</v>
      </c>
      <c r="CI95" s="21">
        <v>3.0</v>
      </c>
      <c r="CJ95" s="19" t="s">
        <v>17</v>
      </c>
      <c r="CK95" s="19"/>
      <c r="CL95" s="19"/>
      <c r="CM95" s="19" t="s">
        <v>2344</v>
      </c>
      <c r="CN95" s="19" t="s">
        <v>3253</v>
      </c>
      <c r="CO95" s="19"/>
      <c r="CP95" s="19" t="s">
        <v>2246</v>
      </c>
      <c r="CQ95" s="19"/>
      <c r="CR95" s="19" t="s">
        <v>2113</v>
      </c>
      <c r="CS95" s="19" t="s">
        <v>2113</v>
      </c>
      <c r="CT95" s="19" t="s">
        <v>2113</v>
      </c>
      <c r="CU95" s="19" t="s">
        <v>2113</v>
      </c>
      <c r="CV95" s="19" t="s">
        <v>2141</v>
      </c>
      <c r="CW95" s="19" t="s">
        <v>2113</v>
      </c>
      <c r="CX95" s="19" t="s">
        <v>2113</v>
      </c>
      <c r="CY95" s="19" t="s">
        <v>2113</v>
      </c>
      <c r="CZ95" s="19" t="s">
        <v>2113</v>
      </c>
      <c r="DA95" s="19" t="s">
        <v>16</v>
      </c>
      <c r="DB95" s="19" t="s">
        <v>17</v>
      </c>
      <c r="DC95" s="19" t="s">
        <v>2804</v>
      </c>
      <c r="DD95" s="19" t="s">
        <v>2113</v>
      </c>
      <c r="DE95" s="19" t="s">
        <v>2113</v>
      </c>
      <c r="DF95" s="19" t="s">
        <v>2433</v>
      </c>
      <c r="DG95" s="19" t="s">
        <v>2248</v>
      </c>
      <c r="DH95" s="19" t="s">
        <v>2144</v>
      </c>
      <c r="DI95" s="24">
        <v>45518.0</v>
      </c>
      <c r="DJ95" s="19" t="s">
        <v>3257</v>
      </c>
      <c r="DK95" s="19" t="s">
        <v>2271</v>
      </c>
      <c r="DL95" s="19" t="s">
        <v>2207</v>
      </c>
      <c r="DM95" s="22" t="s">
        <v>4008</v>
      </c>
      <c r="DN95" s="19">
        <v>1.0</v>
      </c>
      <c r="DO95" s="19">
        <v>1.0</v>
      </c>
      <c r="DP95" s="19" t="s">
        <v>4009</v>
      </c>
      <c r="DQ95" s="19" t="s">
        <v>4010</v>
      </c>
      <c r="DR95" s="19" t="s">
        <v>4011</v>
      </c>
      <c r="DS95" s="19" t="s">
        <v>2185</v>
      </c>
      <c r="DT95" s="19" t="s">
        <v>2209</v>
      </c>
      <c r="DU95" s="19"/>
      <c r="DV95" s="19"/>
      <c r="DW95" s="19" t="s">
        <v>2153</v>
      </c>
      <c r="DX95" s="19">
        <v>1.0</v>
      </c>
      <c r="DY95" s="19">
        <v>3.0</v>
      </c>
      <c r="DZ95" s="19">
        <v>0.0</v>
      </c>
      <c r="EA95" s="19">
        <v>3.0</v>
      </c>
      <c r="EB95" s="19">
        <v>3.0</v>
      </c>
      <c r="EC95" s="19">
        <v>20.0</v>
      </c>
      <c r="ED95" s="19" t="s">
        <v>3257</v>
      </c>
      <c r="EE95" s="24">
        <v>45518.0</v>
      </c>
      <c r="EF95" s="19" t="s">
        <v>3257</v>
      </c>
      <c r="EG95" s="19" t="s">
        <v>2271</v>
      </c>
      <c r="EH95" s="19" t="s">
        <v>2207</v>
      </c>
      <c r="EI95" s="22">
        <v>13.6875</v>
      </c>
      <c r="EJ95" s="19">
        <v>45.0</v>
      </c>
      <c r="EK95" s="19" t="s">
        <v>2113</v>
      </c>
      <c r="EL95" s="19" t="s">
        <v>2117</v>
      </c>
      <c r="EM95" s="19" t="s">
        <v>3998</v>
      </c>
      <c r="EN95" s="19" t="s">
        <v>295</v>
      </c>
      <c r="EO95" s="19" t="s">
        <v>4000</v>
      </c>
      <c r="EP95" s="19" t="s">
        <v>2122</v>
      </c>
      <c r="EQ95" s="19" t="s">
        <v>3253</v>
      </c>
      <c r="ER95" s="19"/>
      <c r="ES95" s="19" t="s">
        <v>295</v>
      </c>
      <c r="ET95" s="19" t="s">
        <v>295</v>
      </c>
      <c r="EU95" s="19" t="s">
        <v>3996</v>
      </c>
      <c r="EV95" s="19">
        <v>9499.0</v>
      </c>
      <c r="EW95" s="19" t="s">
        <v>16</v>
      </c>
      <c r="EX95" s="19">
        <v>2.0</v>
      </c>
      <c r="EY95" s="25" t="s">
        <v>294</v>
      </c>
      <c r="EZ95" s="19" t="s">
        <v>2154</v>
      </c>
      <c r="FA95" s="5" t="s">
        <v>4012</v>
      </c>
      <c r="FB95" s="26" t="s">
        <v>2156</v>
      </c>
      <c r="FC95" s="26"/>
    </row>
    <row r="96">
      <c r="A96" s="19" t="s">
        <v>2112</v>
      </c>
      <c r="B96" s="19" t="s">
        <v>2113</v>
      </c>
      <c r="C96" s="19" t="s">
        <v>2113</v>
      </c>
      <c r="D96" s="19" t="s">
        <v>296</v>
      </c>
      <c r="E96" s="19" t="s">
        <v>4013</v>
      </c>
      <c r="F96" s="19" t="s">
        <v>296</v>
      </c>
      <c r="G96" s="19"/>
      <c r="H96" s="19" t="s">
        <v>296</v>
      </c>
      <c r="I96" s="19" t="s">
        <v>298</v>
      </c>
      <c r="J96" s="19" t="s">
        <v>4014</v>
      </c>
      <c r="K96" s="19" t="s">
        <v>4015</v>
      </c>
      <c r="L96" s="20">
        <v>45404.0</v>
      </c>
      <c r="M96" s="20">
        <v>45411.0</v>
      </c>
      <c r="N96" s="20">
        <v>45411.0</v>
      </c>
      <c r="O96" s="19" t="s">
        <v>297</v>
      </c>
      <c r="P96" s="19">
        <v>0.0</v>
      </c>
      <c r="Q96" s="19">
        <v>23.0</v>
      </c>
      <c r="R96" s="19">
        <v>8461.0</v>
      </c>
      <c r="S96" s="20" t="s">
        <v>4016</v>
      </c>
      <c r="T96" s="20">
        <v>45461.0</v>
      </c>
      <c r="U96" s="19" t="s">
        <v>296</v>
      </c>
      <c r="V96" s="19"/>
      <c r="W96" s="19"/>
      <c r="X96" s="21">
        <v>20.0</v>
      </c>
      <c r="Y96" s="21">
        <v>10.0</v>
      </c>
      <c r="Z96" s="21">
        <v>5.0</v>
      </c>
      <c r="AA96" s="21">
        <v>0.0</v>
      </c>
      <c r="AB96" s="5">
        <v>35.0</v>
      </c>
      <c r="AC96" s="19">
        <v>3.0</v>
      </c>
      <c r="AD96" s="19">
        <v>4.0</v>
      </c>
      <c r="AE96" s="19">
        <v>4.0</v>
      </c>
      <c r="AF96" s="19">
        <v>3.0</v>
      </c>
      <c r="AG96" s="19">
        <v>2.6</v>
      </c>
      <c r="AH96" s="19">
        <v>4.0</v>
      </c>
      <c r="AI96" s="22">
        <v>10.63125</v>
      </c>
      <c r="AJ96" s="19">
        <v>15.0</v>
      </c>
      <c r="AK96" s="19">
        <v>13.0</v>
      </c>
      <c r="AL96" s="19">
        <v>13.0</v>
      </c>
      <c r="AM96" s="19">
        <v>41.0</v>
      </c>
      <c r="AN96" s="19">
        <v>51.6</v>
      </c>
      <c r="AO96" s="19">
        <v>86.6</v>
      </c>
      <c r="AP96" s="19">
        <v>58.0</v>
      </c>
      <c r="AQ96" s="23">
        <v>93.0</v>
      </c>
      <c r="AR96" s="23">
        <v>13.0</v>
      </c>
      <c r="AS96" s="22"/>
      <c r="AT96" s="19" t="s">
        <v>2163</v>
      </c>
      <c r="AU96" s="19" t="s">
        <v>4017</v>
      </c>
      <c r="AV96" s="19" t="s">
        <v>4018</v>
      </c>
      <c r="AW96" s="19"/>
      <c r="AX96" s="20">
        <v>37000.0</v>
      </c>
      <c r="AY96" s="19" t="s">
        <v>2196</v>
      </c>
      <c r="AZ96" s="19" t="s">
        <v>2445</v>
      </c>
      <c r="BA96" s="19" t="s">
        <v>4019</v>
      </c>
      <c r="BB96" s="19" t="s">
        <v>4020</v>
      </c>
      <c r="BC96" s="19" t="s">
        <v>4021</v>
      </c>
      <c r="BD96" s="19" t="s">
        <v>4022</v>
      </c>
      <c r="BE96" s="19" t="s">
        <v>4014</v>
      </c>
      <c r="BF96" s="19">
        <v>1.1958127916E10</v>
      </c>
      <c r="BG96" s="19" t="s">
        <v>2127</v>
      </c>
      <c r="BH96" s="19" t="s">
        <v>2128</v>
      </c>
      <c r="BI96" s="19"/>
      <c r="BJ96" s="19"/>
      <c r="BK96" s="19" t="s">
        <v>16</v>
      </c>
      <c r="BL96" s="19"/>
      <c r="BM96" s="19" t="s">
        <v>2130</v>
      </c>
      <c r="BN96" s="19" t="s">
        <v>2172</v>
      </c>
      <c r="BO96" s="19" t="s">
        <v>2132</v>
      </c>
      <c r="BP96" s="19"/>
      <c r="BQ96" s="19" t="s">
        <v>2174</v>
      </c>
      <c r="BR96" s="19" t="s">
        <v>2174</v>
      </c>
      <c r="BS96" s="19" t="s">
        <v>2134</v>
      </c>
      <c r="BT96" s="19" t="s">
        <v>21</v>
      </c>
      <c r="BU96" s="19"/>
      <c r="BV96" s="19" t="s">
        <v>4023</v>
      </c>
      <c r="BW96" s="19" t="s">
        <v>2113</v>
      </c>
      <c r="BX96" s="19"/>
      <c r="BY96" s="19"/>
      <c r="BZ96" s="19"/>
      <c r="CA96" s="19"/>
      <c r="CB96" s="19" t="s">
        <v>2113</v>
      </c>
      <c r="CC96" s="19"/>
      <c r="CD96" s="19" t="s">
        <v>2137</v>
      </c>
      <c r="CE96" s="19" t="s">
        <v>16</v>
      </c>
      <c r="CF96" s="19"/>
      <c r="CG96" s="19"/>
      <c r="CH96" s="19" t="s">
        <v>16</v>
      </c>
      <c r="CI96" s="21">
        <v>0.0</v>
      </c>
      <c r="CJ96" s="19" t="s">
        <v>17</v>
      </c>
      <c r="CK96" s="19"/>
      <c r="CL96" s="19"/>
      <c r="CM96" s="19" t="s">
        <v>2138</v>
      </c>
      <c r="CN96" s="19" t="s">
        <v>2204</v>
      </c>
      <c r="CO96" s="19"/>
      <c r="CP96" s="19" t="s">
        <v>2134</v>
      </c>
      <c r="CQ96" s="19"/>
      <c r="CR96" s="19" t="s">
        <v>2113</v>
      </c>
      <c r="CS96" s="19" t="s">
        <v>2113</v>
      </c>
      <c r="CT96" s="19"/>
      <c r="CU96" s="19"/>
      <c r="CV96" s="19" t="s">
        <v>2141</v>
      </c>
      <c r="CW96" s="19" t="s">
        <v>2113</v>
      </c>
      <c r="CX96" s="19" t="s">
        <v>2113</v>
      </c>
      <c r="CY96" s="19" t="s">
        <v>2113</v>
      </c>
      <c r="CZ96" s="19" t="s">
        <v>2113</v>
      </c>
      <c r="DA96" s="19" t="s">
        <v>16</v>
      </c>
      <c r="DB96" s="19" t="s">
        <v>17</v>
      </c>
      <c r="DC96" s="19" t="s">
        <v>2181</v>
      </c>
      <c r="DD96" s="19" t="s">
        <v>2113</v>
      </c>
      <c r="DE96" s="19" t="s">
        <v>2113</v>
      </c>
      <c r="DF96" s="19" t="s">
        <v>2514</v>
      </c>
      <c r="DG96" s="19" t="s">
        <v>2345</v>
      </c>
      <c r="DH96" s="19" t="s">
        <v>2144</v>
      </c>
      <c r="DI96" s="24">
        <v>45525.0</v>
      </c>
      <c r="DJ96" s="19" t="s">
        <v>2174</v>
      </c>
      <c r="DK96" s="19" t="s">
        <v>2145</v>
      </c>
      <c r="DL96" s="19" t="s">
        <v>2183</v>
      </c>
      <c r="DM96" s="19" t="s">
        <v>2249</v>
      </c>
      <c r="DN96" s="19">
        <v>9.0</v>
      </c>
      <c r="DO96" s="19">
        <v>9.0</v>
      </c>
      <c r="DP96" s="19" t="s">
        <v>4024</v>
      </c>
      <c r="DQ96" s="19" t="s">
        <v>4025</v>
      </c>
      <c r="DR96" s="19" t="s">
        <v>4026</v>
      </c>
      <c r="DS96" s="19" t="s">
        <v>2151</v>
      </c>
      <c r="DT96" s="19" t="s">
        <v>2229</v>
      </c>
      <c r="DU96" s="19"/>
      <c r="DV96" s="19"/>
      <c r="DW96" s="19" t="s">
        <v>2188</v>
      </c>
      <c r="DX96" s="19">
        <v>15.0</v>
      </c>
      <c r="DY96" s="19">
        <v>10.0</v>
      </c>
      <c r="DZ96" s="19">
        <v>0.0</v>
      </c>
      <c r="EA96" s="19">
        <v>10.0</v>
      </c>
      <c r="EB96" s="19">
        <v>0.0</v>
      </c>
      <c r="EC96" s="19">
        <v>20.0</v>
      </c>
      <c r="ED96" s="19" t="s">
        <v>2174</v>
      </c>
      <c r="EE96" s="24">
        <v>45525.0</v>
      </c>
      <c r="EF96" s="19" t="s">
        <v>2174</v>
      </c>
      <c r="EG96" s="19" t="s">
        <v>2145</v>
      </c>
      <c r="EH96" s="19" t="s">
        <v>2183</v>
      </c>
      <c r="EI96" s="22">
        <v>10.63125</v>
      </c>
      <c r="EJ96" s="19">
        <v>41.0</v>
      </c>
      <c r="EK96" s="19" t="s">
        <v>2113</v>
      </c>
      <c r="EL96" s="19" t="s">
        <v>2163</v>
      </c>
      <c r="EM96" s="19" t="s">
        <v>4017</v>
      </c>
      <c r="EN96" s="19" t="s">
        <v>298</v>
      </c>
      <c r="EO96" s="19" t="s">
        <v>2196</v>
      </c>
      <c r="EP96" s="19" t="s">
        <v>2445</v>
      </c>
      <c r="EQ96" s="19" t="s">
        <v>2204</v>
      </c>
      <c r="ER96" s="19"/>
      <c r="ES96" s="19" t="s">
        <v>298</v>
      </c>
      <c r="ET96" s="19" t="s">
        <v>298</v>
      </c>
      <c r="EU96" s="19" t="s">
        <v>4015</v>
      </c>
      <c r="EV96" s="19">
        <v>8461.0</v>
      </c>
      <c r="EW96" s="19" t="s">
        <v>16</v>
      </c>
      <c r="EX96" s="19">
        <v>5.0</v>
      </c>
      <c r="EY96" s="25" t="s">
        <v>297</v>
      </c>
      <c r="EZ96" s="19" t="s">
        <v>2154</v>
      </c>
      <c r="FA96" s="5" t="s">
        <v>4027</v>
      </c>
      <c r="FB96" s="26" t="s">
        <v>2156</v>
      </c>
      <c r="FC96" s="26"/>
    </row>
    <row r="97">
      <c r="A97" s="19" t="s">
        <v>2112</v>
      </c>
      <c r="B97" s="19" t="s">
        <v>2113</v>
      </c>
      <c r="C97" s="19" t="s">
        <v>2113</v>
      </c>
      <c r="D97" s="19" t="s">
        <v>299</v>
      </c>
      <c r="E97" s="19" t="s">
        <v>4028</v>
      </c>
      <c r="F97" s="19" t="s">
        <v>299</v>
      </c>
      <c r="G97" s="19"/>
      <c r="H97" s="19" t="s">
        <v>299</v>
      </c>
      <c r="I97" s="19" t="s">
        <v>301</v>
      </c>
      <c r="J97" s="19" t="s">
        <v>4029</v>
      </c>
      <c r="K97" s="19" t="s">
        <v>4030</v>
      </c>
      <c r="L97" s="20">
        <v>45446.0</v>
      </c>
      <c r="M97" s="20">
        <v>45447.0</v>
      </c>
      <c r="N97" s="20">
        <v>45447.0</v>
      </c>
      <c r="O97" s="19" t="s">
        <v>300</v>
      </c>
      <c r="P97" s="19">
        <v>0.0</v>
      </c>
      <c r="Q97" s="19">
        <v>26.0</v>
      </c>
      <c r="R97" s="19">
        <v>9797.0</v>
      </c>
      <c r="S97" s="20" t="s">
        <v>4031</v>
      </c>
      <c r="T97" s="20">
        <v>45461.0</v>
      </c>
      <c r="U97" s="19" t="s">
        <v>299</v>
      </c>
      <c r="V97" s="19"/>
      <c r="W97" s="19"/>
      <c r="X97" s="21">
        <v>20.0</v>
      </c>
      <c r="Y97" s="21">
        <v>0.0</v>
      </c>
      <c r="Z97" s="21">
        <v>5.0</v>
      </c>
      <c r="AA97" s="21">
        <v>3.0</v>
      </c>
      <c r="AB97" s="5">
        <v>28.0</v>
      </c>
      <c r="AC97" s="19">
        <v>4.2</v>
      </c>
      <c r="AD97" s="19">
        <v>4.4</v>
      </c>
      <c r="AE97" s="19">
        <v>5.0</v>
      </c>
      <c r="AF97" s="19">
        <v>4.4</v>
      </c>
      <c r="AG97" s="19">
        <v>4.6</v>
      </c>
      <c r="AH97" s="19">
        <v>4.0</v>
      </c>
      <c r="AI97" s="22">
        <v>13.481250000000001</v>
      </c>
      <c r="AJ97" s="19">
        <v>15.0</v>
      </c>
      <c r="AK97" s="19">
        <v>15.0</v>
      </c>
      <c r="AL97" s="19">
        <v>15.0</v>
      </c>
      <c r="AM97" s="19">
        <v>45.0</v>
      </c>
      <c r="AN97" s="19">
        <v>58.5</v>
      </c>
      <c r="AO97" s="19">
        <v>86.5</v>
      </c>
      <c r="AP97" s="19">
        <v>241.0</v>
      </c>
      <c r="AQ97" s="23">
        <v>94.0</v>
      </c>
      <c r="AR97" s="23">
        <v>5.0</v>
      </c>
      <c r="AS97" s="22"/>
      <c r="AT97" s="19" t="s">
        <v>2163</v>
      </c>
      <c r="AU97" s="19" t="s">
        <v>4032</v>
      </c>
      <c r="AV97" s="19" t="s">
        <v>4033</v>
      </c>
      <c r="AW97" s="19"/>
      <c r="AX97" s="20">
        <v>35664.0</v>
      </c>
      <c r="AY97" s="19" t="s">
        <v>2529</v>
      </c>
      <c r="AZ97" s="19" t="s">
        <v>2122</v>
      </c>
      <c r="BA97" s="19" t="s">
        <v>4034</v>
      </c>
      <c r="BB97" s="19" t="s">
        <v>4035</v>
      </c>
      <c r="BC97" s="19" t="s">
        <v>4036</v>
      </c>
      <c r="BD97" s="19" t="s">
        <v>4037</v>
      </c>
      <c r="BE97" s="19" t="s">
        <v>4029</v>
      </c>
      <c r="BF97" s="19">
        <v>1.1972885566E10</v>
      </c>
      <c r="BG97" s="19" t="s">
        <v>4038</v>
      </c>
      <c r="BH97" s="19" t="s">
        <v>2128</v>
      </c>
      <c r="BI97" s="19"/>
      <c r="BJ97" s="19" t="s">
        <v>2129</v>
      </c>
      <c r="BK97" s="19" t="s">
        <v>17</v>
      </c>
      <c r="BL97" s="19"/>
      <c r="BM97" s="19" t="s">
        <v>2130</v>
      </c>
      <c r="BN97" s="19" t="s">
        <v>17</v>
      </c>
      <c r="BO97" s="19" t="s">
        <v>2132</v>
      </c>
      <c r="BP97" s="19" t="s">
        <v>4039</v>
      </c>
      <c r="BQ97" s="19" t="s">
        <v>2174</v>
      </c>
      <c r="BR97" s="19" t="s">
        <v>2174</v>
      </c>
      <c r="BS97" s="19" t="s">
        <v>2134</v>
      </c>
      <c r="BT97" s="19" t="s">
        <v>75</v>
      </c>
      <c r="BU97" s="19" t="s">
        <v>4040</v>
      </c>
      <c r="BV97" s="19" t="s">
        <v>4041</v>
      </c>
      <c r="BW97" s="19" t="s">
        <v>2113</v>
      </c>
      <c r="BX97" s="19"/>
      <c r="BY97" s="19"/>
      <c r="BZ97" s="19"/>
      <c r="CA97" s="19"/>
      <c r="CB97" s="19" t="s">
        <v>2113</v>
      </c>
      <c r="CC97" s="19"/>
      <c r="CD97" s="19" t="s">
        <v>2137</v>
      </c>
      <c r="CE97" s="19" t="s">
        <v>16</v>
      </c>
      <c r="CF97" s="19"/>
      <c r="CG97" s="19"/>
      <c r="CH97" s="19" t="s">
        <v>17</v>
      </c>
      <c r="CI97" s="21">
        <v>3.0</v>
      </c>
      <c r="CJ97" s="19" t="s">
        <v>17</v>
      </c>
      <c r="CK97" s="19"/>
      <c r="CL97" s="19"/>
      <c r="CM97" s="19" t="s">
        <v>2344</v>
      </c>
      <c r="CN97" s="19" t="s">
        <v>2537</v>
      </c>
      <c r="CO97" s="19"/>
      <c r="CP97" s="19" t="s">
        <v>2246</v>
      </c>
      <c r="CQ97" s="19"/>
      <c r="CR97" s="19"/>
      <c r="CS97" s="19"/>
      <c r="CT97" s="19" t="s">
        <v>2113</v>
      </c>
      <c r="CU97" s="19" t="s">
        <v>2113</v>
      </c>
      <c r="CV97" s="19" t="s">
        <v>2141</v>
      </c>
      <c r="CW97" s="19" t="s">
        <v>2113</v>
      </c>
      <c r="CX97" s="19" t="s">
        <v>2113</v>
      </c>
      <c r="CY97" s="19"/>
      <c r="CZ97" s="19"/>
      <c r="DA97" s="19" t="s">
        <v>16</v>
      </c>
      <c r="DB97" s="19" t="s">
        <v>17</v>
      </c>
      <c r="DC97" s="19" t="s">
        <v>4042</v>
      </c>
      <c r="DD97" s="19" t="s">
        <v>2113</v>
      </c>
      <c r="DE97" s="19" t="s">
        <v>2113</v>
      </c>
      <c r="DF97" s="19" t="s">
        <v>4043</v>
      </c>
      <c r="DG97" s="19" t="s">
        <v>4044</v>
      </c>
      <c r="DH97" s="19" t="s">
        <v>2144</v>
      </c>
      <c r="DI97" s="24">
        <v>45526.0</v>
      </c>
      <c r="DJ97" s="19" t="s">
        <v>2174</v>
      </c>
      <c r="DK97" s="19" t="s">
        <v>2271</v>
      </c>
      <c r="DL97" s="19" t="s">
        <v>2183</v>
      </c>
      <c r="DM97" s="19"/>
      <c r="DN97" s="19">
        <v>12.0</v>
      </c>
      <c r="DO97" s="19">
        <v>12.0</v>
      </c>
      <c r="DP97" s="19" t="s">
        <v>4045</v>
      </c>
      <c r="DQ97" s="19" t="s">
        <v>4046</v>
      </c>
      <c r="DR97" s="19" t="s">
        <v>4047</v>
      </c>
      <c r="DS97" s="19" t="s">
        <v>2151</v>
      </c>
      <c r="DT97" s="19" t="s">
        <v>2186</v>
      </c>
      <c r="DU97" s="19"/>
      <c r="DV97" s="19"/>
      <c r="DW97" s="19" t="s">
        <v>2479</v>
      </c>
      <c r="DX97" s="19">
        <v>16.0</v>
      </c>
      <c r="DY97" s="19">
        <v>0.0</v>
      </c>
      <c r="DZ97" s="19">
        <v>0.0</v>
      </c>
      <c r="EA97" s="19">
        <v>0.0</v>
      </c>
      <c r="EB97" s="19">
        <v>3.0</v>
      </c>
      <c r="EC97" s="19">
        <v>20.0</v>
      </c>
      <c r="ED97" s="19" t="s">
        <v>2174</v>
      </c>
      <c r="EE97" s="24">
        <v>45526.0</v>
      </c>
      <c r="EF97" s="19" t="s">
        <v>2174</v>
      </c>
      <c r="EG97" s="19" t="s">
        <v>2271</v>
      </c>
      <c r="EH97" s="19" t="s">
        <v>2183</v>
      </c>
      <c r="EI97" s="22">
        <v>13.481250000000001</v>
      </c>
      <c r="EJ97" s="19">
        <v>45.0</v>
      </c>
      <c r="EK97" s="19" t="s">
        <v>2113</v>
      </c>
      <c r="EL97" s="19" t="s">
        <v>2163</v>
      </c>
      <c r="EM97" s="19" t="s">
        <v>4032</v>
      </c>
      <c r="EN97" s="19" t="s">
        <v>301</v>
      </c>
      <c r="EO97" s="19" t="s">
        <v>2529</v>
      </c>
      <c r="EP97" s="19" t="s">
        <v>2122</v>
      </c>
      <c r="EQ97" s="19" t="s">
        <v>2537</v>
      </c>
      <c r="ER97" s="19"/>
      <c r="ES97" s="19" t="s">
        <v>301</v>
      </c>
      <c r="ET97" s="19" t="s">
        <v>301</v>
      </c>
      <c r="EU97" s="19" t="s">
        <v>4030</v>
      </c>
      <c r="EV97" s="19">
        <v>9797.0</v>
      </c>
      <c r="EW97" s="19" t="s">
        <v>16</v>
      </c>
      <c r="EX97" s="19">
        <v>5.0</v>
      </c>
      <c r="EY97" s="25" t="s">
        <v>300</v>
      </c>
      <c r="EZ97" s="19" t="s">
        <v>2154</v>
      </c>
      <c r="FA97" s="5" t="s">
        <v>4048</v>
      </c>
      <c r="FB97" s="26" t="s">
        <v>2156</v>
      </c>
      <c r="FC97" s="26"/>
    </row>
    <row r="98">
      <c r="A98" s="19" t="s">
        <v>2112</v>
      </c>
      <c r="B98" s="19" t="s">
        <v>2113</v>
      </c>
      <c r="C98" s="19" t="s">
        <v>2113</v>
      </c>
      <c r="D98" s="19" t="s">
        <v>302</v>
      </c>
      <c r="E98" s="19" t="s">
        <v>4049</v>
      </c>
      <c r="F98" s="19" t="s">
        <v>302</v>
      </c>
      <c r="G98" s="19"/>
      <c r="H98" s="19" t="s">
        <v>302</v>
      </c>
      <c r="I98" s="19" t="s">
        <v>304</v>
      </c>
      <c r="J98" s="19" t="s">
        <v>4050</v>
      </c>
      <c r="K98" s="19" t="s">
        <v>4051</v>
      </c>
      <c r="L98" s="20">
        <v>45430.0</v>
      </c>
      <c r="M98" s="20">
        <v>45432.0</v>
      </c>
      <c r="N98" s="20">
        <v>45432.0</v>
      </c>
      <c r="O98" s="19" t="s">
        <v>303</v>
      </c>
      <c r="P98" s="19">
        <v>0.0</v>
      </c>
      <c r="Q98" s="19">
        <v>28.0</v>
      </c>
      <c r="R98" s="19">
        <v>10256.0</v>
      </c>
      <c r="S98" s="20" t="s">
        <v>4052</v>
      </c>
      <c r="T98" s="20">
        <v>45461.0</v>
      </c>
      <c r="U98" s="19" t="s">
        <v>302</v>
      </c>
      <c r="V98" s="19"/>
      <c r="W98" s="19"/>
      <c r="X98" s="21">
        <v>20.0</v>
      </c>
      <c r="Y98" s="21">
        <v>5.0</v>
      </c>
      <c r="Z98" s="21">
        <v>5.0</v>
      </c>
      <c r="AA98" s="21">
        <v>0.0</v>
      </c>
      <c r="AB98" s="5">
        <v>30.0</v>
      </c>
      <c r="AC98" s="19">
        <v>4.1</v>
      </c>
      <c r="AD98" s="19">
        <v>3.6</v>
      </c>
      <c r="AE98" s="19">
        <v>3.8</v>
      </c>
      <c r="AF98" s="19">
        <v>3.6</v>
      </c>
      <c r="AG98" s="19">
        <v>3.6</v>
      </c>
      <c r="AH98" s="19">
        <v>4.0</v>
      </c>
      <c r="AI98" s="22">
        <v>11.334375</v>
      </c>
      <c r="AJ98" s="19">
        <v>15.0</v>
      </c>
      <c r="AK98" s="19">
        <v>15.0</v>
      </c>
      <c r="AL98" s="19">
        <v>15.0</v>
      </c>
      <c r="AM98" s="19">
        <v>45.0</v>
      </c>
      <c r="AN98" s="19">
        <v>56.3</v>
      </c>
      <c r="AO98" s="19">
        <v>86.3</v>
      </c>
      <c r="AP98" s="19">
        <v>213.0</v>
      </c>
      <c r="AQ98" s="23">
        <v>95.0</v>
      </c>
      <c r="AR98" s="23">
        <v>14.0</v>
      </c>
      <c r="AS98" s="22"/>
      <c r="AT98" s="19" t="s">
        <v>2163</v>
      </c>
      <c r="AU98" s="19" t="s">
        <v>4053</v>
      </c>
      <c r="AV98" s="19" t="s">
        <v>4054</v>
      </c>
      <c r="AW98" s="19" t="s">
        <v>2166</v>
      </c>
      <c r="AX98" s="20">
        <v>35205.0</v>
      </c>
      <c r="AY98" s="19" t="s">
        <v>2167</v>
      </c>
      <c r="AZ98" s="19" t="s">
        <v>2122</v>
      </c>
      <c r="BA98" s="19" t="s">
        <v>4055</v>
      </c>
      <c r="BB98" s="19" t="s">
        <v>4056</v>
      </c>
      <c r="BC98" s="19" t="s">
        <v>4057</v>
      </c>
      <c r="BD98" s="19" t="s">
        <v>4058</v>
      </c>
      <c r="BE98" s="19" t="s">
        <v>4050</v>
      </c>
      <c r="BF98" s="19">
        <v>1.1981095558E10</v>
      </c>
      <c r="BG98" s="19" t="s">
        <v>3518</v>
      </c>
      <c r="BH98" s="19" t="s">
        <v>2128</v>
      </c>
      <c r="BI98" s="19"/>
      <c r="BJ98" s="19" t="s">
        <v>2128</v>
      </c>
      <c r="BK98" s="19" t="s">
        <v>17</v>
      </c>
      <c r="BL98" s="19" t="s">
        <v>2113</v>
      </c>
      <c r="BM98" s="19" t="s">
        <v>2130</v>
      </c>
      <c r="BN98" s="19" t="s">
        <v>17</v>
      </c>
      <c r="BO98" s="19" t="s">
        <v>2132</v>
      </c>
      <c r="BP98" s="19" t="s">
        <v>4059</v>
      </c>
      <c r="BQ98" s="19" t="s">
        <v>2174</v>
      </c>
      <c r="BR98" s="19" t="s">
        <v>2174</v>
      </c>
      <c r="BS98" s="19" t="s">
        <v>2134</v>
      </c>
      <c r="BT98" s="19" t="s">
        <v>21</v>
      </c>
      <c r="BU98" s="19" t="s">
        <v>4060</v>
      </c>
      <c r="BV98" s="19" t="s">
        <v>4061</v>
      </c>
      <c r="BW98" s="19"/>
      <c r="BX98" s="19" t="s">
        <v>2113</v>
      </c>
      <c r="BY98" s="19" t="s">
        <v>2113</v>
      </c>
      <c r="BZ98" s="19" t="s">
        <v>2113</v>
      </c>
      <c r="CA98" s="19"/>
      <c r="CB98" s="19" t="s">
        <v>2113</v>
      </c>
      <c r="CC98" s="19"/>
      <c r="CD98" s="19" t="s">
        <v>2137</v>
      </c>
      <c r="CE98" s="19" t="s">
        <v>16</v>
      </c>
      <c r="CF98" s="19"/>
      <c r="CG98" s="19"/>
      <c r="CH98" s="19" t="s">
        <v>16</v>
      </c>
      <c r="CI98" s="21">
        <v>0.0</v>
      </c>
      <c r="CJ98" s="19" t="s">
        <v>17</v>
      </c>
      <c r="CK98" s="19"/>
      <c r="CL98" s="19"/>
      <c r="CM98" s="19" t="s">
        <v>2138</v>
      </c>
      <c r="CN98" s="19" t="s">
        <v>2176</v>
      </c>
      <c r="CO98" s="19"/>
      <c r="CP98" s="19" t="s">
        <v>2246</v>
      </c>
      <c r="CQ98" s="19"/>
      <c r="CR98" s="19" t="s">
        <v>2113</v>
      </c>
      <c r="CS98" s="19" t="s">
        <v>2113</v>
      </c>
      <c r="CT98" s="19" t="s">
        <v>2113</v>
      </c>
      <c r="CU98" s="19" t="s">
        <v>2113</v>
      </c>
      <c r="CV98" s="19" t="s">
        <v>2141</v>
      </c>
      <c r="CW98" s="19" t="s">
        <v>2113</v>
      </c>
      <c r="CX98" s="19" t="s">
        <v>2113</v>
      </c>
      <c r="CY98" s="19" t="s">
        <v>2113</v>
      </c>
      <c r="CZ98" s="19" t="s">
        <v>2113</v>
      </c>
      <c r="DA98" s="19" t="s">
        <v>16</v>
      </c>
      <c r="DB98" s="19" t="s">
        <v>17</v>
      </c>
      <c r="DC98" s="19" t="s">
        <v>2182</v>
      </c>
      <c r="DD98" s="19" t="s">
        <v>2113</v>
      </c>
      <c r="DE98" s="19" t="s">
        <v>2113</v>
      </c>
      <c r="DF98" s="19" t="s">
        <v>2804</v>
      </c>
      <c r="DG98" s="19" t="s">
        <v>2248</v>
      </c>
      <c r="DH98" s="19" t="s">
        <v>2144</v>
      </c>
      <c r="DI98" s="24">
        <v>45526.0</v>
      </c>
      <c r="DJ98" s="19" t="s">
        <v>2174</v>
      </c>
      <c r="DK98" s="19" t="s">
        <v>2145</v>
      </c>
      <c r="DL98" s="19" t="s">
        <v>2183</v>
      </c>
      <c r="DM98" s="19"/>
      <c r="DN98" s="19">
        <v>11.0</v>
      </c>
      <c r="DO98" s="19">
        <v>11.0</v>
      </c>
      <c r="DP98" s="19" t="s">
        <v>4062</v>
      </c>
      <c r="DQ98" s="19" t="s">
        <v>4063</v>
      </c>
      <c r="DR98" s="19" t="s">
        <v>4064</v>
      </c>
      <c r="DS98" s="19" t="s">
        <v>2151</v>
      </c>
      <c r="DT98" s="19" t="s">
        <v>2152</v>
      </c>
      <c r="DU98" s="19"/>
      <c r="DV98" s="19"/>
      <c r="DW98" s="19" t="s">
        <v>2188</v>
      </c>
      <c r="DX98" s="19">
        <v>15.0</v>
      </c>
      <c r="DY98" s="19">
        <v>5.0</v>
      </c>
      <c r="DZ98" s="19">
        <v>0.0</v>
      </c>
      <c r="EA98" s="19">
        <v>5.0</v>
      </c>
      <c r="EB98" s="19">
        <v>0.0</v>
      </c>
      <c r="EC98" s="19">
        <v>20.0</v>
      </c>
      <c r="ED98" s="19" t="s">
        <v>2174</v>
      </c>
      <c r="EE98" s="24">
        <v>45526.0</v>
      </c>
      <c r="EF98" s="19" t="s">
        <v>2174</v>
      </c>
      <c r="EG98" s="19" t="s">
        <v>2145</v>
      </c>
      <c r="EH98" s="19" t="s">
        <v>2183</v>
      </c>
      <c r="EI98" s="22">
        <v>11.334375</v>
      </c>
      <c r="EJ98" s="19">
        <v>45.0</v>
      </c>
      <c r="EK98" s="19" t="s">
        <v>2113</v>
      </c>
      <c r="EL98" s="19" t="s">
        <v>2163</v>
      </c>
      <c r="EM98" s="19" t="s">
        <v>4053</v>
      </c>
      <c r="EN98" s="19" t="s">
        <v>304</v>
      </c>
      <c r="EO98" s="19" t="s">
        <v>2167</v>
      </c>
      <c r="EP98" s="19" t="s">
        <v>2122</v>
      </c>
      <c r="EQ98" s="19" t="s">
        <v>2176</v>
      </c>
      <c r="ER98" s="19"/>
      <c r="ES98" s="19" t="s">
        <v>304</v>
      </c>
      <c r="ET98" s="19" t="s">
        <v>304</v>
      </c>
      <c r="EU98" s="19" t="s">
        <v>4051</v>
      </c>
      <c r="EV98" s="19">
        <v>10256.0</v>
      </c>
      <c r="EW98" s="19" t="s">
        <v>16</v>
      </c>
      <c r="EX98" s="19">
        <v>5.0</v>
      </c>
      <c r="EY98" s="25" t="s">
        <v>303</v>
      </c>
      <c r="EZ98" s="19" t="s">
        <v>2154</v>
      </c>
      <c r="FA98" s="5" t="s">
        <v>4065</v>
      </c>
      <c r="FB98" s="26" t="s">
        <v>2156</v>
      </c>
      <c r="FC98" s="26"/>
    </row>
    <row r="99">
      <c r="A99" s="19" t="s">
        <v>17</v>
      </c>
      <c r="B99" s="19" t="s">
        <v>2113</v>
      </c>
      <c r="C99" s="19" t="s">
        <v>2113</v>
      </c>
      <c r="D99" s="19" t="s">
        <v>4066</v>
      </c>
      <c r="E99" s="19" t="s">
        <v>4067</v>
      </c>
      <c r="F99" s="19" t="s">
        <v>305</v>
      </c>
      <c r="G99" s="19" t="s">
        <v>4067</v>
      </c>
      <c r="H99" s="19" t="s">
        <v>305</v>
      </c>
      <c r="I99" s="19" t="s">
        <v>307</v>
      </c>
      <c r="J99" s="19" t="s">
        <v>4068</v>
      </c>
      <c r="K99" s="19" t="s">
        <v>4069</v>
      </c>
      <c r="L99" s="20">
        <v>45411.0</v>
      </c>
      <c r="M99" s="20">
        <v>45414.0</v>
      </c>
      <c r="N99" s="20">
        <v>45414.0</v>
      </c>
      <c r="O99" s="19" t="s">
        <v>306</v>
      </c>
      <c r="P99" s="19">
        <v>0.0</v>
      </c>
      <c r="Q99" s="19">
        <v>26.0</v>
      </c>
      <c r="R99" s="19">
        <v>9701.0</v>
      </c>
      <c r="S99" s="20" t="s">
        <v>4070</v>
      </c>
      <c r="T99" s="20">
        <v>45461.0</v>
      </c>
      <c r="U99" s="19" t="s">
        <v>305</v>
      </c>
      <c r="V99" s="19"/>
      <c r="W99" s="19"/>
      <c r="X99" s="21">
        <v>20.0</v>
      </c>
      <c r="Y99" s="21">
        <v>5.0</v>
      </c>
      <c r="Z99" s="21">
        <v>3.0</v>
      </c>
      <c r="AA99" s="21">
        <v>0.0</v>
      </c>
      <c r="AB99" s="5">
        <v>28.0</v>
      </c>
      <c r="AC99" s="19">
        <v>4.5</v>
      </c>
      <c r="AD99" s="19">
        <v>4.5</v>
      </c>
      <c r="AE99" s="19">
        <v>4.5</v>
      </c>
      <c r="AF99" s="19">
        <v>3.5</v>
      </c>
      <c r="AG99" s="19">
        <v>4.5</v>
      </c>
      <c r="AH99" s="19">
        <v>4.5</v>
      </c>
      <c r="AI99" s="22">
        <v>13.125</v>
      </c>
      <c r="AJ99" s="19">
        <v>15.0</v>
      </c>
      <c r="AK99" s="19">
        <v>15.0</v>
      </c>
      <c r="AL99" s="19">
        <v>15.0</v>
      </c>
      <c r="AM99" s="19">
        <v>45.0</v>
      </c>
      <c r="AN99" s="19">
        <v>58.1</v>
      </c>
      <c r="AO99" s="19">
        <v>86.1</v>
      </c>
      <c r="AP99" s="19">
        <v>229.0</v>
      </c>
      <c r="AQ99" s="23">
        <v>96.0</v>
      </c>
      <c r="AR99" s="23">
        <v>3.0</v>
      </c>
      <c r="AS99" s="22" t="s">
        <v>4071</v>
      </c>
      <c r="AT99" s="19" t="s">
        <v>2163</v>
      </c>
      <c r="AU99" s="19" t="s">
        <v>4072</v>
      </c>
      <c r="AV99" s="19" t="s">
        <v>4073</v>
      </c>
      <c r="AW99" s="19" t="s">
        <v>4074</v>
      </c>
      <c r="AX99" s="20">
        <v>35760.0</v>
      </c>
      <c r="AY99" s="19" t="s">
        <v>3826</v>
      </c>
      <c r="AZ99" s="19" t="s">
        <v>2122</v>
      </c>
      <c r="BA99" s="19" t="s">
        <v>4075</v>
      </c>
      <c r="BB99" s="19" t="s">
        <v>4076</v>
      </c>
      <c r="BC99" s="19" t="s">
        <v>4077</v>
      </c>
      <c r="BD99" s="19" t="s">
        <v>4078</v>
      </c>
      <c r="BE99" s="19" t="s">
        <v>4079</v>
      </c>
      <c r="BF99" s="19">
        <v>1.1985105301E10</v>
      </c>
      <c r="BG99" s="19" t="s">
        <v>3518</v>
      </c>
      <c r="BH99" s="19" t="s">
        <v>4080</v>
      </c>
      <c r="BI99" s="19"/>
      <c r="BJ99" s="19" t="s">
        <v>2128</v>
      </c>
      <c r="BK99" s="19" t="s">
        <v>17</v>
      </c>
      <c r="BL99" s="19"/>
      <c r="BM99" s="19" t="s">
        <v>2130</v>
      </c>
      <c r="BN99" s="19" t="s">
        <v>3445</v>
      </c>
      <c r="BO99" s="19" t="s">
        <v>2473</v>
      </c>
      <c r="BP99" s="19" t="s">
        <v>4081</v>
      </c>
      <c r="BQ99" s="19" t="s">
        <v>3832</v>
      </c>
      <c r="BR99" s="19" t="s">
        <v>3832</v>
      </c>
      <c r="BS99" s="19" t="s">
        <v>3521</v>
      </c>
      <c r="BT99" s="19" t="s">
        <v>268</v>
      </c>
      <c r="BU99" s="19" t="s">
        <v>3019</v>
      </c>
      <c r="BV99" s="19" t="s">
        <v>4082</v>
      </c>
      <c r="BW99" s="19"/>
      <c r="BX99" s="19"/>
      <c r="BY99" s="19" t="s">
        <v>2113</v>
      </c>
      <c r="BZ99" s="19"/>
      <c r="CA99" s="19"/>
      <c r="CB99" s="19" t="s">
        <v>2113</v>
      </c>
      <c r="CC99" s="19"/>
      <c r="CD99" s="19" t="s">
        <v>2137</v>
      </c>
      <c r="CE99" s="19" t="s">
        <v>16</v>
      </c>
      <c r="CF99" s="19"/>
      <c r="CG99" s="19"/>
      <c r="CH99" s="19" t="s">
        <v>16</v>
      </c>
      <c r="CI99" s="21">
        <v>0.0</v>
      </c>
      <c r="CJ99" s="19" t="s">
        <v>17</v>
      </c>
      <c r="CK99" s="19"/>
      <c r="CL99" s="19"/>
      <c r="CM99" s="19" t="s">
        <v>2138</v>
      </c>
      <c r="CN99" s="19" t="s">
        <v>3835</v>
      </c>
      <c r="CO99" s="19"/>
      <c r="CP99" s="19" t="s">
        <v>2246</v>
      </c>
      <c r="CQ99" s="19"/>
      <c r="CR99" s="19"/>
      <c r="CS99" s="19"/>
      <c r="CT99" s="19"/>
      <c r="CU99" s="19"/>
      <c r="CV99" s="19" t="s">
        <v>2179</v>
      </c>
      <c r="CW99" s="19" t="s">
        <v>2113</v>
      </c>
      <c r="CX99" s="19" t="s">
        <v>2113</v>
      </c>
      <c r="CY99" s="19" t="s">
        <v>2113</v>
      </c>
      <c r="CZ99" s="19" t="s">
        <v>2113</v>
      </c>
      <c r="DA99" s="19" t="s">
        <v>16</v>
      </c>
      <c r="DB99" s="19" t="s">
        <v>17</v>
      </c>
      <c r="DC99" s="19" t="s">
        <v>4083</v>
      </c>
      <c r="DD99" s="19" t="s">
        <v>2113</v>
      </c>
      <c r="DE99" s="19" t="s">
        <v>2113</v>
      </c>
      <c r="DF99" s="19" t="s">
        <v>2433</v>
      </c>
      <c r="DG99" s="19" t="s">
        <v>4084</v>
      </c>
      <c r="DH99" s="19" t="s">
        <v>2144</v>
      </c>
      <c r="DI99" s="24">
        <v>45519.0</v>
      </c>
      <c r="DJ99" s="19" t="s">
        <v>3257</v>
      </c>
      <c r="DK99" s="19" t="s">
        <v>2145</v>
      </c>
      <c r="DL99" s="19" t="s">
        <v>2207</v>
      </c>
      <c r="DM99" s="19" t="s">
        <v>4085</v>
      </c>
      <c r="DN99" s="19">
        <v>2.0</v>
      </c>
      <c r="DO99" s="19">
        <v>2.0</v>
      </c>
      <c r="DP99" s="19"/>
      <c r="DQ99" s="19"/>
      <c r="DR99" s="19"/>
      <c r="DS99" s="19" t="s">
        <v>2185</v>
      </c>
      <c r="DT99" s="19" t="s">
        <v>2301</v>
      </c>
      <c r="DU99" s="19" t="s">
        <v>4086</v>
      </c>
      <c r="DV99" s="19"/>
      <c r="DW99" s="19" t="s">
        <v>2153</v>
      </c>
      <c r="DX99" s="19">
        <v>2.0</v>
      </c>
      <c r="DY99" s="19">
        <v>5.0</v>
      </c>
      <c r="DZ99" s="19">
        <v>0.0</v>
      </c>
      <c r="EA99" s="19">
        <v>5.0</v>
      </c>
      <c r="EB99" s="19">
        <v>0.0</v>
      </c>
      <c r="EC99" s="19">
        <v>20.0</v>
      </c>
      <c r="ED99" s="19" t="s">
        <v>3257</v>
      </c>
      <c r="EE99" s="24">
        <v>45519.0</v>
      </c>
      <c r="EF99" s="19" t="s">
        <v>3257</v>
      </c>
      <c r="EG99" s="19" t="s">
        <v>2145</v>
      </c>
      <c r="EH99" s="19" t="s">
        <v>2207</v>
      </c>
      <c r="EI99" s="22">
        <v>13.125</v>
      </c>
      <c r="EJ99" s="19">
        <v>45.0</v>
      </c>
      <c r="EK99" s="19" t="s">
        <v>2113</v>
      </c>
      <c r="EL99" s="19" t="s">
        <v>2163</v>
      </c>
      <c r="EM99" s="19" t="s">
        <v>4072</v>
      </c>
      <c r="EN99" s="19" t="s">
        <v>307</v>
      </c>
      <c r="EO99" s="19" t="s">
        <v>3826</v>
      </c>
      <c r="EP99" s="19" t="s">
        <v>2122</v>
      </c>
      <c r="EQ99" s="19" t="s">
        <v>3835</v>
      </c>
      <c r="ER99" s="19"/>
      <c r="ES99" s="19" t="s">
        <v>307</v>
      </c>
      <c r="ET99" s="19" t="s">
        <v>307</v>
      </c>
      <c r="EU99" s="19" t="s">
        <v>4069</v>
      </c>
      <c r="EV99" s="19">
        <v>9701.0</v>
      </c>
      <c r="EW99" s="19" t="s">
        <v>16</v>
      </c>
      <c r="EX99" s="19">
        <v>3.0</v>
      </c>
      <c r="EY99" s="25" t="s">
        <v>306</v>
      </c>
      <c r="EZ99" s="19" t="s">
        <v>2154</v>
      </c>
      <c r="FA99" s="5" t="s">
        <v>4087</v>
      </c>
      <c r="FB99" s="26" t="s">
        <v>2156</v>
      </c>
      <c r="FC99" s="26"/>
    </row>
    <row r="100">
      <c r="A100" s="19" t="s">
        <v>2112</v>
      </c>
      <c r="B100" s="19" t="s">
        <v>2113</v>
      </c>
      <c r="C100" s="19" t="s">
        <v>2113</v>
      </c>
      <c r="D100" s="19" t="s">
        <v>308</v>
      </c>
      <c r="E100" s="19" t="s">
        <v>4088</v>
      </c>
      <c r="F100" s="19" t="s">
        <v>308</v>
      </c>
      <c r="G100" s="19"/>
      <c r="H100" s="19" t="s">
        <v>308</v>
      </c>
      <c r="I100" s="19" t="s">
        <v>167</v>
      </c>
      <c r="J100" s="19" t="s">
        <v>4089</v>
      </c>
      <c r="K100" s="19" t="s">
        <v>4090</v>
      </c>
      <c r="L100" s="20">
        <v>45398.0</v>
      </c>
      <c r="M100" s="20">
        <v>45411.0</v>
      </c>
      <c r="N100" s="20">
        <v>45411.0</v>
      </c>
      <c r="O100" s="19" t="s">
        <v>309</v>
      </c>
      <c r="P100" s="19">
        <v>0.0</v>
      </c>
      <c r="Q100" s="19">
        <v>29.0</v>
      </c>
      <c r="R100" s="19">
        <v>10697.0</v>
      </c>
      <c r="S100" s="20" t="s">
        <v>4091</v>
      </c>
      <c r="T100" s="20">
        <v>45461.0</v>
      </c>
      <c r="U100" s="19" t="s">
        <v>308</v>
      </c>
      <c r="V100" s="19"/>
      <c r="W100" s="19"/>
      <c r="X100" s="21">
        <v>20.0</v>
      </c>
      <c r="Y100" s="21">
        <v>10.0</v>
      </c>
      <c r="Z100" s="21">
        <v>3.0</v>
      </c>
      <c r="AA100" s="21">
        <v>3.0</v>
      </c>
      <c r="AB100" s="5">
        <v>36.0</v>
      </c>
      <c r="AC100" s="19">
        <v>5.0</v>
      </c>
      <c r="AD100" s="19">
        <v>5.0</v>
      </c>
      <c r="AE100" s="19">
        <v>5.0</v>
      </c>
      <c r="AF100" s="19">
        <v>5.0</v>
      </c>
      <c r="AG100" s="19">
        <v>5.0</v>
      </c>
      <c r="AH100" s="19">
        <v>5.0</v>
      </c>
      <c r="AI100" s="22">
        <v>15.0</v>
      </c>
      <c r="AJ100" s="19">
        <v>10.0</v>
      </c>
      <c r="AK100" s="19">
        <v>14.0</v>
      </c>
      <c r="AL100" s="19">
        <v>11.0</v>
      </c>
      <c r="AM100" s="19">
        <v>35.0</v>
      </c>
      <c r="AN100" s="19">
        <v>50.0</v>
      </c>
      <c r="AO100" s="19">
        <v>86.0</v>
      </c>
      <c r="AP100" s="19">
        <v>32.0</v>
      </c>
      <c r="AQ100" s="23">
        <v>97.0</v>
      </c>
      <c r="AR100" s="23">
        <v>17.0</v>
      </c>
      <c r="AS100" s="22"/>
      <c r="AT100" s="19" t="s">
        <v>2117</v>
      </c>
      <c r="AU100" s="19" t="s">
        <v>3095</v>
      </c>
      <c r="AV100" s="19" t="s">
        <v>4092</v>
      </c>
      <c r="AW100" s="19" t="s">
        <v>4093</v>
      </c>
      <c r="AX100" s="20">
        <v>34764.0</v>
      </c>
      <c r="AY100" s="19" t="s">
        <v>2467</v>
      </c>
      <c r="AZ100" s="19" t="s">
        <v>2122</v>
      </c>
      <c r="BA100" s="19" t="s">
        <v>4094</v>
      </c>
      <c r="BB100" s="19" t="s">
        <v>4095</v>
      </c>
      <c r="BC100" s="19" t="s">
        <v>4096</v>
      </c>
      <c r="BD100" s="19" t="s">
        <v>4097</v>
      </c>
      <c r="BE100" s="19" t="s">
        <v>4098</v>
      </c>
      <c r="BF100" s="19">
        <v>1.1971701835E10</v>
      </c>
      <c r="BG100" s="19" t="s">
        <v>2127</v>
      </c>
      <c r="BH100" s="19" t="s">
        <v>2128</v>
      </c>
      <c r="BI100" s="19"/>
      <c r="BJ100" s="19"/>
      <c r="BK100" s="19" t="s">
        <v>16</v>
      </c>
      <c r="BL100" s="19"/>
      <c r="BM100" s="19" t="s">
        <v>2130</v>
      </c>
      <c r="BN100" s="19" t="s">
        <v>4099</v>
      </c>
      <c r="BO100" s="19" t="s">
        <v>2473</v>
      </c>
      <c r="BP100" s="19"/>
      <c r="BQ100" s="19" t="s">
        <v>2133</v>
      </c>
      <c r="BR100" s="19" t="s">
        <v>2133</v>
      </c>
      <c r="BS100" s="19" t="s">
        <v>2134</v>
      </c>
      <c r="BT100" s="19" t="s">
        <v>38</v>
      </c>
      <c r="BU100" s="19" t="s">
        <v>4099</v>
      </c>
      <c r="BV100" s="19" t="s">
        <v>4100</v>
      </c>
      <c r="BW100" s="19"/>
      <c r="BX100" s="19"/>
      <c r="BY100" s="19"/>
      <c r="BZ100" s="19" t="s">
        <v>2113</v>
      </c>
      <c r="CA100" s="19" t="s">
        <v>2113</v>
      </c>
      <c r="CB100" s="19" t="s">
        <v>2113</v>
      </c>
      <c r="CC100" s="19"/>
      <c r="CD100" s="19" t="s">
        <v>2137</v>
      </c>
      <c r="CE100" s="19" t="s">
        <v>16</v>
      </c>
      <c r="CF100" s="19"/>
      <c r="CG100" s="19"/>
      <c r="CH100" s="19" t="s">
        <v>17</v>
      </c>
      <c r="CI100" s="21">
        <v>3.0</v>
      </c>
      <c r="CJ100" s="19" t="s">
        <v>17</v>
      </c>
      <c r="CK100" s="19"/>
      <c r="CL100" s="19"/>
      <c r="CM100" s="19"/>
      <c r="CN100" s="19" t="s">
        <v>2475</v>
      </c>
      <c r="CO100" s="19"/>
      <c r="CP100" s="19"/>
      <c r="CQ100" s="19"/>
      <c r="CR100" s="19"/>
      <c r="CS100" s="19"/>
      <c r="CT100" s="19" t="s">
        <v>2113</v>
      </c>
      <c r="CU100" s="19" t="s">
        <v>2113</v>
      </c>
      <c r="CV100" s="19" t="s">
        <v>2141</v>
      </c>
      <c r="CW100" s="19" t="s">
        <v>2113</v>
      </c>
      <c r="CX100" s="19" t="s">
        <v>2113</v>
      </c>
      <c r="CY100" s="19" t="s">
        <v>2113</v>
      </c>
      <c r="CZ100" s="19" t="s">
        <v>2113</v>
      </c>
      <c r="DA100" s="19" t="s">
        <v>16</v>
      </c>
      <c r="DB100" s="19" t="s">
        <v>17</v>
      </c>
      <c r="DC100" s="19" t="s">
        <v>2477</v>
      </c>
      <c r="DD100" s="19" t="s">
        <v>2113</v>
      </c>
      <c r="DE100" s="19" t="s">
        <v>2113</v>
      </c>
      <c r="DF100" s="19" t="s">
        <v>2143</v>
      </c>
      <c r="DG100" s="19" t="s">
        <v>2142</v>
      </c>
      <c r="DH100" s="19" t="s">
        <v>2144</v>
      </c>
      <c r="DI100" s="24">
        <v>45532.0</v>
      </c>
      <c r="DJ100" s="19" t="s">
        <v>2133</v>
      </c>
      <c r="DK100" s="19" t="s">
        <v>2145</v>
      </c>
      <c r="DL100" s="19" t="s">
        <v>2146</v>
      </c>
      <c r="DM100" s="19" t="s">
        <v>4101</v>
      </c>
      <c r="DN100" s="19">
        <v>15.0</v>
      </c>
      <c r="DO100" s="19">
        <v>15.0</v>
      </c>
      <c r="DP100" s="19" t="s">
        <v>4102</v>
      </c>
      <c r="DQ100" s="19" t="s">
        <v>4103</v>
      </c>
      <c r="DR100" s="19" t="s">
        <v>4104</v>
      </c>
      <c r="DS100" s="19" t="s">
        <v>2151</v>
      </c>
      <c r="DT100" s="19" t="s">
        <v>2366</v>
      </c>
      <c r="DU100" s="19"/>
      <c r="DV100" s="19"/>
      <c r="DW100" s="19" t="s">
        <v>2153</v>
      </c>
      <c r="DX100" s="19">
        <v>12.0</v>
      </c>
      <c r="DY100" s="19">
        <v>10.0</v>
      </c>
      <c r="DZ100" s="19">
        <v>0.0</v>
      </c>
      <c r="EA100" s="19">
        <v>10.0</v>
      </c>
      <c r="EB100" s="19">
        <v>3.0</v>
      </c>
      <c r="EC100" s="19">
        <v>20.0</v>
      </c>
      <c r="ED100" s="19" t="s">
        <v>2133</v>
      </c>
      <c r="EE100" s="24">
        <v>45532.0</v>
      </c>
      <c r="EF100" s="19" t="s">
        <v>2133</v>
      </c>
      <c r="EG100" s="19" t="s">
        <v>2145</v>
      </c>
      <c r="EH100" s="19" t="s">
        <v>2146</v>
      </c>
      <c r="EI100" s="22">
        <v>15.0</v>
      </c>
      <c r="EJ100" s="19">
        <v>35.0</v>
      </c>
      <c r="EK100" s="19" t="s">
        <v>2113</v>
      </c>
      <c r="EL100" s="19" t="s">
        <v>2117</v>
      </c>
      <c r="EM100" s="19" t="s">
        <v>3095</v>
      </c>
      <c r="EN100" s="19" t="s">
        <v>167</v>
      </c>
      <c r="EO100" s="19" t="s">
        <v>2467</v>
      </c>
      <c r="EP100" s="19" t="s">
        <v>2122</v>
      </c>
      <c r="EQ100" s="19" t="s">
        <v>2475</v>
      </c>
      <c r="ER100" s="19"/>
      <c r="ES100" s="19" t="s">
        <v>167</v>
      </c>
      <c r="ET100" s="19" t="s">
        <v>167</v>
      </c>
      <c r="EU100" s="19" t="s">
        <v>4090</v>
      </c>
      <c r="EV100" s="19">
        <v>10697.0</v>
      </c>
      <c r="EW100" s="19" t="s">
        <v>16</v>
      </c>
      <c r="EX100" s="19">
        <v>3.0</v>
      </c>
      <c r="EY100" s="25" t="s">
        <v>309</v>
      </c>
      <c r="EZ100" s="19" t="s">
        <v>2154</v>
      </c>
      <c r="FA100" s="5" t="s">
        <v>4105</v>
      </c>
      <c r="FB100" s="26" t="s">
        <v>2156</v>
      </c>
      <c r="FC100" s="26"/>
    </row>
    <row r="101">
      <c r="A101" s="19" t="s">
        <v>2112</v>
      </c>
      <c r="B101" s="19" t="s">
        <v>2113</v>
      </c>
      <c r="C101" s="19" t="s">
        <v>2113</v>
      </c>
      <c r="D101" s="19" t="s">
        <v>310</v>
      </c>
      <c r="E101" s="19" t="s">
        <v>4106</v>
      </c>
      <c r="F101" s="19" t="s">
        <v>310</v>
      </c>
      <c r="G101" s="19"/>
      <c r="H101" s="19" t="s">
        <v>310</v>
      </c>
      <c r="I101" s="19" t="s">
        <v>312</v>
      </c>
      <c r="J101" s="19" t="s">
        <v>4107</v>
      </c>
      <c r="K101" s="19" t="s">
        <v>4108</v>
      </c>
      <c r="L101" s="20">
        <v>45444.0</v>
      </c>
      <c r="M101" s="20">
        <v>45446.0</v>
      </c>
      <c r="N101" s="20">
        <v>45446.0</v>
      </c>
      <c r="O101" s="19" t="s">
        <v>311</v>
      </c>
      <c r="P101" s="19">
        <v>0.0</v>
      </c>
      <c r="Q101" s="19">
        <v>21.0</v>
      </c>
      <c r="R101" s="19">
        <v>7735.0</v>
      </c>
      <c r="S101" s="20" t="s">
        <v>4109</v>
      </c>
      <c r="T101" s="20">
        <v>45461.0</v>
      </c>
      <c r="U101" s="19" t="s">
        <v>310</v>
      </c>
      <c r="V101" s="19"/>
      <c r="W101" s="19" t="s">
        <v>4110</v>
      </c>
      <c r="X101" s="21">
        <v>20.0</v>
      </c>
      <c r="Y101" s="21">
        <v>10.0</v>
      </c>
      <c r="Z101" s="21">
        <v>2.0</v>
      </c>
      <c r="AA101" s="21">
        <v>0.0</v>
      </c>
      <c r="AB101" s="5">
        <v>32.0</v>
      </c>
      <c r="AC101" s="19">
        <v>4.0</v>
      </c>
      <c r="AD101" s="19">
        <v>4.0</v>
      </c>
      <c r="AE101" s="19">
        <v>4.0</v>
      </c>
      <c r="AF101" s="19">
        <v>4.0</v>
      </c>
      <c r="AG101" s="19">
        <v>4.0</v>
      </c>
      <c r="AH101" s="19">
        <v>4.0</v>
      </c>
      <c r="AI101" s="22">
        <v>12.0</v>
      </c>
      <c r="AJ101" s="19">
        <v>15.0</v>
      </c>
      <c r="AK101" s="19">
        <v>15.0</v>
      </c>
      <c r="AL101" s="19">
        <v>12.0</v>
      </c>
      <c r="AM101" s="19">
        <v>42.0</v>
      </c>
      <c r="AN101" s="19">
        <v>54.0</v>
      </c>
      <c r="AO101" s="19">
        <v>86.0</v>
      </c>
      <c r="AP101" s="19">
        <v>192.0</v>
      </c>
      <c r="AQ101" s="23">
        <v>98.0</v>
      </c>
      <c r="AR101" s="23">
        <v>12.0</v>
      </c>
      <c r="AS101" s="22"/>
      <c r="AT101" s="19" t="s">
        <v>2282</v>
      </c>
      <c r="AU101" s="19" t="s">
        <v>4111</v>
      </c>
      <c r="AV101" s="19" t="s">
        <v>4112</v>
      </c>
      <c r="AW101" s="19" t="s">
        <v>4113</v>
      </c>
      <c r="AX101" s="20">
        <v>37726.0</v>
      </c>
      <c r="AY101" s="19" t="s">
        <v>3193</v>
      </c>
      <c r="AZ101" s="19" t="s">
        <v>2310</v>
      </c>
      <c r="BA101" s="19" t="s">
        <v>4114</v>
      </c>
      <c r="BB101" s="19" t="s">
        <v>2132</v>
      </c>
      <c r="BC101" s="19" t="s">
        <v>4115</v>
      </c>
      <c r="BD101" s="19" t="s">
        <v>4116</v>
      </c>
      <c r="BE101" s="19" t="s">
        <v>4117</v>
      </c>
      <c r="BF101" s="19">
        <v>1.1942877631E10</v>
      </c>
      <c r="BG101" s="19" t="s">
        <v>2127</v>
      </c>
      <c r="BH101" s="19" t="s">
        <v>2128</v>
      </c>
      <c r="BI101" s="19"/>
      <c r="BJ101" s="19"/>
      <c r="BK101" s="19" t="s">
        <v>16</v>
      </c>
      <c r="BL101" s="19" t="s">
        <v>2113</v>
      </c>
      <c r="BM101" s="19" t="s">
        <v>2130</v>
      </c>
      <c r="BN101" s="19" t="s">
        <v>2401</v>
      </c>
      <c r="BO101" s="19" t="s">
        <v>3199</v>
      </c>
      <c r="BP101" s="19" t="s">
        <v>4118</v>
      </c>
      <c r="BQ101" s="19" t="s">
        <v>2133</v>
      </c>
      <c r="BR101" s="19" t="s">
        <v>2133</v>
      </c>
      <c r="BS101" s="19" t="s">
        <v>2134</v>
      </c>
      <c r="BT101" s="19" t="s">
        <v>15</v>
      </c>
      <c r="BU101" s="19" t="s">
        <v>3780</v>
      </c>
      <c r="BV101" s="19" t="s">
        <v>4119</v>
      </c>
      <c r="BW101" s="19"/>
      <c r="BX101" s="19" t="s">
        <v>2113</v>
      </c>
      <c r="BY101" s="19"/>
      <c r="BZ101" s="19" t="s">
        <v>2113</v>
      </c>
      <c r="CA101" s="19" t="s">
        <v>2113</v>
      </c>
      <c r="CB101" s="19" t="s">
        <v>2113</v>
      </c>
      <c r="CC101" s="19"/>
      <c r="CD101" s="19" t="s">
        <v>2137</v>
      </c>
      <c r="CE101" s="19" t="s">
        <v>16</v>
      </c>
      <c r="CF101" s="19"/>
      <c r="CG101" s="19"/>
      <c r="CH101" s="19" t="s">
        <v>16</v>
      </c>
      <c r="CI101" s="21">
        <v>0.0</v>
      </c>
      <c r="CJ101" s="19" t="s">
        <v>16</v>
      </c>
      <c r="CK101" s="19"/>
      <c r="CL101" s="19"/>
      <c r="CM101" s="19" t="s">
        <v>2926</v>
      </c>
      <c r="CN101" s="19" t="s">
        <v>3202</v>
      </c>
      <c r="CO101" s="19"/>
      <c r="CP101" s="19" t="s">
        <v>2178</v>
      </c>
      <c r="CQ101" s="19"/>
      <c r="CR101" s="19" t="s">
        <v>2113</v>
      </c>
      <c r="CS101" s="19" t="s">
        <v>2113</v>
      </c>
      <c r="CT101" s="19" t="s">
        <v>2113</v>
      </c>
      <c r="CU101" s="19" t="s">
        <v>2113</v>
      </c>
      <c r="CV101" s="19" t="s">
        <v>2179</v>
      </c>
      <c r="CW101" s="19" t="s">
        <v>2113</v>
      </c>
      <c r="CX101" s="19" t="s">
        <v>2113</v>
      </c>
      <c r="CY101" s="19" t="s">
        <v>2113</v>
      </c>
      <c r="CZ101" s="19" t="s">
        <v>2113</v>
      </c>
      <c r="DA101" s="19" t="s">
        <v>16</v>
      </c>
      <c r="DB101" s="19" t="s">
        <v>16</v>
      </c>
      <c r="DC101" s="19" t="s">
        <v>2826</v>
      </c>
      <c r="DD101" s="19" t="s">
        <v>2113</v>
      </c>
      <c r="DE101" s="19" t="s">
        <v>2113</v>
      </c>
      <c r="DF101" s="19" t="s">
        <v>4120</v>
      </c>
      <c r="DG101" s="19" t="s">
        <v>3782</v>
      </c>
      <c r="DH101" s="19" t="s">
        <v>2144</v>
      </c>
      <c r="DI101" s="24">
        <v>45531.0</v>
      </c>
      <c r="DJ101" s="19" t="s">
        <v>2133</v>
      </c>
      <c r="DK101" s="19" t="s">
        <v>2145</v>
      </c>
      <c r="DL101" s="19" t="s">
        <v>2146</v>
      </c>
      <c r="DM101" s="19" t="s">
        <v>3183</v>
      </c>
      <c r="DN101" s="19">
        <v>13.0</v>
      </c>
      <c r="DO101" s="19">
        <v>13.0</v>
      </c>
      <c r="DP101" s="19"/>
      <c r="DQ101" s="19"/>
      <c r="DR101" s="19"/>
      <c r="DS101" s="19" t="s">
        <v>2365</v>
      </c>
      <c r="DT101" s="19" t="s">
        <v>2209</v>
      </c>
      <c r="DU101" s="19" t="s">
        <v>4121</v>
      </c>
      <c r="DV101" s="19"/>
      <c r="DW101" s="19" t="s">
        <v>2479</v>
      </c>
      <c r="DX101" s="19">
        <v>11.0</v>
      </c>
      <c r="DY101" s="19">
        <v>10.0</v>
      </c>
      <c r="DZ101" s="19">
        <v>0.0</v>
      </c>
      <c r="EA101" s="19">
        <v>10.0</v>
      </c>
      <c r="EB101" s="19">
        <v>0.0</v>
      </c>
      <c r="EC101" s="19">
        <v>20.0</v>
      </c>
      <c r="ED101" s="19" t="s">
        <v>2133</v>
      </c>
      <c r="EE101" s="24">
        <v>45531.0</v>
      </c>
      <c r="EF101" s="19" t="s">
        <v>2133</v>
      </c>
      <c r="EG101" s="19" t="s">
        <v>2145</v>
      </c>
      <c r="EH101" s="19" t="s">
        <v>2146</v>
      </c>
      <c r="EI101" s="22">
        <v>12.0</v>
      </c>
      <c r="EJ101" s="19">
        <v>42.0</v>
      </c>
      <c r="EK101" s="19"/>
      <c r="EL101" s="19" t="s">
        <v>2282</v>
      </c>
      <c r="EM101" s="19" t="s">
        <v>4111</v>
      </c>
      <c r="EN101" s="19" t="s">
        <v>312</v>
      </c>
      <c r="EO101" s="19" t="s">
        <v>3193</v>
      </c>
      <c r="EP101" s="19" t="s">
        <v>2310</v>
      </c>
      <c r="EQ101" s="19" t="s">
        <v>3202</v>
      </c>
      <c r="ER101" s="19"/>
      <c r="ES101" s="19" t="s">
        <v>312</v>
      </c>
      <c r="ET101" s="19" t="s">
        <v>312</v>
      </c>
      <c r="EU101" s="19" t="s">
        <v>4108</v>
      </c>
      <c r="EV101" s="19">
        <v>7735.0</v>
      </c>
      <c r="EW101" s="19" t="s">
        <v>16</v>
      </c>
      <c r="EX101" s="19">
        <v>2.0</v>
      </c>
      <c r="EY101" s="25" t="s">
        <v>311</v>
      </c>
      <c r="EZ101" s="19" t="s">
        <v>2154</v>
      </c>
      <c r="FA101" s="5" t="s">
        <v>4122</v>
      </c>
      <c r="FB101" s="26" t="s">
        <v>2156</v>
      </c>
      <c r="FC101" s="26"/>
    </row>
    <row r="102">
      <c r="A102" s="19" t="s">
        <v>2156</v>
      </c>
      <c r="B102" s="19" t="s">
        <v>2113</v>
      </c>
      <c r="C102" s="19" t="s">
        <v>2113</v>
      </c>
      <c r="D102" s="19" t="s">
        <v>313</v>
      </c>
      <c r="E102" s="19" t="s">
        <v>4123</v>
      </c>
      <c r="F102" s="19" t="s">
        <v>313</v>
      </c>
      <c r="G102" s="19"/>
      <c r="H102" s="19" t="s">
        <v>313</v>
      </c>
      <c r="I102" s="19" t="s">
        <v>314</v>
      </c>
      <c r="J102" s="19" t="s">
        <v>4124</v>
      </c>
      <c r="K102" s="19" t="s">
        <v>4125</v>
      </c>
      <c r="L102" s="20">
        <v>45460.0</v>
      </c>
      <c r="M102" s="20">
        <v>45462.0</v>
      </c>
      <c r="N102" s="20">
        <v>45462.0</v>
      </c>
      <c r="O102" s="19">
        <v>3.2915871E7</v>
      </c>
      <c r="P102" s="19">
        <v>0.0</v>
      </c>
      <c r="Q102" s="19">
        <v>28.0</v>
      </c>
      <c r="R102" s="19">
        <v>10309.0</v>
      </c>
      <c r="S102" s="20" t="s">
        <v>4126</v>
      </c>
      <c r="T102" s="20">
        <v>45461.0</v>
      </c>
      <c r="U102" s="19" t="s">
        <v>313</v>
      </c>
      <c r="V102" s="19"/>
      <c r="W102" s="19" t="s">
        <v>4127</v>
      </c>
      <c r="X102" s="21">
        <v>20.0</v>
      </c>
      <c r="Y102" s="21">
        <v>10.0</v>
      </c>
      <c r="Z102" s="21">
        <v>5.0</v>
      </c>
      <c r="AA102" s="21">
        <v>0.0</v>
      </c>
      <c r="AB102" s="5">
        <v>35.0</v>
      </c>
      <c r="AC102" s="19">
        <v>4.0</v>
      </c>
      <c r="AD102" s="19">
        <v>3.0</v>
      </c>
      <c r="AE102" s="19">
        <v>4.0</v>
      </c>
      <c r="AF102" s="19">
        <v>3.0</v>
      </c>
      <c r="AG102" s="19">
        <v>3.0</v>
      </c>
      <c r="AH102" s="19">
        <v>4.0</v>
      </c>
      <c r="AI102" s="22">
        <v>10.59375</v>
      </c>
      <c r="AJ102" s="19">
        <v>12.0</v>
      </c>
      <c r="AK102" s="19">
        <v>13.0</v>
      </c>
      <c r="AL102" s="19">
        <v>15.0</v>
      </c>
      <c r="AM102" s="19">
        <v>40.0</v>
      </c>
      <c r="AN102" s="19">
        <v>50.6</v>
      </c>
      <c r="AO102" s="19">
        <v>85.6</v>
      </c>
      <c r="AP102" s="19">
        <v>47.0</v>
      </c>
      <c r="AQ102" s="23">
        <v>99.0</v>
      </c>
      <c r="AR102" s="23">
        <v>18.0</v>
      </c>
      <c r="AS102" s="22"/>
      <c r="AT102" s="19" t="s">
        <v>2163</v>
      </c>
      <c r="AU102" s="19" t="s">
        <v>2592</v>
      </c>
      <c r="AV102" s="19" t="s">
        <v>4128</v>
      </c>
      <c r="AW102" s="19"/>
      <c r="AX102" s="20">
        <v>35152.0</v>
      </c>
      <c r="AY102" s="19" t="s">
        <v>2595</v>
      </c>
      <c r="AZ102" s="19" t="s">
        <v>2122</v>
      </c>
      <c r="BA102" s="19" t="s">
        <v>4129</v>
      </c>
      <c r="BB102" s="19">
        <v>75.0</v>
      </c>
      <c r="BC102" s="19" t="s">
        <v>4130</v>
      </c>
      <c r="BD102" s="19" t="s">
        <v>4131</v>
      </c>
      <c r="BE102" s="19"/>
      <c r="BF102" s="19"/>
      <c r="BG102" s="19" t="s">
        <v>2127</v>
      </c>
      <c r="BH102" s="19" t="s">
        <v>2128</v>
      </c>
      <c r="BI102" s="19"/>
      <c r="BJ102" s="19" t="s">
        <v>2128</v>
      </c>
      <c r="BK102" s="19" t="s">
        <v>17</v>
      </c>
      <c r="BL102" s="19" t="s">
        <v>2113</v>
      </c>
      <c r="BM102" s="19" t="s">
        <v>2130</v>
      </c>
      <c r="BN102" s="19" t="s">
        <v>17</v>
      </c>
      <c r="BO102" s="19">
        <v>5.0</v>
      </c>
      <c r="BP102" s="19" t="s">
        <v>4132</v>
      </c>
      <c r="BQ102" s="19" t="s">
        <v>2133</v>
      </c>
      <c r="BR102" s="19" t="s">
        <v>2133</v>
      </c>
      <c r="BS102" s="19" t="s">
        <v>2134</v>
      </c>
      <c r="BT102" s="19" t="s">
        <v>38</v>
      </c>
      <c r="BU102" s="19" t="s">
        <v>4133</v>
      </c>
      <c r="BV102" s="19">
        <v>2.0789403336E10</v>
      </c>
      <c r="BW102" s="19"/>
      <c r="BX102" s="19"/>
      <c r="BY102" s="19" t="s">
        <v>2113</v>
      </c>
      <c r="BZ102" s="19" t="s">
        <v>2113</v>
      </c>
      <c r="CA102" s="19" t="s">
        <v>2113</v>
      </c>
      <c r="CB102" s="19" t="s">
        <v>2113</v>
      </c>
      <c r="CC102" s="19"/>
      <c r="CD102" s="19" t="s">
        <v>2137</v>
      </c>
      <c r="CE102" s="19" t="s">
        <v>16</v>
      </c>
      <c r="CF102" s="19"/>
      <c r="CG102" s="19"/>
      <c r="CH102" s="19" t="s">
        <v>16</v>
      </c>
      <c r="CI102" s="21">
        <v>0.0</v>
      </c>
      <c r="CJ102" s="19" t="s">
        <v>17</v>
      </c>
      <c r="CK102" s="19"/>
      <c r="CL102" s="19"/>
      <c r="CM102" s="19" t="s">
        <v>2138</v>
      </c>
      <c r="CN102" s="19" t="s">
        <v>2294</v>
      </c>
      <c r="CO102" s="19"/>
      <c r="CP102" s="19" t="s">
        <v>2178</v>
      </c>
      <c r="CQ102" s="19" t="s">
        <v>2113</v>
      </c>
      <c r="CR102" s="19" t="s">
        <v>2113</v>
      </c>
      <c r="CS102" s="19" t="s">
        <v>2113</v>
      </c>
      <c r="CT102" s="19" t="s">
        <v>2113</v>
      </c>
      <c r="CU102" s="19" t="s">
        <v>2113</v>
      </c>
      <c r="CV102" s="19" t="s">
        <v>2141</v>
      </c>
      <c r="CW102" s="19" t="s">
        <v>2113</v>
      </c>
      <c r="CX102" s="19" t="s">
        <v>2113</v>
      </c>
      <c r="CY102" s="19" t="s">
        <v>2113</v>
      </c>
      <c r="CZ102" s="19" t="s">
        <v>2113</v>
      </c>
      <c r="DA102" s="19" t="s">
        <v>16</v>
      </c>
      <c r="DB102" s="19" t="s">
        <v>17</v>
      </c>
      <c r="DC102" s="19" t="s">
        <v>2578</v>
      </c>
      <c r="DD102" s="19" t="s">
        <v>2113</v>
      </c>
      <c r="DE102" s="19" t="s">
        <v>2113</v>
      </c>
      <c r="DF102" s="19" t="s">
        <v>3163</v>
      </c>
      <c r="DG102" s="19" t="s">
        <v>2207</v>
      </c>
      <c r="DH102" s="19" t="s">
        <v>2144</v>
      </c>
      <c r="DI102" s="24">
        <v>45517.0</v>
      </c>
      <c r="DJ102" s="19" t="s">
        <v>2133</v>
      </c>
      <c r="DK102" s="19" t="s">
        <v>2145</v>
      </c>
      <c r="DL102" s="19" t="s">
        <v>2146</v>
      </c>
      <c r="DM102" s="19" t="s">
        <v>3021</v>
      </c>
      <c r="DN102" s="19">
        <v>1.0</v>
      </c>
      <c r="DO102" s="19">
        <v>1.0</v>
      </c>
      <c r="DP102" s="19" t="s">
        <v>4134</v>
      </c>
      <c r="DQ102" s="19" t="s">
        <v>4135</v>
      </c>
      <c r="DR102" s="19" t="s">
        <v>4136</v>
      </c>
      <c r="DS102" s="19" t="s">
        <v>2185</v>
      </c>
      <c r="DT102" s="19" t="s">
        <v>2366</v>
      </c>
      <c r="DU102" s="19"/>
      <c r="DV102" s="19"/>
      <c r="DW102" s="19" t="s">
        <v>2153</v>
      </c>
      <c r="DX102" s="19">
        <v>1.0</v>
      </c>
      <c r="DY102" s="19">
        <v>10.0</v>
      </c>
      <c r="DZ102" s="19">
        <v>0.0</v>
      </c>
      <c r="EA102" s="19">
        <v>10.0</v>
      </c>
      <c r="EB102" s="19">
        <v>0.0</v>
      </c>
      <c r="EC102" s="19">
        <v>20.0</v>
      </c>
      <c r="ED102" s="19" t="s">
        <v>2133</v>
      </c>
      <c r="EE102" s="24">
        <v>45517.0</v>
      </c>
      <c r="EF102" s="19" t="s">
        <v>2133</v>
      </c>
      <c r="EG102" s="19" t="s">
        <v>2145</v>
      </c>
      <c r="EH102" s="19" t="s">
        <v>2146</v>
      </c>
      <c r="EI102" s="22">
        <v>10.59375</v>
      </c>
      <c r="EJ102" s="19">
        <v>40.0</v>
      </c>
      <c r="EK102" s="19" t="s">
        <v>2113</v>
      </c>
      <c r="EL102" s="19" t="s">
        <v>2163</v>
      </c>
      <c r="EM102" s="19" t="s">
        <v>2592</v>
      </c>
      <c r="EN102" s="19" t="s">
        <v>314</v>
      </c>
      <c r="EO102" s="19" t="s">
        <v>2595</v>
      </c>
      <c r="EP102" s="19" t="s">
        <v>2122</v>
      </c>
      <c r="EQ102" s="19" t="s">
        <v>2294</v>
      </c>
      <c r="ER102" s="19"/>
      <c r="ES102" s="19" t="s">
        <v>314</v>
      </c>
      <c r="ET102" s="19" t="s">
        <v>314</v>
      </c>
      <c r="EU102" s="19" t="s">
        <v>4125</v>
      </c>
      <c r="EV102" s="19">
        <v>10309.0</v>
      </c>
      <c r="EW102" s="19" t="s">
        <v>16</v>
      </c>
      <c r="EX102" s="19">
        <v>5.0</v>
      </c>
      <c r="EY102" s="25" t="s">
        <v>4137</v>
      </c>
      <c r="EZ102" s="19" t="s">
        <v>2154</v>
      </c>
      <c r="FA102" s="5" t="s">
        <v>4138</v>
      </c>
      <c r="FB102" s="26" t="s">
        <v>2156</v>
      </c>
      <c r="FC102" s="26"/>
    </row>
    <row r="103">
      <c r="A103" s="19" t="s">
        <v>2112</v>
      </c>
      <c r="B103" s="19" t="s">
        <v>2113</v>
      </c>
      <c r="C103" s="19" t="s">
        <v>2113</v>
      </c>
      <c r="D103" s="19" t="s">
        <v>315</v>
      </c>
      <c r="E103" s="19" t="s">
        <v>4139</v>
      </c>
      <c r="F103" s="19" t="s">
        <v>4140</v>
      </c>
      <c r="G103" s="19" t="s">
        <v>4141</v>
      </c>
      <c r="H103" s="19" t="s">
        <v>315</v>
      </c>
      <c r="I103" s="19" t="s">
        <v>317</v>
      </c>
      <c r="J103" s="19" t="s">
        <v>4142</v>
      </c>
      <c r="K103" s="19" t="s">
        <v>4143</v>
      </c>
      <c r="L103" s="20">
        <v>45445.0</v>
      </c>
      <c r="M103" s="20">
        <v>45446.0</v>
      </c>
      <c r="N103" s="20">
        <v>45446.0</v>
      </c>
      <c r="O103" s="19" t="s">
        <v>316</v>
      </c>
      <c r="P103" s="19">
        <v>0.0</v>
      </c>
      <c r="Q103" s="19">
        <v>20.0</v>
      </c>
      <c r="R103" s="19">
        <v>7656.0</v>
      </c>
      <c r="S103" s="20" t="s">
        <v>4144</v>
      </c>
      <c r="T103" s="20">
        <v>45461.0</v>
      </c>
      <c r="U103" s="19" t="s">
        <v>4140</v>
      </c>
      <c r="V103" s="19"/>
      <c r="W103" s="19" t="s">
        <v>4145</v>
      </c>
      <c r="X103" s="21">
        <v>20.0</v>
      </c>
      <c r="Y103" s="21">
        <v>5.0</v>
      </c>
      <c r="Z103" s="21">
        <v>5.0</v>
      </c>
      <c r="AA103" s="21">
        <v>0.0</v>
      </c>
      <c r="AB103" s="5">
        <v>30.0</v>
      </c>
      <c r="AC103" s="19">
        <v>3.3</v>
      </c>
      <c r="AD103" s="19">
        <v>3.6</v>
      </c>
      <c r="AE103" s="19">
        <v>3.6</v>
      </c>
      <c r="AF103" s="19">
        <v>3.6</v>
      </c>
      <c r="AG103" s="19">
        <v>3.0</v>
      </c>
      <c r="AH103" s="19">
        <v>4.0</v>
      </c>
      <c r="AI103" s="22">
        <v>10.584375</v>
      </c>
      <c r="AJ103" s="19">
        <v>15.0</v>
      </c>
      <c r="AK103" s="19">
        <v>15.0</v>
      </c>
      <c r="AL103" s="19">
        <v>15.0</v>
      </c>
      <c r="AM103" s="19">
        <v>45.0</v>
      </c>
      <c r="AN103" s="19">
        <v>55.6</v>
      </c>
      <c r="AO103" s="19">
        <v>85.6</v>
      </c>
      <c r="AP103" s="19">
        <v>222.0</v>
      </c>
      <c r="AQ103" s="23">
        <v>100.0</v>
      </c>
      <c r="AR103" s="23">
        <v>6.0</v>
      </c>
      <c r="AS103" s="22"/>
      <c r="AT103" s="19" t="s">
        <v>2163</v>
      </c>
      <c r="AU103" s="19" t="s">
        <v>4146</v>
      </c>
      <c r="AV103" s="19" t="s">
        <v>4147</v>
      </c>
      <c r="AW103" s="19" t="s">
        <v>2166</v>
      </c>
      <c r="AX103" s="20">
        <v>37805.0</v>
      </c>
      <c r="AY103" s="19" t="s">
        <v>2529</v>
      </c>
      <c r="AZ103" s="19" t="s">
        <v>2122</v>
      </c>
      <c r="BA103" s="19" t="s">
        <v>4148</v>
      </c>
      <c r="BB103" s="19" t="s">
        <v>4149</v>
      </c>
      <c r="BC103" s="19" t="s">
        <v>4150</v>
      </c>
      <c r="BD103" s="19" t="s">
        <v>4151</v>
      </c>
      <c r="BE103" s="19" t="s">
        <v>4142</v>
      </c>
      <c r="BF103" s="19">
        <v>1.1937643745E10</v>
      </c>
      <c r="BG103" s="19" t="s">
        <v>3518</v>
      </c>
      <c r="BH103" s="19" t="s">
        <v>2128</v>
      </c>
      <c r="BI103" s="19"/>
      <c r="BJ103" s="19" t="s">
        <v>2427</v>
      </c>
      <c r="BK103" s="19" t="s">
        <v>17</v>
      </c>
      <c r="BL103" s="19"/>
      <c r="BM103" s="19" t="s">
        <v>2130</v>
      </c>
      <c r="BN103" s="19" t="s">
        <v>17</v>
      </c>
      <c r="BO103" s="19" t="s">
        <v>2132</v>
      </c>
      <c r="BP103" s="19" t="s">
        <v>4152</v>
      </c>
      <c r="BQ103" s="19" t="s">
        <v>2174</v>
      </c>
      <c r="BR103" s="19" t="s">
        <v>2174</v>
      </c>
      <c r="BS103" s="19" t="s">
        <v>2134</v>
      </c>
      <c r="BT103" s="19" t="s">
        <v>75</v>
      </c>
      <c r="BU103" s="19" t="s">
        <v>4153</v>
      </c>
      <c r="BV103" s="19" t="s">
        <v>4154</v>
      </c>
      <c r="BW103" s="19" t="s">
        <v>2113</v>
      </c>
      <c r="BX103" s="19"/>
      <c r="BY103" s="19"/>
      <c r="BZ103" s="19"/>
      <c r="CA103" s="19"/>
      <c r="CB103" s="19" t="s">
        <v>2113</v>
      </c>
      <c r="CC103" s="19"/>
      <c r="CD103" s="19" t="s">
        <v>2137</v>
      </c>
      <c r="CE103" s="19" t="s">
        <v>16</v>
      </c>
      <c r="CF103" s="19"/>
      <c r="CG103" s="19"/>
      <c r="CH103" s="19" t="s">
        <v>16</v>
      </c>
      <c r="CI103" s="21">
        <v>0.0</v>
      </c>
      <c r="CJ103" s="19" t="s">
        <v>17</v>
      </c>
      <c r="CK103" s="19"/>
      <c r="CL103" s="19"/>
      <c r="CM103" s="19" t="s">
        <v>2138</v>
      </c>
      <c r="CN103" s="19" t="s">
        <v>2537</v>
      </c>
      <c r="CO103" s="19"/>
      <c r="CP103" s="19" t="s">
        <v>2246</v>
      </c>
      <c r="CQ103" s="19"/>
      <c r="CR103" s="19"/>
      <c r="CS103" s="19"/>
      <c r="CT103" s="19"/>
      <c r="CU103" s="19"/>
      <c r="CV103" s="19" t="s">
        <v>2141</v>
      </c>
      <c r="CW103" s="19"/>
      <c r="CX103" s="19"/>
      <c r="CY103" s="19"/>
      <c r="CZ103" s="19"/>
      <c r="DA103" s="19" t="s">
        <v>16</v>
      </c>
      <c r="DB103" s="19" t="s">
        <v>17</v>
      </c>
      <c r="DC103" s="19" t="s">
        <v>2538</v>
      </c>
      <c r="DD103" s="19" t="s">
        <v>2113</v>
      </c>
      <c r="DE103" s="19" t="s">
        <v>2113</v>
      </c>
      <c r="DF103" s="19" t="s">
        <v>3684</v>
      </c>
      <c r="DG103" s="19" t="s">
        <v>2247</v>
      </c>
      <c r="DH103" s="19" t="s">
        <v>2144</v>
      </c>
      <c r="DI103" s="24">
        <v>45525.0</v>
      </c>
      <c r="DJ103" s="19" t="s">
        <v>2174</v>
      </c>
      <c r="DK103" s="19" t="s">
        <v>2145</v>
      </c>
      <c r="DL103" s="19" t="s">
        <v>2183</v>
      </c>
      <c r="DM103" s="19" t="s">
        <v>2249</v>
      </c>
      <c r="DN103" s="19">
        <v>9.0</v>
      </c>
      <c r="DO103" s="19">
        <v>9.0</v>
      </c>
      <c r="DP103" s="19" t="s">
        <v>4155</v>
      </c>
      <c r="DQ103" s="19" t="s">
        <v>4156</v>
      </c>
      <c r="DR103" s="19" t="s">
        <v>4157</v>
      </c>
      <c r="DS103" s="19" t="s">
        <v>2151</v>
      </c>
      <c r="DT103" s="19" t="s">
        <v>2186</v>
      </c>
      <c r="DU103" s="19"/>
      <c r="DV103" s="19"/>
      <c r="DW103" s="19" t="s">
        <v>2188</v>
      </c>
      <c r="DX103" s="19">
        <v>15.0</v>
      </c>
      <c r="DY103" s="19">
        <v>5.0</v>
      </c>
      <c r="DZ103" s="19">
        <v>0.0</v>
      </c>
      <c r="EA103" s="19">
        <v>5.0</v>
      </c>
      <c r="EB103" s="19">
        <v>0.0</v>
      </c>
      <c r="EC103" s="19">
        <v>20.0</v>
      </c>
      <c r="ED103" s="19" t="s">
        <v>2174</v>
      </c>
      <c r="EE103" s="24">
        <v>45525.0</v>
      </c>
      <c r="EF103" s="19" t="s">
        <v>2174</v>
      </c>
      <c r="EG103" s="19" t="s">
        <v>2145</v>
      </c>
      <c r="EH103" s="19" t="s">
        <v>2183</v>
      </c>
      <c r="EI103" s="22">
        <v>10.584375</v>
      </c>
      <c r="EJ103" s="19">
        <v>45.0</v>
      </c>
      <c r="EK103" s="19" t="s">
        <v>2113</v>
      </c>
      <c r="EL103" s="19" t="s">
        <v>2163</v>
      </c>
      <c r="EM103" s="19" t="s">
        <v>4146</v>
      </c>
      <c r="EN103" s="19" t="s">
        <v>317</v>
      </c>
      <c r="EO103" s="19" t="s">
        <v>2529</v>
      </c>
      <c r="EP103" s="19" t="s">
        <v>2122</v>
      </c>
      <c r="EQ103" s="19" t="s">
        <v>2537</v>
      </c>
      <c r="ER103" s="19"/>
      <c r="ES103" s="19" t="s">
        <v>317</v>
      </c>
      <c r="ET103" s="19" t="s">
        <v>317</v>
      </c>
      <c r="EU103" s="19" t="s">
        <v>4143</v>
      </c>
      <c r="EV103" s="19">
        <v>7656.0</v>
      </c>
      <c r="EW103" s="19" t="s">
        <v>16</v>
      </c>
      <c r="EX103" s="19">
        <v>5.0</v>
      </c>
      <c r="EY103" s="25" t="s">
        <v>316</v>
      </c>
      <c r="EZ103" s="19" t="s">
        <v>2154</v>
      </c>
      <c r="FA103" s="5" t="s">
        <v>4158</v>
      </c>
      <c r="FB103" s="26" t="s">
        <v>2156</v>
      </c>
      <c r="FC103" s="26"/>
    </row>
    <row r="104">
      <c r="A104" s="19" t="s">
        <v>2112</v>
      </c>
      <c r="B104" s="19" t="s">
        <v>2113</v>
      </c>
      <c r="C104" s="19" t="s">
        <v>2113</v>
      </c>
      <c r="D104" s="19" t="s">
        <v>318</v>
      </c>
      <c r="E104" s="19" t="s">
        <v>4159</v>
      </c>
      <c r="F104" s="19" t="s">
        <v>318</v>
      </c>
      <c r="G104" s="19" t="s">
        <v>4159</v>
      </c>
      <c r="H104" s="19" t="s">
        <v>318</v>
      </c>
      <c r="I104" s="19" t="s">
        <v>320</v>
      </c>
      <c r="J104" s="19" t="s">
        <v>4160</v>
      </c>
      <c r="K104" s="19" t="s">
        <v>4161</v>
      </c>
      <c r="L104" s="20">
        <v>45447.0</v>
      </c>
      <c r="M104" s="20">
        <v>45448.0</v>
      </c>
      <c r="N104" s="20">
        <v>45448.0</v>
      </c>
      <c r="O104" s="19" t="s">
        <v>319</v>
      </c>
      <c r="P104" s="19">
        <v>0.0</v>
      </c>
      <c r="Q104" s="19">
        <v>19.0</v>
      </c>
      <c r="R104" s="19">
        <v>7269.0</v>
      </c>
      <c r="S104" s="20" t="s">
        <v>4162</v>
      </c>
      <c r="T104" s="20">
        <v>45461.0</v>
      </c>
      <c r="U104" s="19" t="s">
        <v>318</v>
      </c>
      <c r="V104" s="19"/>
      <c r="W104" s="19"/>
      <c r="X104" s="21">
        <v>20.0</v>
      </c>
      <c r="Y104" s="21">
        <v>10.0</v>
      </c>
      <c r="Z104" s="21">
        <v>2.0</v>
      </c>
      <c r="AA104" s="21">
        <v>0.0</v>
      </c>
      <c r="AB104" s="5">
        <v>32.0</v>
      </c>
      <c r="AC104" s="19">
        <v>4.6</v>
      </c>
      <c r="AD104" s="19">
        <v>4.4</v>
      </c>
      <c r="AE104" s="19">
        <v>4.4</v>
      </c>
      <c r="AF104" s="19">
        <v>4.6</v>
      </c>
      <c r="AG104" s="19">
        <v>4.4</v>
      </c>
      <c r="AH104" s="19">
        <v>4.6</v>
      </c>
      <c r="AI104" s="22">
        <v>13.44375</v>
      </c>
      <c r="AJ104" s="19">
        <v>15.0</v>
      </c>
      <c r="AK104" s="19">
        <v>15.0</v>
      </c>
      <c r="AL104" s="19">
        <v>10.0</v>
      </c>
      <c r="AM104" s="19">
        <v>40.0</v>
      </c>
      <c r="AN104" s="19">
        <v>53.4</v>
      </c>
      <c r="AO104" s="19">
        <v>85.4</v>
      </c>
      <c r="AP104" s="19">
        <v>199.0</v>
      </c>
      <c r="AQ104" s="23">
        <v>101.0</v>
      </c>
      <c r="AR104" s="23">
        <v>9.0</v>
      </c>
      <c r="AS104" s="22"/>
      <c r="AT104" s="19" t="s">
        <v>2117</v>
      </c>
      <c r="AU104" s="19" t="s">
        <v>4163</v>
      </c>
      <c r="AV104" s="19" t="s">
        <v>4164</v>
      </c>
      <c r="AW104" s="19"/>
      <c r="AX104" s="20">
        <v>38192.0</v>
      </c>
      <c r="AY104" s="19" t="s">
        <v>4165</v>
      </c>
      <c r="AZ104" s="19" t="s">
        <v>2122</v>
      </c>
      <c r="BA104" s="19" t="s">
        <v>4166</v>
      </c>
      <c r="BB104" s="19" t="s">
        <v>4167</v>
      </c>
      <c r="BC104" s="19" t="s">
        <v>4168</v>
      </c>
      <c r="BD104" s="19" t="s">
        <v>4169</v>
      </c>
      <c r="BE104" s="19"/>
      <c r="BF104" s="19"/>
      <c r="BG104" s="19" t="s">
        <v>2127</v>
      </c>
      <c r="BH104" s="19" t="s">
        <v>2128</v>
      </c>
      <c r="BI104" s="19"/>
      <c r="BJ104" s="19"/>
      <c r="BK104" s="19" t="s">
        <v>16</v>
      </c>
      <c r="BL104" s="19"/>
      <c r="BM104" s="19" t="s">
        <v>2130</v>
      </c>
      <c r="BN104" s="19" t="s">
        <v>17</v>
      </c>
      <c r="BO104" s="19" t="s">
        <v>3199</v>
      </c>
      <c r="BP104" s="19"/>
      <c r="BQ104" s="19" t="s">
        <v>2174</v>
      </c>
      <c r="BR104" s="19" t="s">
        <v>2174</v>
      </c>
      <c r="BS104" s="19" t="s">
        <v>2243</v>
      </c>
      <c r="BT104" s="19" t="s">
        <v>34</v>
      </c>
      <c r="BU104" s="19" t="s">
        <v>4170</v>
      </c>
      <c r="BV104" s="19" t="s">
        <v>4171</v>
      </c>
      <c r="BW104" s="19" t="s">
        <v>2113</v>
      </c>
      <c r="BX104" s="19"/>
      <c r="BY104" s="19"/>
      <c r="BZ104" s="19"/>
      <c r="CA104" s="19"/>
      <c r="CB104" s="19" t="s">
        <v>2113</v>
      </c>
      <c r="CC104" s="19"/>
      <c r="CD104" s="19" t="s">
        <v>2137</v>
      </c>
      <c r="CE104" s="19" t="s">
        <v>16</v>
      </c>
      <c r="CF104" s="19"/>
      <c r="CG104" s="19"/>
      <c r="CH104" s="19" t="s">
        <v>16</v>
      </c>
      <c r="CI104" s="21">
        <v>0.0</v>
      </c>
      <c r="CJ104" s="19" t="s">
        <v>17</v>
      </c>
      <c r="CK104" s="19"/>
      <c r="CL104" s="19"/>
      <c r="CM104" s="19" t="s">
        <v>2138</v>
      </c>
      <c r="CN104" s="19" t="s">
        <v>4172</v>
      </c>
      <c r="CO104" s="19" t="s">
        <v>2177</v>
      </c>
      <c r="CP104" s="19"/>
      <c r="CQ104" s="19"/>
      <c r="CR104" s="19"/>
      <c r="CS104" s="19"/>
      <c r="CT104" s="19" t="s">
        <v>2113</v>
      </c>
      <c r="CU104" s="19" t="s">
        <v>2113</v>
      </c>
      <c r="CV104" s="19" t="s">
        <v>2141</v>
      </c>
      <c r="CW104" s="19" t="s">
        <v>2113</v>
      </c>
      <c r="CX104" s="19" t="s">
        <v>2113</v>
      </c>
      <c r="CY104" s="19" t="s">
        <v>2113</v>
      </c>
      <c r="CZ104" s="19" t="s">
        <v>2113</v>
      </c>
      <c r="DA104" s="19" t="s">
        <v>16</v>
      </c>
      <c r="DB104" s="19" t="s">
        <v>17</v>
      </c>
      <c r="DC104" s="19" t="s">
        <v>2270</v>
      </c>
      <c r="DD104" s="19" t="s">
        <v>2113</v>
      </c>
      <c r="DE104" s="19" t="s">
        <v>2113</v>
      </c>
      <c r="DF104" s="19" t="s">
        <v>2364</v>
      </c>
      <c r="DG104" s="19" t="s">
        <v>3255</v>
      </c>
      <c r="DH104" s="19" t="s">
        <v>2144</v>
      </c>
      <c r="DI104" s="24">
        <v>45517.0</v>
      </c>
      <c r="DJ104" s="19" t="s">
        <v>2174</v>
      </c>
      <c r="DK104" s="19" t="s">
        <v>2145</v>
      </c>
      <c r="DL104" s="19" t="s">
        <v>2183</v>
      </c>
      <c r="DM104" s="19" t="s">
        <v>2184</v>
      </c>
      <c r="DN104" s="19">
        <v>1.0</v>
      </c>
      <c r="DO104" s="19">
        <v>1.0</v>
      </c>
      <c r="DP104" s="19" t="s">
        <v>4173</v>
      </c>
      <c r="DQ104" s="19" t="s">
        <v>4174</v>
      </c>
      <c r="DR104" s="19" t="s">
        <v>4175</v>
      </c>
      <c r="DS104" s="19" t="s">
        <v>2185</v>
      </c>
      <c r="DT104" s="19" t="s">
        <v>2366</v>
      </c>
      <c r="DU104" s="19"/>
      <c r="DV104" s="19"/>
      <c r="DW104" s="19" t="s">
        <v>3306</v>
      </c>
      <c r="DX104" s="19">
        <v>4.0</v>
      </c>
      <c r="DY104" s="19">
        <v>10.0</v>
      </c>
      <c r="DZ104" s="19">
        <v>0.0</v>
      </c>
      <c r="EA104" s="19">
        <v>10.0</v>
      </c>
      <c r="EB104" s="19">
        <v>0.0</v>
      </c>
      <c r="EC104" s="19">
        <v>20.0</v>
      </c>
      <c r="ED104" s="19" t="s">
        <v>2174</v>
      </c>
      <c r="EE104" s="24">
        <v>45517.0</v>
      </c>
      <c r="EF104" s="19" t="s">
        <v>2174</v>
      </c>
      <c r="EG104" s="19" t="s">
        <v>2145</v>
      </c>
      <c r="EH104" s="19" t="s">
        <v>2183</v>
      </c>
      <c r="EI104" s="22">
        <v>13.44375</v>
      </c>
      <c r="EJ104" s="19">
        <v>40.0</v>
      </c>
      <c r="EK104" s="19" t="s">
        <v>2113</v>
      </c>
      <c r="EL104" s="19" t="s">
        <v>2117</v>
      </c>
      <c r="EM104" s="19" t="s">
        <v>4163</v>
      </c>
      <c r="EN104" s="19" t="s">
        <v>320</v>
      </c>
      <c r="EO104" s="19" t="s">
        <v>4165</v>
      </c>
      <c r="EP104" s="19" t="s">
        <v>2122</v>
      </c>
      <c r="EQ104" s="19" t="s">
        <v>4172</v>
      </c>
      <c r="ER104" s="19" t="s">
        <v>2177</v>
      </c>
      <c r="ES104" s="19" t="s">
        <v>320</v>
      </c>
      <c r="ET104" s="19" t="s">
        <v>320</v>
      </c>
      <c r="EU104" s="19" t="s">
        <v>4161</v>
      </c>
      <c r="EV104" s="19">
        <v>7269.0</v>
      </c>
      <c r="EW104" s="19" t="s">
        <v>16</v>
      </c>
      <c r="EX104" s="19">
        <v>2.0</v>
      </c>
      <c r="EY104" s="25" t="s">
        <v>319</v>
      </c>
      <c r="EZ104" s="19" t="s">
        <v>2154</v>
      </c>
      <c r="FA104" s="5" t="s">
        <v>4176</v>
      </c>
      <c r="FB104" s="26" t="s">
        <v>2156</v>
      </c>
      <c r="FC104" s="26"/>
    </row>
    <row r="105">
      <c r="A105" s="19" t="s">
        <v>2112</v>
      </c>
      <c r="B105" s="19" t="s">
        <v>2113</v>
      </c>
      <c r="C105" s="19" t="s">
        <v>2113</v>
      </c>
      <c r="D105" s="19" t="s">
        <v>4177</v>
      </c>
      <c r="E105" s="19" t="s">
        <v>4178</v>
      </c>
      <c r="F105" s="19" t="s">
        <v>4179</v>
      </c>
      <c r="G105" s="19" t="s">
        <v>4180</v>
      </c>
      <c r="H105" s="19" t="s">
        <v>321</v>
      </c>
      <c r="I105" s="19" t="s">
        <v>323</v>
      </c>
      <c r="J105" s="19" t="s">
        <v>4181</v>
      </c>
      <c r="K105" s="19" t="s">
        <v>4182</v>
      </c>
      <c r="L105" s="20">
        <v>45396.0</v>
      </c>
      <c r="M105" s="20">
        <v>45411.0</v>
      </c>
      <c r="N105" s="20">
        <v>45411.0</v>
      </c>
      <c r="O105" s="19" t="s">
        <v>322</v>
      </c>
      <c r="P105" s="19">
        <v>0.0</v>
      </c>
      <c r="Q105" s="19">
        <v>23.0</v>
      </c>
      <c r="R105" s="19">
        <v>8422.0</v>
      </c>
      <c r="S105" s="20" t="s">
        <v>3266</v>
      </c>
      <c r="T105" s="20">
        <v>45461.0</v>
      </c>
      <c r="U105" s="19" t="s">
        <v>4179</v>
      </c>
      <c r="V105" s="19"/>
      <c r="W105" s="19"/>
      <c r="X105" s="21">
        <v>20.0</v>
      </c>
      <c r="Y105" s="21">
        <v>10.0</v>
      </c>
      <c r="Z105" s="21">
        <v>1.0</v>
      </c>
      <c r="AA105" s="21">
        <v>0.0</v>
      </c>
      <c r="AB105" s="5">
        <v>31.0</v>
      </c>
      <c r="AC105" s="19">
        <v>4.0</v>
      </c>
      <c r="AD105" s="19">
        <v>3.5</v>
      </c>
      <c r="AE105" s="19">
        <v>3.5</v>
      </c>
      <c r="AF105" s="19">
        <v>4.0</v>
      </c>
      <c r="AG105" s="19">
        <v>3.0</v>
      </c>
      <c r="AH105" s="19">
        <v>3.5</v>
      </c>
      <c r="AI105" s="22">
        <v>10.734375</v>
      </c>
      <c r="AJ105" s="19">
        <v>13.7</v>
      </c>
      <c r="AK105" s="19">
        <v>15.0</v>
      </c>
      <c r="AL105" s="19">
        <v>15.0</v>
      </c>
      <c r="AM105" s="19">
        <v>43.7</v>
      </c>
      <c r="AN105" s="19">
        <v>54.4</v>
      </c>
      <c r="AO105" s="19">
        <v>85.4</v>
      </c>
      <c r="AP105" s="19">
        <v>209.0</v>
      </c>
      <c r="AQ105" s="23">
        <v>102.0</v>
      </c>
      <c r="AR105" s="23">
        <v>11.0</v>
      </c>
      <c r="AS105" s="22"/>
      <c r="AT105" s="19" t="s">
        <v>2163</v>
      </c>
      <c r="AU105" s="19" t="s">
        <v>3230</v>
      </c>
      <c r="AV105" s="19" t="s">
        <v>4183</v>
      </c>
      <c r="AW105" s="19" t="s">
        <v>4184</v>
      </c>
      <c r="AX105" s="20">
        <v>37039.0</v>
      </c>
      <c r="AY105" s="19" t="s">
        <v>3632</v>
      </c>
      <c r="AZ105" s="19" t="s">
        <v>2445</v>
      </c>
      <c r="BA105" s="19" t="s">
        <v>4185</v>
      </c>
      <c r="BB105" s="19" t="s">
        <v>4186</v>
      </c>
      <c r="BC105" s="19" t="s">
        <v>4187</v>
      </c>
      <c r="BD105" s="19" t="s">
        <v>4188</v>
      </c>
      <c r="BE105" s="19" t="s">
        <v>4189</v>
      </c>
      <c r="BF105" s="19">
        <v>1.1964325997E10</v>
      </c>
      <c r="BG105" s="19" t="s">
        <v>2127</v>
      </c>
      <c r="BH105" s="19" t="s">
        <v>2128</v>
      </c>
      <c r="BI105" s="19"/>
      <c r="BJ105" s="19" t="s">
        <v>2128</v>
      </c>
      <c r="BK105" s="19" t="s">
        <v>17</v>
      </c>
      <c r="BL105" s="19" t="s">
        <v>2113</v>
      </c>
      <c r="BM105" s="19" t="s">
        <v>2130</v>
      </c>
      <c r="BN105" s="19" t="s">
        <v>2708</v>
      </c>
      <c r="BO105" s="19" t="s">
        <v>3082</v>
      </c>
      <c r="BP105" s="19" t="s">
        <v>4190</v>
      </c>
      <c r="BQ105" s="19" t="s">
        <v>2325</v>
      </c>
      <c r="BR105" s="19" t="s">
        <v>2325</v>
      </c>
      <c r="BS105" s="19" t="s">
        <v>2243</v>
      </c>
      <c r="BT105" s="19" t="s">
        <v>118</v>
      </c>
      <c r="BU105" s="19" t="s">
        <v>4191</v>
      </c>
      <c r="BV105" s="19" t="s">
        <v>4192</v>
      </c>
      <c r="BW105" s="19"/>
      <c r="BX105" s="19" t="s">
        <v>2113</v>
      </c>
      <c r="BY105" s="19" t="s">
        <v>2113</v>
      </c>
      <c r="BZ105" s="19" t="s">
        <v>2113</v>
      </c>
      <c r="CA105" s="19" t="s">
        <v>2113</v>
      </c>
      <c r="CB105" s="19" t="s">
        <v>2113</v>
      </c>
      <c r="CC105" s="19" t="s">
        <v>2113</v>
      </c>
      <c r="CD105" s="19" t="s">
        <v>2137</v>
      </c>
      <c r="CE105" s="19" t="s">
        <v>16</v>
      </c>
      <c r="CF105" s="19"/>
      <c r="CG105" s="19"/>
      <c r="CH105" s="19" t="s">
        <v>16</v>
      </c>
      <c r="CI105" s="21">
        <v>0.0</v>
      </c>
      <c r="CJ105" s="19" t="s">
        <v>17</v>
      </c>
      <c r="CK105" s="19"/>
      <c r="CL105" s="19" t="s">
        <v>2113</v>
      </c>
      <c r="CM105" s="19" t="s">
        <v>2138</v>
      </c>
      <c r="CN105" s="19" t="s">
        <v>3503</v>
      </c>
      <c r="CO105" s="19"/>
      <c r="CP105" s="19" t="s">
        <v>2267</v>
      </c>
      <c r="CQ105" s="19" t="s">
        <v>2113</v>
      </c>
      <c r="CR105" s="19" t="s">
        <v>2113</v>
      </c>
      <c r="CS105" s="19" t="s">
        <v>2113</v>
      </c>
      <c r="CT105" s="19" t="s">
        <v>2113</v>
      </c>
      <c r="CU105" s="19" t="s">
        <v>2113</v>
      </c>
      <c r="CV105" s="19" t="s">
        <v>2141</v>
      </c>
      <c r="CW105" s="19" t="s">
        <v>2113</v>
      </c>
      <c r="CX105" s="19" t="s">
        <v>2113</v>
      </c>
      <c r="CY105" s="19" t="s">
        <v>2113</v>
      </c>
      <c r="CZ105" s="19" t="s">
        <v>2113</v>
      </c>
      <c r="DA105" s="19" t="s">
        <v>16</v>
      </c>
      <c r="DB105" s="19" t="s">
        <v>17</v>
      </c>
      <c r="DC105" s="19" t="s">
        <v>3933</v>
      </c>
      <c r="DD105" s="19" t="s">
        <v>2113</v>
      </c>
      <c r="DE105" s="19" t="s">
        <v>2113</v>
      </c>
      <c r="DF105" s="19" t="s">
        <v>2433</v>
      </c>
      <c r="DG105" s="19" t="s">
        <v>2207</v>
      </c>
      <c r="DH105" s="19" t="s">
        <v>2144</v>
      </c>
      <c r="DI105" s="24">
        <v>45524.0</v>
      </c>
      <c r="DJ105" s="19" t="s">
        <v>2325</v>
      </c>
      <c r="DK105" s="19" t="s">
        <v>2145</v>
      </c>
      <c r="DL105" s="19" t="s">
        <v>2326</v>
      </c>
      <c r="DM105" s="19"/>
      <c r="DN105" s="19">
        <v>7.0</v>
      </c>
      <c r="DO105" s="19">
        <v>7.0</v>
      </c>
      <c r="DP105" s="19" t="s">
        <v>4193</v>
      </c>
      <c r="DQ105" s="19" t="s">
        <v>4194</v>
      </c>
      <c r="DR105" s="19" t="s">
        <v>4195</v>
      </c>
      <c r="DS105" s="19" t="s">
        <v>2185</v>
      </c>
      <c r="DT105" s="19" t="s">
        <v>2350</v>
      </c>
      <c r="DU105" s="19"/>
      <c r="DV105" s="19"/>
      <c r="DW105" s="19" t="s">
        <v>3306</v>
      </c>
      <c r="DX105" s="19">
        <v>4.0</v>
      </c>
      <c r="DY105" s="19">
        <v>10.0</v>
      </c>
      <c r="DZ105" s="19">
        <v>0.0</v>
      </c>
      <c r="EA105" s="19">
        <v>10.0</v>
      </c>
      <c r="EB105" s="19">
        <v>0.0</v>
      </c>
      <c r="EC105" s="19">
        <v>20.0</v>
      </c>
      <c r="ED105" s="19" t="s">
        <v>2325</v>
      </c>
      <c r="EE105" s="24">
        <v>45524.0</v>
      </c>
      <c r="EF105" s="19" t="s">
        <v>2325</v>
      </c>
      <c r="EG105" s="19" t="s">
        <v>2145</v>
      </c>
      <c r="EH105" s="19" t="s">
        <v>2326</v>
      </c>
      <c r="EI105" s="22">
        <v>10.734375</v>
      </c>
      <c r="EJ105" s="19">
        <v>43.66666667</v>
      </c>
      <c r="EK105" s="19" t="s">
        <v>2113</v>
      </c>
      <c r="EL105" s="19" t="s">
        <v>2163</v>
      </c>
      <c r="EM105" s="19" t="s">
        <v>3230</v>
      </c>
      <c r="EN105" s="19" t="s">
        <v>323</v>
      </c>
      <c r="EO105" s="19" t="s">
        <v>3632</v>
      </c>
      <c r="EP105" s="19" t="s">
        <v>2445</v>
      </c>
      <c r="EQ105" s="19" t="s">
        <v>3503</v>
      </c>
      <c r="ER105" s="19"/>
      <c r="ES105" s="19" t="s">
        <v>323</v>
      </c>
      <c r="ET105" s="19" t="s">
        <v>323</v>
      </c>
      <c r="EU105" s="19" t="s">
        <v>4182</v>
      </c>
      <c r="EV105" s="19">
        <v>8422.0</v>
      </c>
      <c r="EW105" s="19" t="s">
        <v>16</v>
      </c>
      <c r="EX105" s="19">
        <v>1.0</v>
      </c>
      <c r="EY105" s="25" t="s">
        <v>322</v>
      </c>
      <c r="EZ105" s="19" t="s">
        <v>2154</v>
      </c>
      <c r="FA105" s="5" t="s">
        <v>4196</v>
      </c>
      <c r="FB105" s="26" t="s">
        <v>2156</v>
      </c>
      <c r="FC105" s="26"/>
    </row>
    <row r="106">
      <c r="A106" s="19" t="s">
        <v>2156</v>
      </c>
      <c r="B106" s="19" t="s">
        <v>2113</v>
      </c>
      <c r="C106" s="19" t="s">
        <v>2113</v>
      </c>
      <c r="D106" s="19" t="s">
        <v>324</v>
      </c>
      <c r="E106" s="19" t="s">
        <v>4197</v>
      </c>
      <c r="F106" s="19" t="s">
        <v>324</v>
      </c>
      <c r="G106" s="19" t="s">
        <v>4197</v>
      </c>
      <c r="H106" s="19" t="s">
        <v>324</v>
      </c>
      <c r="I106" s="19" t="s">
        <v>326</v>
      </c>
      <c r="J106" s="19" t="s">
        <v>4198</v>
      </c>
      <c r="K106" s="19" t="s">
        <v>4199</v>
      </c>
      <c r="L106" s="20">
        <v>45445.0</v>
      </c>
      <c r="M106" s="20">
        <v>45446.0</v>
      </c>
      <c r="N106" s="20">
        <v>45446.0</v>
      </c>
      <c r="O106" s="19" t="s">
        <v>325</v>
      </c>
      <c r="P106" s="19">
        <v>0.0</v>
      </c>
      <c r="Q106" s="19">
        <v>24.0</v>
      </c>
      <c r="R106" s="19">
        <v>9027.0</v>
      </c>
      <c r="S106" s="20" t="s">
        <v>4200</v>
      </c>
      <c r="T106" s="20">
        <v>45461.0</v>
      </c>
      <c r="U106" s="19" t="s">
        <v>324</v>
      </c>
      <c r="V106" s="19"/>
      <c r="W106" s="19"/>
      <c r="X106" s="21">
        <v>20.0</v>
      </c>
      <c r="Y106" s="21">
        <v>10.0</v>
      </c>
      <c r="Z106" s="21">
        <v>4.0</v>
      </c>
      <c r="AA106" s="21">
        <v>0.0</v>
      </c>
      <c r="AB106" s="5">
        <v>34.0</v>
      </c>
      <c r="AC106" s="19">
        <v>4.5</v>
      </c>
      <c r="AD106" s="19">
        <v>4.0</v>
      </c>
      <c r="AE106" s="19">
        <v>5.0</v>
      </c>
      <c r="AF106" s="19">
        <v>3.0</v>
      </c>
      <c r="AG106" s="19">
        <v>4.5</v>
      </c>
      <c r="AH106" s="19">
        <v>4.5</v>
      </c>
      <c r="AI106" s="22">
        <v>12.984375</v>
      </c>
      <c r="AJ106" s="19">
        <v>11.0</v>
      </c>
      <c r="AK106" s="19">
        <v>14.3</v>
      </c>
      <c r="AL106" s="19">
        <v>13.0</v>
      </c>
      <c r="AM106" s="19">
        <v>38.3</v>
      </c>
      <c r="AN106" s="19">
        <v>51.3</v>
      </c>
      <c r="AO106" s="19">
        <v>85.3</v>
      </c>
      <c r="AP106" s="19">
        <v>117.0</v>
      </c>
      <c r="AQ106" s="23">
        <v>103.0</v>
      </c>
      <c r="AR106" s="23">
        <v>12.0</v>
      </c>
      <c r="AS106" s="22"/>
      <c r="AT106" s="19" t="s">
        <v>2163</v>
      </c>
      <c r="AU106" s="19" t="s">
        <v>4201</v>
      </c>
      <c r="AV106" s="19" t="s">
        <v>4202</v>
      </c>
      <c r="AW106" s="19"/>
      <c r="AX106" s="20">
        <v>36434.0</v>
      </c>
      <c r="AY106" s="19" t="s">
        <v>3232</v>
      </c>
      <c r="AZ106" s="19" t="s">
        <v>2122</v>
      </c>
      <c r="BA106" s="19" t="s">
        <v>4203</v>
      </c>
      <c r="BB106" s="19" t="s">
        <v>3296</v>
      </c>
      <c r="BC106" s="19" t="s">
        <v>4204</v>
      </c>
      <c r="BD106" s="19" t="s">
        <v>4205</v>
      </c>
      <c r="BE106" s="19" t="s">
        <v>4198</v>
      </c>
      <c r="BF106" s="19">
        <v>1.1981418574E10</v>
      </c>
      <c r="BG106" s="19" t="s">
        <v>2127</v>
      </c>
      <c r="BH106" s="19" t="s">
        <v>2128</v>
      </c>
      <c r="BI106" s="19"/>
      <c r="BJ106" s="19" t="s">
        <v>2128</v>
      </c>
      <c r="BK106" s="19" t="s">
        <v>17</v>
      </c>
      <c r="BL106" s="19" t="s">
        <v>2113</v>
      </c>
      <c r="BM106" s="19" t="s">
        <v>2130</v>
      </c>
      <c r="BN106" s="19" t="s">
        <v>17</v>
      </c>
      <c r="BO106" s="19" t="s">
        <v>2317</v>
      </c>
      <c r="BP106" s="19" t="s">
        <v>4206</v>
      </c>
      <c r="BQ106" s="19" t="s">
        <v>2325</v>
      </c>
      <c r="BR106" s="19" t="s">
        <v>2325</v>
      </c>
      <c r="BS106" s="19" t="s">
        <v>2134</v>
      </c>
      <c r="BT106" s="19" t="s">
        <v>118</v>
      </c>
      <c r="BU106" s="19" t="s">
        <v>4207</v>
      </c>
      <c r="BV106" s="19" t="s">
        <v>4208</v>
      </c>
      <c r="BW106" s="19"/>
      <c r="BX106" s="19" t="s">
        <v>2113</v>
      </c>
      <c r="BY106" s="19" t="s">
        <v>2113</v>
      </c>
      <c r="BZ106" s="19" t="s">
        <v>2113</v>
      </c>
      <c r="CA106" s="19" t="s">
        <v>2113</v>
      </c>
      <c r="CB106" s="19" t="s">
        <v>2113</v>
      </c>
      <c r="CC106" s="19"/>
      <c r="CD106" s="19" t="s">
        <v>2137</v>
      </c>
      <c r="CE106" s="19" t="s">
        <v>16</v>
      </c>
      <c r="CF106" s="19"/>
      <c r="CG106" s="19"/>
      <c r="CH106" s="19" t="s">
        <v>16</v>
      </c>
      <c r="CI106" s="21">
        <v>0.0</v>
      </c>
      <c r="CJ106" s="19" t="s">
        <v>17</v>
      </c>
      <c r="CK106" s="19"/>
      <c r="CL106" s="19" t="s">
        <v>2113</v>
      </c>
      <c r="CM106" s="19" t="s">
        <v>2138</v>
      </c>
      <c r="CN106" s="19" t="s">
        <v>2868</v>
      </c>
      <c r="CO106" s="19"/>
      <c r="CP106" s="19" t="s">
        <v>2178</v>
      </c>
      <c r="CQ106" s="19" t="s">
        <v>2113</v>
      </c>
      <c r="CR106" s="19" t="s">
        <v>2113</v>
      </c>
      <c r="CS106" s="19" t="s">
        <v>2113</v>
      </c>
      <c r="CT106" s="19"/>
      <c r="CU106" s="19"/>
      <c r="CV106" s="19" t="s">
        <v>2179</v>
      </c>
      <c r="CW106" s="19" t="s">
        <v>2113</v>
      </c>
      <c r="CX106" s="19" t="s">
        <v>2113</v>
      </c>
      <c r="CY106" s="19"/>
      <c r="CZ106" s="19"/>
      <c r="DA106" s="19" t="s">
        <v>16</v>
      </c>
      <c r="DB106" s="19" t="s">
        <v>17</v>
      </c>
      <c r="DC106" s="19" t="s">
        <v>4209</v>
      </c>
      <c r="DD106" s="19" t="s">
        <v>2113</v>
      </c>
      <c r="DE106" s="19" t="s">
        <v>2113</v>
      </c>
      <c r="DF106" s="19" t="s">
        <v>3163</v>
      </c>
      <c r="DG106" s="19" t="s">
        <v>2498</v>
      </c>
      <c r="DH106" s="19" t="s">
        <v>2144</v>
      </c>
      <c r="DI106" s="24">
        <v>45519.0</v>
      </c>
      <c r="DJ106" s="19" t="s">
        <v>2325</v>
      </c>
      <c r="DK106" s="19" t="s">
        <v>2271</v>
      </c>
      <c r="DL106" s="19" t="s">
        <v>2326</v>
      </c>
      <c r="DM106" s="19"/>
      <c r="DN106" s="19">
        <v>6.0</v>
      </c>
      <c r="DO106" s="19">
        <v>6.0</v>
      </c>
      <c r="DP106" s="19"/>
      <c r="DQ106" s="19"/>
      <c r="DR106" s="19"/>
      <c r="DS106" s="19" t="s">
        <v>2185</v>
      </c>
      <c r="DT106" s="19" t="s">
        <v>2186</v>
      </c>
      <c r="DU106" s="19" t="s">
        <v>4210</v>
      </c>
      <c r="DV106" s="19"/>
      <c r="DW106" s="19" t="s">
        <v>3306</v>
      </c>
      <c r="DX106" s="19">
        <v>4.0</v>
      </c>
      <c r="DY106" s="19">
        <v>10.0</v>
      </c>
      <c r="DZ106" s="19">
        <v>0.0</v>
      </c>
      <c r="EA106" s="19">
        <v>10.0</v>
      </c>
      <c r="EB106" s="19">
        <v>0.0</v>
      </c>
      <c r="EC106" s="19">
        <v>20.0</v>
      </c>
      <c r="ED106" s="19" t="s">
        <v>2325</v>
      </c>
      <c r="EE106" s="24">
        <v>45519.0</v>
      </c>
      <c r="EF106" s="19" t="s">
        <v>2325</v>
      </c>
      <c r="EG106" s="19" t="s">
        <v>2271</v>
      </c>
      <c r="EH106" s="19" t="s">
        <v>2326</v>
      </c>
      <c r="EI106" s="22">
        <v>12.984375</v>
      </c>
      <c r="EJ106" s="19">
        <v>38.33333333</v>
      </c>
      <c r="EK106" s="19" t="s">
        <v>2113</v>
      </c>
      <c r="EL106" s="19" t="s">
        <v>2163</v>
      </c>
      <c r="EM106" s="19" t="s">
        <v>4201</v>
      </c>
      <c r="EN106" s="19" t="s">
        <v>326</v>
      </c>
      <c r="EO106" s="19" t="s">
        <v>3232</v>
      </c>
      <c r="EP106" s="19" t="s">
        <v>2122</v>
      </c>
      <c r="EQ106" s="19" t="s">
        <v>2868</v>
      </c>
      <c r="ER106" s="19"/>
      <c r="ES106" s="19" t="s">
        <v>326</v>
      </c>
      <c r="ET106" s="19" t="s">
        <v>326</v>
      </c>
      <c r="EU106" s="19" t="s">
        <v>4199</v>
      </c>
      <c r="EV106" s="19">
        <v>9027.0</v>
      </c>
      <c r="EW106" s="19" t="s">
        <v>16</v>
      </c>
      <c r="EX106" s="19">
        <v>4.0</v>
      </c>
      <c r="EY106" s="25" t="s">
        <v>325</v>
      </c>
      <c r="EZ106" s="19" t="s">
        <v>2154</v>
      </c>
      <c r="FA106" s="5" t="s">
        <v>4211</v>
      </c>
      <c r="FB106" s="26" t="s">
        <v>2156</v>
      </c>
      <c r="FC106" s="26"/>
    </row>
    <row r="107">
      <c r="A107" s="19" t="s">
        <v>2112</v>
      </c>
      <c r="B107" s="19" t="s">
        <v>2113</v>
      </c>
      <c r="C107" s="19" t="s">
        <v>2113</v>
      </c>
      <c r="D107" s="19" t="s">
        <v>327</v>
      </c>
      <c r="E107" s="19" t="s">
        <v>4212</v>
      </c>
      <c r="F107" s="19" t="s">
        <v>327</v>
      </c>
      <c r="G107" s="19"/>
      <c r="H107" s="19" t="s">
        <v>327</v>
      </c>
      <c r="I107" s="19" t="s">
        <v>48</v>
      </c>
      <c r="J107" s="19" t="s">
        <v>4213</v>
      </c>
      <c r="K107" s="19" t="s">
        <v>4214</v>
      </c>
      <c r="L107" s="20">
        <v>45436.0</v>
      </c>
      <c r="M107" s="20">
        <v>45436.0</v>
      </c>
      <c r="N107" s="20">
        <v>45436.0</v>
      </c>
      <c r="O107" s="19" t="s">
        <v>328</v>
      </c>
      <c r="P107" s="19">
        <v>0.0</v>
      </c>
      <c r="Q107" s="19">
        <v>25.0</v>
      </c>
      <c r="R107" s="19">
        <v>9213.0</v>
      </c>
      <c r="S107" s="20" t="s">
        <v>4215</v>
      </c>
      <c r="T107" s="20">
        <v>45461.0</v>
      </c>
      <c r="U107" s="19" t="s">
        <v>327</v>
      </c>
      <c r="V107" s="19"/>
      <c r="W107" s="19"/>
      <c r="X107" s="21">
        <v>20.0</v>
      </c>
      <c r="Y107" s="21">
        <v>5.0</v>
      </c>
      <c r="Z107" s="21">
        <v>5.0</v>
      </c>
      <c r="AA107" s="21">
        <v>0.0</v>
      </c>
      <c r="AB107" s="5">
        <v>30.0</v>
      </c>
      <c r="AC107" s="19">
        <v>4.0</v>
      </c>
      <c r="AD107" s="19">
        <v>4.2</v>
      </c>
      <c r="AE107" s="19">
        <v>4.2</v>
      </c>
      <c r="AF107" s="19">
        <v>4.0</v>
      </c>
      <c r="AG107" s="19">
        <v>3.7</v>
      </c>
      <c r="AH107" s="19">
        <v>4.0</v>
      </c>
      <c r="AI107" s="22">
        <v>12.168750000000001</v>
      </c>
      <c r="AJ107" s="19">
        <v>15.0</v>
      </c>
      <c r="AK107" s="19">
        <v>15.0</v>
      </c>
      <c r="AL107" s="19">
        <v>13.0</v>
      </c>
      <c r="AM107" s="19">
        <v>43.0</v>
      </c>
      <c r="AN107" s="19">
        <v>55.2</v>
      </c>
      <c r="AO107" s="19">
        <v>85.2</v>
      </c>
      <c r="AP107" s="19">
        <v>214.0</v>
      </c>
      <c r="AQ107" s="23">
        <v>104.0</v>
      </c>
      <c r="AR107" s="23">
        <v>10.0</v>
      </c>
      <c r="AS107" s="22"/>
      <c r="AT107" s="19" t="s">
        <v>2163</v>
      </c>
      <c r="AU107" s="19" t="s">
        <v>4216</v>
      </c>
      <c r="AV107" s="19" t="s">
        <v>4217</v>
      </c>
      <c r="AW107" s="19" t="s">
        <v>4218</v>
      </c>
      <c r="AX107" s="20">
        <v>36248.0</v>
      </c>
      <c r="AY107" s="19" t="s">
        <v>2487</v>
      </c>
      <c r="AZ107" s="19" t="s">
        <v>2310</v>
      </c>
      <c r="BA107" s="19" t="s">
        <v>4219</v>
      </c>
      <c r="BB107" s="19" t="s">
        <v>4220</v>
      </c>
      <c r="BC107" s="19" t="s">
        <v>4221</v>
      </c>
      <c r="BD107" s="19" t="s">
        <v>4222</v>
      </c>
      <c r="BE107" s="19" t="s">
        <v>4213</v>
      </c>
      <c r="BF107" s="19">
        <v>1.1969243947E10</v>
      </c>
      <c r="BG107" s="19" t="s">
        <v>3518</v>
      </c>
      <c r="BH107" s="19" t="s">
        <v>2128</v>
      </c>
      <c r="BI107" s="19"/>
      <c r="BJ107" s="19" t="s">
        <v>2128</v>
      </c>
      <c r="BK107" s="19" t="s">
        <v>17</v>
      </c>
      <c r="BL107" s="19" t="s">
        <v>2113</v>
      </c>
      <c r="BM107" s="19" t="s">
        <v>2130</v>
      </c>
      <c r="BN107" s="19" t="s">
        <v>4223</v>
      </c>
      <c r="BO107" s="19" t="s">
        <v>2132</v>
      </c>
      <c r="BP107" s="19" t="s">
        <v>4224</v>
      </c>
      <c r="BQ107" s="19" t="s">
        <v>2325</v>
      </c>
      <c r="BR107" s="19" t="s">
        <v>2325</v>
      </c>
      <c r="BS107" s="19" t="s">
        <v>2243</v>
      </c>
      <c r="BT107" s="19" t="s">
        <v>59</v>
      </c>
      <c r="BU107" s="19" t="s">
        <v>4225</v>
      </c>
      <c r="BV107" s="19" t="s">
        <v>4226</v>
      </c>
      <c r="BW107" s="19"/>
      <c r="BX107" s="19" t="s">
        <v>2113</v>
      </c>
      <c r="BY107" s="19" t="s">
        <v>2113</v>
      </c>
      <c r="BZ107" s="19" t="s">
        <v>2113</v>
      </c>
      <c r="CA107" s="19" t="s">
        <v>2113</v>
      </c>
      <c r="CB107" s="19" t="s">
        <v>2113</v>
      </c>
      <c r="CC107" s="19"/>
      <c r="CD107" s="19" t="s">
        <v>2137</v>
      </c>
      <c r="CE107" s="19" t="s">
        <v>16</v>
      </c>
      <c r="CF107" s="19"/>
      <c r="CG107" s="19"/>
      <c r="CH107" s="19" t="s">
        <v>16</v>
      </c>
      <c r="CI107" s="21">
        <v>0.0</v>
      </c>
      <c r="CJ107" s="19" t="s">
        <v>17</v>
      </c>
      <c r="CK107" s="19"/>
      <c r="CL107" s="19"/>
      <c r="CM107" s="19" t="s">
        <v>2344</v>
      </c>
      <c r="CN107" s="19" t="s">
        <v>2431</v>
      </c>
      <c r="CO107" s="19"/>
      <c r="CP107" s="19" t="s">
        <v>2246</v>
      </c>
      <c r="CQ107" s="19"/>
      <c r="CR107" s="19" t="s">
        <v>2113</v>
      </c>
      <c r="CS107" s="19" t="s">
        <v>2113</v>
      </c>
      <c r="CT107" s="19" t="s">
        <v>2113</v>
      </c>
      <c r="CU107" s="19" t="s">
        <v>2113</v>
      </c>
      <c r="CV107" s="19" t="s">
        <v>2141</v>
      </c>
      <c r="CW107" s="19" t="s">
        <v>2113</v>
      </c>
      <c r="CX107" s="19" t="s">
        <v>2113</v>
      </c>
      <c r="CY107" s="19" t="s">
        <v>2113</v>
      </c>
      <c r="CZ107" s="19" t="s">
        <v>2113</v>
      </c>
      <c r="DA107" s="19" t="s">
        <v>16</v>
      </c>
      <c r="DB107" s="19" t="s">
        <v>17</v>
      </c>
      <c r="DC107" s="19" t="s">
        <v>2496</v>
      </c>
      <c r="DD107" s="19" t="s">
        <v>2113</v>
      </c>
      <c r="DE107" s="19" t="s">
        <v>2113</v>
      </c>
      <c r="DF107" s="19" t="s">
        <v>3222</v>
      </c>
      <c r="DG107" s="19" t="s">
        <v>3223</v>
      </c>
      <c r="DH107" s="19" t="s">
        <v>2144</v>
      </c>
      <c r="DI107" s="24">
        <v>45524.0</v>
      </c>
      <c r="DJ107" s="19" t="s">
        <v>2325</v>
      </c>
      <c r="DK107" s="19" t="s">
        <v>2271</v>
      </c>
      <c r="DL107" s="19" t="s">
        <v>2326</v>
      </c>
      <c r="DM107" s="19"/>
      <c r="DN107" s="19">
        <v>8.0</v>
      </c>
      <c r="DO107" s="19">
        <v>8.0</v>
      </c>
      <c r="DP107" s="19" t="s">
        <v>4227</v>
      </c>
      <c r="DQ107" s="19" t="s">
        <v>4228</v>
      </c>
      <c r="DR107" s="19" t="s">
        <v>4229</v>
      </c>
      <c r="DS107" s="19" t="s">
        <v>2365</v>
      </c>
      <c r="DT107" s="19" t="s">
        <v>2229</v>
      </c>
      <c r="DU107" s="19"/>
      <c r="DV107" s="19"/>
      <c r="DW107" s="19" t="s">
        <v>2479</v>
      </c>
      <c r="DX107" s="19">
        <v>11.0</v>
      </c>
      <c r="DY107" s="19">
        <v>5.0</v>
      </c>
      <c r="DZ107" s="19">
        <v>0.0</v>
      </c>
      <c r="EA107" s="19">
        <v>5.0</v>
      </c>
      <c r="EB107" s="19">
        <v>0.0</v>
      </c>
      <c r="EC107" s="19">
        <v>20.0</v>
      </c>
      <c r="ED107" s="19" t="s">
        <v>2325</v>
      </c>
      <c r="EE107" s="24">
        <v>45524.0</v>
      </c>
      <c r="EF107" s="19" t="s">
        <v>2325</v>
      </c>
      <c r="EG107" s="19" t="s">
        <v>2271</v>
      </c>
      <c r="EH107" s="19" t="s">
        <v>2326</v>
      </c>
      <c r="EI107" s="22">
        <v>12.168750000000001</v>
      </c>
      <c r="EJ107" s="19">
        <v>43.0</v>
      </c>
      <c r="EK107" s="19" t="s">
        <v>2113</v>
      </c>
      <c r="EL107" s="19" t="s">
        <v>2163</v>
      </c>
      <c r="EM107" s="19" t="s">
        <v>4216</v>
      </c>
      <c r="EN107" s="19" t="s">
        <v>48</v>
      </c>
      <c r="EO107" s="19" t="s">
        <v>2487</v>
      </c>
      <c r="EP107" s="19" t="s">
        <v>2310</v>
      </c>
      <c r="EQ107" s="19" t="s">
        <v>2431</v>
      </c>
      <c r="ER107" s="19"/>
      <c r="ES107" s="19" t="s">
        <v>48</v>
      </c>
      <c r="ET107" s="19" t="s">
        <v>48</v>
      </c>
      <c r="EU107" s="19" t="s">
        <v>4214</v>
      </c>
      <c r="EV107" s="19">
        <v>9213.0</v>
      </c>
      <c r="EW107" s="19" t="s">
        <v>16</v>
      </c>
      <c r="EX107" s="19">
        <v>5.0</v>
      </c>
      <c r="EY107" s="25" t="s">
        <v>328</v>
      </c>
      <c r="EZ107" s="19" t="s">
        <v>2154</v>
      </c>
      <c r="FA107" s="5" t="s">
        <v>4230</v>
      </c>
      <c r="FB107" s="26" t="s">
        <v>2156</v>
      </c>
      <c r="FC107" s="26"/>
    </row>
    <row r="108">
      <c r="A108" s="19" t="s">
        <v>2112</v>
      </c>
      <c r="B108" s="19" t="s">
        <v>2113</v>
      </c>
      <c r="C108" s="19" t="s">
        <v>2113</v>
      </c>
      <c r="D108" s="19" t="s">
        <v>4231</v>
      </c>
      <c r="E108" s="19" t="s">
        <v>4232</v>
      </c>
      <c r="F108" s="19" t="s">
        <v>329</v>
      </c>
      <c r="G108" s="19" t="s">
        <v>4233</v>
      </c>
      <c r="H108" s="19" t="s">
        <v>329</v>
      </c>
      <c r="I108" s="19" t="s">
        <v>331</v>
      </c>
      <c r="J108" s="19" t="s">
        <v>4234</v>
      </c>
      <c r="K108" s="19" t="s">
        <v>4235</v>
      </c>
      <c r="L108" s="20">
        <v>45399.0</v>
      </c>
      <c r="M108" s="20">
        <v>45411.0</v>
      </c>
      <c r="N108" s="20">
        <v>45411.0</v>
      </c>
      <c r="O108" s="19" t="s">
        <v>330</v>
      </c>
      <c r="P108" s="19">
        <v>0.0</v>
      </c>
      <c r="Q108" s="19">
        <v>26.0</v>
      </c>
      <c r="R108" s="19">
        <v>9655.0</v>
      </c>
      <c r="S108" s="20" t="s">
        <v>4236</v>
      </c>
      <c r="T108" s="20">
        <v>45461.0</v>
      </c>
      <c r="U108" s="19" t="s">
        <v>329</v>
      </c>
      <c r="V108" s="19"/>
      <c r="W108" s="19" t="s">
        <v>4237</v>
      </c>
      <c r="X108" s="21">
        <v>20.0</v>
      </c>
      <c r="Y108" s="21">
        <v>10.0</v>
      </c>
      <c r="Z108" s="21">
        <v>2.0</v>
      </c>
      <c r="AA108" s="21">
        <v>0.0</v>
      </c>
      <c r="AB108" s="5">
        <v>32.0</v>
      </c>
      <c r="AC108" s="19">
        <v>4.0</v>
      </c>
      <c r="AD108" s="19">
        <v>4.75</v>
      </c>
      <c r="AE108" s="19">
        <v>4.5</v>
      </c>
      <c r="AF108" s="19">
        <v>4.25</v>
      </c>
      <c r="AG108" s="19">
        <v>3.5</v>
      </c>
      <c r="AH108" s="19">
        <v>4.75</v>
      </c>
      <c r="AI108" s="22">
        <v>13.0546875</v>
      </c>
      <c r="AJ108" s="19">
        <v>15.0</v>
      </c>
      <c r="AK108" s="19">
        <v>10.0</v>
      </c>
      <c r="AL108" s="19">
        <v>15.0</v>
      </c>
      <c r="AM108" s="19">
        <v>40.0</v>
      </c>
      <c r="AN108" s="19">
        <v>53.1</v>
      </c>
      <c r="AO108" s="19">
        <v>85.1</v>
      </c>
      <c r="AP108" s="19">
        <v>182.0</v>
      </c>
      <c r="AQ108" s="23">
        <v>105.0</v>
      </c>
      <c r="AR108" s="23">
        <v>10.0</v>
      </c>
      <c r="AS108" s="22"/>
      <c r="AT108" s="19" t="s">
        <v>2117</v>
      </c>
      <c r="AU108" s="19" t="s">
        <v>4238</v>
      </c>
      <c r="AV108" s="19" t="s">
        <v>4239</v>
      </c>
      <c r="AW108" s="19" t="s">
        <v>4240</v>
      </c>
      <c r="AX108" s="20">
        <v>35806.0</v>
      </c>
      <c r="AY108" s="19" t="s">
        <v>4165</v>
      </c>
      <c r="AZ108" s="19" t="s">
        <v>2445</v>
      </c>
      <c r="BA108" s="19" t="s">
        <v>4241</v>
      </c>
      <c r="BB108" s="19" t="s">
        <v>3036</v>
      </c>
      <c r="BC108" s="19" t="s">
        <v>4242</v>
      </c>
      <c r="BD108" s="19" t="s">
        <v>4243</v>
      </c>
      <c r="BE108" s="19"/>
      <c r="BF108" s="19"/>
      <c r="BG108" s="19" t="s">
        <v>2127</v>
      </c>
      <c r="BH108" s="19" t="s">
        <v>2128</v>
      </c>
      <c r="BI108" s="19"/>
      <c r="BJ108" s="19" t="s">
        <v>2128</v>
      </c>
      <c r="BK108" s="19" t="s">
        <v>16</v>
      </c>
      <c r="BL108" s="19"/>
      <c r="BM108" s="19" t="s">
        <v>2130</v>
      </c>
      <c r="BN108" s="19" t="s">
        <v>17</v>
      </c>
      <c r="BO108" s="19" t="s">
        <v>3199</v>
      </c>
      <c r="BP108" s="19"/>
      <c r="BQ108" s="19" t="s">
        <v>2174</v>
      </c>
      <c r="BR108" s="19" t="s">
        <v>2174</v>
      </c>
      <c r="BS108" s="19" t="s">
        <v>2134</v>
      </c>
      <c r="BT108" s="19" t="s">
        <v>34</v>
      </c>
      <c r="BU108" s="19" t="s">
        <v>4244</v>
      </c>
      <c r="BV108" s="19" t="s">
        <v>4245</v>
      </c>
      <c r="BW108" s="19" t="s">
        <v>2113</v>
      </c>
      <c r="BX108" s="19"/>
      <c r="BY108" s="19"/>
      <c r="BZ108" s="19"/>
      <c r="CA108" s="19"/>
      <c r="CB108" s="19" t="s">
        <v>2113</v>
      </c>
      <c r="CC108" s="19"/>
      <c r="CD108" s="19" t="s">
        <v>2137</v>
      </c>
      <c r="CE108" s="19" t="s">
        <v>16</v>
      </c>
      <c r="CF108" s="19"/>
      <c r="CG108" s="19"/>
      <c r="CH108" s="19" t="s">
        <v>16</v>
      </c>
      <c r="CI108" s="21">
        <v>0.0</v>
      </c>
      <c r="CJ108" s="19" t="s">
        <v>16</v>
      </c>
      <c r="CK108" s="19"/>
      <c r="CL108" s="19"/>
      <c r="CM108" s="19" t="s">
        <v>2138</v>
      </c>
      <c r="CN108" s="19" t="s">
        <v>4172</v>
      </c>
      <c r="CO108" s="19" t="s">
        <v>2177</v>
      </c>
      <c r="CP108" s="19" t="s">
        <v>2225</v>
      </c>
      <c r="CQ108" s="19"/>
      <c r="CR108" s="19" t="s">
        <v>2113</v>
      </c>
      <c r="CS108" s="19" t="s">
        <v>2113</v>
      </c>
      <c r="CT108" s="19"/>
      <c r="CU108" s="19"/>
      <c r="CV108" s="19" t="s">
        <v>2141</v>
      </c>
      <c r="CW108" s="19"/>
      <c r="CX108" s="19"/>
      <c r="CY108" s="19"/>
      <c r="CZ108" s="19"/>
      <c r="DA108" s="19" t="s">
        <v>16</v>
      </c>
      <c r="DB108" s="19" t="s">
        <v>16</v>
      </c>
      <c r="DC108" s="19" t="s">
        <v>2270</v>
      </c>
      <c r="DD108" s="19" t="s">
        <v>2113</v>
      </c>
      <c r="DE108" s="19" t="s">
        <v>2113</v>
      </c>
      <c r="DF108" s="19" t="s">
        <v>2804</v>
      </c>
      <c r="DG108" s="19" t="s">
        <v>3163</v>
      </c>
      <c r="DH108" s="19" t="s">
        <v>2144</v>
      </c>
      <c r="DI108" s="24">
        <v>45517.0</v>
      </c>
      <c r="DJ108" s="19" t="s">
        <v>2174</v>
      </c>
      <c r="DK108" s="19" t="s">
        <v>2271</v>
      </c>
      <c r="DL108" s="19" t="s">
        <v>2183</v>
      </c>
      <c r="DM108" s="19" t="s">
        <v>2515</v>
      </c>
      <c r="DN108" s="19">
        <v>2.0</v>
      </c>
      <c r="DO108" s="19">
        <v>2.0</v>
      </c>
      <c r="DP108" s="19" t="s">
        <v>4246</v>
      </c>
      <c r="DQ108" s="19" t="s">
        <v>4247</v>
      </c>
      <c r="DR108" s="19" t="s">
        <v>4248</v>
      </c>
      <c r="DS108" s="19" t="s">
        <v>2185</v>
      </c>
      <c r="DT108" s="19" t="s">
        <v>2366</v>
      </c>
      <c r="DU108" s="19"/>
      <c r="DV108" s="19"/>
      <c r="DW108" s="19" t="s">
        <v>3306</v>
      </c>
      <c r="DX108" s="19">
        <v>4.0</v>
      </c>
      <c r="DY108" s="19">
        <v>10.0</v>
      </c>
      <c r="DZ108" s="19">
        <v>0.0</v>
      </c>
      <c r="EA108" s="19">
        <v>10.0</v>
      </c>
      <c r="EB108" s="19">
        <v>0.0</v>
      </c>
      <c r="EC108" s="19">
        <v>20.0</v>
      </c>
      <c r="ED108" s="19" t="s">
        <v>2174</v>
      </c>
      <c r="EE108" s="24">
        <v>45517.0</v>
      </c>
      <c r="EF108" s="19" t="s">
        <v>2174</v>
      </c>
      <c r="EG108" s="19" t="s">
        <v>2271</v>
      </c>
      <c r="EH108" s="19" t="s">
        <v>2183</v>
      </c>
      <c r="EI108" s="22">
        <v>13.0546875</v>
      </c>
      <c r="EJ108" s="19">
        <v>40.0</v>
      </c>
      <c r="EK108" s="19"/>
      <c r="EL108" s="19" t="s">
        <v>2117</v>
      </c>
      <c r="EM108" s="19" t="s">
        <v>4238</v>
      </c>
      <c r="EN108" s="19" t="s">
        <v>331</v>
      </c>
      <c r="EO108" s="19" t="s">
        <v>4165</v>
      </c>
      <c r="EP108" s="19" t="s">
        <v>2445</v>
      </c>
      <c r="EQ108" s="19" t="s">
        <v>4172</v>
      </c>
      <c r="ER108" s="19" t="s">
        <v>2177</v>
      </c>
      <c r="ES108" s="19" t="s">
        <v>331</v>
      </c>
      <c r="ET108" s="19" t="s">
        <v>331</v>
      </c>
      <c r="EU108" s="19" t="s">
        <v>4235</v>
      </c>
      <c r="EV108" s="19">
        <v>9655.0</v>
      </c>
      <c r="EW108" s="19" t="s">
        <v>16</v>
      </c>
      <c r="EX108" s="19">
        <v>2.0</v>
      </c>
      <c r="EY108" s="25" t="s">
        <v>330</v>
      </c>
      <c r="EZ108" s="19" t="s">
        <v>2154</v>
      </c>
      <c r="FA108" s="5" t="s">
        <v>4249</v>
      </c>
      <c r="FB108" s="26" t="s">
        <v>2156</v>
      </c>
      <c r="FC108" s="26"/>
    </row>
    <row r="109">
      <c r="A109" s="19" t="s">
        <v>2112</v>
      </c>
      <c r="B109" s="19" t="s">
        <v>2113</v>
      </c>
      <c r="C109" s="19" t="s">
        <v>2113</v>
      </c>
      <c r="D109" s="19" t="s">
        <v>332</v>
      </c>
      <c r="E109" s="19" t="s">
        <v>4250</v>
      </c>
      <c r="F109" s="19" t="s">
        <v>332</v>
      </c>
      <c r="G109" s="19" t="s">
        <v>4250</v>
      </c>
      <c r="H109" s="19" t="s">
        <v>332</v>
      </c>
      <c r="I109" s="19" t="s">
        <v>334</v>
      </c>
      <c r="J109" s="19" t="s">
        <v>4251</v>
      </c>
      <c r="K109" s="19" t="s">
        <v>4252</v>
      </c>
      <c r="L109" s="20">
        <v>45435.0</v>
      </c>
      <c r="M109" s="20">
        <v>45436.0</v>
      </c>
      <c r="N109" s="20">
        <v>45436.0</v>
      </c>
      <c r="O109" s="19" t="s">
        <v>333</v>
      </c>
      <c r="P109" s="19">
        <v>0.0</v>
      </c>
      <c r="Q109" s="19">
        <v>25.0</v>
      </c>
      <c r="R109" s="19">
        <v>9410.0</v>
      </c>
      <c r="S109" s="20" t="s">
        <v>4253</v>
      </c>
      <c r="T109" s="20">
        <v>45461.0</v>
      </c>
      <c r="U109" s="19" t="s">
        <v>332</v>
      </c>
      <c r="V109" s="19"/>
      <c r="W109" s="19"/>
      <c r="X109" s="21">
        <v>20.0</v>
      </c>
      <c r="Y109" s="21">
        <v>0.0</v>
      </c>
      <c r="Z109" s="21">
        <v>2.0</v>
      </c>
      <c r="AA109" s="21">
        <v>3.0</v>
      </c>
      <c r="AB109" s="5">
        <v>25.0</v>
      </c>
      <c r="AC109" s="19">
        <v>5.0</v>
      </c>
      <c r="AD109" s="19">
        <v>5.0</v>
      </c>
      <c r="AE109" s="19">
        <v>4.8</v>
      </c>
      <c r="AF109" s="19">
        <v>4.8</v>
      </c>
      <c r="AG109" s="19">
        <v>5.0</v>
      </c>
      <c r="AH109" s="19">
        <v>4.8</v>
      </c>
      <c r="AI109" s="22">
        <v>14.699999999999998</v>
      </c>
      <c r="AJ109" s="19">
        <v>15.0</v>
      </c>
      <c r="AK109" s="19">
        <v>15.0</v>
      </c>
      <c r="AL109" s="19">
        <v>15.0</v>
      </c>
      <c r="AM109" s="19">
        <v>45.0</v>
      </c>
      <c r="AN109" s="19">
        <v>59.7</v>
      </c>
      <c r="AO109" s="19">
        <v>84.7</v>
      </c>
      <c r="AP109" s="19">
        <v>282.0</v>
      </c>
      <c r="AQ109" s="23">
        <v>106.0</v>
      </c>
      <c r="AR109" s="23">
        <v>11.0</v>
      </c>
      <c r="AS109" s="22"/>
      <c r="AT109" s="19" t="s">
        <v>2282</v>
      </c>
      <c r="AU109" s="19" t="s">
        <v>4254</v>
      </c>
      <c r="AV109" s="19" t="s">
        <v>4255</v>
      </c>
      <c r="AW109" s="19"/>
      <c r="AX109" s="20">
        <v>36051.0</v>
      </c>
      <c r="AY109" s="19" t="s">
        <v>4165</v>
      </c>
      <c r="AZ109" s="19" t="s">
        <v>2122</v>
      </c>
      <c r="BA109" s="19" t="s">
        <v>4256</v>
      </c>
      <c r="BB109" s="19" t="s">
        <v>4257</v>
      </c>
      <c r="BC109" s="19" t="s">
        <v>4258</v>
      </c>
      <c r="BD109" s="19" t="s">
        <v>4259</v>
      </c>
      <c r="BE109" s="19"/>
      <c r="BF109" s="19"/>
      <c r="BG109" s="19" t="s">
        <v>2127</v>
      </c>
      <c r="BH109" s="19" t="s">
        <v>2128</v>
      </c>
      <c r="BI109" s="19"/>
      <c r="BJ109" s="19"/>
      <c r="BK109" s="19" t="s">
        <v>16</v>
      </c>
      <c r="BL109" s="19"/>
      <c r="BM109" s="19" t="s">
        <v>2130</v>
      </c>
      <c r="BN109" s="19" t="s">
        <v>17</v>
      </c>
      <c r="BO109" s="19" t="s">
        <v>3199</v>
      </c>
      <c r="BP109" s="19"/>
      <c r="BQ109" s="19" t="s">
        <v>2174</v>
      </c>
      <c r="BR109" s="19" t="s">
        <v>2174</v>
      </c>
      <c r="BS109" s="19" t="s">
        <v>3521</v>
      </c>
      <c r="BT109" s="19" t="s">
        <v>34</v>
      </c>
      <c r="BU109" s="19" t="s">
        <v>4244</v>
      </c>
      <c r="BV109" s="19" t="s">
        <v>4260</v>
      </c>
      <c r="BW109" s="19" t="s">
        <v>2113</v>
      </c>
      <c r="BX109" s="19"/>
      <c r="BY109" s="19"/>
      <c r="BZ109" s="19"/>
      <c r="CA109" s="19"/>
      <c r="CB109" s="19" t="s">
        <v>2113</v>
      </c>
      <c r="CC109" s="19"/>
      <c r="CD109" s="19" t="s">
        <v>2137</v>
      </c>
      <c r="CE109" s="19" t="s">
        <v>16</v>
      </c>
      <c r="CF109" s="19"/>
      <c r="CG109" s="19"/>
      <c r="CH109" s="19" t="s">
        <v>17</v>
      </c>
      <c r="CI109" s="21">
        <v>3.0</v>
      </c>
      <c r="CJ109" s="19" t="s">
        <v>16</v>
      </c>
      <c r="CK109" s="19"/>
      <c r="CL109" s="19"/>
      <c r="CM109" s="19" t="s">
        <v>2138</v>
      </c>
      <c r="CN109" s="19" t="s">
        <v>4172</v>
      </c>
      <c r="CO109" s="19" t="s">
        <v>2177</v>
      </c>
      <c r="CP109" s="19"/>
      <c r="CQ109" s="19"/>
      <c r="CR109" s="19" t="s">
        <v>2113</v>
      </c>
      <c r="CS109" s="19" t="s">
        <v>2113</v>
      </c>
      <c r="CT109" s="19" t="s">
        <v>2113</v>
      </c>
      <c r="CU109" s="19" t="s">
        <v>2113</v>
      </c>
      <c r="CV109" s="19" t="s">
        <v>2179</v>
      </c>
      <c r="CW109" s="19" t="s">
        <v>2113</v>
      </c>
      <c r="CX109" s="19" t="s">
        <v>2113</v>
      </c>
      <c r="CY109" s="19" t="s">
        <v>2113</v>
      </c>
      <c r="CZ109" s="19" t="s">
        <v>2113</v>
      </c>
      <c r="DA109" s="19" t="s">
        <v>16</v>
      </c>
      <c r="DB109" s="19" t="s">
        <v>16</v>
      </c>
      <c r="DC109" s="19" t="s">
        <v>3370</v>
      </c>
      <c r="DD109" s="19" t="s">
        <v>2113</v>
      </c>
      <c r="DE109" s="19" t="s">
        <v>2113</v>
      </c>
      <c r="DF109" s="19" t="s">
        <v>3255</v>
      </c>
      <c r="DG109" s="19" t="s">
        <v>2247</v>
      </c>
      <c r="DH109" s="19" t="s">
        <v>2144</v>
      </c>
      <c r="DI109" s="24">
        <v>45517.0</v>
      </c>
      <c r="DJ109" s="19" t="s">
        <v>2174</v>
      </c>
      <c r="DK109" s="19" t="s">
        <v>2145</v>
      </c>
      <c r="DL109" s="19" t="s">
        <v>2183</v>
      </c>
      <c r="DM109" s="19" t="s">
        <v>2184</v>
      </c>
      <c r="DN109" s="19">
        <v>1.0</v>
      </c>
      <c r="DO109" s="19">
        <v>1.0</v>
      </c>
      <c r="DP109" s="19"/>
      <c r="DQ109" s="19"/>
      <c r="DR109" s="19"/>
      <c r="DS109" s="19" t="s">
        <v>2185</v>
      </c>
      <c r="DT109" s="19" t="s">
        <v>2366</v>
      </c>
      <c r="DU109" s="19" t="s">
        <v>4261</v>
      </c>
      <c r="DV109" s="19"/>
      <c r="DW109" s="19" t="s">
        <v>3306</v>
      </c>
      <c r="DX109" s="19">
        <v>4.0</v>
      </c>
      <c r="DY109" s="19">
        <v>0.0</v>
      </c>
      <c r="DZ109" s="19">
        <v>0.0</v>
      </c>
      <c r="EA109" s="19">
        <v>0.0</v>
      </c>
      <c r="EB109" s="19">
        <v>3.0</v>
      </c>
      <c r="EC109" s="19">
        <v>20.0</v>
      </c>
      <c r="ED109" s="19" t="s">
        <v>2174</v>
      </c>
      <c r="EE109" s="24">
        <v>45517.0</v>
      </c>
      <c r="EF109" s="19" t="s">
        <v>2174</v>
      </c>
      <c r="EG109" s="19" t="s">
        <v>2145</v>
      </c>
      <c r="EH109" s="19" t="s">
        <v>2183</v>
      </c>
      <c r="EI109" s="22">
        <v>14.699999999999998</v>
      </c>
      <c r="EJ109" s="19">
        <v>45.0</v>
      </c>
      <c r="EK109" s="19"/>
      <c r="EL109" s="19" t="s">
        <v>2282</v>
      </c>
      <c r="EM109" s="19" t="s">
        <v>4254</v>
      </c>
      <c r="EN109" s="19" t="s">
        <v>334</v>
      </c>
      <c r="EO109" s="19" t="s">
        <v>4165</v>
      </c>
      <c r="EP109" s="19" t="s">
        <v>2122</v>
      </c>
      <c r="EQ109" s="19" t="s">
        <v>4172</v>
      </c>
      <c r="ER109" s="19" t="s">
        <v>2177</v>
      </c>
      <c r="ES109" s="19" t="s">
        <v>334</v>
      </c>
      <c r="ET109" s="19" t="s">
        <v>334</v>
      </c>
      <c r="EU109" s="19" t="s">
        <v>4252</v>
      </c>
      <c r="EV109" s="19">
        <v>9410.0</v>
      </c>
      <c r="EW109" s="19" t="s">
        <v>16</v>
      </c>
      <c r="EX109" s="19">
        <v>2.0</v>
      </c>
      <c r="EY109" s="25" t="s">
        <v>333</v>
      </c>
      <c r="EZ109" s="19" t="s">
        <v>2154</v>
      </c>
      <c r="FA109" s="5" t="s">
        <v>4262</v>
      </c>
      <c r="FB109" s="26" t="s">
        <v>2156</v>
      </c>
      <c r="FC109" s="26"/>
    </row>
    <row r="110">
      <c r="A110" s="19" t="s">
        <v>2156</v>
      </c>
      <c r="B110" s="19" t="s">
        <v>2113</v>
      </c>
      <c r="C110" s="19" t="s">
        <v>2113</v>
      </c>
      <c r="D110" s="19" t="s">
        <v>335</v>
      </c>
      <c r="E110" s="19" t="s">
        <v>4263</v>
      </c>
      <c r="F110" s="19" t="s">
        <v>4264</v>
      </c>
      <c r="G110" s="19" t="s">
        <v>4265</v>
      </c>
      <c r="H110" s="19" t="s">
        <v>335</v>
      </c>
      <c r="I110" s="19" t="s">
        <v>337</v>
      </c>
      <c r="J110" s="19" t="s">
        <v>4266</v>
      </c>
      <c r="K110" s="19" t="s">
        <v>4267</v>
      </c>
      <c r="L110" s="20">
        <v>45398.0</v>
      </c>
      <c r="M110" s="20">
        <v>45411.0</v>
      </c>
      <c r="N110" s="20">
        <v>45411.0</v>
      </c>
      <c r="O110" s="19" t="s">
        <v>336</v>
      </c>
      <c r="P110" s="19">
        <v>0.0</v>
      </c>
      <c r="Q110" s="19">
        <v>25.0</v>
      </c>
      <c r="R110" s="19">
        <v>9274.0</v>
      </c>
      <c r="S110" s="20" t="s">
        <v>4268</v>
      </c>
      <c r="T110" s="20">
        <v>45461.0</v>
      </c>
      <c r="U110" s="19" t="s">
        <v>4264</v>
      </c>
      <c r="V110" s="19"/>
      <c r="W110" s="19"/>
      <c r="X110" s="21">
        <v>20.0</v>
      </c>
      <c r="Y110" s="21">
        <v>10.0</v>
      </c>
      <c r="Z110" s="21">
        <v>4.0</v>
      </c>
      <c r="AA110" s="21">
        <v>0.0</v>
      </c>
      <c r="AB110" s="5">
        <v>34.0</v>
      </c>
      <c r="AC110" s="19">
        <v>5.0</v>
      </c>
      <c r="AD110" s="19">
        <v>5.0</v>
      </c>
      <c r="AE110" s="19">
        <v>5.0</v>
      </c>
      <c r="AF110" s="19">
        <v>4.5</v>
      </c>
      <c r="AG110" s="19">
        <v>4.5</v>
      </c>
      <c r="AH110" s="19">
        <v>5.0</v>
      </c>
      <c r="AI110" s="22">
        <v>14.625</v>
      </c>
      <c r="AJ110" s="19">
        <v>12.0</v>
      </c>
      <c r="AK110" s="19">
        <v>12.0</v>
      </c>
      <c r="AL110" s="19">
        <v>12.0</v>
      </c>
      <c r="AM110" s="19">
        <v>36.0</v>
      </c>
      <c r="AN110" s="19">
        <v>50.6</v>
      </c>
      <c r="AO110" s="19">
        <v>84.6</v>
      </c>
      <c r="AP110" s="19">
        <v>115.0</v>
      </c>
      <c r="AQ110" s="23">
        <v>107.0</v>
      </c>
      <c r="AR110" s="23">
        <v>7.0</v>
      </c>
      <c r="AS110" s="22"/>
      <c r="AT110" s="19" t="s">
        <v>2117</v>
      </c>
      <c r="AU110" s="19" t="s">
        <v>2485</v>
      </c>
      <c r="AV110" s="19" t="s">
        <v>4269</v>
      </c>
      <c r="AW110" s="19" t="s">
        <v>3923</v>
      </c>
      <c r="AX110" s="20">
        <v>36187.0</v>
      </c>
      <c r="AY110" s="19" t="s">
        <v>2702</v>
      </c>
      <c r="AZ110" s="19" t="s">
        <v>2122</v>
      </c>
      <c r="BA110" s="19" t="s">
        <v>4270</v>
      </c>
      <c r="BB110" s="19" t="s">
        <v>4271</v>
      </c>
      <c r="BC110" s="19" t="s">
        <v>4272</v>
      </c>
      <c r="BD110" s="19" t="s">
        <v>4273</v>
      </c>
      <c r="BE110" s="19" t="s">
        <v>4266</v>
      </c>
      <c r="BF110" s="19" t="s">
        <v>4274</v>
      </c>
      <c r="BG110" s="19" t="s">
        <v>2127</v>
      </c>
      <c r="BH110" s="19" t="s">
        <v>2128</v>
      </c>
      <c r="BI110" s="19"/>
      <c r="BJ110" s="19" t="s">
        <v>2128</v>
      </c>
      <c r="BK110" s="19" t="s">
        <v>17</v>
      </c>
      <c r="BL110" s="19" t="s">
        <v>2113</v>
      </c>
      <c r="BM110" s="19" t="s">
        <v>2130</v>
      </c>
      <c r="BN110" s="19" t="s">
        <v>4275</v>
      </c>
      <c r="BO110" s="19" t="s">
        <v>2317</v>
      </c>
      <c r="BP110" s="19" t="s">
        <v>4276</v>
      </c>
      <c r="BQ110" s="19" t="s">
        <v>2318</v>
      </c>
      <c r="BR110" s="19" t="s">
        <v>2318</v>
      </c>
      <c r="BS110" s="19" t="s">
        <v>2243</v>
      </c>
      <c r="BT110" s="19" t="s">
        <v>42</v>
      </c>
      <c r="BU110" s="19" t="s">
        <v>4277</v>
      </c>
      <c r="BV110" s="19" t="s">
        <v>4278</v>
      </c>
      <c r="BW110" s="19"/>
      <c r="BX110" s="19" t="s">
        <v>2113</v>
      </c>
      <c r="BY110" s="19" t="s">
        <v>2113</v>
      </c>
      <c r="BZ110" s="19" t="s">
        <v>2113</v>
      </c>
      <c r="CA110" s="19" t="s">
        <v>2113</v>
      </c>
      <c r="CB110" s="19" t="s">
        <v>2113</v>
      </c>
      <c r="CC110" s="19"/>
      <c r="CD110" s="19" t="s">
        <v>2137</v>
      </c>
      <c r="CE110" s="19" t="s">
        <v>16</v>
      </c>
      <c r="CF110" s="19"/>
      <c r="CG110" s="19"/>
      <c r="CH110" s="19" t="s">
        <v>16</v>
      </c>
      <c r="CI110" s="21">
        <v>0.0</v>
      </c>
      <c r="CJ110" s="19" t="s">
        <v>16</v>
      </c>
      <c r="CK110" s="19" t="s">
        <v>2113</v>
      </c>
      <c r="CL110" s="19"/>
      <c r="CM110" s="19" t="s">
        <v>2344</v>
      </c>
      <c r="CN110" s="19" t="s">
        <v>2321</v>
      </c>
      <c r="CO110" s="19"/>
      <c r="CP110" s="19" t="s">
        <v>2140</v>
      </c>
      <c r="CQ110" s="19"/>
      <c r="CR110" s="19"/>
      <c r="CS110" s="19"/>
      <c r="CT110" s="19"/>
      <c r="CU110" s="19"/>
      <c r="CV110" s="19" t="s">
        <v>2141</v>
      </c>
      <c r="CW110" s="19" t="s">
        <v>2113</v>
      </c>
      <c r="CX110" s="19" t="s">
        <v>2113</v>
      </c>
      <c r="CY110" s="19" t="s">
        <v>2113</v>
      </c>
      <c r="CZ110" s="19" t="s">
        <v>2113</v>
      </c>
      <c r="DA110" s="19" t="s">
        <v>16</v>
      </c>
      <c r="DB110" s="19" t="s">
        <v>16</v>
      </c>
      <c r="DC110" s="19" t="s">
        <v>2983</v>
      </c>
      <c r="DD110" s="19" t="s">
        <v>2113</v>
      </c>
      <c r="DE110" s="19" t="s">
        <v>2113</v>
      </c>
      <c r="DF110" s="19" t="s">
        <v>3163</v>
      </c>
      <c r="DG110" s="19" t="s">
        <v>2324</v>
      </c>
      <c r="DH110" s="19" t="s">
        <v>2144</v>
      </c>
      <c r="DI110" s="24">
        <v>45519.0</v>
      </c>
      <c r="DJ110" s="19" t="s">
        <v>2325</v>
      </c>
      <c r="DK110" s="19" t="s">
        <v>2145</v>
      </c>
      <c r="DL110" s="19" t="s">
        <v>2326</v>
      </c>
      <c r="DM110" s="19"/>
      <c r="DN110" s="19">
        <v>5.0</v>
      </c>
      <c r="DO110" s="19">
        <v>5.0</v>
      </c>
      <c r="DP110" s="19" t="s">
        <v>4279</v>
      </c>
      <c r="DQ110" s="19" t="s">
        <v>4280</v>
      </c>
      <c r="DR110" s="19" t="s">
        <v>4281</v>
      </c>
      <c r="DS110" s="19" t="s">
        <v>2185</v>
      </c>
      <c r="DT110" s="19" t="s">
        <v>2209</v>
      </c>
      <c r="DU110" s="19"/>
      <c r="DV110" s="19"/>
      <c r="DW110" s="19" t="s">
        <v>2188</v>
      </c>
      <c r="DX110" s="19">
        <v>5.0</v>
      </c>
      <c r="DY110" s="19">
        <v>10.0</v>
      </c>
      <c r="DZ110" s="19">
        <v>0.0</v>
      </c>
      <c r="EA110" s="19">
        <v>10.0</v>
      </c>
      <c r="EB110" s="19">
        <v>0.0</v>
      </c>
      <c r="EC110" s="19">
        <v>20.0</v>
      </c>
      <c r="ED110" s="19" t="s">
        <v>2325</v>
      </c>
      <c r="EE110" s="24">
        <v>45519.0</v>
      </c>
      <c r="EF110" s="19" t="s">
        <v>2325</v>
      </c>
      <c r="EG110" s="19" t="s">
        <v>2145</v>
      </c>
      <c r="EH110" s="19" t="s">
        <v>2326</v>
      </c>
      <c r="EI110" s="22">
        <v>14.625</v>
      </c>
      <c r="EJ110" s="19">
        <v>36.0</v>
      </c>
      <c r="EK110" s="19"/>
      <c r="EL110" s="19" t="s">
        <v>2117</v>
      </c>
      <c r="EM110" s="19" t="s">
        <v>2485</v>
      </c>
      <c r="EN110" s="19" t="s">
        <v>337</v>
      </c>
      <c r="EO110" s="19" t="s">
        <v>2702</v>
      </c>
      <c r="EP110" s="19" t="s">
        <v>2122</v>
      </c>
      <c r="EQ110" s="19" t="s">
        <v>2321</v>
      </c>
      <c r="ER110" s="19"/>
      <c r="ES110" s="19" t="s">
        <v>337</v>
      </c>
      <c r="ET110" s="19" t="s">
        <v>337</v>
      </c>
      <c r="EU110" s="19" t="s">
        <v>4267</v>
      </c>
      <c r="EV110" s="19">
        <v>9274.0</v>
      </c>
      <c r="EW110" s="19" t="s">
        <v>16</v>
      </c>
      <c r="EX110" s="19">
        <v>4.0</v>
      </c>
      <c r="EY110" s="25" t="s">
        <v>336</v>
      </c>
      <c r="EZ110" s="19" t="s">
        <v>2154</v>
      </c>
      <c r="FA110" s="5" t="s">
        <v>4282</v>
      </c>
      <c r="FB110" s="26" t="s">
        <v>2156</v>
      </c>
      <c r="FC110" s="26"/>
    </row>
    <row r="111">
      <c r="A111" s="19" t="s">
        <v>2156</v>
      </c>
      <c r="B111" s="19" t="s">
        <v>2113</v>
      </c>
      <c r="C111" s="19" t="s">
        <v>2113</v>
      </c>
      <c r="D111" s="19" t="s">
        <v>338</v>
      </c>
      <c r="E111" s="19" t="s">
        <v>4283</v>
      </c>
      <c r="F111" s="19" t="s">
        <v>4284</v>
      </c>
      <c r="G111" s="19" t="s">
        <v>4285</v>
      </c>
      <c r="H111" s="19" t="s">
        <v>338</v>
      </c>
      <c r="I111" s="19" t="s">
        <v>340</v>
      </c>
      <c r="J111" s="19" t="s">
        <v>4286</v>
      </c>
      <c r="K111" s="19" t="s">
        <v>4287</v>
      </c>
      <c r="L111" s="20">
        <v>45429.0</v>
      </c>
      <c r="M111" s="20">
        <v>45432.0</v>
      </c>
      <c r="N111" s="20">
        <v>45432.0</v>
      </c>
      <c r="O111" s="19" t="s">
        <v>339</v>
      </c>
      <c r="P111" s="19">
        <v>0.0</v>
      </c>
      <c r="Q111" s="19">
        <v>18.0</v>
      </c>
      <c r="R111" s="19">
        <v>6844.0</v>
      </c>
      <c r="S111" s="20" t="s">
        <v>4288</v>
      </c>
      <c r="T111" s="20">
        <v>45461.0</v>
      </c>
      <c r="U111" s="19" t="s">
        <v>4284</v>
      </c>
      <c r="V111" s="19"/>
      <c r="W111" s="19"/>
      <c r="X111" s="21">
        <v>20.0</v>
      </c>
      <c r="Y111" s="21">
        <v>0.0</v>
      </c>
      <c r="Z111" s="21">
        <v>5.0</v>
      </c>
      <c r="AA111" s="21">
        <v>0.0</v>
      </c>
      <c r="AB111" s="5">
        <v>25.0</v>
      </c>
      <c r="AC111" s="19">
        <v>5.0</v>
      </c>
      <c r="AD111" s="19">
        <v>4.5</v>
      </c>
      <c r="AE111" s="19">
        <v>5.0</v>
      </c>
      <c r="AF111" s="19">
        <v>4.5</v>
      </c>
      <c r="AG111" s="19">
        <v>5.0</v>
      </c>
      <c r="AH111" s="19">
        <v>4.5</v>
      </c>
      <c r="AI111" s="22">
        <v>14.296875</v>
      </c>
      <c r="AJ111" s="19">
        <v>15.0</v>
      </c>
      <c r="AK111" s="19">
        <v>15.0</v>
      </c>
      <c r="AL111" s="19">
        <v>15.0</v>
      </c>
      <c r="AM111" s="19">
        <v>45.0</v>
      </c>
      <c r="AN111" s="19">
        <v>59.3</v>
      </c>
      <c r="AO111" s="19">
        <v>84.3</v>
      </c>
      <c r="AP111" s="19">
        <v>280.0</v>
      </c>
      <c r="AQ111" s="23">
        <v>108.0</v>
      </c>
      <c r="AR111" s="23">
        <v>11.0</v>
      </c>
      <c r="AS111" s="22"/>
      <c r="AT111" s="19" t="s">
        <v>2282</v>
      </c>
      <c r="AU111" s="19" t="s">
        <v>4289</v>
      </c>
      <c r="AV111" s="19" t="s">
        <v>4290</v>
      </c>
      <c r="AW111" s="19" t="s">
        <v>2701</v>
      </c>
      <c r="AX111" s="20">
        <v>38617.0</v>
      </c>
      <c r="AY111" s="19" t="s">
        <v>2421</v>
      </c>
      <c r="AZ111" s="19" t="s">
        <v>2122</v>
      </c>
      <c r="BA111" s="19" t="s">
        <v>4291</v>
      </c>
      <c r="BB111" s="19" t="s">
        <v>4292</v>
      </c>
      <c r="BC111" s="19" t="s">
        <v>4293</v>
      </c>
      <c r="BD111" s="19" t="s">
        <v>4294</v>
      </c>
      <c r="BE111" s="19" t="s">
        <v>4286</v>
      </c>
      <c r="BF111" s="19">
        <v>1.1939032667E10</v>
      </c>
      <c r="BG111" s="19" t="s">
        <v>4038</v>
      </c>
      <c r="BH111" s="19" t="s">
        <v>2128</v>
      </c>
      <c r="BI111" s="19"/>
      <c r="BJ111" s="19" t="s">
        <v>2129</v>
      </c>
      <c r="BK111" s="19" t="s">
        <v>17</v>
      </c>
      <c r="BL111" s="19"/>
      <c r="BM111" s="19" t="s">
        <v>2130</v>
      </c>
      <c r="BN111" s="19" t="s">
        <v>4295</v>
      </c>
      <c r="BO111" s="19" t="s">
        <v>2132</v>
      </c>
      <c r="BP111" s="19" t="s">
        <v>4296</v>
      </c>
      <c r="BQ111" s="19" t="s">
        <v>2325</v>
      </c>
      <c r="BR111" s="19" t="s">
        <v>2325</v>
      </c>
      <c r="BS111" s="19" t="s">
        <v>2134</v>
      </c>
      <c r="BT111" s="19" t="s">
        <v>59</v>
      </c>
      <c r="BU111" s="19" t="s">
        <v>4297</v>
      </c>
      <c r="BV111" s="19" t="s">
        <v>4298</v>
      </c>
      <c r="BW111" s="19" t="s">
        <v>2113</v>
      </c>
      <c r="BX111" s="19"/>
      <c r="BY111" s="19"/>
      <c r="BZ111" s="19"/>
      <c r="CA111" s="19"/>
      <c r="CB111" s="19" t="s">
        <v>2113</v>
      </c>
      <c r="CC111" s="19"/>
      <c r="CD111" s="19" t="s">
        <v>2137</v>
      </c>
      <c r="CE111" s="19" t="s">
        <v>16</v>
      </c>
      <c r="CF111" s="19"/>
      <c r="CG111" s="19"/>
      <c r="CH111" s="19" t="s">
        <v>16</v>
      </c>
      <c r="CI111" s="21">
        <v>0.0</v>
      </c>
      <c r="CJ111" s="19" t="s">
        <v>16</v>
      </c>
      <c r="CK111" s="19"/>
      <c r="CL111" s="19"/>
      <c r="CM111" s="19" t="s">
        <v>2926</v>
      </c>
      <c r="CN111" s="19" t="s">
        <v>2431</v>
      </c>
      <c r="CO111" s="19"/>
      <c r="CP111" s="19" t="s">
        <v>2246</v>
      </c>
      <c r="CQ111" s="19"/>
      <c r="CR111" s="19" t="s">
        <v>2113</v>
      </c>
      <c r="CS111" s="19" t="s">
        <v>2113</v>
      </c>
      <c r="CT111" s="19" t="s">
        <v>2113</v>
      </c>
      <c r="CU111" s="19" t="s">
        <v>2113</v>
      </c>
      <c r="CV111" s="19" t="s">
        <v>2141</v>
      </c>
      <c r="CW111" s="19" t="s">
        <v>2113</v>
      </c>
      <c r="CX111" s="19" t="s">
        <v>2113</v>
      </c>
      <c r="CY111" s="19" t="s">
        <v>2113</v>
      </c>
      <c r="CZ111" s="19" t="s">
        <v>2113</v>
      </c>
      <c r="DA111" s="19" t="s">
        <v>16</v>
      </c>
      <c r="DB111" s="19" t="s">
        <v>16</v>
      </c>
      <c r="DC111" s="19" t="s">
        <v>2497</v>
      </c>
      <c r="DD111" s="19" t="s">
        <v>2113</v>
      </c>
      <c r="DE111" s="19" t="s">
        <v>2113</v>
      </c>
      <c r="DF111" s="19" t="s">
        <v>2653</v>
      </c>
      <c r="DG111" s="19" t="s">
        <v>2432</v>
      </c>
      <c r="DH111" s="19" t="s">
        <v>2144</v>
      </c>
      <c r="DI111" s="24">
        <v>45518.0</v>
      </c>
      <c r="DJ111" s="19" t="s">
        <v>2325</v>
      </c>
      <c r="DK111" s="19" t="s">
        <v>2271</v>
      </c>
      <c r="DL111" s="19" t="s">
        <v>2326</v>
      </c>
      <c r="DM111" s="19"/>
      <c r="DN111" s="19">
        <v>4.0</v>
      </c>
      <c r="DO111" s="19">
        <v>4.0</v>
      </c>
      <c r="DP111" s="19" t="s">
        <v>4299</v>
      </c>
      <c r="DQ111" s="19" t="s">
        <v>4300</v>
      </c>
      <c r="DR111" s="19" t="s">
        <v>4301</v>
      </c>
      <c r="DS111" s="19" t="s">
        <v>2185</v>
      </c>
      <c r="DT111" s="19" t="s">
        <v>2209</v>
      </c>
      <c r="DU111" s="19"/>
      <c r="DV111" s="19"/>
      <c r="DW111" s="19" t="s">
        <v>2153</v>
      </c>
      <c r="DX111" s="19">
        <v>3.0</v>
      </c>
      <c r="DY111" s="19">
        <v>0.0</v>
      </c>
      <c r="DZ111" s="19">
        <v>0.0</v>
      </c>
      <c r="EA111" s="19">
        <v>0.0</v>
      </c>
      <c r="EB111" s="19">
        <v>0.0</v>
      </c>
      <c r="EC111" s="19">
        <v>20.0</v>
      </c>
      <c r="ED111" s="19" t="s">
        <v>2325</v>
      </c>
      <c r="EE111" s="24">
        <v>45518.0</v>
      </c>
      <c r="EF111" s="19" t="s">
        <v>2325</v>
      </c>
      <c r="EG111" s="19" t="s">
        <v>2271</v>
      </c>
      <c r="EH111" s="19" t="s">
        <v>2326</v>
      </c>
      <c r="EI111" s="22">
        <v>14.296875</v>
      </c>
      <c r="EJ111" s="19">
        <v>45.0</v>
      </c>
      <c r="EK111" s="19"/>
      <c r="EL111" s="19" t="s">
        <v>2282</v>
      </c>
      <c r="EM111" s="19" t="s">
        <v>4289</v>
      </c>
      <c r="EN111" s="19" t="s">
        <v>340</v>
      </c>
      <c r="EO111" s="19" t="s">
        <v>2421</v>
      </c>
      <c r="EP111" s="19" t="s">
        <v>2122</v>
      </c>
      <c r="EQ111" s="19" t="s">
        <v>2431</v>
      </c>
      <c r="ER111" s="19"/>
      <c r="ES111" s="19" t="s">
        <v>340</v>
      </c>
      <c r="ET111" s="19" t="s">
        <v>340</v>
      </c>
      <c r="EU111" s="19" t="s">
        <v>4287</v>
      </c>
      <c r="EV111" s="19">
        <v>6844.0</v>
      </c>
      <c r="EW111" s="19" t="s">
        <v>16</v>
      </c>
      <c r="EX111" s="19">
        <v>5.0</v>
      </c>
      <c r="EY111" s="25" t="s">
        <v>339</v>
      </c>
      <c r="EZ111" s="19" t="s">
        <v>2154</v>
      </c>
      <c r="FA111" s="5" t="s">
        <v>4302</v>
      </c>
      <c r="FB111" s="26" t="s">
        <v>2156</v>
      </c>
      <c r="FC111" s="26"/>
    </row>
    <row r="112">
      <c r="A112" s="19" t="s">
        <v>2112</v>
      </c>
      <c r="B112" s="19" t="s">
        <v>2113</v>
      </c>
      <c r="C112" s="19" t="s">
        <v>2113</v>
      </c>
      <c r="D112" s="19" t="s">
        <v>4303</v>
      </c>
      <c r="E112" s="19" t="s">
        <v>4304</v>
      </c>
      <c r="F112" s="19" t="s">
        <v>4303</v>
      </c>
      <c r="G112" s="19" t="s">
        <v>4304</v>
      </c>
      <c r="H112" s="19" t="s">
        <v>341</v>
      </c>
      <c r="I112" s="19" t="s">
        <v>343</v>
      </c>
      <c r="J112" s="19" t="s">
        <v>4305</v>
      </c>
      <c r="K112" s="19" t="s">
        <v>4306</v>
      </c>
      <c r="L112" s="20">
        <v>45459.0</v>
      </c>
      <c r="M112" s="20">
        <v>45460.0</v>
      </c>
      <c r="N112" s="20">
        <v>45460.0</v>
      </c>
      <c r="O112" s="19" t="s">
        <v>342</v>
      </c>
      <c r="P112" s="19">
        <v>0.0</v>
      </c>
      <c r="Q112" s="19">
        <v>20.0</v>
      </c>
      <c r="R112" s="19">
        <v>7541.0</v>
      </c>
      <c r="S112" s="20" t="s">
        <v>4307</v>
      </c>
      <c r="T112" s="20">
        <v>45461.0</v>
      </c>
      <c r="U112" s="19" t="s">
        <v>4303</v>
      </c>
      <c r="V112" s="19"/>
      <c r="W112" s="19" t="s">
        <v>4308</v>
      </c>
      <c r="X112" s="21">
        <v>20.0</v>
      </c>
      <c r="Y112" s="21">
        <v>0.0</v>
      </c>
      <c r="Z112" s="21">
        <v>5.0</v>
      </c>
      <c r="AA112" s="21">
        <v>0.0</v>
      </c>
      <c r="AB112" s="5">
        <v>25.0</v>
      </c>
      <c r="AC112" s="19">
        <v>5.0</v>
      </c>
      <c r="AD112" s="19">
        <v>5.0</v>
      </c>
      <c r="AE112" s="19">
        <v>5.0</v>
      </c>
      <c r="AF112" s="19">
        <v>5.0</v>
      </c>
      <c r="AG112" s="19">
        <v>4.0</v>
      </c>
      <c r="AH112" s="19">
        <v>4.0</v>
      </c>
      <c r="AI112" s="22">
        <v>14.25</v>
      </c>
      <c r="AJ112" s="19">
        <v>15.0</v>
      </c>
      <c r="AK112" s="19">
        <v>15.0</v>
      </c>
      <c r="AL112" s="19">
        <v>15.0</v>
      </c>
      <c r="AM112" s="19">
        <v>45.0</v>
      </c>
      <c r="AN112" s="19">
        <v>59.3</v>
      </c>
      <c r="AO112" s="19">
        <v>84.3</v>
      </c>
      <c r="AP112" s="19">
        <v>275.0</v>
      </c>
      <c r="AQ112" s="23">
        <v>109.0</v>
      </c>
      <c r="AR112" s="23">
        <v>13.0</v>
      </c>
      <c r="AS112" s="22"/>
      <c r="AT112" s="19" t="s">
        <v>2163</v>
      </c>
      <c r="AU112" s="19" t="s">
        <v>4309</v>
      </c>
      <c r="AV112" s="19" t="s">
        <v>4310</v>
      </c>
      <c r="AW112" s="19" t="s">
        <v>3383</v>
      </c>
      <c r="AX112" s="20">
        <v>37920.0</v>
      </c>
      <c r="AY112" s="19" t="s">
        <v>2121</v>
      </c>
      <c r="AZ112" s="19" t="s">
        <v>2122</v>
      </c>
      <c r="BA112" s="19" t="s">
        <v>4311</v>
      </c>
      <c r="BB112" s="19" t="s">
        <v>4312</v>
      </c>
      <c r="BC112" s="19" t="s">
        <v>4313</v>
      </c>
      <c r="BD112" s="19" t="s">
        <v>4314</v>
      </c>
      <c r="BE112" s="19" t="s">
        <v>4315</v>
      </c>
      <c r="BF112" s="19">
        <v>1.1988173848E10</v>
      </c>
      <c r="BG112" s="19" t="s">
        <v>4316</v>
      </c>
      <c r="BH112" s="19" t="s">
        <v>2128</v>
      </c>
      <c r="BI112" s="19"/>
      <c r="BJ112" s="19" t="s">
        <v>2129</v>
      </c>
      <c r="BK112" s="19" t="s">
        <v>17</v>
      </c>
      <c r="BL112" s="19"/>
      <c r="BM112" s="19" t="s">
        <v>2130</v>
      </c>
      <c r="BN112" s="19" t="s">
        <v>4317</v>
      </c>
      <c r="BO112" s="19" t="s">
        <v>2132</v>
      </c>
      <c r="BP112" s="19" t="s">
        <v>4318</v>
      </c>
      <c r="BQ112" s="19" t="s">
        <v>2133</v>
      </c>
      <c r="BR112" s="19" t="s">
        <v>2133</v>
      </c>
      <c r="BS112" s="19" t="s">
        <v>2134</v>
      </c>
      <c r="BT112" s="19" t="s">
        <v>15</v>
      </c>
      <c r="BU112" s="19" t="s">
        <v>4319</v>
      </c>
      <c r="BV112" s="19" t="s">
        <v>4320</v>
      </c>
      <c r="BW112" s="19" t="s">
        <v>2113</v>
      </c>
      <c r="BX112" s="19"/>
      <c r="BY112" s="19"/>
      <c r="BZ112" s="19"/>
      <c r="CA112" s="19"/>
      <c r="CB112" s="19" t="s">
        <v>2113</v>
      </c>
      <c r="CC112" s="19"/>
      <c r="CD112" s="19" t="s">
        <v>2137</v>
      </c>
      <c r="CE112" s="19" t="s">
        <v>16</v>
      </c>
      <c r="CF112" s="19"/>
      <c r="CG112" s="19"/>
      <c r="CH112" s="19" t="s">
        <v>16</v>
      </c>
      <c r="CI112" s="21">
        <v>0.0</v>
      </c>
      <c r="CJ112" s="19" t="s">
        <v>17</v>
      </c>
      <c r="CK112" s="19"/>
      <c r="CL112" s="19"/>
      <c r="CM112" s="19" t="s">
        <v>2138</v>
      </c>
      <c r="CN112" s="19" t="s">
        <v>2139</v>
      </c>
      <c r="CO112" s="19"/>
      <c r="CP112" s="19" t="s">
        <v>2246</v>
      </c>
      <c r="CQ112" s="19"/>
      <c r="CR112" s="19" t="s">
        <v>2113</v>
      </c>
      <c r="CS112" s="19" t="s">
        <v>2113</v>
      </c>
      <c r="CT112" s="19"/>
      <c r="CU112" s="19"/>
      <c r="CV112" s="19" t="s">
        <v>2141</v>
      </c>
      <c r="CW112" s="19"/>
      <c r="CX112" s="19"/>
      <c r="CY112" s="19"/>
      <c r="CZ112" s="19"/>
      <c r="DA112" s="19" t="s">
        <v>16</v>
      </c>
      <c r="DB112" s="19" t="s">
        <v>17</v>
      </c>
      <c r="DC112" s="19" t="s">
        <v>2142</v>
      </c>
      <c r="DD112" s="19" t="s">
        <v>2113</v>
      </c>
      <c r="DE112" s="19" t="s">
        <v>2113</v>
      </c>
      <c r="DF112" s="19" t="s">
        <v>2477</v>
      </c>
      <c r="DG112" s="19" t="s">
        <v>2405</v>
      </c>
      <c r="DH112" s="19" t="s">
        <v>2144</v>
      </c>
      <c r="DI112" s="24">
        <v>45525.0</v>
      </c>
      <c r="DJ112" s="19" t="s">
        <v>2133</v>
      </c>
      <c r="DK112" s="19" t="s">
        <v>2271</v>
      </c>
      <c r="DL112" s="19" t="s">
        <v>2146</v>
      </c>
      <c r="DM112" s="19" t="s">
        <v>2408</v>
      </c>
      <c r="DN112" s="19">
        <v>10.0</v>
      </c>
      <c r="DO112" s="19">
        <v>10.0</v>
      </c>
      <c r="DP112" s="19" t="s">
        <v>4321</v>
      </c>
      <c r="DQ112" s="19" t="s">
        <v>4322</v>
      </c>
      <c r="DR112" s="19" t="s">
        <v>4323</v>
      </c>
      <c r="DS112" s="19" t="s">
        <v>2365</v>
      </c>
      <c r="DT112" s="19" t="s">
        <v>2209</v>
      </c>
      <c r="DU112" s="19"/>
      <c r="DV112" s="19"/>
      <c r="DW112" s="19" t="s">
        <v>2153</v>
      </c>
      <c r="DX112" s="19">
        <v>8.0</v>
      </c>
      <c r="DY112" s="19">
        <v>0.0</v>
      </c>
      <c r="DZ112" s="19">
        <v>0.0</v>
      </c>
      <c r="EA112" s="19">
        <v>0.0</v>
      </c>
      <c r="EB112" s="19">
        <v>0.0</v>
      </c>
      <c r="EC112" s="19">
        <v>20.0</v>
      </c>
      <c r="ED112" s="19" t="s">
        <v>2133</v>
      </c>
      <c r="EE112" s="24">
        <v>45525.0</v>
      </c>
      <c r="EF112" s="19" t="s">
        <v>2133</v>
      </c>
      <c r="EG112" s="19" t="s">
        <v>2271</v>
      </c>
      <c r="EH112" s="19" t="s">
        <v>2146</v>
      </c>
      <c r="EI112" s="22">
        <v>14.25</v>
      </c>
      <c r="EJ112" s="19">
        <v>45.0</v>
      </c>
      <c r="EK112" s="19" t="s">
        <v>2113</v>
      </c>
      <c r="EL112" s="19" t="s">
        <v>2163</v>
      </c>
      <c r="EM112" s="19" t="s">
        <v>4309</v>
      </c>
      <c r="EN112" s="19" t="s">
        <v>343</v>
      </c>
      <c r="EO112" s="19" t="s">
        <v>2121</v>
      </c>
      <c r="EP112" s="19" t="s">
        <v>2122</v>
      </c>
      <c r="EQ112" s="19" t="s">
        <v>2139</v>
      </c>
      <c r="ER112" s="19"/>
      <c r="ES112" s="19" t="s">
        <v>343</v>
      </c>
      <c r="ET112" s="19" t="s">
        <v>343</v>
      </c>
      <c r="EU112" s="19" t="s">
        <v>4306</v>
      </c>
      <c r="EV112" s="19">
        <v>7541.0</v>
      </c>
      <c r="EW112" s="19" t="s">
        <v>16</v>
      </c>
      <c r="EX112" s="19">
        <v>5.0</v>
      </c>
      <c r="EY112" s="25" t="s">
        <v>342</v>
      </c>
      <c r="EZ112" s="19" t="s">
        <v>2154</v>
      </c>
      <c r="FA112" s="5" t="s">
        <v>4324</v>
      </c>
      <c r="FB112" s="26" t="s">
        <v>2156</v>
      </c>
      <c r="FC112" s="26"/>
    </row>
    <row r="113">
      <c r="A113" s="19" t="s">
        <v>2112</v>
      </c>
      <c r="B113" s="19" t="s">
        <v>2113</v>
      </c>
      <c r="C113" s="19" t="s">
        <v>2113</v>
      </c>
      <c r="D113" s="19" t="s">
        <v>344</v>
      </c>
      <c r="E113" s="19" t="s">
        <v>4325</v>
      </c>
      <c r="F113" s="19" t="s">
        <v>344</v>
      </c>
      <c r="G113" s="19"/>
      <c r="H113" s="19" t="s">
        <v>344</v>
      </c>
      <c r="I113" s="19" t="s">
        <v>346</v>
      </c>
      <c r="J113" s="19" t="s">
        <v>4326</v>
      </c>
      <c r="K113" s="19" t="s">
        <v>4327</v>
      </c>
      <c r="L113" s="20">
        <v>45445.0</v>
      </c>
      <c r="M113" s="20">
        <v>45446.0</v>
      </c>
      <c r="N113" s="20">
        <v>45446.0</v>
      </c>
      <c r="O113" s="19" t="s">
        <v>345</v>
      </c>
      <c r="P113" s="19">
        <v>0.0</v>
      </c>
      <c r="Q113" s="19">
        <v>24.0</v>
      </c>
      <c r="R113" s="19">
        <v>8797.0</v>
      </c>
      <c r="S113" s="20" t="s">
        <v>4328</v>
      </c>
      <c r="T113" s="20">
        <v>45461.0</v>
      </c>
      <c r="U113" s="19" t="s">
        <v>344</v>
      </c>
      <c r="V113" s="19"/>
      <c r="W113" s="19"/>
      <c r="X113" s="21">
        <v>20.0</v>
      </c>
      <c r="Y113" s="21">
        <v>10.0</v>
      </c>
      <c r="Z113" s="21">
        <v>4.0</v>
      </c>
      <c r="AA113" s="21">
        <v>0.0</v>
      </c>
      <c r="AB113" s="5">
        <v>34.0</v>
      </c>
      <c r="AC113" s="19">
        <v>5.0</v>
      </c>
      <c r="AD113" s="19">
        <v>5.0</v>
      </c>
      <c r="AE113" s="19">
        <v>5.0</v>
      </c>
      <c r="AF113" s="19">
        <v>5.0</v>
      </c>
      <c r="AG113" s="19">
        <v>5.0</v>
      </c>
      <c r="AH113" s="19">
        <v>5.0</v>
      </c>
      <c r="AI113" s="22">
        <v>15.0</v>
      </c>
      <c r="AJ113" s="19">
        <v>14.0</v>
      </c>
      <c r="AK113" s="19">
        <v>11.0</v>
      </c>
      <c r="AL113" s="19">
        <v>10.0</v>
      </c>
      <c r="AM113" s="19">
        <v>35.0</v>
      </c>
      <c r="AN113" s="19">
        <v>50.0</v>
      </c>
      <c r="AO113" s="19">
        <v>84.0</v>
      </c>
      <c r="AP113" s="19">
        <v>118.0</v>
      </c>
      <c r="AQ113" s="23">
        <v>110.0</v>
      </c>
      <c r="AR113" s="23">
        <v>7.0</v>
      </c>
      <c r="AS113" s="22"/>
      <c r="AT113" s="19" t="s">
        <v>2163</v>
      </c>
      <c r="AU113" s="19" t="s">
        <v>4329</v>
      </c>
      <c r="AV113" s="19" t="s">
        <v>4330</v>
      </c>
      <c r="AW113" s="19" t="s">
        <v>2166</v>
      </c>
      <c r="AX113" s="20">
        <v>36664.0</v>
      </c>
      <c r="AY113" s="19" t="s">
        <v>2375</v>
      </c>
      <c r="AZ113" s="19" t="s">
        <v>2122</v>
      </c>
      <c r="BA113" s="19" t="s">
        <v>4331</v>
      </c>
      <c r="BB113" s="19" t="s">
        <v>2860</v>
      </c>
      <c r="BC113" s="19" t="s">
        <v>4332</v>
      </c>
      <c r="BD113" s="19" t="s">
        <v>4333</v>
      </c>
      <c r="BE113" s="19" t="s">
        <v>4334</v>
      </c>
      <c r="BF113" s="19">
        <v>7.5982993778E10</v>
      </c>
      <c r="BG113" s="19" t="s">
        <v>2127</v>
      </c>
      <c r="BH113" s="19" t="s">
        <v>2128</v>
      </c>
      <c r="BI113" s="19"/>
      <c r="BJ113" s="19" t="s">
        <v>2128</v>
      </c>
      <c r="BK113" s="19" t="s">
        <v>17</v>
      </c>
      <c r="BL113" s="19"/>
      <c r="BM113" s="19" t="s">
        <v>2130</v>
      </c>
      <c r="BN113" s="19" t="s">
        <v>2401</v>
      </c>
      <c r="BO113" s="19" t="s">
        <v>2317</v>
      </c>
      <c r="BP113" s="19"/>
      <c r="BQ113" s="19" t="s">
        <v>2133</v>
      </c>
      <c r="BR113" s="19" t="s">
        <v>2133</v>
      </c>
      <c r="BS113" s="19" t="s">
        <v>2134</v>
      </c>
      <c r="BT113" s="19" t="s">
        <v>52</v>
      </c>
      <c r="BU113" s="19" t="s">
        <v>3001</v>
      </c>
      <c r="BV113" s="19" t="s">
        <v>4335</v>
      </c>
      <c r="BW113" s="19" t="s">
        <v>2113</v>
      </c>
      <c r="BX113" s="19"/>
      <c r="BY113" s="19"/>
      <c r="BZ113" s="19"/>
      <c r="CA113" s="19"/>
      <c r="CB113" s="19" t="s">
        <v>2113</v>
      </c>
      <c r="CC113" s="19"/>
      <c r="CD113" s="19" t="s">
        <v>2137</v>
      </c>
      <c r="CE113" s="19" t="s">
        <v>16</v>
      </c>
      <c r="CF113" s="19"/>
      <c r="CG113" s="19"/>
      <c r="CH113" s="19" t="s">
        <v>16</v>
      </c>
      <c r="CI113" s="21">
        <v>0.0</v>
      </c>
      <c r="CJ113" s="19" t="s">
        <v>17</v>
      </c>
      <c r="CK113" s="19"/>
      <c r="CL113" s="19"/>
      <c r="CM113" s="19" t="s">
        <v>2926</v>
      </c>
      <c r="CN113" s="19" t="s">
        <v>2382</v>
      </c>
      <c r="CO113" s="19"/>
      <c r="CP113" s="19" t="s">
        <v>2140</v>
      </c>
      <c r="CQ113" s="19"/>
      <c r="CR113" s="19"/>
      <c r="CS113" s="19"/>
      <c r="CT113" s="19" t="s">
        <v>2113</v>
      </c>
      <c r="CU113" s="19" t="s">
        <v>2113</v>
      </c>
      <c r="CV113" s="19" t="s">
        <v>2141</v>
      </c>
      <c r="CW113" s="19"/>
      <c r="CX113" s="19"/>
      <c r="CY113" s="19" t="s">
        <v>2113</v>
      </c>
      <c r="CZ113" s="19" t="s">
        <v>2113</v>
      </c>
      <c r="DA113" s="19" t="s">
        <v>16</v>
      </c>
      <c r="DB113" s="19" t="s">
        <v>17</v>
      </c>
      <c r="DC113" s="19" t="s">
        <v>2297</v>
      </c>
      <c r="DD113" s="19" t="s">
        <v>2113</v>
      </c>
      <c r="DE113" s="19" t="s">
        <v>2113</v>
      </c>
      <c r="DF113" s="19" t="s">
        <v>2804</v>
      </c>
      <c r="DG113" s="19" t="s">
        <v>2804</v>
      </c>
      <c r="DH113" s="19" t="s">
        <v>2144</v>
      </c>
      <c r="DI113" s="24">
        <v>45531.0</v>
      </c>
      <c r="DJ113" s="19" t="s">
        <v>2133</v>
      </c>
      <c r="DK113" s="19" t="s">
        <v>2145</v>
      </c>
      <c r="DL113" s="19" t="s">
        <v>2146</v>
      </c>
      <c r="DM113" s="19" t="s">
        <v>3183</v>
      </c>
      <c r="DN113" s="19">
        <v>13.0</v>
      </c>
      <c r="DO113" s="19">
        <v>13.0</v>
      </c>
      <c r="DP113" s="19" t="s">
        <v>4336</v>
      </c>
      <c r="DQ113" s="19" t="s">
        <v>4337</v>
      </c>
      <c r="DR113" s="19" t="s">
        <v>4338</v>
      </c>
      <c r="DS113" s="19" t="s">
        <v>2365</v>
      </c>
      <c r="DT113" s="19" t="s">
        <v>2229</v>
      </c>
      <c r="DU113" s="19"/>
      <c r="DV113" s="19"/>
      <c r="DW113" s="19" t="s">
        <v>2188</v>
      </c>
      <c r="DX113" s="19">
        <v>10.0</v>
      </c>
      <c r="DY113" s="19">
        <v>10.0</v>
      </c>
      <c r="DZ113" s="19">
        <v>0.0</v>
      </c>
      <c r="EA113" s="19">
        <v>10.0</v>
      </c>
      <c r="EB113" s="19">
        <v>0.0</v>
      </c>
      <c r="EC113" s="19">
        <v>20.0</v>
      </c>
      <c r="ED113" s="19" t="s">
        <v>2133</v>
      </c>
      <c r="EE113" s="24">
        <v>45531.0</v>
      </c>
      <c r="EF113" s="19" t="s">
        <v>2133</v>
      </c>
      <c r="EG113" s="19" t="s">
        <v>2145</v>
      </c>
      <c r="EH113" s="19" t="s">
        <v>2146</v>
      </c>
      <c r="EI113" s="22">
        <v>15.0</v>
      </c>
      <c r="EJ113" s="19">
        <v>35.0</v>
      </c>
      <c r="EK113" s="19" t="s">
        <v>2113</v>
      </c>
      <c r="EL113" s="19" t="s">
        <v>2163</v>
      </c>
      <c r="EM113" s="19" t="s">
        <v>4329</v>
      </c>
      <c r="EN113" s="19" t="s">
        <v>346</v>
      </c>
      <c r="EO113" s="19" t="s">
        <v>2375</v>
      </c>
      <c r="EP113" s="19" t="s">
        <v>2122</v>
      </c>
      <c r="EQ113" s="19" t="s">
        <v>2382</v>
      </c>
      <c r="ER113" s="19"/>
      <c r="ES113" s="19" t="s">
        <v>346</v>
      </c>
      <c r="ET113" s="19" t="s">
        <v>346</v>
      </c>
      <c r="EU113" s="19" t="s">
        <v>4327</v>
      </c>
      <c r="EV113" s="19">
        <v>8797.0</v>
      </c>
      <c r="EW113" s="19" t="s">
        <v>16</v>
      </c>
      <c r="EX113" s="19">
        <v>4.0</v>
      </c>
      <c r="EY113" s="25" t="s">
        <v>345</v>
      </c>
      <c r="EZ113" s="19" t="s">
        <v>2154</v>
      </c>
      <c r="FA113" s="5" t="s">
        <v>4339</v>
      </c>
      <c r="FB113" s="26" t="s">
        <v>2156</v>
      </c>
      <c r="FC113" s="26"/>
    </row>
    <row r="114">
      <c r="A114" s="19" t="s">
        <v>2112</v>
      </c>
      <c r="B114" s="19" t="s">
        <v>2113</v>
      </c>
      <c r="C114" s="19" t="s">
        <v>2113</v>
      </c>
      <c r="D114" s="19" t="s">
        <v>347</v>
      </c>
      <c r="E114" s="19" t="s">
        <v>4340</v>
      </c>
      <c r="F114" s="19" t="s">
        <v>347</v>
      </c>
      <c r="G114" s="19" t="s">
        <v>4340</v>
      </c>
      <c r="H114" s="19" t="s">
        <v>347</v>
      </c>
      <c r="I114" s="19" t="s">
        <v>349</v>
      </c>
      <c r="J114" s="19" t="s">
        <v>4341</v>
      </c>
      <c r="K114" s="19" t="s">
        <v>4342</v>
      </c>
      <c r="L114" s="20">
        <v>45437.0</v>
      </c>
      <c r="M114" s="20">
        <v>45439.0</v>
      </c>
      <c r="N114" s="20">
        <v>45439.0</v>
      </c>
      <c r="O114" s="19" t="s">
        <v>348</v>
      </c>
      <c r="P114" s="19">
        <v>0.0</v>
      </c>
      <c r="Q114" s="19">
        <v>24.0</v>
      </c>
      <c r="R114" s="19">
        <v>8815.0</v>
      </c>
      <c r="S114" s="20" t="s">
        <v>4343</v>
      </c>
      <c r="T114" s="20">
        <v>45461.0</v>
      </c>
      <c r="U114" s="19" t="s">
        <v>347</v>
      </c>
      <c r="V114" s="19"/>
      <c r="W114" s="19"/>
      <c r="X114" s="21">
        <v>20.0</v>
      </c>
      <c r="Y114" s="21">
        <v>0.0</v>
      </c>
      <c r="Z114" s="21">
        <v>5.0</v>
      </c>
      <c r="AA114" s="21">
        <v>0.0</v>
      </c>
      <c r="AB114" s="5">
        <v>25.0</v>
      </c>
      <c r="AC114" s="19">
        <v>4.6</v>
      </c>
      <c r="AD114" s="19">
        <v>4.6</v>
      </c>
      <c r="AE114" s="19">
        <v>4.8</v>
      </c>
      <c r="AF114" s="19">
        <v>4.8</v>
      </c>
      <c r="AG114" s="19">
        <v>4.2</v>
      </c>
      <c r="AH114" s="19">
        <v>5.0</v>
      </c>
      <c r="AI114" s="22">
        <v>14.024999999999999</v>
      </c>
      <c r="AJ114" s="19">
        <v>15.0</v>
      </c>
      <c r="AK114" s="19">
        <v>15.0</v>
      </c>
      <c r="AL114" s="19">
        <v>15.0</v>
      </c>
      <c r="AM114" s="19">
        <v>45.0</v>
      </c>
      <c r="AN114" s="19">
        <v>59.0</v>
      </c>
      <c r="AO114" s="19">
        <v>84.0</v>
      </c>
      <c r="AP114" s="19">
        <v>270.0</v>
      </c>
      <c r="AQ114" s="23">
        <v>111.0</v>
      </c>
      <c r="AR114" s="23">
        <v>15.0</v>
      </c>
      <c r="AS114" s="22"/>
      <c r="AT114" s="19" t="s">
        <v>2163</v>
      </c>
      <c r="AU114" s="19" t="s">
        <v>2194</v>
      </c>
      <c r="AV114" s="19" t="s">
        <v>4344</v>
      </c>
      <c r="AW114" s="19"/>
      <c r="AX114" s="20">
        <v>36646.0</v>
      </c>
      <c r="AY114" s="19" t="s">
        <v>2196</v>
      </c>
      <c r="AZ114" s="19" t="s">
        <v>2122</v>
      </c>
      <c r="BA114" s="19" t="s">
        <v>4345</v>
      </c>
      <c r="BB114" s="19" t="s">
        <v>4346</v>
      </c>
      <c r="BC114" s="19" t="s">
        <v>4347</v>
      </c>
      <c r="BD114" s="19" t="s">
        <v>4348</v>
      </c>
      <c r="BE114" s="19" t="s">
        <v>4341</v>
      </c>
      <c r="BF114" s="19">
        <v>1.1946335637E10</v>
      </c>
      <c r="BG114" s="19" t="s">
        <v>4038</v>
      </c>
      <c r="BH114" s="19" t="s">
        <v>2128</v>
      </c>
      <c r="BI114" s="19"/>
      <c r="BJ114" s="19" t="s">
        <v>2427</v>
      </c>
      <c r="BK114" s="19" t="s">
        <v>17</v>
      </c>
      <c r="BL114" s="19" t="s">
        <v>2113</v>
      </c>
      <c r="BM114" s="19" t="s">
        <v>2130</v>
      </c>
      <c r="BN114" s="19" t="s">
        <v>17</v>
      </c>
      <c r="BO114" s="19" t="s">
        <v>2132</v>
      </c>
      <c r="BP114" s="19" t="s">
        <v>4349</v>
      </c>
      <c r="BQ114" s="19" t="s">
        <v>2174</v>
      </c>
      <c r="BR114" s="19" t="s">
        <v>2174</v>
      </c>
      <c r="BS114" s="19" t="s">
        <v>2134</v>
      </c>
      <c r="BT114" s="19" t="s">
        <v>21</v>
      </c>
      <c r="BU114" s="19" t="s">
        <v>4350</v>
      </c>
      <c r="BV114" s="19" t="s">
        <v>4351</v>
      </c>
      <c r="BW114" s="19"/>
      <c r="BX114" s="19" t="s">
        <v>2113</v>
      </c>
      <c r="BY114" s="19" t="s">
        <v>2113</v>
      </c>
      <c r="BZ114" s="19" t="s">
        <v>2113</v>
      </c>
      <c r="CA114" s="19" t="s">
        <v>2113</v>
      </c>
      <c r="CB114" s="19"/>
      <c r="CC114" s="19"/>
      <c r="CD114" s="19" t="s">
        <v>2137</v>
      </c>
      <c r="CE114" s="19" t="s">
        <v>16</v>
      </c>
      <c r="CF114" s="19"/>
      <c r="CG114" s="19"/>
      <c r="CH114" s="19" t="s">
        <v>16</v>
      </c>
      <c r="CI114" s="21">
        <v>0.0</v>
      </c>
      <c r="CJ114" s="19" t="s">
        <v>17</v>
      </c>
      <c r="CK114" s="19"/>
      <c r="CL114" s="19"/>
      <c r="CM114" s="19" t="s">
        <v>2138</v>
      </c>
      <c r="CN114" s="19" t="s">
        <v>2204</v>
      </c>
      <c r="CO114" s="19"/>
      <c r="CP114" s="19" t="s">
        <v>2246</v>
      </c>
      <c r="CQ114" s="19" t="s">
        <v>2113</v>
      </c>
      <c r="CR114" s="19" t="s">
        <v>2113</v>
      </c>
      <c r="CS114" s="19" t="s">
        <v>2113</v>
      </c>
      <c r="CT114" s="19" t="s">
        <v>2113</v>
      </c>
      <c r="CU114" s="19" t="s">
        <v>2113</v>
      </c>
      <c r="CV114" s="19" t="s">
        <v>2179</v>
      </c>
      <c r="CW114" s="19" t="s">
        <v>2113</v>
      </c>
      <c r="CX114" s="19" t="s">
        <v>2113</v>
      </c>
      <c r="CY114" s="19"/>
      <c r="CZ114" s="19"/>
      <c r="DA114" s="19" t="s">
        <v>16</v>
      </c>
      <c r="DB114" s="19" t="s">
        <v>17</v>
      </c>
      <c r="DC114" s="19" t="s">
        <v>3370</v>
      </c>
      <c r="DD114" s="19" t="s">
        <v>2113</v>
      </c>
      <c r="DE114" s="19" t="s">
        <v>2113</v>
      </c>
      <c r="DF114" s="19" t="s">
        <v>4352</v>
      </c>
      <c r="DG114" s="19" t="s">
        <v>3163</v>
      </c>
      <c r="DH114" s="19" t="s">
        <v>2144</v>
      </c>
      <c r="DI114" s="24">
        <v>45518.0</v>
      </c>
      <c r="DJ114" s="19" t="s">
        <v>2174</v>
      </c>
      <c r="DK114" s="19" t="s">
        <v>2145</v>
      </c>
      <c r="DL114" s="19" t="s">
        <v>2183</v>
      </c>
      <c r="DM114" s="19" t="s">
        <v>2228</v>
      </c>
      <c r="DN114" s="19">
        <v>3.0</v>
      </c>
      <c r="DO114" s="19">
        <v>3.0</v>
      </c>
      <c r="DP114" s="19"/>
      <c r="DQ114" s="19"/>
      <c r="DR114" s="19"/>
      <c r="DS114" s="19" t="s">
        <v>2151</v>
      </c>
      <c r="DT114" s="19" t="s">
        <v>2301</v>
      </c>
      <c r="DU114" s="19" t="s">
        <v>4353</v>
      </c>
      <c r="DV114" s="19"/>
      <c r="DW114" s="19" t="s">
        <v>2153</v>
      </c>
      <c r="DX114" s="19">
        <v>13.0</v>
      </c>
      <c r="DY114" s="19">
        <v>0.0</v>
      </c>
      <c r="DZ114" s="19">
        <v>0.0</v>
      </c>
      <c r="EA114" s="19">
        <v>0.0</v>
      </c>
      <c r="EB114" s="19">
        <v>0.0</v>
      </c>
      <c r="EC114" s="19">
        <v>20.0</v>
      </c>
      <c r="ED114" s="19" t="s">
        <v>2174</v>
      </c>
      <c r="EE114" s="24">
        <v>45518.0</v>
      </c>
      <c r="EF114" s="19" t="s">
        <v>2174</v>
      </c>
      <c r="EG114" s="19" t="s">
        <v>2145</v>
      </c>
      <c r="EH114" s="19" t="s">
        <v>2183</v>
      </c>
      <c r="EI114" s="22">
        <v>14.024999999999999</v>
      </c>
      <c r="EJ114" s="19">
        <v>45.0</v>
      </c>
      <c r="EK114" s="19" t="s">
        <v>2113</v>
      </c>
      <c r="EL114" s="19" t="s">
        <v>2163</v>
      </c>
      <c r="EM114" s="19" t="s">
        <v>2194</v>
      </c>
      <c r="EN114" s="19" t="s">
        <v>349</v>
      </c>
      <c r="EO114" s="19" t="s">
        <v>2196</v>
      </c>
      <c r="EP114" s="19" t="s">
        <v>2122</v>
      </c>
      <c r="EQ114" s="19" t="s">
        <v>2204</v>
      </c>
      <c r="ER114" s="19"/>
      <c r="ES114" s="19" t="s">
        <v>349</v>
      </c>
      <c r="ET114" s="19" t="s">
        <v>349</v>
      </c>
      <c r="EU114" s="19" t="s">
        <v>4342</v>
      </c>
      <c r="EV114" s="19">
        <v>8815.0</v>
      </c>
      <c r="EW114" s="19" t="s">
        <v>16</v>
      </c>
      <c r="EX114" s="19">
        <v>5.0</v>
      </c>
      <c r="EY114" s="25" t="s">
        <v>348</v>
      </c>
      <c r="EZ114" s="19" t="s">
        <v>2154</v>
      </c>
      <c r="FA114" s="5" t="s">
        <v>4354</v>
      </c>
      <c r="FB114" s="26" t="s">
        <v>2156</v>
      </c>
      <c r="FC114" s="26"/>
    </row>
    <row r="115">
      <c r="A115" s="19" t="s">
        <v>2156</v>
      </c>
      <c r="B115" s="19" t="s">
        <v>2113</v>
      </c>
      <c r="C115" s="19" t="s">
        <v>2113</v>
      </c>
      <c r="D115" s="19" t="s">
        <v>350</v>
      </c>
      <c r="E115" s="19" t="s">
        <v>4355</v>
      </c>
      <c r="F115" s="19" t="s">
        <v>350</v>
      </c>
      <c r="G115" s="19"/>
      <c r="H115" s="19" t="s">
        <v>350</v>
      </c>
      <c r="I115" s="19" t="s">
        <v>352</v>
      </c>
      <c r="J115" s="19" t="s">
        <v>4356</v>
      </c>
      <c r="K115" s="19" t="s">
        <v>4357</v>
      </c>
      <c r="L115" s="20">
        <v>45397.0</v>
      </c>
      <c r="M115" s="20">
        <v>45411.0</v>
      </c>
      <c r="N115" s="20">
        <v>45411.0</v>
      </c>
      <c r="O115" s="19" t="s">
        <v>351</v>
      </c>
      <c r="P115" s="19">
        <v>0.0</v>
      </c>
      <c r="Q115" s="19">
        <v>21.0</v>
      </c>
      <c r="R115" s="19">
        <v>7971.0</v>
      </c>
      <c r="S115" s="20" t="s">
        <v>4358</v>
      </c>
      <c r="T115" s="20">
        <v>45461.0</v>
      </c>
      <c r="U115" s="19" t="s">
        <v>350</v>
      </c>
      <c r="V115" s="19"/>
      <c r="W115" s="19" t="s">
        <v>4359</v>
      </c>
      <c r="X115" s="21">
        <v>20.0</v>
      </c>
      <c r="Y115" s="21">
        <v>0.0</v>
      </c>
      <c r="Z115" s="21">
        <v>4.0</v>
      </c>
      <c r="AA115" s="21">
        <v>0.0</v>
      </c>
      <c r="AB115" s="5">
        <v>24.0</v>
      </c>
      <c r="AC115" s="19">
        <v>5.0</v>
      </c>
      <c r="AD115" s="19">
        <v>5.0</v>
      </c>
      <c r="AE115" s="19">
        <v>5.0</v>
      </c>
      <c r="AF115" s="19">
        <v>5.0</v>
      </c>
      <c r="AG115" s="19">
        <v>5.0</v>
      </c>
      <c r="AH115" s="19">
        <v>5.0</v>
      </c>
      <c r="AI115" s="22">
        <v>15.0</v>
      </c>
      <c r="AJ115" s="19">
        <v>15.0</v>
      </c>
      <c r="AK115" s="19">
        <v>15.0</v>
      </c>
      <c r="AL115" s="19">
        <v>15.0</v>
      </c>
      <c r="AM115" s="19">
        <v>45.0</v>
      </c>
      <c r="AN115" s="19">
        <v>60.0</v>
      </c>
      <c r="AO115" s="19">
        <v>84.0</v>
      </c>
      <c r="AP115" s="19">
        <v>289.0</v>
      </c>
      <c r="AQ115" s="23">
        <v>112.0</v>
      </c>
      <c r="AR115" s="23">
        <v>8.0</v>
      </c>
      <c r="AS115" s="22"/>
      <c r="AT115" s="19" t="s">
        <v>2117</v>
      </c>
      <c r="AU115" s="19" t="s">
        <v>4360</v>
      </c>
      <c r="AV115" s="19" t="s">
        <v>4361</v>
      </c>
      <c r="AW115" s="19" t="s">
        <v>4218</v>
      </c>
      <c r="AX115" s="20">
        <v>37490.0</v>
      </c>
      <c r="AY115" s="19" t="s">
        <v>2619</v>
      </c>
      <c r="AZ115" s="19" t="s">
        <v>2310</v>
      </c>
      <c r="BA115" s="19" t="s">
        <v>4362</v>
      </c>
      <c r="BB115" s="19" t="s">
        <v>4363</v>
      </c>
      <c r="BC115" s="19" t="s">
        <v>4364</v>
      </c>
      <c r="BD115" s="19" t="s">
        <v>4365</v>
      </c>
      <c r="BE115" s="19" t="s">
        <v>4356</v>
      </c>
      <c r="BF115" s="19">
        <v>1.1958494938E10</v>
      </c>
      <c r="BG115" s="19" t="s">
        <v>4038</v>
      </c>
      <c r="BH115" s="19" t="s">
        <v>2128</v>
      </c>
      <c r="BI115" s="19"/>
      <c r="BJ115" s="19" t="s">
        <v>2128</v>
      </c>
      <c r="BK115" s="19" t="s">
        <v>17</v>
      </c>
      <c r="BL115" s="19"/>
      <c r="BM115" s="19" t="s">
        <v>2130</v>
      </c>
      <c r="BN115" s="19" t="s">
        <v>2291</v>
      </c>
      <c r="BO115" s="19" t="s">
        <v>2317</v>
      </c>
      <c r="BP115" s="19" t="s">
        <v>4366</v>
      </c>
      <c r="BQ115" s="19" t="s">
        <v>2133</v>
      </c>
      <c r="BR115" s="19" t="s">
        <v>2133</v>
      </c>
      <c r="BS115" s="19" t="s">
        <v>2243</v>
      </c>
      <c r="BT115" s="19" t="s">
        <v>52</v>
      </c>
      <c r="BU115" s="19" t="s">
        <v>4367</v>
      </c>
      <c r="BV115" s="19" t="s">
        <v>4368</v>
      </c>
      <c r="BW115" s="19" t="s">
        <v>2113</v>
      </c>
      <c r="BX115" s="19"/>
      <c r="BY115" s="19"/>
      <c r="BZ115" s="19"/>
      <c r="CA115" s="19"/>
      <c r="CB115" s="19"/>
      <c r="CC115" s="19"/>
      <c r="CD115" s="19" t="s">
        <v>2137</v>
      </c>
      <c r="CE115" s="19" t="s">
        <v>16</v>
      </c>
      <c r="CF115" s="19"/>
      <c r="CG115" s="19"/>
      <c r="CH115" s="19" t="s">
        <v>16</v>
      </c>
      <c r="CI115" s="21">
        <v>0.0</v>
      </c>
      <c r="CJ115" s="19" t="s">
        <v>16</v>
      </c>
      <c r="CK115" s="19"/>
      <c r="CL115" s="19"/>
      <c r="CM115" s="19" t="s">
        <v>2138</v>
      </c>
      <c r="CN115" s="19" t="s">
        <v>2626</v>
      </c>
      <c r="CO115" s="19"/>
      <c r="CP115" s="19" t="s">
        <v>2140</v>
      </c>
      <c r="CQ115" s="19"/>
      <c r="CR115" s="19" t="s">
        <v>2113</v>
      </c>
      <c r="CS115" s="19" t="s">
        <v>2113</v>
      </c>
      <c r="CT115" s="19" t="s">
        <v>2113</v>
      </c>
      <c r="CU115" s="19" t="s">
        <v>2113</v>
      </c>
      <c r="CV115" s="19" t="s">
        <v>2141</v>
      </c>
      <c r="CW115" s="19"/>
      <c r="CX115" s="19"/>
      <c r="CY115" s="19"/>
      <c r="CZ115" s="19"/>
      <c r="DA115" s="19" t="s">
        <v>16</v>
      </c>
      <c r="DB115" s="19" t="s">
        <v>16</v>
      </c>
      <c r="DC115" s="19" t="s">
        <v>2627</v>
      </c>
      <c r="DD115" s="19" t="s">
        <v>2113</v>
      </c>
      <c r="DE115" s="19" t="s">
        <v>2113</v>
      </c>
      <c r="DF115" s="19" t="s">
        <v>3103</v>
      </c>
      <c r="DG115" s="19" t="s">
        <v>2804</v>
      </c>
      <c r="DH115" s="19" t="s">
        <v>2144</v>
      </c>
      <c r="DI115" s="24">
        <v>45518.0</v>
      </c>
      <c r="DJ115" s="19" t="s">
        <v>2133</v>
      </c>
      <c r="DK115" s="19" t="s">
        <v>2271</v>
      </c>
      <c r="DL115" s="19" t="s">
        <v>2146</v>
      </c>
      <c r="DM115" s="19"/>
      <c r="DN115" s="19">
        <v>4.0</v>
      </c>
      <c r="DO115" s="19">
        <v>4.0</v>
      </c>
      <c r="DP115" s="19" t="s">
        <v>4369</v>
      </c>
      <c r="DQ115" s="19" t="s">
        <v>4370</v>
      </c>
      <c r="DR115" s="19" t="s">
        <v>4371</v>
      </c>
      <c r="DS115" s="19" t="s">
        <v>2365</v>
      </c>
      <c r="DT115" s="19" t="s">
        <v>2186</v>
      </c>
      <c r="DU115" s="19"/>
      <c r="DV115" s="19"/>
      <c r="DW115" s="19" t="s">
        <v>2153</v>
      </c>
      <c r="DX115" s="19">
        <v>8.0</v>
      </c>
      <c r="DY115" s="19">
        <v>0.0</v>
      </c>
      <c r="DZ115" s="19">
        <v>0.0</v>
      </c>
      <c r="EA115" s="19">
        <v>0.0</v>
      </c>
      <c r="EB115" s="19">
        <v>0.0</v>
      </c>
      <c r="EC115" s="19">
        <v>20.0</v>
      </c>
      <c r="ED115" s="19" t="s">
        <v>2133</v>
      </c>
      <c r="EE115" s="24">
        <v>45518.0</v>
      </c>
      <c r="EF115" s="19" t="s">
        <v>2133</v>
      </c>
      <c r="EG115" s="19" t="s">
        <v>2271</v>
      </c>
      <c r="EH115" s="19" t="s">
        <v>2146</v>
      </c>
      <c r="EI115" s="22">
        <v>15.0</v>
      </c>
      <c r="EJ115" s="19">
        <v>45.0</v>
      </c>
      <c r="EK115" s="19"/>
      <c r="EL115" s="19" t="s">
        <v>2117</v>
      </c>
      <c r="EM115" s="19" t="s">
        <v>4360</v>
      </c>
      <c r="EN115" s="19" t="s">
        <v>352</v>
      </c>
      <c r="EO115" s="19" t="s">
        <v>2619</v>
      </c>
      <c r="EP115" s="19" t="s">
        <v>2310</v>
      </c>
      <c r="EQ115" s="19" t="s">
        <v>2626</v>
      </c>
      <c r="ER115" s="19"/>
      <c r="ES115" s="19" t="s">
        <v>352</v>
      </c>
      <c r="ET115" s="19" t="s">
        <v>352</v>
      </c>
      <c r="EU115" s="19" t="s">
        <v>4357</v>
      </c>
      <c r="EV115" s="19">
        <v>7971.0</v>
      </c>
      <c r="EW115" s="19" t="s">
        <v>16</v>
      </c>
      <c r="EX115" s="19">
        <v>4.0</v>
      </c>
      <c r="EY115" s="25" t="s">
        <v>351</v>
      </c>
      <c r="EZ115" s="19" t="s">
        <v>2154</v>
      </c>
      <c r="FA115" s="5" t="s">
        <v>4372</v>
      </c>
      <c r="FB115" s="26" t="s">
        <v>2156</v>
      </c>
      <c r="FC115" s="26"/>
    </row>
    <row r="116">
      <c r="A116" s="19" t="s">
        <v>2112</v>
      </c>
      <c r="B116" s="19" t="s">
        <v>2113</v>
      </c>
      <c r="C116" s="19" t="s">
        <v>2113</v>
      </c>
      <c r="D116" s="19" t="s">
        <v>4373</v>
      </c>
      <c r="E116" s="19" t="s">
        <v>4374</v>
      </c>
      <c r="F116" s="19" t="s">
        <v>353</v>
      </c>
      <c r="G116" s="19" t="s">
        <v>4375</v>
      </c>
      <c r="H116" s="19" t="s">
        <v>353</v>
      </c>
      <c r="I116" s="19" t="s">
        <v>355</v>
      </c>
      <c r="J116" s="19" t="s">
        <v>4376</v>
      </c>
      <c r="K116" s="19" t="s">
        <v>4377</v>
      </c>
      <c r="L116" s="20">
        <v>45460.0</v>
      </c>
      <c r="M116" s="20">
        <v>45462.0</v>
      </c>
      <c r="N116" s="20">
        <v>45462.0</v>
      </c>
      <c r="O116" s="19" t="s">
        <v>354</v>
      </c>
      <c r="P116" s="19">
        <v>0.0</v>
      </c>
      <c r="Q116" s="19">
        <v>20.0</v>
      </c>
      <c r="R116" s="19">
        <v>7329.0</v>
      </c>
      <c r="S116" s="20" t="s">
        <v>4378</v>
      </c>
      <c r="T116" s="20">
        <v>45461.0</v>
      </c>
      <c r="U116" s="19" t="s">
        <v>353</v>
      </c>
      <c r="V116" s="19"/>
      <c r="W116" s="19" t="s">
        <v>4379</v>
      </c>
      <c r="X116" s="21">
        <v>20.0</v>
      </c>
      <c r="Y116" s="21">
        <v>0.0</v>
      </c>
      <c r="Z116" s="21">
        <v>5.0</v>
      </c>
      <c r="AA116" s="21">
        <v>0.0</v>
      </c>
      <c r="AB116" s="5">
        <v>25.0</v>
      </c>
      <c r="AC116" s="19">
        <v>5.0</v>
      </c>
      <c r="AD116" s="19">
        <v>4.6</v>
      </c>
      <c r="AE116" s="19">
        <v>5.0</v>
      </c>
      <c r="AF116" s="19">
        <v>4.6</v>
      </c>
      <c r="AG116" s="19">
        <v>4.0</v>
      </c>
      <c r="AH116" s="19">
        <v>4.0</v>
      </c>
      <c r="AI116" s="22">
        <v>13.8375</v>
      </c>
      <c r="AJ116" s="19">
        <v>15.0</v>
      </c>
      <c r="AK116" s="19">
        <v>15.0</v>
      </c>
      <c r="AL116" s="19">
        <v>15.0</v>
      </c>
      <c r="AM116" s="19">
        <v>45.0</v>
      </c>
      <c r="AN116" s="19">
        <v>58.8</v>
      </c>
      <c r="AO116" s="19">
        <v>83.8</v>
      </c>
      <c r="AP116" s="19">
        <v>278.0</v>
      </c>
      <c r="AQ116" s="23">
        <v>113.0</v>
      </c>
      <c r="AR116" s="23">
        <v>16.0</v>
      </c>
      <c r="AS116" s="22"/>
      <c r="AT116" s="19" t="s">
        <v>2163</v>
      </c>
      <c r="AU116" s="19" t="s">
        <v>4380</v>
      </c>
      <c r="AV116" s="19" t="s">
        <v>4381</v>
      </c>
      <c r="AW116" s="19"/>
      <c r="AX116" s="20">
        <v>38132.0</v>
      </c>
      <c r="AY116" s="19" t="s">
        <v>2167</v>
      </c>
      <c r="AZ116" s="19" t="s">
        <v>2445</v>
      </c>
      <c r="BA116" s="19" t="s">
        <v>4382</v>
      </c>
      <c r="BB116" s="19" t="s">
        <v>2340</v>
      </c>
      <c r="BC116" s="19" t="s">
        <v>4383</v>
      </c>
      <c r="BD116" s="19" t="s">
        <v>4384</v>
      </c>
      <c r="BE116" s="19" t="s">
        <v>4385</v>
      </c>
      <c r="BF116" s="19">
        <v>1.1959119838E10</v>
      </c>
      <c r="BG116" s="19" t="s">
        <v>4038</v>
      </c>
      <c r="BH116" s="19" t="s">
        <v>2128</v>
      </c>
      <c r="BI116" s="19"/>
      <c r="BJ116" s="19" t="s">
        <v>2128</v>
      </c>
      <c r="BK116" s="19" t="s">
        <v>17</v>
      </c>
      <c r="BL116" s="19"/>
      <c r="BM116" s="19" t="s">
        <v>2130</v>
      </c>
      <c r="BN116" s="19" t="s">
        <v>17</v>
      </c>
      <c r="BO116" s="19" t="s">
        <v>2132</v>
      </c>
      <c r="BP116" s="19" t="s">
        <v>4386</v>
      </c>
      <c r="BQ116" s="19" t="s">
        <v>2174</v>
      </c>
      <c r="BR116" s="19" t="s">
        <v>2174</v>
      </c>
      <c r="BS116" s="19" t="s">
        <v>3521</v>
      </c>
      <c r="BT116" s="19" t="s">
        <v>21</v>
      </c>
      <c r="BU116" s="19" t="s">
        <v>4387</v>
      </c>
      <c r="BV116" s="19" t="s">
        <v>4388</v>
      </c>
      <c r="BW116" s="19"/>
      <c r="BX116" s="19" t="s">
        <v>2113</v>
      </c>
      <c r="BY116" s="19" t="s">
        <v>2113</v>
      </c>
      <c r="BZ116" s="19" t="s">
        <v>2113</v>
      </c>
      <c r="CA116" s="19" t="s">
        <v>2113</v>
      </c>
      <c r="CB116" s="19"/>
      <c r="CC116" s="19"/>
      <c r="CD116" s="19" t="s">
        <v>2137</v>
      </c>
      <c r="CE116" s="19" t="s">
        <v>16</v>
      </c>
      <c r="CF116" s="19"/>
      <c r="CG116" s="19"/>
      <c r="CH116" s="19" t="s">
        <v>16</v>
      </c>
      <c r="CI116" s="21">
        <v>0.0</v>
      </c>
      <c r="CJ116" s="19" t="s">
        <v>17</v>
      </c>
      <c r="CK116" s="19"/>
      <c r="CL116" s="19"/>
      <c r="CM116" s="19" t="s">
        <v>2138</v>
      </c>
      <c r="CN116" s="19" t="s">
        <v>2176</v>
      </c>
      <c r="CO116" s="19"/>
      <c r="CP116" s="19" t="s">
        <v>2246</v>
      </c>
      <c r="CQ116" s="19"/>
      <c r="CR116" s="19" t="s">
        <v>2113</v>
      </c>
      <c r="CS116" s="19" t="s">
        <v>2113</v>
      </c>
      <c r="CT116" s="19"/>
      <c r="CU116" s="19"/>
      <c r="CV116" s="19" t="s">
        <v>2141</v>
      </c>
      <c r="CW116" s="19"/>
      <c r="CX116" s="19"/>
      <c r="CY116" s="19" t="s">
        <v>2113</v>
      </c>
      <c r="CZ116" s="19" t="s">
        <v>2113</v>
      </c>
      <c r="DA116" s="19" t="s">
        <v>16</v>
      </c>
      <c r="DB116" s="19" t="s">
        <v>17</v>
      </c>
      <c r="DC116" s="19" t="s">
        <v>2180</v>
      </c>
      <c r="DD116" s="19" t="s">
        <v>2113</v>
      </c>
      <c r="DE116" s="19" t="s">
        <v>2113</v>
      </c>
      <c r="DF116" s="19" t="s">
        <v>2207</v>
      </c>
      <c r="DG116" s="19" t="s">
        <v>2207</v>
      </c>
      <c r="DH116" s="19" t="s">
        <v>2144</v>
      </c>
      <c r="DI116" s="24">
        <v>45531.0</v>
      </c>
      <c r="DJ116" s="19" t="s">
        <v>2174</v>
      </c>
      <c r="DK116" s="19" t="s">
        <v>2145</v>
      </c>
      <c r="DL116" s="19" t="s">
        <v>2183</v>
      </c>
      <c r="DM116" s="19"/>
      <c r="DN116" s="19">
        <v>7.0</v>
      </c>
      <c r="DO116" s="19">
        <v>7.0</v>
      </c>
      <c r="DP116" s="19" t="s">
        <v>4389</v>
      </c>
      <c r="DQ116" s="19" t="s">
        <v>4390</v>
      </c>
      <c r="DR116" s="19" t="s">
        <v>4391</v>
      </c>
      <c r="DS116" s="19" t="s">
        <v>2151</v>
      </c>
      <c r="DT116" s="19" t="s">
        <v>2301</v>
      </c>
      <c r="DU116" s="19"/>
      <c r="DV116" s="19"/>
      <c r="DW116" s="19" t="s">
        <v>2153</v>
      </c>
      <c r="DX116" s="19">
        <v>14.0</v>
      </c>
      <c r="DY116" s="19">
        <v>0.0</v>
      </c>
      <c r="DZ116" s="19">
        <v>0.0</v>
      </c>
      <c r="EA116" s="19">
        <v>0.0</v>
      </c>
      <c r="EB116" s="19">
        <v>0.0</v>
      </c>
      <c r="EC116" s="19">
        <v>20.0</v>
      </c>
      <c r="ED116" s="19" t="s">
        <v>2174</v>
      </c>
      <c r="EE116" s="24">
        <v>45531.0</v>
      </c>
      <c r="EF116" s="19" t="s">
        <v>2174</v>
      </c>
      <c r="EG116" s="19" t="s">
        <v>2145</v>
      </c>
      <c r="EH116" s="19" t="s">
        <v>2183</v>
      </c>
      <c r="EI116" s="22">
        <v>13.8375</v>
      </c>
      <c r="EJ116" s="19">
        <v>45.0</v>
      </c>
      <c r="EK116" s="19" t="s">
        <v>2113</v>
      </c>
      <c r="EL116" s="19" t="s">
        <v>2163</v>
      </c>
      <c r="EM116" s="19" t="s">
        <v>4380</v>
      </c>
      <c r="EN116" s="19" t="s">
        <v>355</v>
      </c>
      <c r="EO116" s="19" t="s">
        <v>2167</v>
      </c>
      <c r="EP116" s="19" t="s">
        <v>2445</v>
      </c>
      <c r="EQ116" s="19" t="s">
        <v>2176</v>
      </c>
      <c r="ER116" s="19"/>
      <c r="ES116" s="19" t="s">
        <v>355</v>
      </c>
      <c r="ET116" s="19" t="s">
        <v>355</v>
      </c>
      <c r="EU116" s="19" t="s">
        <v>4377</v>
      </c>
      <c r="EV116" s="19">
        <v>7329.0</v>
      </c>
      <c r="EW116" s="19" t="s">
        <v>16</v>
      </c>
      <c r="EX116" s="19">
        <v>5.0</v>
      </c>
      <c r="EY116" s="25" t="s">
        <v>354</v>
      </c>
      <c r="EZ116" s="19" t="s">
        <v>2154</v>
      </c>
      <c r="FA116" s="5" t="s">
        <v>4392</v>
      </c>
      <c r="FB116" s="26" t="s">
        <v>2156</v>
      </c>
      <c r="FC116" s="26"/>
    </row>
    <row r="117">
      <c r="A117" s="19" t="s">
        <v>2112</v>
      </c>
      <c r="B117" s="19" t="s">
        <v>2113</v>
      </c>
      <c r="C117" s="19" t="s">
        <v>2113</v>
      </c>
      <c r="D117" s="19" t="s">
        <v>356</v>
      </c>
      <c r="E117" s="19" t="s">
        <v>4393</v>
      </c>
      <c r="F117" s="19" t="s">
        <v>356</v>
      </c>
      <c r="G117" s="19"/>
      <c r="H117" s="19" t="s">
        <v>356</v>
      </c>
      <c r="I117" s="19" t="s">
        <v>358</v>
      </c>
      <c r="J117" s="19" t="s">
        <v>4394</v>
      </c>
      <c r="K117" s="19" t="s">
        <v>4395</v>
      </c>
      <c r="L117" s="20">
        <v>45443.0</v>
      </c>
      <c r="M117" s="20">
        <v>45446.0</v>
      </c>
      <c r="N117" s="20">
        <v>45446.0</v>
      </c>
      <c r="O117" s="19" t="s">
        <v>357</v>
      </c>
      <c r="P117" s="19">
        <v>0.0</v>
      </c>
      <c r="Q117" s="19">
        <v>22.0</v>
      </c>
      <c r="R117" s="19">
        <v>8245.0</v>
      </c>
      <c r="S117" s="20" t="s">
        <v>4396</v>
      </c>
      <c r="T117" s="20">
        <v>45461.0</v>
      </c>
      <c r="U117" s="19" t="s">
        <v>356</v>
      </c>
      <c r="V117" s="19"/>
      <c r="W117" s="19"/>
      <c r="X117" s="21">
        <v>20.0</v>
      </c>
      <c r="Y117" s="21">
        <v>10.0</v>
      </c>
      <c r="Z117" s="21">
        <v>5.0</v>
      </c>
      <c r="AA117" s="21">
        <v>0.0</v>
      </c>
      <c r="AB117" s="5">
        <v>35.0</v>
      </c>
      <c r="AC117" s="19">
        <v>3.6</v>
      </c>
      <c r="AD117" s="19">
        <v>3.4</v>
      </c>
      <c r="AE117" s="19">
        <v>3.6</v>
      </c>
      <c r="AF117" s="19">
        <v>3.6</v>
      </c>
      <c r="AG117" s="19">
        <v>3.4</v>
      </c>
      <c r="AH117" s="19">
        <v>4.0</v>
      </c>
      <c r="AI117" s="22">
        <v>10.743749999999999</v>
      </c>
      <c r="AJ117" s="19">
        <v>14.0</v>
      </c>
      <c r="AK117" s="19">
        <v>12.0</v>
      </c>
      <c r="AL117" s="19">
        <v>12.0</v>
      </c>
      <c r="AM117" s="19">
        <v>38.0</v>
      </c>
      <c r="AN117" s="19">
        <v>48.7</v>
      </c>
      <c r="AO117" s="19">
        <v>83.7</v>
      </c>
      <c r="AP117" s="19">
        <v>60.0</v>
      </c>
      <c r="AQ117" s="23">
        <v>114.0</v>
      </c>
      <c r="AR117" s="23">
        <v>7.0</v>
      </c>
      <c r="AS117" s="22"/>
      <c r="AT117" s="19" t="s">
        <v>2117</v>
      </c>
      <c r="AU117" s="19" t="s">
        <v>4397</v>
      </c>
      <c r="AV117" s="19" t="s">
        <v>4398</v>
      </c>
      <c r="AW117" s="19" t="s">
        <v>4399</v>
      </c>
      <c r="AX117" s="20">
        <v>37216.0</v>
      </c>
      <c r="AY117" s="19" t="s">
        <v>2529</v>
      </c>
      <c r="AZ117" s="19" t="s">
        <v>2445</v>
      </c>
      <c r="BA117" s="19" t="s">
        <v>4400</v>
      </c>
      <c r="BB117" s="19" t="s">
        <v>4401</v>
      </c>
      <c r="BC117" s="19" t="s">
        <v>4402</v>
      </c>
      <c r="BD117" s="19" t="s">
        <v>4403</v>
      </c>
      <c r="BE117" s="19" t="s">
        <v>4394</v>
      </c>
      <c r="BF117" s="19">
        <v>1.1993420687E10</v>
      </c>
      <c r="BG117" s="19" t="s">
        <v>2127</v>
      </c>
      <c r="BH117" s="19" t="s">
        <v>2128</v>
      </c>
      <c r="BI117" s="19"/>
      <c r="BJ117" s="19" t="s">
        <v>2128</v>
      </c>
      <c r="BK117" s="19" t="s">
        <v>17</v>
      </c>
      <c r="BL117" s="19"/>
      <c r="BM117" s="19" t="s">
        <v>2130</v>
      </c>
      <c r="BN117" s="19" t="s">
        <v>17</v>
      </c>
      <c r="BO117" s="19" t="s">
        <v>2132</v>
      </c>
      <c r="BP117" s="19" t="s">
        <v>4404</v>
      </c>
      <c r="BQ117" s="19" t="s">
        <v>2174</v>
      </c>
      <c r="BR117" s="19" t="s">
        <v>2174</v>
      </c>
      <c r="BS117" s="19" t="s">
        <v>2134</v>
      </c>
      <c r="BT117" s="19" t="s">
        <v>75</v>
      </c>
      <c r="BU117" s="19" t="s">
        <v>4405</v>
      </c>
      <c r="BV117" s="19" t="s">
        <v>4406</v>
      </c>
      <c r="BW117" s="19"/>
      <c r="BX117" s="19"/>
      <c r="BY117" s="19" t="s">
        <v>2113</v>
      </c>
      <c r="BZ117" s="19" t="s">
        <v>2113</v>
      </c>
      <c r="CA117" s="19" t="s">
        <v>2113</v>
      </c>
      <c r="CB117" s="19" t="s">
        <v>2113</v>
      </c>
      <c r="CC117" s="19"/>
      <c r="CD117" s="19" t="s">
        <v>2137</v>
      </c>
      <c r="CE117" s="19" t="s">
        <v>16</v>
      </c>
      <c r="CF117" s="19"/>
      <c r="CG117" s="19"/>
      <c r="CH117" s="19" t="s">
        <v>16</v>
      </c>
      <c r="CI117" s="21">
        <v>0.0</v>
      </c>
      <c r="CJ117" s="19" t="s">
        <v>17</v>
      </c>
      <c r="CK117" s="19"/>
      <c r="CL117" s="19"/>
      <c r="CM117" s="19" t="s">
        <v>2138</v>
      </c>
      <c r="CN117" s="19" t="s">
        <v>2537</v>
      </c>
      <c r="CO117" s="19"/>
      <c r="CP117" s="19" t="s">
        <v>2178</v>
      </c>
      <c r="CQ117" s="19" t="s">
        <v>2113</v>
      </c>
      <c r="CR117" s="19"/>
      <c r="CS117" s="19"/>
      <c r="CT117" s="19"/>
      <c r="CU117" s="19"/>
      <c r="CV117" s="19" t="s">
        <v>2179</v>
      </c>
      <c r="CW117" s="19" t="s">
        <v>2113</v>
      </c>
      <c r="CX117" s="19" t="s">
        <v>2113</v>
      </c>
      <c r="CY117" s="19" t="s">
        <v>2113</v>
      </c>
      <c r="CZ117" s="19" t="s">
        <v>2113</v>
      </c>
      <c r="DA117" s="19" t="s">
        <v>16</v>
      </c>
      <c r="DB117" s="19" t="s">
        <v>17</v>
      </c>
      <c r="DC117" s="19" t="s">
        <v>4042</v>
      </c>
      <c r="DD117" s="19"/>
      <c r="DE117" s="19"/>
      <c r="DF117" s="19" t="s">
        <v>2538</v>
      </c>
      <c r="DG117" s="19" t="s">
        <v>2540</v>
      </c>
      <c r="DH117" s="19" t="s">
        <v>2144</v>
      </c>
      <c r="DI117" s="24">
        <v>45519.0</v>
      </c>
      <c r="DJ117" s="19" t="s">
        <v>2174</v>
      </c>
      <c r="DK117" s="19" t="s">
        <v>2271</v>
      </c>
      <c r="DL117" s="19" t="s">
        <v>2183</v>
      </c>
      <c r="DM117" s="19" t="s">
        <v>2272</v>
      </c>
      <c r="DN117" s="19">
        <v>6.0</v>
      </c>
      <c r="DO117" s="19">
        <v>6.0</v>
      </c>
      <c r="DP117" s="19"/>
      <c r="DQ117" s="19"/>
      <c r="DR117" s="19"/>
      <c r="DS117" s="19" t="s">
        <v>2151</v>
      </c>
      <c r="DT117" s="19" t="s">
        <v>2350</v>
      </c>
      <c r="DU117" s="19" t="s">
        <v>4407</v>
      </c>
      <c r="DV117" s="19"/>
      <c r="DW117" s="19" t="s">
        <v>2153</v>
      </c>
      <c r="DX117" s="19">
        <v>14.0</v>
      </c>
      <c r="DY117" s="19">
        <v>10.0</v>
      </c>
      <c r="DZ117" s="19">
        <v>0.0</v>
      </c>
      <c r="EA117" s="19">
        <v>10.0</v>
      </c>
      <c r="EB117" s="19">
        <v>0.0</v>
      </c>
      <c r="EC117" s="19">
        <v>20.0</v>
      </c>
      <c r="ED117" s="19" t="s">
        <v>2174</v>
      </c>
      <c r="EE117" s="24">
        <v>45519.0</v>
      </c>
      <c r="EF117" s="19" t="s">
        <v>2174</v>
      </c>
      <c r="EG117" s="19" t="s">
        <v>2271</v>
      </c>
      <c r="EH117" s="19" t="s">
        <v>2183</v>
      </c>
      <c r="EI117" s="22">
        <v>10.743749999999999</v>
      </c>
      <c r="EJ117" s="19">
        <v>38.0</v>
      </c>
      <c r="EK117" s="19" t="s">
        <v>2113</v>
      </c>
      <c r="EL117" s="19" t="s">
        <v>2117</v>
      </c>
      <c r="EM117" s="19" t="s">
        <v>4397</v>
      </c>
      <c r="EN117" s="19" t="s">
        <v>358</v>
      </c>
      <c r="EO117" s="19" t="s">
        <v>2529</v>
      </c>
      <c r="EP117" s="19" t="s">
        <v>2445</v>
      </c>
      <c r="EQ117" s="19" t="s">
        <v>2537</v>
      </c>
      <c r="ER117" s="19"/>
      <c r="ES117" s="19" t="s">
        <v>358</v>
      </c>
      <c r="ET117" s="19" t="s">
        <v>358</v>
      </c>
      <c r="EU117" s="19" t="s">
        <v>4395</v>
      </c>
      <c r="EV117" s="19">
        <v>8245.0</v>
      </c>
      <c r="EW117" s="19" t="s">
        <v>16</v>
      </c>
      <c r="EX117" s="19">
        <v>5.0</v>
      </c>
      <c r="EY117" s="25" t="s">
        <v>357</v>
      </c>
      <c r="EZ117" s="19" t="s">
        <v>2154</v>
      </c>
      <c r="FA117" s="5" t="s">
        <v>4408</v>
      </c>
      <c r="FB117" s="26" t="s">
        <v>2156</v>
      </c>
      <c r="FC117" s="26"/>
    </row>
    <row r="118">
      <c r="A118" s="19" t="s">
        <v>2112</v>
      </c>
      <c r="B118" s="19" t="s">
        <v>2113</v>
      </c>
      <c r="C118" s="19" t="s">
        <v>2113</v>
      </c>
      <c r="D118" s="19" t="s">
        <v>4409</v>
      </c>
      <c r="E118" s="19" t="s">
        <v>4410</v>
      </c>
      <c r="F118" s="19" t="s">
        <v>4409</v>
      </c>
      <c r="G118" s="19"/>
      <c r="H118" s="19" t="s">
        <v>359</v>
      </c>
      <c r="I118" s="19" t="s">
        <v>361</v>
      </c>
      <c r="J118" s="19" t="s">
        <v>4411</v>
      </c>
      <c r="K118" s="19" t="s">
        <v>4412</v>
      </c>
      <c r="L118" s="20">
        <v>45416.0</v>
      </c>
      <c r="M118" s="20">
        <v>45428.0</v>
      </c>
      <c r="N118" s="20">
        <v>45428.0</v>
      </c>
      <c r="O118" s="19" t="s">
        <v>360</v>
      </c>
      <c r="P118" s="19">
        <v>0.0</v>
      </c>
      <c r="Q118" s="19">
        <v>20.0</v>
      </c>
      <c r="R118" s="19">
        <v>7336.0</v>
      </c>
      <c r="S118" s="20" t="s">
        <v>4413</v>
      </c>
      <c r="T118" s="20">
        <v>45461.0</v>
      </c>
      <c r="U118" s="19" t="s">
        <v>4409</v>
      </c>
      <c r="V118" s="19"/>
      <c r="W118" s="19"/>
      <c r="X118" s="21">
        <v>20.0</v>
      </c>
      <c r="Y118" s="21">
        <v>5.0</v>
      </c>
      <c r="Z118" s="21">
        <v>3.0</v>
      </c>
      <c r="AA118" s="21">
        <v>0.0</v>
      </c>
      <c r="AB118" s="5">
        <v>28.0</v>
      </c>
      <c r="AC118" s="19">
        <v>5.0</v>
      </c>
      <c r="AD118" s="19">
        <v>5.0</v>
      </c>
      <c r="AE118" s="19">
        <v>5.0</v>
      </c>
      <c r="AF118" s="19">
        <v>5.0</v>
      </c>
      <c r="AG118" s="19">
        <v>4.0</v>
      </c>
      <c r="AH118" s="19">
        <v>5.0</v>
      </c>
      <c r="AI118" s="22">
        <v>14.625</v>
      </c>
      <c r="AJ118" s="19">
        <v>13.0</v>
      </c>
      <c r="AK118" s="19">
        <v>14.0</v>
      </c>
      <c r="AL118" s="19">
        <v>14.0</v>
      </c>
      <c r="AM118" s="19">
        <v>41.0</v>
      </c>
      <c r="AN118" s="19">
        <v>55.6</v>
      </c>
      <c r="AO118" s="19">
        <v>83.6</v>
      </c>
      <c r="AP118" s="19">
        <v>235.0</v>
      </c>
      <c r="AQ118" s="23">
        <v>115.0</v>
      </c>
      <c r="AR118" s="23">
        <v>19.0</v>
      </c>
      <c r="AS118" s="22"/>
      <c r="AT118" s="19" t="s">
        <v>2282</v>
      </c>
      <c r="AU118" s="19" t="s">
        <v>4414</v>
      </c>
      <c r="AV118" s="19" t="s">
        <v>4415</v>
      </c>
      <c r="AW118" s="19" t="s">
        <v>4416</v>
      </c>
      <c r="AX118" s="20">
        <v>38125.0</v>
      </c>
      <c r="AY118" s="19" t="s">
        <v>3015</v>
      </c>
      <c r="AZ118" s="19" t="s">
        <v>2310</v>
      </c>
      <c r="BA118" s="19" t="s">
        <v>4417</v>
      </c>
      <c r="BB118" s="19" t="s">
        <v>4418</v>
      </c>
      <c r="BC118" s="19" t="s">
        <v>4419</v>
      </c>
      <c r="BD118" s="19" t="s">
        <v>4420</v>
      </c>
      <c r="BE118" s="19" t="s">
        <v>4421</v>
      </c>
      <c r="BF118" s="19">
        <v>1.1946256717E10</v>
      </c>
      <c r="BG118" s="19" t="s">
        <v>3518</v>
      </c>
      <c r="BH118" s="19" t="s">
        <v>2128</v>
      </c>
      <c r="BI118" s="19"/>
      <c r="BJ118" s="19" t="s">
        <v>2427</v>
      </c>
      <c r="BK118" s="19" t="s">
        <v>17</v>
      </c>
      <c r="BL118" s="19"/>
      <c r="BM118" s="19" t="s">
        <v>2130</v>
      </c>
      <c r="BN118" s="19" t="s">
        <v>2131</v>
      </c>
      <c r="BO118" s="19" t="s">
        <v>2473</v>
      </c>
      <c r="BP118" s="19"/>
      <c r="BQ118" s="19" t="s">
        <v>2133</v>
      </c>
      <c r="BR118" s="19" t="s">
        <v>2133</v>
      </c>
      <c r="BS118" s="19" t="s">
        <v>2134</v>
      </c>
      <c r="BT118" s="19" t="s">
        <v>38</v>
      </c>
      <c r="BU118" s="19" t="s">
        <v>4422</v>
      </c>
      <c r="BV118" s="19" t="s">
        <v>4423</v>
      </c>
      <c r="BW118" s="19" t="s">
        <v>2113</v>
      </c>
      <c r="BX118" s="19"/>
      <c r="BY118" s="19"/>
      <c r="BZ118" s="19"/>
      <c r="CA118" s="19"/>
      <c r="CB118" s="19" t="s">
        <v>2113</v>
      </c>
      <c r="CC118" s="19"/>
      <c r="CD118" s="19" t="s">
        <v>2137</v>
      </c>
      <c r="CE118" s="19" t="s">
        <v>16</v>
      </c>
      <c r="CF118" s="19"/>
      <c r="CG118" s="19"/>
      <c r="CH118" s="19" t="s">
        <v>16</v>
      </c>
      <c r="CI118" s="21">
        <v>0.0</v>
      </c>
      <c r="CJ118" s="19" t="s">
        <v>16</v>
      </c>
      <c r="CK118" s="19"/>
      <c r="CL118" s="19"/>
      <c r="CM118" s="19" t="s">
        <v>2926</v>
      </c>
      <c r="CN118" s="19" t="s">
        <v>3020</v>
      </c>
      <c r="CO118" s="19"/>
      <c r="CP118" s="19" t="s">
        <v>2246</v>
      </c>
      <c r="CQ118" s="19"/>
      <c r="CR118" s="19" t="s">
        <v>2113</v>
      </c>
      <c r="CS118" s="19" t="s">
        <v>2113</v>
      </c>
      <c r="CT118" s="19" t="s">
        <v>2113</v>
      </c>
      <c r="CU118" s="19" t="s">
        <v>2113</v>
      </c>
      <c r="CV118" s="19" t="s">
        <v>2141</v>
      </c>
      <c r="CW118" s="19" t="s">
        <v>2113</v>
      </c>
      <c r="CX118" s="19" t="s">
        <v>2113</v>
      </c>
      <c r="CY118" s="19"/>
      <c r="CZ118" s="19"/>
      <c r="DA118" s="19" t="s">
        <v>16</v>
      </c>
      <c r="DB118" s="19" t="s">
        <v>16</v>
      </c>
      <c r="DC118" s="19" t="s">
        <v>2383</v>
      </c>
      <c r="DD118" s="19"/>
      <c r="DE118" s="19"/>
      <c r="DF118" s="19" t="s">
        <v>4424</v>
      </c>
      <c r="DG118" s="19" t="s">
        <v>4425</v>
      </c>
      <c r="DH118" s="19" t="s">
        <v>2144</v>
      </c>
      <c r="DI118" s="24">
        <v>45524.0</v>
      </c>
      <c r="DJ118" s="19" t="s">
        <v>2133</v>
      </c>
      <c r="DK118" s="19" t="s">
        <v>2271</v>
      </c>
      <c r="DL118" s="19" t="s">
        <v>2146</v>
      </c>
      <c r="DM118" s="19" t="s">
        <v>2628</v>
      </c>
      <c r="DN118" s="19">
        <v>8.0</v>
      </c>
      <c r="DO118" s="19">
        <v>8.0</v>
      </c>
      <c r="DP118" s="19" t="s">
        <v>4426</v>
      </c>
      <c r="DQ118" s="19" t="s">
        <v>4427</v>
      </c>
      <c r="DR118" s="19" t="s">
        <v>4428</v>
      </c>
      <c r="DS118" s="19" t="s">
        <v>2185</v>
      </c>
      <c r="DT118" s="19" t="s">
        <v>2229</v>
      </c>
      <c r="DU118" s="19"/>
      <c r="DV118" s="19"/>
      <c r="DW118" s="19" t="s">
        <v>2479</v>
      </c>
      <c r="DX118" s="19">
        <v>6.0</v>
      </c>
      <c r="DY118" s="19">
        <v>5.0</v>
      </c>
      <c r="DZ118" s="19">
        <v>0.0</v>
      </c>
      <c r="EA118" s="19">
        <v>5.0</v>
      </c>
      <c r="EB118" s="19">
        <v>0.0</v>
      </c>
      <c r="EC118" s="19">
        <v>20.0</v>
      </c>
      <c r="ED118" s="19" t="s">
        <v>2133</v>
      </c>
      <c r="EE118" s="24">
        <v>45524.0</v>
      </c>
      <c r="EF118" s="19" t="s">
        <v>2133</v>
      </c>
      <c r="EG118" s="19" t="s">
        <v>2271</v>
      </c>
      <c r="EH118" s="19" t="s">
        <v>2146</v>
      </c>
      <c r="EI118" s="22">
        <v>14.625</v>
      </c>
      <c r="EJ118" s="19">
        <v>41.0</v>
      </c>
      <c r="EK118" s="19"/>
      <c r="EL118" s="19" t="s">
        <v>2282</v>
      </c>
      <c r="EM118" s="19" t="s">
        <v>4414</v>
      </c>
      <c r="EN118" s="19" t="s">
        <v>361</v>
      </c>
      <c r="EO118" s="19" t="s">
        <v>3015</v>
      </c>
      <c r="EP118" s="19" t="s">
        <v>2310</v>
      </c>
      <c r="EQ118" s="19" t="s">
        <v>3020</v>
      </c>
      <c r="ER118" s="19"/>
      <c r="ES118" s="19" t="s">
        <v>361</v>
      </c>
      <c r="ET118" s="19" t="s">
        <v>361</v>
      </c>
      <c r="EU118" s="19" t="s">
        <v>4412</v>
      </c>
      <c r="EV118" s="19">
        <v>7336.0</v>
      </c>
      <c r="EW118" s="19" t="s">
        <v>16</v>
      </c>
      <c r="EX118" s="19">
        <v>3.0</v>
      </c>
      <c r="EY118" s="25" t="s">
        <v>360</v>
      </c>
      <c r="EZ118" s="19" t="s">
        <v>2154</v>
      </c>
      <c r="FA118" s="5" t="s">
        <v>4429</v>
      </c>
      <c r="FB118" s="26" t="s">
        <v>2156</v>
      </c>
      <c r="FC118" s="26"/>
    </row>
    <row r="119">
      <c r="A119" s="19" t="s">
        <v>2112</v>
      </c>
      <c r="B119" s="19" t="s">
        <v>2113</v>
      </c>
      <c r="C119" s="19" t="s">
        <v>2113</v>
      </c>
      <c r="D119" s="19" t="s">
        <v>4430</v>
      </c>
      <c r="E119" s="19" t="s">
        <v>4431</v>
      </c>
      <c r="F119" s="19" t="s">
        <v>4430</v>
      </c>
      <c r="G119" s="19"/>
      <c r="H119" s="19" t="s">
        <v>362</v>
      </c>
      <c r="I119" s="19" t="s">
        <v>364</v>
      </c>
      <c r="J119" s="19" t="s">
        <v>4432</v>
      </c>
      <c r="K119" s="19" t="s">
        <v>4433</v>
      </c>
      <c r="L119" s="20">
        <v>45425.0</v>
      </c>
      <c r="M119" s="20">
        <v>45428.0</v>
      </c>
      <c r="N119" s="20">
        <v>45428.0</v>
      </c>
      <c r="O119" s="19" t="s">
        <v>363</v>
      </c>
      <c r="P119" s="19">
        <v>0.0</v>
      </c>
      <c r="Q119" s="19">
        <v>21.0</v>
      </c>
      <c r="R119" s="19">
        <v>7801.0</v>
      </c>
      <c r="S119" s="20" t="s">
        <v>4434</v>
      </c>
      <c r="T119" s="20">
        <v>45461.0</v>
      </c>
      <c r="U119" s="19" t="s">
        <v>4430</v>
      </c>
      <c r="V119" s="19"/>
      <c r="W119" s="19" t="s">
        <v>4435</v>
      </c>
      <c r="X119" s="21">
        <v>20.0</v>
      </c>
      <c r="Y119" s="21">
        <v>0.0</v>
      </c>
      <c r="Z119" s="21">
        <v>3.0</v>
      </c>
      <c r="AA119" s="21">
        <v>3.0</v>
      </c>
      <c r="AB119" s="5">
        <v>26.0</v>
      </c>
      <c r="AC119" s="19">
        <v>5.0</v>
      </c>
      <c r="AD119" s="19">
        <v>5.0</v>
      </c>
      <c r="AE119" s="19">
        <v>5.0</v>
      </c>
      <c r="AF119" s="19">
        <v>5.0</v>
      </c>
      <c r="AG119" s="19">
        <v>4.0</v>
      </c>
      <c r="AH119" s="19">
        <v>5.0</v>
      </c>
      <c r="AI119" s="22">
        <v>14.625</v>
      </c>
      <c r="AJ119" s="19">
        <v>13.0</v>
      </c>
      <c r="AK119" s="19">
        <v>15.0</v>
      </c>
      <c r="AL119" s="19">
        <v>15.0</v>
      </c>
      <c r="AM119" s="19">
        <v>43.0</v>
      </c>
      <c r="AN119" s="19">
        <v>57.6</v>
      </c>
      <c r="AO119" s="19">
        <v>83.6</v>
      </c>
      <c r="AP119" s="19">
        <v>259.0</v>
      </c>
      <c r="AQ119" s="23">
        <v>116.0</v>
      </c>
      <c r="AR119" s="23">
        <v>4.0</v>
      </c>
      <c r="AS119" s="22"/>
      <c r="AT119" s="19" t="s">
        <v>2163</v>
      </c>
      <c r="AU119" s="19" t="s">
        <v>4436</v>
      </c>
      <c r="AV119" s="19" t="s">
        <v>4437</v>
      </c>
      <c r="AW119" s="19" t="s">
        <v>4438</v>
      </c>
      <c r="AX119" s="20">
        <v>37660.0</v>
      </c>
      <c r="AY119" s="19" t="s">
        <v>3537</v>
      </c>
      <c r="AZ119" s="19" t="s">
        <v>2310</v>
      </c>
      <c r="BA119" s="19" t="s">
        <v>4439</v>
      </c>
      <c r="BB119" s="19" t="s">
        <v>2764</v>
      </c>
      <c r="BC119" s="19" t="s">
        <v>4440</v>
      </c>
      <c r="BD119" s="19" t="s">
        <v>4441</v>
      </c>
      <c r="BE119" s="19" t="s">
        <v>4442</v>
      </c>
      <c r="BF119" s="19">
        <v>1.1930772599E10</v>
      </c>
      <c r="BG119" s="19" t="s">
        <v>4038</v>
      </c>
      <c r="BH119" s="19" t="s">
        <v>2128</v>
      </c>
      <c r="BI119" s="19"/>
      <c r="BJ119" s="19" t="s">
        <v>2128</v>
      </c>
      <c r="BK119" s="19" t="s">
        <v>17</v>
      </c>
      <c r="BL119" s="19" t="s">
        <v>2113</v>
      </c>
      <c r="BM119" s="19" t="s">
        <v>2130</v>
      </c>
      <c r="BN119" s="19" t="s">
        <v>4443</v>
      </c>
      <c r="BO119" s="19" t="s">
        <v>2473</v>
      </c>
      <c r="BP119" s="19"/>
      <c r="BQ119" s="19" t="s">
        <v>2133</v>
      </c>
      <c r="BR119" s="19" t="s">
        <v>2133</v>
      </c>
      <c r="BS119" s="19" t="s">
        <v>2243</v>
      </c>
      <c r="BT119" s="19" t="s">
        <v>222</v>
      </c>
      <c r="BU119" s="19" t="s">
        <v>3001</v>
      </c>
      <c r="BV119" s="19" t="s">
        <v>4444</v>
      </c>
      <c r="BW119" s="19"/>
      <c r="BX119" s="19" t="s">
        <v>2113</v>
      </c>
      <c r="BY119" s="19" t="s">
        <v>2113</v>
      </c>
      <c r="BZ119" s="19" t="s">
        <v>2113</v>
      </c>
      <c r="CA119" s="19"/>
      <c r="CB119" s="19" t="s">
        <v>2113</v>
      </c>
      <c r="CC119" s="19" t="s">
        <v>2113</v>
      </c>
      <c r="CD119" s="19" t="s">
        <v>2137</v>
      </c>
      <c r="CE119" s="19" t="s">
        <v>16</v>
      </c>
      <c r="CF119" s="19"/>
      <c r="CG119" s="19"/>
      <c r="CH119" s="19" t="s">
        <v>17</v>
      </c>
      <c r="CI119" s="21">
        <v>3.0</v>
      </c>
      <c r="CJ119" s="19" t="s">
        <v>17</v>
      </c>
      <c r="CK119" s="19"/>
      <c r="CL119" s="19"/>
      <c r="CM119" s="19" t="s">
        <v>2344</v>
      </c>
      <c r="CN119" s="19" t="s">
        <v>3544</v>
      </c>
      <c r="CO119" s="19"/>
      <c r="CP119" s="19" t="s">
        <v>2246</v>
      </c>
      <c r="CQ119" s="19"/>
      <c r="CR119" s="19" t="s">
        <v>2113</v>
      </c>
      <c r="CS119" s="19" t="s">
        <v>2113</v>
      </c>
      <c r="CT119" s="19"/>
      <c r="CU119" s="19"/>
      <c r="CV119" s="19" t="s">
        <v>2141</v>
      </c>
      <c r="CW119" s="19" t="s">
        <v>2113</v>
      </c>
      <c r="CX119" s="19" t="s">
        <v>2113</v>
      </c>
      <c r="CY119" s="19"/>
      <c r="CZ119" s="19"/>
      <c r="DA119" s="19" t="s">
        <v>16</v>
      </c>
      <c r="DB119" s="19" t="s">
        <v>17</v>
      </c>
      <c r="DC119" s="19" t="s">
        <v>2146</v>
      </c>
      <c r="DD119" s="19" t="s">
        <v>2113</v>
      </c>
      <c r="DE119" s="19" t="s">
        <v>2113</v>
      </c>
      <c r="DF119" s="19" t="s">
        <v>2579</v>
      </c>
      <c r="DG119" s="19" t="s">
        <v>2671</v>
      </c>
      <c r="DH119" s="19" t="s">
        <v>2144</v>
      </c>
      <c r="DI119" s="24">
        <v>45525.0</v>
      </c>
      <c r="DJ119" s="19" t="s">
        <v>2133</v>
      </c>
      <c r="DK119" s="19" t="s">
        <v>2145</v>
      </c>
      <c r="DL119" s="19" t="s">
        <v>2146</v>
      </c>
      <c r="DM119" s="19" t="s">
        <v>3003</v>
      </c>
      <c r="DN119" s="19">
        <v>9.0</v>
      </c>
      <c r="DO119" s="19">
        <v>9.0</v>
      </c>
      <c r="DP119" s="19" t="s">
        <v>4445</v>
      </c>
      <c r="DQ119" s="19" t="s">
        <v>4446</v>
      </c>
      <c r="DR119" s="19" t="s">
        <v>4447</v>
      </c>
      <c r="DS119" s="19" t="s">
        <v>2365</v>
      </c>
      <c r="DT119" s="19" t="s">
        <v>2229</v>
      </c>
      <c r="DU119" s="19"/>
      <c r="DV119" s="19"/>
      <c r="DW119" s="19" t="s">
        <v>2153</v>
      </c>
      <c r="DX119" s="19">
        <v>8.0</v>
      </c>
      <c r="DY119" s="19">
        <v>0.0</v>
      </c>
      <c r="DZ119" s="19">
        <v>0.0</v>
      </c>
      <c r="EA119" s="19">
        <v>0.0</v>
      </c>
      <c r="EB119" s="19">
        <v>3.0</v>
      </c>
      <c r="EC119" s="19">
        <v>20.0</v>
      </c>
      <c r="ED119" s="19" t="s">
        <v>2133</v>
      </c>
      <c r="EE119" s="24">
        <v>45525.0</v>
      </c>
      <c r="EF119" s="19" t="s">
        <v>2133</v>
      </c>
      <c r="EG119" s="19" t="s">
        <v>2145</v>
      </c>
      <c r="EH119" s="19" t="s">
        <v>2146</v>
      </c>
      <c r="EI119" s="22">
        <v>14.625</v>
      </c>
      <c r="EJ119" s="19">
        <v>43.0</v>
      </c>
      <c r="EK119" s="19" t="s">
        <v>2113</v>
      </c>
      <c r="EL119" s="19" t="s">
        <v>2163</v>
      </c>
      <c r="EM119" s="19" t="s">
        <v>4436</v>
      </c>
      <c r="EN119" s="19" t="s">
        <v>364</v>
      </c>
      <c r="EO119" s="19" t="s">
        <v>3537</v>
      </c>
      <c r="EP119" s="19" t="s">
        <v>2310</v>
      </c>
      <c r="EQ119" s="19" t="s">
        <v>3544</v>
      </c>
      <c r="ER119" s="19"/>
      <c r="ES119" s="19" t="s">
        <v>364</v>
      </c>
      <c r="ET119" s="19" t="s">
        <v>364</v>
      </c>
      <c r="EU119" s="19" t="s">
        <v>4433</v>
      </c>
      <c r="EV119" s="19">
        <v>7801.0</v>
      </c>
      <c r="EW119" s="19" t="s">
        <v>16</v>
      </c>
      <c r="EX119" s="19">
        <v>3.0</v>
      </c>
      <c r="EY119" s="25" t="s">
        <v>363</v>
      </c>
      <c r="EZ119" s="19" t="s">
        <v>2154</v>
      </c>
      <c r="FA119" s="5" t="s">
        <v>4448</v>
      </c>
      <c r="FB119" s="26" t="s">
        <v>2156</v>
      </c>
      <c r="FC119" s="26"/>
    </row>
    <row r="120">
      <c r="A120" s="19" t="s">
        <v>2112</v>
      </c>
      <c r="B120" s="19" t="s">
        <v>2113</v>
      </c>
      <c r="C120" s="19" t="s">
        <v>2113</v>
      </c>
      <c r="D120" s="19" t="s">
        <v>365</v>
      </c>
      <c r="E120" s="19" t="s">
        <v>4449</v>
      </c>
      <c r="F120" s="19" t="s">
        <v>4450</v>
      </c>
      <c r="G120" s="19" t="s">
        <v>4451</v>
      </c>
      <c r="H120" s="19" t="s">
        <v>365</v>
      </c>
      <c r="I120" s="19" t="s">
        <v>367</v>
      </c>
      <c r="J120" s="19" t="s">
        <v>4452</v>
      </c>
      <c r="K120" s="19" t="s">
        <v>4453</v>
      </c>
      <c r="L120" s="20">
        <v>45411.0</v>
      </c>
      <c r="M120" s="20">
        <v>45414.0</v>
      </c>
      <c r="N120" s="20">
        <v>45414.0</v>
      </c>
      <c r="O120" s="19" t="s">
        <v>366</v>
      </c>
      <c r="P120" s="19">
        <v>0.0</v>
      </c>
      <c r="Q120" s="19">
        <v>19.0</v>
      </c>
      <c r="R120" s="19">
        <v>7202.0</v>
      </c>
      <c r="S120" s="20" t="s">
        <v>4454</v>
      </c>
      <c r="T120" s="20">
        <v>45461.0</v>
      </c>
      <c r="U120" s="19" t="s">
        <v>4450</v>
      </c>
      <c r="V120" s="19"/>
      <c r="W120" s="19" t="s">
        <v>4455</v>
      </c>
      <c r="X120" s="21">
        <v>20.0</v>
      </c>
      <c r="Y120" s="21">
        <v>10.0</v>
      </c>
      <c r="Z120" s="21">
        <v>2.0</v>
      </c>
      <c r="AA120" s="21">
        <v>0.0</v>
      </c>
      <c r="AB120" s="5">
        <v>32.0</v>
      </c>
      <c r="AC120" s="19">
        <v>3.0</v>
      </c>
      <c r="AD120" s="19">
        <v>4.0</v>
      </c>
      <c r="AE120" s="19">
        <v>4.0</v>
      </c>
      <c r="AF120" s="19">
        <v>4.0</v>
      </c>
      <c r="AG120" s="19">
        <v>4.0</v>
      </c>
      <c r="AH120" s="19">
        <v>4.0</v>
      </c>
      <c r="AI120" s="22">
        <v>11.53125</v>
      </c>
      <c r="AJ120" s="19">
        <v>13.0</v>
      </c>
      <c r="AK120" s="19">
        <v>13.0</v>
      </c>
      <c r="AL120" s="19">
        <v>14.0</v>
      </c>
      <c r="AM120" s="19">
        <v>40.0</v>
      </c>
      <c r="AN120" s="19">
        <v>51.5</v>
      </c>
      <c r="AO120" s="19">
        <v>83.5</v>
      </c>
      <c r="AP120" s="19">
        <v>201.0</v>
      </c>
      <c r="AQ120" s="23">
        <v>117.0</v>
      </c>
      <c r="AR120" s="23">
        <v>5.0</v>
      </c>
      <c r="AS120" s="22"/>
      <c r="AT120" s="19" t="s">
        <v>2117</v>
      </c>
      <c r="AU120" s="19" t="s">
        <v>4456</v>
      </c>
      <c r="AV120" s="19" t="s">
        <v>4457</v>
      </c>
      <c r="AW120" s="19"/>
      <c r="AX120" s="20">
        <v>38259.0</v>
      </c>
      <c r="AY120" s="19" t="s">
        <v>4458</v>
      </c>
      <c r="AZ120" s="19" t="s">
        <v>2919</v>
      </c>
      <c r="BA120" s="19" t="s">
        <v>4459</v>
      </c>
      <c r="BB120" s="19" t="s">
        <v>4460</v>
      </c>
      <c r="BC120" s="19" t="s">
        <v>4461</v>
      </c>
      <c r="BD120" s="19" t="s">
        <v>4462</v>
      </c>
      <c r="BE120" s="19" t="s">
        <v>4463</v>
      </c>
      <c r="BF120" s="19">
        <v>1.1964443099E10</v>
      </c>
      <c r="BG120" s="19" t="s">
        <v>2127</v>
      </c>
      <c r="BH120" s="19" t="s">
        <v>2128</v>
      </c>
      <c r="BI120" s="19"/>
      <c r="BJ120" s="19"/>
      <c r="BK120" s="19" t="s">
        <v>16</v>
      </c>
      <c r="BL120" s="19" t="s">
        <v>2113</v>
      </c>
      <c r="BM120" s="19" t="s">
        <v>2130</v>
      </c>
      <c r="BN120" s="19" t="s">
        <v>2172</v>
      </c>
      <c r="BO120" s="19" t="s">
        <v>3199</v>
      </c>
      <c r="BP120" s="19"/>
      <c r="BQ120" s="19" t="s">
        <v>2133</v>
      </c>
      <c r="BR120" s="19" t="s">
        <v>2133</v>
      </c>
      <c r="BS120" s="19" t="s">
        <v>2243</v>
      </c>
      <c r="BT120" s="19" t="s">
        <v>222</v>
      </c>
      <c r="BU120" s="19" t="s">
        <v>4099</v>
      </c>
      <c r="BV120" s="19" t="s">
        <v>4464</v>
      </c>
      <c r="BW120" s="19"/>
      <c r="BX120" s="19"/>
      <c r="BY120" s="19"/>
      <c r="BZ120" s="19"/>
      <c r="CA120" s="19"/>
      <c r="CB120" s="19"/>
      <c r="CC120" s="19"/>
      <c r="CD120" s="19" t="s">
        <v>2137</v>
      </c>
      <c r="CE120" s="19" t="s">
        <v>16</v>
      </c>
      <c r="CF120" s="19"/>
      <c r="CG120" s="19"/>
      <c r="CH120" s="19" t="s">
        <v>16</v>
      </c>
      <c r="CI120" s="21">
        <v>0.0</v>
      </c>
      <c r="CJ120" s="19" t="s">
        <v>17</v>
      </c>
      <c r="CK120" s="19"/>
      <c r="CL120" s="19"/>
      <c r="CM120" s="19" t="s">
        <v>2926</v>
      </c>
      <c r="CN120" s="19" t="s">
        <v>4465</v>
      </c>
      <c r="CO120" s="19"/>
      <c r="CP120" s="19"/>
      <c r="CQ120" s="19"/>
      <c r="CR120" s="19"/>
      <c r="CS120" s="19"/>
      <c r="CT120" s="19"/>
      <c r="CU120" s="19"/>
      <c r="CV120" s="19" t="s">
        <v>2141</v>
      </c>
      <c r="CW120" s="19" t="s">
        <v>2113</v>
      </c>
      <c r="CX120" s="19" t="s">
        <v>2113</v>
      </c>
      <c r="CY120" s="19"/>
      <c r="CZ120" s="19"/>
      <c r="DA120" s="19" t="s">
        <v>16</v>
      </c>
      <c r="DB120" s="19" t="s">
        <v>17</v>
      </c>
      <c r="DC120" s="19" t="s">
        <v>2627</v>
      </c>
      <c r="DD120" s="19" t="s">
        <v>2113</v>
      </c>
      <c r="DE120" s="19" t="s">
        <v>2113</v>
      </c>
      <c r="DF120" s="19" t="s">
        <v>4466</v>
      </c>
      <c r="DG120" s="19" t="s">
        <v>4467</v>
      </c>
      <c r="DH120" s="19" t="s">
        <v>2144</v>
      </c>
      <c r="DI120" s="24">
        <v>45533.0</v>
      </c>
      <c r="DJ120" s="19" t="s">
        <v>2133</v>
      </c>
      <c r="DK120" s="19" t="s">
        <v>2145</v>
      </c>
      <c r="DL120" s="19" t="s">
        <v>2146</v>
      </c>
      <c r="DM120" s="19" t="s">
        <v>2147</v>
      </c>
      <c r="DN120" s="19">
        <v>17.0</v>
      </c>
      <c r="DO120" s="19">
        <v>17.0</v>
      </c>
      <c r="DP120" s="19" t="s">
        <v>4468</v>
      </c>
      <c r="DQ120" s="19" t="s">
        <v>4469</v>
      </c>
      <c r="DR120" s="19" t="s">
        <v>4470</v>
      </c>
      <c r="DS120" s="19" t="s">
        <v>2151</v>
      </c>
      <c r="DT120" s="19" t="s">
        <v>2350</v>
      </c>
      <c r="DU120" s="19"/>
      <c r="DV120" s="19"/>
      <c r="DW120" s="19" t="s">
        <v>2153</v>
      </c>
      <c r="DX120" s="19">
        <v>12.0</v>
      </c>
      <c r="DY120" s="19">
        <v>10.0</v>
      </c>
      <c r="DZ120" s="19">
        <v>0.0</v>
      </c>
      <c r="EA120" s="19">
        <v>10.0</v>
      </c>
      <c r="EB120" s="19">
        <v>0.0</v>
      </c>
      <c r="EC120" s="19">
        <v>20.0</v>
      </c>
      <c r="ED120" s="19" t="s">
        <v>2133</v>
      </c>
      <c r="EE120" s="24">
        <v>45533.0</v>
      </c>
      <c r="EF120" s="19" t="s">
        <v>2133</v>
      </c>
      <c r="EG120" s="19" t="s">
        <v>2145</v>
      </c>
      <c r="EH120" s="19" t="s">
        <v>2146</v>
      </c>
      <c r="EI120" s="22">
        <v>11.53125</v>
      </c>
      <c r="EJ120" s="19">
        <v>40.0</v>
      </c>
      <c r="EK120" s="19" t="s">
        <v>2113</v>
      </c>
      <c r="EL120" s="19" t="s">
        <v>2117</v>
      </c>
      <c r="EM120" s="19" t="s">
        <v>4456</v>
      </c>
      <c r="EN120" s="19" t="s">
        <v>367</v>
      </c>
      <c r="EO120" s="19" t="s">
        <v>4458</v>
      </c>
      <c r="EP120" s="19" t="s">
        <v>2919</v>
      </c>
      <c r="EQ120" s="19" t="s">
        <v>4465</v>
      </c>
      <c r="ER120" s="19"/>
      <c r="ES120" s="19" t="s">
        <v>367</v>
      </c>
      <c r="ET120" s="19" t="s">
        <v>367</v>
      </c>
      <c r="EU120" s="19" t="s">
        <v>4453</v>
      </c>
      <c r="EV120" s="19">
        <v>7202.0</v>
      </c>
      <c r="EW120" s="19" t="s">
        <v>16</v>
      </c>
      <c r="EX120" s="19">
        <v>2.0</v>
      </c>
      <c r="EY120" s="25" t="s">
        <v>366</v>
      </c>
      <c r="EZ120" s="19" t="s">
        <v>2154</v>
      </c>
      <c r="FA120" s="5" t="s">
        <v>4471</v>
      </c>
      <c r="FB120" s="26" t="s">
        <v>2156</v>
      </c>
      <c r="FC120" s="26"/>
    </row>
    <row r="121">
      <c r="A121" s="19" t="s">
        <v>2156</v>
      </c>
      <c r="B121" s="19" t="s">
        <v>2113</v>
      </c>
      <c r="C121" s="19" t="s">
        <v>2113</v>
      </c>
      <c r="D121" s="19" t="s">
        <v>368</v>
      </c>
      <c r="E121" s="19" t="s">
        <v>4472</v>
      </c>
      <c r="F121" s="19" t="s">
        <v>368</v>
      </c>
      <c r="G121" s="19"/>
      <c r="H121" s="19" t="s">
        <v>368</v>
      </c>
      <c r="I121" s="19" t="s">
        <v>370</v>
      </c>
      <c r="J121" s="19" t="s">
        <v>4473</v>
      </c>
      <c r="K121" s="19" t="s">
        <v>4474</v>
      </c>
      <c r="L121" s="20">
        <v>45443.0</v>
      </c>
      <c r="M121" s="20">
        <v>45446.0</v>
      </c>
      <c r="N121" s="20">
        <v>45446.0</v>
      </c>
      <c r="O121" s="19" t="s">
        <v>369</v>
      </c>
      <c r="P121" s="19">
        <v>1.0</v>
      </c>
      <c r="Q121" s="19">
        <v>21.0</v>
      </c>
      <c r="R121" s="19">
        <v>7756.0</v>
      </c>
      <c r="S121" s="20" t="s">
        <v>4475</v>
      </c>
      <c r="T121" s="20">
        <v>45461.0</v>
      </c>
      <c r="U121" s="19" t="s">
        <v>368</v>
      </c>
      <c r="V121" s="19"/>
      <c r="W121" s="19"/>
      <c r="X121" s="21">
        <v>20.0</v>
      </c>
      <c r="Y121" s="21">
        <v>10.0</v>
      </c>
      <c r="Z121" s="21">
        <v>3.0</v>
      </c>
      <c r="AA121" s="21">
        <v>0.0</v>
      </c>
      <c r="AB121" s="5">
        <v>33.0</v>
      </c>
      <c r="AC121" s="19">
        <v>4.0</v>
      </c>
      <c r="AD121" s="19">
        <v>4.0</v>
      </c>
      <c r="AE121" s="19">
        <v>5.0</v>
      </c>
      <c r="AF121" s="19">
        <v>5.0</v>
      </c>
      <c r="AG121" s="19">
        <v>4.0</v>
      </c>
      <c r="AH121" s="19">
        <v>4.0</v>
      </c>
      <c r="AI121" s="22">
        <v>13.125</v>
      </c>
      <c r="AJ121" s="19">
        <v>12.0</v>
      </c>
      <c r="AK121" s="19">
        <v>13.0</v>
      </c>
      <c r="AL121" s="19">
        <v>12.0</v>
      </c>
      <c r="AM121" s="19">
        <v>37.0</v>
      </c>
      <c r="AN121" s="19">
        <v>50.1</v>
      </c>
      <c r="AO121" s="19">
        <v>83.1</v>
      </c>
      <c r="AP121" s="19">
        <v>158.0</v>
      </c>
      <c r="AQ121" s="23">
        <v>118.0</v>
      </c>
      <c r="AR121" s="23">
        <v>6.0</v>
      </c>
      <c r="AS121" s="22"/>
      <c r="AT121" s="19" t="s">
        <v>2163</v>
      </c>
      <c r="AU121" s="19" t="s">
        <v>4476</v>
      </c>
      <c r="AV121" s="19" t="s">
        <v>4477</v>
      </c>
      <c r="AW121" s="19" t="s">
        <v>4478</v>
      </c>
      <c r="AX121" s="20">
        <v>37705.0</v>
      </c>
      <c r="AY121" s="19" t="s">
        <v>3946</v>
      </c>
      <c r="AZ121" s="19" t="s">
        <v>2445</v>
      </c>
      <c r="BA121" s="19" t="s">
        <v>4479</v>
      </c>
      <c r="BB121" s="19" t="s">
        <v>4480</v>
      </c>
      <c r="BC121" s="19" t="s">
        <v>4481</v>
      </c>
      <c r="BD121" s="19" t="s">
        <v>4482</v>
      </c>
      <c r="BE121" s="19" t="s">
        <v>4473</v>
      </c>
      <c r="BF121" s="19">
        <v>1.1991167493E10</v>
      </c>
      <c r="BG121" s="19" t="s">
        <v>2127</v>
      </c>
      <c r="BH121" s="19" t="s">
        <v>2128</v>
      </c>
      <c r="BI121" s="19"/>
      <c r="BJ121" s="19" t="s">
        <v>2128</v>
      </c>
      <c r="BK121" s="19" t="s">
        <v>17</v>
      </c>
      <c r="BL121" s="19"/>
      <c r="BM121" s="19" t="s">
        <v>2130</v>
      </c>
      <c r="BN121" s="19" t="s">
        <v>2172</v>
      </c>
      <c r="BO121" s="19" t="s">
        <v>2473</v>
      </c>
      <c r="BP121" s="19" t="s">
        <v>4483</v>
      </c>
      <c r="BQ121" s="19" t="s">
        <v>2133</v>
      </c>
      <c r="BR121" s="19" t="s">
        <v>2133</v>
      </c>
      <c r="BS121" s="19" t="s">
        <v>2134</v>
      </c>
      <c r="BT121" s="19" t="s">
        <v>222</v>
      </c>
      <c r="BU121" s="19"/>
      <c r="BV121" s="19" t="s">
        <v>4484</v>
      </c>
      <c r="BW121" s="19" t="s">
        <v>2113</v>
      </c>
      <c r="BX121" s="19"/>
      <c r="BY121" s="19"/>
      <c r="BZ121" s="19"/>
      <c r="CA121" s="19"/>
      <c r="CB121" s="19"/>
      <c r="CC121" s="19"/>
      <c r="CD121" s="19" t="s">
        <v>2137</v>
      </c>
      <c r="CE121" s="19" t="s">
        <v>16</v>
      </c>
      <c r="CF121" s="19"/>
      <c r="CG121" s="19"/>
      <c r="CH121" s="19" t="s">
        <v>16</v>
      </c>
      <c r="CI121" s="21">
        <v>0.0</v>
      </c>
      <c r="CJ121" s="19" t="s">
        <v>17</v>
      </c>
      <c r="CK121" s="19"/>
      <c r="CL121" s="19"/>
      <c r="CM121" s="19" t="s">
        <v>2138</v>
      </c>
      <c r="CN121" s="19" t="s">
        <v>3544</v>
      </c>
      <c r="CO121" s="19"/>
      <c r="CP121" s="19" t="s">
        <v>2134</v>
      </c>
      <c r="CQ121" s="19"/>
      <c r="CR121" s="19"/>
      <c r="CS121" s="19"/>
      <c r="CT121" s="19" t="s">
        <v>2113</v>
      </c>
      <c r="CU121" s="19" t="s">
        <v>2113</v>
      </c>
      <c r="CV121" s="19" t="s">
        <v>2141</v>
      </c>
      <c r="CW121" s="19"/>
      <c r="CX121" s="19"/>
      <c r="CY121" s="19" t="s">
        <v>2113</v>
      </c>
      <c r="CZ121" s="19" t="s">
        <v>2113</v>
      </c>
      <c r="DA121" s="19" t="s">
        <v>16</v>
      </c>
      <c r="DB121" s="19" t="s">
        <v>17</v>
      </c>
      <c r="DC121" s="19" t="s">
        <v>2142</v>
      </c>
      <c r="DD121" s="19" t="s">
        <v>2113</v>
      </c>
      <c r="DE121" s="19" t="s">
        <v>2113</v>
      </c>
      <c r="DF121" s="19" t="s">
        <v>2578</v>
      </c>
      <c r="DG121" s="19" t="s">
        <v>3222</v>
      </c>
      <c r="DH121" s="19" t="s">
        <v>2144</v>
      </c>
      <c r="DI121" s="24">
        <v>45519.0</v>
      </c>
      <c r="DJ121" s="19" t="s">
        <v>2133</v>
      </c>
      <c r="DK121" s="19" t="s">
        <v>2145</v>
      </c>
      <c r="DL121" s="19" t="s">
        <v>2146</v>
      </c>
      <c r="DM121" s="19"/>
      <c r="DN121" s="19">
        <v>5.0</v>
      </c>
      <c r="DO121" s="19">
        <v>5.0</v>
      </c>
      <c r="DP121" s="19" t="s">
        <v>4485</v>
      </c>
      <c r="DQ121" s="19" t="s">
        <v>4486</v>
      </c>
      <c r="DR121" s="19" t="s">
        <v>4487</v>
      </c>
      <c r="DS121" s="19" t="s">
        <v>2185</v>
      </c>
      <c r="DT121" s="19" t="s">
        <v>2350</v>
      </c>
      <c r="DU121" s="19"/>
      <c r="DV121" s="19"/>
      <c r="DW121" s="19" t="s">
        <v>2188</v>
      </c>
      <c r="DX121" s="19">
        <v>5.0</v>
      </c>
      <c r="DY121" s="19">
        <v>10.0</v>
      </c>
      <c r="DZ121" s="19">
        <v>0.0</v>
      </c>
      <c r="EA121" s="19">
        <v>10.0</v>
      </c>
      <c r="EB121" s="19">
        <v>0.0</v>
      </c>
      <c r="EC121" s="19">
        <v>20.0</v>
      </c>
      <c r="ED121" s="19" t="s">
        <v>2133</v>
      </c>
      <c r="EE121" s="24">
        <v>45519.0</v>
      </c>
      <c r="EF121" s="19" t="s">
        <v>2133</v>
      </c>
      <c r="EG121" s="19" t="s">
        <v>2145</v>
      </c>
      <c r="EH121" s="19" t="s">
        <v>2146</v>
      </c>
      <c r="EI121" s="22">
        <v>13.125</v>
      </c>
      <c r="EJ121" s="19">
        <v>37.0</v>
      </c>
      <c r="EK121" s="19" t="s">
        <v>2113</v>
      </c>
      <c r="EL121" s="19" t="s">
        <v>2163</v>
      </c>
      <c r="EM121" s="19" t="s">
        <v>4476</v>
      </c>
      <c r="EN121" s="19" t="s">
        <v>370</v>
      </c>
      <c r="EO121" s="19" t="s">
        <v>3946</v>
      </c>
      <c r="EP121" s="19" t="s">
        <v>2445</v>
      </c>
      <c r="EQ121" s="19" t="s">
        <v>3544</v>
      </c>
      <c r="ER121" s="19"/>
      <c r="ES121" s="19" t="s">
        <v>370</v>
      </c>
      <c r="ET121" s="19" t="s">
        <v>370</v>
      </c>
      <c r="EU121" s="19" t="s">
        <v>4474</v>
      </c>
      <c r="EV121" s="19">
        <v>7756.0</v>
      </c>
      <c r="EW121" s="19" t="s">
        <v>16</v>
      </c>
      <c r="EX121" s="19">
        <v>3.0</v>
      </c>
      <c r="EY121" s="25" t="s">
        <v>369</v>
      </c>
      <c r="EZ121" s="19" t="s">
        <v>2154</v>
      </c>
      <c r="FA121" s="5" t="s">
        <v>4488</v>
      </c>
      <c r="FB121" s="26" t="s">
        <v>2156</v>
      </c>
      <c r="FC121" s="26"/>
    </row>
    <row r="122">
      <c r="A122" s="19" t="s">
        <v>2112</v>
      </c>
      <c r="B122" s="19" t="s">
        <v>2113</v>
      </c>
      <c r="C122" s="19" t="s">
        <v>2113</v>
      </c>
      <c r="D122" s="19" t="s">
        <v>371</v>
      </c>
      <c r="E122" s="19" t="s">
        <v>4489</v>
      </c>
      <c r="F122" s="19" t="s">
        <v>371</v>
      </c>
      <c r="G122" s="19"/>
      <c r="H122" s="19" t="s">
        <v>371</v>
      </c>
      <c r="I122" s="19" t="s">
        <v>373</v>
      </c>
      <c r="J122" s="19" t="s">
        <v>4490</v>
      </c>
      <c r="K122" s="19" t="s">
        <v>4491</v>
      </c>
      <c r="L122" s="20">
        <v>45395.0</v>
      </c>
      <c r="M122" s="20">
        <v>45411.0</v>
      </c>
      <c r="N122" s="20">
        <v>45411.0</v>
      </c>
      <c r="O122" s="19" t="s">
        <v>372</v>
      </c>
      <c r="P122" s="19">
        <v>0.0</v>
      </c>
      <c r="Q122" s="19">
        <v>23.0</v>
      </c>
      <c r="R122" s="19">
        <v>8510.0</v>
      </c>
      <c r="S122" s="20" t="s">
        <v>4492</v>
      </c>
      <c r="T122" s="20">
        <v>45461.0</v>
      </c>
      <c r="U122" s="19" t="s">
        <v>371</v>
      </c>
      <c r="V122" s="19"/>
      <c r="W122" s="19"/>
      <c r="X122" s="21">
        <v>20.0</v>
      </c>
      <c r="Y122" s="21">
        <v>10.0</v>
      </c>
      <c r="Z122" s="21">
        <v>1.0</v>
      </c>
      <c r="AA122" s="21">
        <v>0.0</v>
      </c>
      <c r="AB122" s="5">
        <v>31.0</v>
      </c>
      <c r="AC122" s="19">
        <v>4.2</v>
      </c>
      <c r="AD122" s="19">
        <v>4.2</v>
      </c>
      <c r="AE122" s="19">
        <v>4.0</v>
      </c>
      <c r="AF122" s="19">
        <v>3.5</v>
      </c>
      <c r="AG122" s="19">
        <v>3.7</v>
      </c>
      <c r="AH122" s="19">
        <v>4.2</v>
      </c>
      <c r="AI122" s="22">
        <v>12.0</v>
      </c>
      <c r="AJ122" s="19">
        <v>15.0</v>
      </c>
      <c r="AK122" s="19">
        <v>15.0</v>
      </c>
      <c r="AL122" s="19">
        <v>10.0</v>
      </c>
      <c r="AM122" s="19">
        <v>40.0</v>
      </c>
      <c r="AN122" s="19">
        <v>52.0</v>
      </c>
      <c r="AO122" s="19">
        <v>83.0</v>
      </c>
      <c r="AP122" s="19">
        <v>208.0</v>
      </c>
      <c r="AQ122" s="23">
        <v>119.0</v>
      </c>
      <c r="AR122" s="23">
        <v>8.0</v>
      </c>
      <c r="AS122" s="22"/>
      <c r="AT122" s="19" t="s">
        <v>2117</v>
      </c>
      <c r="AU122" s="19" t="s">
        <v>4493</v>
      </c>
      <c r="AV122" s="19" t="s">
        <v>4494</v>
      </c>
      <c r="AW122" s="19" t="s">
        <v>4495</v>
      </c>
      <c r="AX122" s="20">
        <v>36951.0</v>
      </c>
      <c r="AY122" s="19" t="s">
        <v>4496</v>
      </c>
      <c r="AZ122" s="19" t="s">
        <v>2445</v>
      </c>
      <c r="BA122" s="19" t="s">
        <v>4497</v>
      </c>
      <c r="BB122" s="19" t="s">
        <v>4498</v>
      </c>
      <c r="BC122" s="19" t="s">
        <v>4499</v>
      </c>
      <c r="BD122" s="19" t="s">
        <v>4500</v>
      </c>
      <c r="BE122" s="19" t="s">
        <v>4501</v>
      </c>
      <c r="BF122" s="19">
        <v>1.1953432308E10</v>
      </c>
      <c r="BG122" s="19" t="s">
        <v>2127</v>
      </c>
      <c r="BH122" s="19" t="s">
        <v>2128</v>
      </c>
      <c r="BI122" s="19"/>
      <c r="BJ122" s="19"/>
      <c r="BK122" s="19" t="s">
        <v>16</v>
      </c>
      <c r="BL122" s="19"/>
      <c r="BM122" s="19" t="s">
        <v>2130</v>
      </c>
      <c r="BN122" s="19" t="s">
        <v>2708</v>
      </c>
      <c r="BO122" s="19" t="s">
        <v>3082</v>
      </c>
      <c r="BP122" s="19" t="s">
        <v>4502</v>
      </c>
      <c r="BQ122" s="19" t="s">
        <v>2318</v>
      </c>
      <c r="BR122" s="19" t="s">
        <v>2318</v>
      </c>
      <c r="BS122" s="19" t="s">
        <v>2134</v>
      </c>
      <c r="BT122" s="19" t="s">
        <v>42</v>
      </c>
      <c r="BU122" s="19" t="s">
        <v>3001</v>
      </c>
      <c r="BV122" s="19" t="s">
        <v>4503</v>
      </c>
      <c r="BW122" s="19" t="s">
        <v>2113</v>
      </c>
      <c r="BX122" s="19"/>
      <c r="BY122" s="19"/>
      <c r="BZ122" s="19"/>
      <c r="CA122" s="19"/>
      <c r="CB122" s="19" t="s">
        <v>2113</v>
      </c>
      <c r="CC122" s="19"/>
      <c r="CD122" s="19" t="s">
        <v>2137</v>
      </c>
      <c r="CE122" s="19" t="s">
        <v>16</v>
      </c>
      <c r="CF122" s="19"/>
      <c r="CG122" s="19"/>
      <c r="CH122" s="19" t="s">
        <v>16</v>
      </c>
      <c r="CI122" s="21">
        <v>0.0</v>
      </c>
      <c r="CJ122" s="19" t="s">
        <v>17</v>
      </c>
      <c r="CK122" s="19"/>
      <c r="CL122" s="19"/>
      <c r="CM122" s="19" t="s">
        <v>2344</v>
      </c>
      <c r="CN122" s="19" t="s">
        <v>3279</v>
      </c>
      <c r="CO122" s="19"/>
      <c r="CP122" s="19"/>
      <c r="CQ122" s="19"/>
      <c r="CR122" s="19" t="s">
        <v>2113</v>
      </c>
      <c r="CS122" s="19" t="s">
        <v>2113</v>
      </c>
      <c r="CT122" s="19" t="s">
        <v>2113</v>
      </c>
      <c r="CU122" s="19" t="s">
        <v>2113</v>
      </c>
      <c r="CV122" s="19" t="s">
        <v>2141</v>
      </c>
      <c r="CW122" s="19"/>
      <c r="CX122" s="19"/>
      <c r="CY122" s="19" t="s">
        <v>2113</v>
      </c>
      <c r="CZ122" s="19" t="s">
        <v>2113</v>
      </c>
      <c r="DA122" s="19" t="s">
        <v>16</v>
      </c>
      <c r="DB122" s="19" t="s">
        <v>17</v>
      </c>
      <c r="DC122" s="19" t="s">
        <v>4504</v>
      </c>
      <c r="DD122" s="19" t="s">
        <v>2113</v>
      </c>
      <c r="DE122" s="19" t="s">
        <v>2113</v>
      </c>
      <c r="DF122" s="19" t="s">
        <v>2324</v>
      </c>
      <c r="DG122" s="19" t="s">
        <v>3955</v>
      </c>
      <c r="DH122" s="19" t="s">
        <v>2144</v>
      </c>
      <c r="DI122" s="24">
        <v>45524.0</v>
      </c>
      <c r="DJ122" s="19" t="s">
        <v>2325</v>
      </c>
      <c r="DK122" s="19" t="s">
        <v>2271</v>
      </c>
      <c r="DL122" s="19" t="s">
        <v>2326</v>
      </c>
      <c r="DM122" s="19"/>
      <c r="DN122" s="19">
        <v>8.0</v>
      </c>
      <c r="DO122" s="19">
        <v>8.0</v>
      </c>
      <c r="DP122" s="19" t="s">
        <v>4505</v>
      </c>
      <c r="DQ122" s="19" t="s">
        <v>4506</v>
      </c>
      <c r="DR122" s="19" t="s">
        <v>4507</v>
      </c>
      <c r="DS122" s="19" t="s">
        <v>2185</v>
      </c>
      <c r="DT122" s="19" t="s">
        <v>2186</v>
      </c>
      <c r="DU122" s="19"/>
      <c r="DV122" s="19"/>
      <c r="DW122" s="19" t="s">
        <v>2479</v>
      </c>
      <c r="DX122" s="19">
        <v>6.0</v>
      </c>
      <c r="DY122" s="19">
        <v>10.0</v>
      </c>
      <c r="DZ122" s="19">
        <v>0.0</v>
      </c>
      <c r="EA122" s="19">
        <v>10.0</v>
      </c>
      <c r="EB122" s="19">
        <v>0.0</v>
      </c>
      <c r="EC122" s="19">
        <v>20.0</v>
      </c>
      <c r="ED122" s="19" t="s">
        <v>2325</v>
      </c>
      <c r="EE122" s="24">
        <v>45524.0</v>
      </c>
      <c r="EF122" s="19" t="s">
        <v>2325</v>
      </c>
      <c r="EG122" s="19" t="s">
        <v>2271</v>
      </c>
      <c r="EH122" s="19" t="s">
        <v>2326</v>
      </c>
      <c r="EI122" s="22">
        <v>12.0</v>
      </c>
      <c r="EJ122" s="19">
        <v>40.0</v>
      </c>
      <c r="EK122" s="19" t="s">
        <v>2113</v>
      </c>
      <c r="EL122" s="19" t="s">
        <v>2117</v>
      </c>
      <c r="EM122" s="19" t="s">
        <v>4493</v>
      </c>
      <c r="EN122" s="19" t="s">
        <v>373</v>
      </c>
      <c r="EO122" s="19" t="s">
        <v>4496</v>
      </c>
      <c r="EP122" s="19" t="s">
        <v>2445</v>
      </c>
      <c r="EQ122" s="19" t="s">
        <v>3279</v>
      </c>
      <c r="ER122" s="19"/>
      <c r="ES122" s="19" t="s">
        <v>373</v>
      </c>
      <c r="ET122" s="19" t="s">
        <v>373</v>
      </c>
      <c r="EU122" s="19" t="s">
        <v>4491</v>
      </c>
      <c r="EV122" s="19">
        <v>8510.0</v>
      </c>
      <c r="EW122" s="19" t="s">
        <v>16</v>
      </c>
      <c r="EX122" s="19">
        <v>1.0</v>
      </c>
      <c r="EY122" s="25" t="s">
        <v>372</v>
      </c>
      <c r="EZ122" s="19" t="s">
        <v>2154</v>
      </c>
      <c r="FA122" s="5" t="s">
        <v>4508</v>
      </c>
      <c r="FB122" s="26" t="s">
        <v>2156</v>
      </c>
      <c r="FC122" s="26"/>
    </row>
    <row r="123">
      <c r="A123" s="19" t="s">
        <v>2112</v>
      </c>
      <c r="B123" s="19" t="s">
        <v>2113</v>
      </c>
      <c r="C123" s="19" t="s">
        <v>2113</v>
      </c>
      <c r="D123" s="19" t="s">
        <v>374</v>
      </c>
      <c r="E123" s="19" t="s">
        <v>4509</v>
      </c>
      <c r="F123" s="19" t="s">
        <v>374</v>
      </c>
      <c r="G123" s="19" t="s">
        <v>4509</v>
      </c>
      <c r="H123" s="19" t="s">
        <v>374</v>
      </c>
      <c r="I123" s="19" t="s">
        <v>376</v>
      </c>
      <c r="J123" s="19" t="s">
        <v>4510</v>
      </c>
      <c r="K123" s="19" t="s">
        <v>4511</v>
      </c>
      <c r="L123" s="20">
        <v>45394.0</v>
      </c>
      <c r="M123" s="20">
        <v>45404.0</v>
      </c>
      <c r="N123" s="20">
        <v>45404.0</v>
      </c>
      <c r="O123" s="19" t="s">
        <v>375</v>
      </c>
      <c r="P123" s="19">
        <v>0.0</v>
      </c>
      <c r="Q123" s="19">
        <v>27.0</v>
      </c>
      <c r="R123" s="19">
        <v>10088.0</v>
      </c>
      <c r="S123" s="20" t="s">
        <v>4512</v>
      </c>
      <c r="T123" s="20">
        <v>45461.0</v>
      </c>
      <c r="U123" s="19" t="s">
        <v>374</v>
      </c>
      <c r="V123" s="19"/>
      <c r="W123" s="19"/>
      <c r="X123" s="21">
        <v>20.0</v>
      </c>
      <c r="Y123" s="21">
        <v>0.0</v>
      </c>
      <c r="Z123" s="21">
        <v>4.0</v>
      </c>
      <c r="AA123" s="21">
        <v>3.0</v>
      </c>
      <c r="AB123" s="5">
        <v>27.0</v>
      </c>
      <c r="AC123" s="19">
        <v>4.0</v>
      </c>
      <c r="AD123" s="19">
        <v>4.0</v>
      </c>
      <c r="AE123" s="19">
        <v>4.0</v>
      </c>
      <c r="AF123" s="19">
        <v>4.0</v>
      </c>
      <c r="AG123" s="19">
        <v>4.0</v>
      </c>
      <c r="AH123" s="19">
        <v>4.0</v>
      </c>
      <c r="AI123" s="22">
        <v>12.0</v>
      </c>
      <c r="AJ123" s="19">
        <v>14.0</v>
      </c>
      <c r="AK123" s="19">
        <v>15.0</v>
      </c>
      <c r="AL123" s="19">
        <v>15.0</v>
      </c>
      <c r="AM123" s="19">
        <v>44.0</v>
      </c>
      <c r="AN123" s="19">
        <v>56.0</v>
      </c>
      <c r="AO123" s="19">
        <v>83.0</v>
      </c>
      <c r="AP123" s="19">
        <v>252.0</v>
      </c>
      <c r="AQ123" s="23">
        <v>120.0</v>
      </c>
      <c r="AR123" s="23">
        <v>9.0</v>
      </c>
      <c r="AS123" s="22"/>
      <c r="AT123" s="19" t="s">
        <v>2282</v>
      </c>
      <c r="AU123" s="19" t="s">
        <v>4513</v>
      </c>
      <c r="AV123" s="19" t="s">
        <v>4514</v>
      </c>
      <c r="AW123" s="19"/>
      <c r="AX123" s="20">
        <v>35373.0</v>
      </c>
      <c r="AY123" s="19" t="s">
        <v>2619</v>
      </c>
      <c r="AZ123" s="19" t="s">
        <v>2122</v>
      </c>
      <c r="BA123" s="19" t="s">
        <v>4515</v>
      </c>
      <c r="BB123" s="19" t="s">
        <v>4516</v>
      </c>
      <c r="BC123" s="19" t="s">
        <v>4517</v>
      </c>
      <c r="BD123" s="19" t="s">
        <v>4518</v>
      </c>
      <c r="BE123" s="19" t="s">
        <v>4519</v>
      </c>
      <c r="BF123" s="19">
        <v>1.1949273875E10</v>
      </c>
      <c r="BG123" s="19" t="s">
        <v>4038</v>
      </c>
      <c r="BH123" s="19" t="s">
        <v>2128</v>
      </c>
      <c r="BI123" s="19"/>
      <c r="BJ123" s="19" t="s">
        <v>2129</v>
      </c>
      <c r="BK123" s="19" t="s">
        <v>17</v>
      </c>
      <c r="BL123" s="19"/>
      <c r="BM123" s="19" t="s">
        <v>2130</v>
      </c>
      <c r="BN123" s="19" t="s">
        <v>2131</v>
      </c>
      <c r="BO123" s="19" t="s">
        <v>2317</v>
      </c>
      <c r="BP123" s="19"/>
      <c r="BQ123" s="19" t="s">
        <v>2133</v>
      </c>
      <c r="BR123" s="19" t="s">
        <v>2133</v>
      </c>
      <c r="BS123" s="19" t="s">
        <v>2134</v>
      </c>
      <c r="BT123" s="19" t="s">
        <v>52</v>
      </c>
      <c r="BU123" s="19" t="s">
        <v>4520</v>
      </c>
      <c r="BV123" s="19" t="s">
        <v>4521</v>
      </c>
      <c r="BW123" s="19"/>
      <c r="BX123" s="19"/>
      <c r="BY123" s="19"/>
      <c r="BZ123" s="19" t="s">
        <v>2113</v>
      </c>
      <c r="CA123" s="19" t="s">
        <v>2113</v>
      </c>
      <c r="CB123" s="19"/>
      <c r="CC123" s="19"/>
      <c r="CD123" s="19" t="s">
        <v>2137</v>
      </c>
      <c r="CE123" s="19" t="s">
        <v>16</v>
      </c>
      <c r="CF123" s="19"/>
      <c r="CG123" s="19"/>
      <c r="CH123" s="19" t="s">
        <v>17</v>
      </c>
      <c r="CI123" s="21">
        <v>3.0</v>
      </c>
      <c r="CJ123" s="19" t="s">
        <v>16</v>
      </c>
      <c r="CK123" s="19"/>
      <c r="CL123" s="19"/>
      <c r="CM123" s="19" t="s">
        <v>3102</v>
      </c>
      <c r="CN123" s="19" t="s">
        <v>2626</v>
      </c>
      <c r="CO123" s="19"/>
      <c r="CP123" s="19" t="s">
        <v>2246</v>
      </c>
      <c r="CQ123" s="19" t="s">
        <v>2113</v>
      </c>
      <c r="CR123" s="19" t="s">
        <v>2113</v>
      </c>
      <c r="CS123" s="19" t="s">
        <v>2113</v>
      </c>
      <c r="CT123" s="19"/>
      <c r="CU123" s="19"/>
      <c r="CV123" s="19" t="s">
        <v>2141</v>
      </c>
      <c r="CW123" s="19" t="s">
        <v>2113</v>
      </c>
      <c r="CX123" s="19" t="s">
        <v>2113</v>
      </c>
      <c r="CY123" s="19" t="s">
        <v>2113</v>
      </c>
      <c r="CZ123" s="19" t="s">
        <v>2113</v>
      </c>
      <c r="DA123" s="19" t="s">
        <v>16</v>
      </c>
      <c r="DB123" s="19" t="s">
        <v>16</v>
      </c>
      <c r="DC123" s="19" t="s">
        <v>4522</v>
      </c>
      <c r="DD123" s="19"/>
      <c r="DE123" s="19"/>
      <c r="DF123" s="19" t="s">
        <v>4522</v>
      </c>
      <c r="DG123" s="19" t="s">
        <v>4522</v>
      </c>
      <c r="DH123" s="19" t="s">
        <v>2144</v>
      </c>
      <c r="DI123" s="24">
        <v>45533.0</v>
      </c>
      <c r="DJ123" s="19" t="s">
        <v>2133</v>
      </c>
      <c r="DK123" s="19" t="s">
        <v>2145</v>
      </c>
      <c r="DL123" s="19" t="s">
        <v>2146</v>
      </c>
      <c r="DM123" s="19" t="s">
        <v>2147</v>
      </c>
      <c r="DN123" s="19">
        <v>17.0</v>
      </c>
      <c r="DO123" s="19">
        <v>17.0</v>
      </c>
      <c r="DP123" s="19" t="s">
        <v>4523</v>
      </c>
      <c r="DQ123" s="19" t="s">
        <v>4524</v>
      </c>
      <c r="DR123" s="19" t="s">
        <v>4525</v>
      </c>
      <c r="DS123" s="19" t="s">
        <v>2151</v>
      </c>
      <c r="DT123" s="19" t="s">
        <v>2209</v>
      </c>
      <c r="DU123" s="19"/>
      <c r="DV123" s="19"/>
      <c r="DW123" s="19" t="s">
        <v>2153</v>
      </c>
      <c r="DX123" s="19">
        <v>12.0</v>
      </c>
      <c r="DY123" s="19">
        <v>0.0</v>
      </c>
      <c r="DZ123" s="19">
        <v>0.0</v>
      </c>
      <c r="EA123" s="19">
        <v>0.0</v>
      </c>
      <c r="EB123" s="19">
        <v>3.0</v>
      </c>
      <c r="EC123" s="19">
        <v>20.0</v>
      </c>
      <c r="ED123" s="19" t="s">
        <v>2133</v>
      </c>
      <c r="EE123" s="24">
        <v>45533.0</v>
      </c>
      <c r="EF123" s="19" t="s">
        <v>2133</v>
      </c>
      <c r="EG123" s="19" t="s">
        <v>2145</v>
      </c>
      <c r="EH123" s="19" t="s">
        <v>2146</v>
      </c>
      <c r="EI123" s="22">
        <v>12.0</v>
      </c>
      <c r="EJ123" s="19">
        <v>44.0</v>
      </c>
      <c r="EK123" s="19"/>
      <c r="EL123" s="19" t="s">
        <v>2282</v>
      </c>
      <c r="EM123" s="19" t="s">
        <v>4513</v>
      </c>
      <c r="EN123" s="19" t="s">
        <v>376</v>
      </c>
      <c r="EO123" s="19" t="s">
        <v>2619</v>
      </c>
      <c r="EP123" s="19" t="s">
        <v>2122</v>
      </c>
      <c r="EQ123" s="19" t="s">
        <v>2626</v>
      </c>
      <c r="ER123" s="19"/>
      <c r="ES123" s="19" t="s">
        <v>376</v>
      </c>
      <c r="ET123" s="19" t="s">
        <v>376</v>
      </c>
      <c r="EU123" s="19" t="s">
        <v>4511</v>
      </c>
      <c r="EV123" s="19">
        <v>10088.0</v>
      </c>
      <c r="EW123" s="19" t="s">
        <v>16</v>
      </c>
      <c r="EX123" s="19">
        <v>4.0</v>
      </c>
      <c r="EY123" s="25" t="s">
        <v>375</v>
      </c>
      <c r="EZ123" s="19" t="s">
        <v>2154</v>
      </c>
      <c r="FA123" s="5" t="s">
        <v>4526</v>
      </c>
      <c r="FB123" s="26" t="s">
        <v>2156</v>
      </c>
      <c r="FC123" s="26"/>
    </row>
    <row r="124">
      <c r="A124" s="19" t="s">
        <v>2112</v>
      </c>
      <c r="B124" s="19" t="s">
        <v>2113</v>
      </c>
      <c r="C124" s="19" t="s">
        <v>2113</v>
      </c>
      <c r="D124" s="19" t="s">
        <v>377</v>
      </c>
      <c r="E124" s="19" t="s">
        <v>4527</v>
      </c>
      <c r="F124" s="19" t="s">
        <v>377</v>
      </c>
      <c r="G124" s="19"/>
      <c r="H124" s="19" t="s">
        <v>377</v>
      </c>
      <c r="I124" s="19" t="s">
        <v>379</v>
      </c>
      <c r="J124" s="19" t="s">
        <v>4528</v>
      </c>
      <c r="K124" s="19" t="s">
        <v>4529</v>
      </c>
      <c r="L124" s="20">
        <v>45419.0</v>
      </c>
      <c r="M124" s="20">
        <v>45428.0</v>
      </c>
      <c r="N124" s="20">
        <v>45428.0</v>
      </c>
      <c r="O124" s="19" t="s">
        <v>378</v>
      </c>
      <c r="P124" s="19">
        <v>0.0</v>
      </c>
      <c r="Q124" s="19">
        <v>27.0</v>
      </c>
      <c r="R124" s="19">
        <v>10146.0</v>
      </c>
      <c r="S124" s="20" t="s">
        <v>4530</v>
      </c>
      <c r="T124" s="20">
        <v>45461.0</v>
      </c>
      <c r="U124" s="19" t="s">
        <v>377</v>
      </c>
      <c r="V124" s="19"/>
      <c r="W124" s="19"/>
      <c r="X124" s="21">
        <v>20.0</v>
      </c>
      <c r="Y124" s="21">
        <v>0.0</v>
      </c>
      <c r="Z124" s="21">
        <v>3.0</v>
      </c>
      <c r="AA124" s="21">
        <v>0.0</v>
      </c>
      <c r="AB124" s="5">
        <v>23.0</v>
      </c>
      <c r="AC124" s="19">
        <v>5.0</v>
      </c>
      <c r="AD124" s="19">
        <v>5.0</v>
      </c>
      <c r="AE124" s="19">
        <v>5.0</v>
      </c>
      <c r="AF124" s="19">
        <v>5.0</v>
      </c>
      <c r="AG124" s="19">
        <v>5.0</v>
      </c>
      <c r="AH124" s="19">
        <v>5.0</v>
      </c>
      <c r="AI124" s="22">
        <v>15.0</v>
      </c>
      <c r="AJ124" s="19">
        <v>15.0</v>
      </c>
      <c r="AK124" s="19">
        <v>15.0</v>
      </c>
      <c r="AL124" s="19">
        <v>15.0</v>
      </c>
      <c r="AM124" s="19">
        <v>45.0</v>
      </c>
      <c r="AN124" s="19">
        <v>60.0</v>
      </c>
      <c r="AO124" s="19">
        <v>83.0</v>
      </c>
      <c r="AP124" s="19">
        <v>304.0</v>
      </c>
      <c r="AQ124" s="23">
        <v>121.0</v>
      </c>
      <c r="AR124" s="23">
        <v>7.0</v>
      </c>
      <c r="AS124" s="22"/>
      <c r="AT124" s="19" t="s">
        <v>2117</v>
      </c>
      <c r="AU124" s="19" t="s">
        <v>4531</v>
      </c>
      <c r="AV124" s="19" t="s">
        <v>4532</v>
      </c>
      <c r="AW124" s="19"/>
      <c r="AX124" s="20">
        <v>35315.0</v>
      </c>
      <c r="AY124" s="19" t="s">
        <v>3946</v>
      </c>
      <c r="AZ124" s="19" t="s">
        <v>2122</v>
      </c>
      <c r="BA124" s="19" t="s">
        <v>4533</v>
      </c>
      <c r="BB124" s="19" t="s">
        <v>4534</v>
      </c>
      <c r="BC124" s="19" t="s">
        <v>4535</v>
      </c>
      <c r="BD124" s="19" t="s">
        <v>4536</v>
      </c>
      <c r="BE124" s="19" t="s">
        <v>4537</v>
      </c>
      <c r="BF124" s="19">
        <v>1.1939423693E10</v>
      </c>
      <c r="BG124" s="19" t="s">
        <v>2127</v>
      </c>
      <c r="BH124" s="19" t="s">
        <v>2128</v>
      </c>
      <c r="BI124" s="19"/>
      <c r="BJ124" s="19"/>
      <c r="BK124" s="19" t="s">
        <v>16</v>
      </c>
      <c r="BL124" s="19"/>
      <c r="BM124" s="19" t="s">
        <v>2130</v>
      </c>
      <c r="BN124" s="19" t="s">
        <v>17</v>
      </c>
      <c r="BO124" s="19" t="s">
        <v>2473</v>
      </c>
      <c r="BP124" s="19"/>
      <c r="BQ124" s="19" t="s">
        <v>2133</v>
      </c>
      <c r="BR124" s="19" t="s">
        <v>2133</v>
      </c>
      <c r="BS124" s="19" t="s">
        <v>3521</v>
      </c>
      <c r="BT124" s="19" t="s">
        <v>222</v>
      </c>
      <c r="BU124" s="19" t="s">
        <v>4538</v>
      </c>
      <c r="BV124" s="19" t="s">
        <v>4539</v>
      </c>
      <c r="BW124" s="19" t="s">
        <v>2113</v>
      </c>
      <c r="BX124" s="19"/>
      <c r="BY124" s="19"/>
      <c r="BZ124" s="19"/>
      <c r="CA124" s="19"/>
      <c r="CB124" s="19" t="s">
        <v>2113</v>
      </c>
      <c r="CC124" s="19"/>
      <c r="CD124" s="19" t="s">
        <v>2137</v>
      </c>
      <c r="CE124" s="19" t="s">
        <v>16</v>
      </c>
      <c r="CF124" s="19"/>
      <c r="CG124" s="19"/>
      <c r="CH124" s="19" t="s">
        <v>16</v>
      </c>
      <c r="CI124" s="21">
        <v>0.0</v>
      </c>
      <c r="CJ124" s="19" t="s">
        <v>16</v>
      </c>
      <c r="CK124" s="19"/>
      <c r="CL124" s="19"/>
      <c r="CM124" s="19" t="s">
        <v>2138</v>
      </c>
      <c r="CN124" s="19" t="s">
        <v>3544</v>
      </c>
      <c r="CO124" s="19"/>
      <c r="CP124" s="19"/>
      <c r="CQ124" s="19"/>
      <c r="CR124" s="19" t="s">
        <v>2113</v>
      </c>
      <c r="CS124" s="19" t="s">
        <v>2113</v>
      </c>
      <c r="CT124" s="19" t="s">
        <v>2113</v>
      </c>
      <c r="CU124" s="19" t="s">
        <v>2113</v>
      </c>
      <c r="CV124" s="19" t="s">
        <v>2141</v>
      </c>
      <c r="CW124" s="19"/>
      <c r="CX124" s="19"/>
      <c r="CY124" s="19" t="s">
        <v>2113</v>
      </c>
      <c r="CZ124" s="19" t="s">
        <v>2113</v>
      </c>
      <c r="DA124" s="19" t="s">
        <v>16</v>
      </c>
      <c r="DB124" s="19" t="s">
        <v>16</v>
      </c>
      <c r="DC124" s="19" t="s">
        <v>4540</v>
      </c>
      <c r="DD124" s="19"/>
      <c r="DE124" s="19"/>
      <c r="DF124" s="19" t="s">
        <v>4541</v>
      </c>
      <c r="DG124" s="19" t="s">
        <v>2804</v>
      </c>
      <c r="DH124" s="19" t="s">
        <v>2144</v>
      </c>
      <c r="DI124" s="24">
        <v>45526.0</v>
      </c>
      <c r="DJ124" s="19" t="s">
        <v>2133</v>
      </c>
      <c r="DK124" s="19" t="s">
        <v>2145</v>
      </c>
      <c r="DL124" s="19" t="s">
        <v>2146</v>
      </c>
      <c r="DM124" s="19" t="s">
        <v>3338</v>
      </c>
      <c r="DN124" s="19">
        <v>11.0</v>
      </c>
      <c r="DO124" s="19">
        <v>11.0</v>
      </c>
      <c r="DP124" s="19" t="s">
        <v>4542</v>
      </c>
      <c r="DQ124" s="19" t="s">
        <v>4543</v>
      </c>
      <c r="DR124" s="19" t="s">
        <v>4544</v>
      </c>
      <c r="DS124" s="19" t="s">
        <v>2365</v>
      </c>
      <c r="DT124" s="19" t="s">
        <v>2229</v>
      </c>
      <c r="DU124" s="19"/>
      <c r="DV124" s="19"/>
      <c r="DW124" s="19" t="s">
        <v>2153</v>
      </c>
      <c r="DX124" s="19">
        <v>8.0</v>
      </c>
      <c r="DY124" s="19">
        <v>0.0</v>
      </c>
      <c r="DZ124" s="19">
        <v>0.0</v>
      </c>
      <c r="EA124" s="19">
        <v>0.0</v>
      </c>
      <c r="EB124" s="19">
        <v>0.0</v>
      </c>
      <c r="EC124" s="19">
        <v>20.0</v>
      </c>
      <c r="ED124" s="19" t="s">
        <v>2133</v>
      </c>
      <c r="EE124" s="24">
        <v>45526.0</v>
      </c>
      <c r="EF124" s="19" t="s">
        <v>2133</v>
      </c>
      <c r="EG124" s="19" t="s">
        <v>2145</v>
      </c>
      <c r="EH124" s="19" t="s">
        <v>2146</v>
      </c>
      <c r="EI124" s="22">
        <v>15.0</v>
      </c>
      <c r="EJ124" s="19">
        <v>45.0</v>
      </c>
      <c r="EK124" s="19"/>
      <c r="EL124" s="19" t="s">
        <v>2117</v>
      </c>
      <c r="EM124" s="19" t="s">
        <v>4531</v>
      </c>
      <c r="EN124" s="19" t="s">
        <v>379</v>
      </c>
      <c r="EO124" s="19" t="s">
        <v>3946</v>
      </c>
      <c r="EP124" s="19" t="s">
        <v>2122</v>
      </c>
      <c r="EQ124" s="19" t="s">
        <v>3544</v>
      </c>
      <c r="ER124" s="19"/>
      <c r="ES124" s="19" t="s">
        <v>379</v>
      </c>
      <c r="ET124" s="19" t="s">
        <v>379</v>
      </c>
      <c r="EU124" s="19" t="s">
        <v>4529</v>
      </c>
      <c r="EV124" s="19">
        <v>10146.0</v>
      </c>
      <c r="EW124" s="19" t="s">
        <v>16</v>
      </c>
      <c r="EX124" s="19">
        <v>3.0</v>
      </c>
      <c r="EY124" s="25" t="s">
        <v>378</v>
      </c>
      <c r="EZ124" s="19" t="s">
        <v>2154</v>
      </c>
      <c r="FA124" s="5" t="s">
        <v>4545</v>
      </c>
      <c r="FB124" s="26" t="s">
        <v>2156</v>
      </c>
      <c r="FC124" s="26"/>
    </row>
    <row r="125">
      <c r="A125" s="19" t="s">
        <v>2156</v>
      </c>
      <c r="B125" s="19" t="s">
        <v>2113</v>
      </c>
      <c r="C125" s="19" t="s">
        <v>2113</v>
      </c>
      <c r="D125" s="19" t="s">
        <v>380</v>
      </c>
      <c r="E125" s="19" t="s">
        <v>4546</v>
      </c>
      <c r="F125" s="19" t="s">
        <v>380</v>
      </c>
      <c r="G125" s="19"/>
      <c r="H125" s="19" t="s">
        <v>380</v>
      </c>
      <c r="I125" s="19" t="s">
        <v>381</v>
      </c>
      <c r="J125" s="19" t="s">
        <v>4547</v>
      </c>
      <c r="K125" s="19" t="s">
        <v>4548</v>
      </c>
      <c r="L125" s="20">
        <v>45460.0</v>
      </c>
      <c r="M125" s="20">
        <v>45462.0</v>
      </c>
      <c r="N125" s="20">
        <v>45462.0</v>
      </c>
      <c r="O125" s="19">
        <v>3.2916049E7</v>
      </c>
      <c r="P125" s="19">
        <v>0.0</v>
      </c>
      <c r="Q125" s="19">
        <v>21.0</v>
      </c>
      <c r="R125" s="19">
        <v>7958.0</v>
      </c>
      <c r="S125" s="20" t="s">
        <v>4549</v>
      </c>
      <c r="T125" s="20">
        <v>45461.0</v>
      </c>
      <c r="U125" s="19" t="s">
        <v>380</v>
      </c>
      <c r="V125" s="19"/>
      <c r="W125" s="19"/>
      <c r="X125" s="21">
        <v>20.0</v>
      </c>
      <c r="Y125" s="21">
        <v>0.0</v>
      </c>
      <c r="Z125" s="21">
        <v>3.0</v>
      </c>
      <c r="AA125" s="21">
        <v>0.0</v>
      </c>
      <c r="AB125" s="5">
        <v>23.0</v>
      </c>
      <c r="AC125" s="19">
        <v>5.0</v>
      </c>
      <c r="AD125" s="19">
        <v>5.0</v>
      </c>
      <c r="AE125" s="19">
        <v>5.0</v>
      </c>
      <c r="AF125" s="19">
        <v>5.0</v>
      </c>
      <c r="AG125" s="19">
        <v>5.0</v>
      </c>
      <c r="AH125" s="19">
        <v>5.0</v>
      </c>
      <c r="AI125" s="22">
        <v>15.0</v>
      </c>
      <c r="AJ125" s="19">
        <v>15.0</v>
      </c>
      <c r="AK125" s="19">
        <v>15.0</v>
      </c>
      <c r="AL125" s="19">
        <v>15.0</v>
      </c>
      <c r="AM125" s="19">
        <v>45.0</v>
      </c>
      <c r="AN125" s="19">
        <v>60.0</v>
      </c>
      <c r="AO125" s="19">
        <v>83.0</v>
      </c>
      <c r="AP125" s="19">
        <v>320.0</v>
      </c>
      <c r="AQ125" s="23">
        <v>122.0</v>
      </c>
      <c r="AR125" s="23">
        <v>20.0</v>
      </c>
      <c r="AS125" s="22"/>
      <c r="AT125" s="19" t="s">
        <v>2163</v>
      </c>
      <c r="AU125" s="19" t="s">
        <v>4550</v>
      </c>
      <c r="AV125" s="19" t="s">
        <v>4551</v>
      </c>
      <c r="AW125" s="19" t="s">
        <v>3923</v>
      </c>
      <c r="AX125" s="20">
        <v>37503.0</v>
      </c>
      <c r="AY125" s="19" t="s">
        <v>3015</v>
      </c>
      <c r="AZ125" s="19" t="s">
        <v>2122</v>
      </c>
      <c r="BA125" s="19" t="s">
        <v>2166</v>
      </c>
      <c r="BB125" s="19">
        <v>112.0</v>
      </c>
      <c r="BC125" s="19">
        <v>5.69251898E8</v>
      </c>
      <c r="BD125" s="19" t="s">
        <v>4552</v>
      </c>
      <c r="BE125" s="19"/>
      <c r="BF125" s="19"/>
      <c r="BG125" s="19" t="s">
        <v>4038</v>
      </c>
      <c r="BH125" s="19" t="s">
        <v>2128</v>
      </c>
      <c r="BI125" s="19"/>
      <c r="BJ125" s="19" t="s">
        <v>2128</v>
      </c>
      <c r="BK125" s="19" t="s">
        <v>17</v>
      </c>
      <c r="BL125" s="19" t="s">
        <v>2113</v>
      </c>
      <c r="BM125" s="19" t="s">
        <v>2130</v>
      </c>
      <c r="BN125" s="19" t="s">
        <v>2291</v>
      </c>
      <c r="BO125" s="19">
        <v>3.0</v>
      </c>
      <c r="BP125" s="19" t="s">
        <v>4553</v>
      </c>
      <c r="BQ125" s="19" t="s">
        <v>2133</v>
      </c>
      <c r="BR125" s="19" t="s">
        <v>2133</v>
      </c>
      <c r="BS125" s="19" t="s">
        <v>2134</v>
      </c>
      <c r="BT125" s="19" t="s">
        <v>38</v>
      </c>
      <c r="BU125" s="19" t="s">
        <v>4554</v>
      </c>
      <c r="BV125" s="19">
        <v>2.126266059E10</v>
      </c>
      <c r="BW125" s="19"/>
      <c r="BX125" s="19"/>
      <c r="BY125" s="19" t="s">
        <v>2113</v>
      </c>
      <c r="BZ125" s="19" t="s">
        <v>2113</v>
      </c>
      <c r="CA125" s="19"/>
      <c r="CB125" s="19" t="s">
        <v>2113</v>
      </c>
      <c r="CC125" s="19"/>
      <c r="CD125" s="19" t="s">
        <v>2137</v>
      </c>
      <c r="CE125" s="19" t="s">
        <v>16</v>
      </c>
      <c r="CF125" s="19"/>
      <c r="CG125" s="19"/>
      <c r="CH125" s="19" t="s">
        <v>16</v>
      </c>
      <c r="CI125" s="21">
        <v>0.0</v>
      </c>
      <c r="CJ125" s="19" t="s">
        <v>17</v>
      </c>
      <c r="CK125" s="19"/>
      <c r="CL125" s="19"/>
      <c r="CM125" s="19" t="s">
        <v>2138</v>
      </c>
      <c r="CN125" s="19" t="s">
        <v>3020</v>
      </c>
      <c r="CO125" s="19"/>
      <c r="CP125" s="19" t="s">
        <v>2246</v>
      </c>
      <c r="CQ125" s="19"/>
      <c r="CR125" s="19"/>
      <c r="CS125" s="19"/>
      <c r="CT125" s="19" t="s">
        <v>2113</v>
      </c>
      <c r="CU125" s="19" t="s">
        <v>2113</v>
      </c>
      <c r="CV125" s="19" t="s">
        <v>2179</v>
      </c>
      <c r="CW125" s="19"/>
      <c r="CX125" s="19"/>
      <c r="CY125" s="19"/>
      <c r="CZ125" s="19"/>
      <c r="DA125" s="19" t="s">
        <v>16</v>
      </c>
      <c r="DB125" s="19" t="s">
        <v>17</v>
      </c>
      <c r="DC125" s="19" t="s">
        <v>2143</v>
      </c>
      <c r="DD125" s="19" t="s">
        <v>2113</v>
      </c>
      <c r="DE125" s="19" t="s">
        <v>2113</v>
      </c>
      <c r="DF125" s="19" t="s">
        <v>2433</v>
      </c>
      <c r="DG125" s="19" t="s">
        <v>4424</v>
      </c>
      <c r="DH125" s="19" t="s">
        <v>2580</v>
      </c>
      <c r="DI125" s="24">
        <v>45517.0</v>
      </c>
      <c r="DJ125" s="19" t="s">
        <v>2133</v>
      </c>
      <c r="DK125" s="19" t="s">
        <v>2271</v>
      </c>
      <c r="DL125" s="19" t="s">
        <v>2146</v>
      </c>
      <c r="DM125" s="19"/>
      <c r="DN125" s="19">
        <v>2.0</v>
      </c>
      <c r="DO125" s="19">
        <v>2.0</v>
      </c>
      <c r="DP125" s="19"/>
      <c r="DQ125" s="19"/>
      <c r="DR125" s="19"/>
      <c r="DS125" s="19" t="s">
        <v>2185</v>
      </c>
      <c r="DT125" s="19" t="s">
        <v>2229</v>
      </c>
      <c r="DU125" s="19" t="s">
        <v>4555</v>
      </c>
      <c r="DV125" s="19"/>
      <c r="DW125" s="19" t="s">
        <v>2153</v>
      </c>
      <c r="DX125" s="19">
        <v>1.0</v>
      </c>
      <c r="DY125" s="19">
        <v>0.0</v>
      </c>
      <c r="DZ125" s="19">
        <v>0.0</v>
      </c>
      <c r="EA125" s="19">
        <v>0.0</v>
      </c>
      <c r="EB125" s="19">
        <v>0.0</v>
      </c>
      <c r="EC125" s="19">
        <v>20.0</v>
      </c>
      <c r="ED125" s="19" t="s">
        <v>2133</v>
      </c>
      <c r="EE125" s="24">
        <v>45517.0</v>
      </c>
      <c r="EF125" s="19" t="s">
        <v>2133</v>
      </c>
      <c r="EG125" s="19" t="s">
        <v>2271</v>
      </c>
      <c r="EH125" s="19" t="s">
        <v>2146</v>
      </c>
      <c r="EI125" s="22">
        <v>15.0</v>
      </c>
      <c r="EJ125" s="19">
        <v>45.0</v>
      </c>
      <c r="EK125" s="19" t="s">
        <v>2113</v>
      </c>
      <c r="EL125" s="19" t="s">
        <v>2163</v>
      </c>
      <c r="EM125" s="19" t="s">
        <v>4550</v>
      </c>
      <c r="EN125" s="19" t="s">
        <v>381</v>
      </c>
      <c r="EO125" s="19" t="s">
        <v>3015</v>
      </c>
      <c r="EP125" s="19" t="s">
        <v>2122</v>
      </c>
      <c r="EQ125" s="19" t="s">
        <v>3020</v>
      </c>
      <c r="ER125" s="19"/>
      <c r="ES125" s="19" t="s">
        <v>381</v>
      </c>
      <c r="ET125" s="19" t="s">
        <v>381</v>
      </c>
      <c r="EU125" s="19" t="s">
        <v>4548</v>
      </c>
      <c r="EV125" s="19">
        <v>7958.0</v>
      </c>
      <c r="EW125" s="19" t="s">
        <v>16</v>
      </c>
      <c r="EX125" s="19">
        <v>3.0</v>
      </c>
      <c r="EY125" s="25" t="s">
        <v>4556</v>
      </c>
      <c r="EZ125" s="19" t="s">
        <v>2154</v>
      </c>
      <c r="FA125" s="5" t="s">
        <v>4557</v>
      </c>
      <c r="FB125" s="26" t="s">
        <v>2156</v>
      </c>
      <c r="FC125" s="26"/>
    </row>
    <row r="126">
      <c r="A126" s="19" t="s">
        <v>2112</v>
      </c>
      <c r="B126" s="19" t="s">
        <v>2113</v>
      </c>
      <c r="C126" s="19" t="s">
        <v>2113</v>
      </c>
      <c r="D126" s="19" t="s">
        <v>4558</v>
      </c>
      <c r="E126" s="19" t="s">
        <v>4559</v>
      </c>
      <c r="F126" s="19" t="s">
        <v>382</v>
      </c>
      <c r="G126" s="19" t="s">
        <v>4559</v>
      </c>
      <c r="H126" s="19" t="s">
        <v>382</v>
      </c>
      <c r="I126" s="19" t="s">
        <v>384</v>
      </c>
      <c r="J126" s="19" t="s">
        <v>4560</v>
      </c>
      <c r="K126" s="19" t="s">
        <v>4561</v>
      </c>
      <c r="L126" s="20">
        <v>45436.0</v>
      </c>
      <c r="M126" s="20">
        <v>45436.0</v>
      </c>
      <c r="N126" s="20">
        <v>45436.0</v>
      </c>
      <c r="O126" s="19" t="s">
        <v>383</v>
      </c>
      <c r="P126" s="19">
        <v>0.0</v>
      </c>
      <c r="Q126" s="19">
        <v>25.0</v>
      </c>
      <c r="R126" s="19">
        <v>9456.0</v>
      </c>
      <c r="S126" s="20" t="s">
        <v>4562</v>
      </c>
      <c r="T126" s="20">
        <v>45461.0</v>
      </c>
      <c r="U126" s="19" t="s">
        <v>382</v>
      </c>
      <c r="V126" s="19"/>
      <c r="W126" s="19"/>
      <c r="X126" s="21">
        <v>20.0</v>
      </c>
      <c r="Y126" s="21">
        <v>0.0</v>
      </c>
      <c r="Z126" s="21">
        <v>2.0</v>
      </c>
      <c r="AA126" s="21">
        <v>2.0</v>
      </c>
      <c r="AB126" s="5">
        <v>24.0</v>
      </c>
      <c r="AC126" s="19">
        <v>5.0</v>
      </c>
      <c r="AD126" s="19">
        <v>5.0</v>
      </c>
      <c r="AE126" s="19">
        <v>5.0</v>
      </c>
      <c r="AF126" s="19">
        <v>5.0</v>
      </c>
      <c r="AG126" s="19">
        <v>5.0</v>
      </c>
      <c r="AH126" s="19">
        <v>5.0</v>
      </c>
      <c r="AI126" s="22">
        <v>15.0</v>
      </c>
      <c r="AJ126" s="19">
        <v>15.0</v>
      </c>
      <c r="AK126" s="19">
        <v>15.0</v>
      </c>
      <c r="AL126" s="19">
        <v>14.0</v>
      </c>
      <c r="AM126" s="19">
        <v>44.0</v>
      </c>
      <c r="AN126" s="19">
        <v>59.0</v>
      </c>
      <c r="AO126" s="19">
        <v>83.0</v>
      </c>
      <c r="AP126" s="19">
        <v>299.0</v>
      </c>
      <c r="AQ126" s="23">
        <v>123.0</v>
      </c>
      <c r="AR126" s="23">
        <v>13.0</v>
      </c>
      <c r="AS126" s="22"/>
      <c r="AT126" s="19" t="s">
        <v>2282</v>
      </c>
      <c r="AU126" s="19" t="s">
        <v>3230</v>
      </c>
      <c r="AV126" s="19" t="s">
        <v>4563</v>
      </c>
      <c r="AW126" s="19" t="s">
        <v>2701</v>
      </c>
      <c r="AX126" s="20">
        <v>36005.0</v>
      </c>
      <c r="AY126" s="19" t="s">
        <v>4564</v>
      </c>
      <c r="AZ126" s="19" t="s">
        <v>2554</v>
      </c>
      <c r="BA126" s="19" t="s">
        <v>4565</v>
      </c>
      <c r="BB126" s="19" t="s">
        <v>4566</v>
      </c>
      <c r="BC126" s="19" t="s">
        <v>4567</v>
      </c>
      <c r="BD126" s="19" t="s">
        <v>4568</v>
      </c>
      <c r="BE126" s="19" t="s">
        <v>4569</v>
      </c>
      <c r="BF126" s="19">
        <v>1.1959484057E10</v>
      </c>
      <c r="BG126" s="19" t="s">
        <v>2127</v>
      </c>
      <c r="BH126" s="19" t="s">
        <v>2649</v>
      </c>
      <c r="BI126" s="19"/>
      <c r="BJ126" s="19"/>
      <c r="BK126" s="19" t="s">
        <v>16</v>
      </c>
      <c r="BL126" s="19"/>
      <c r="BM126" s="19" t="s">
        <v>2130</v>
      </c>
      <c r="BN126" s="19" t="s">
        <v>3888</v>
      </c>
      <c r="BO126" s="19" t="s">
        <v>3199</v>
      </c>
      <c r="BP126" s="19"/>
      <c r="BQ126" s="19" t="s">
        <v>2325</v>
      </c>
      <c r="BR126" s="19" t="s">
        <v>2325</v>
      </c>
      <c r="BS126" s="19" t="s">
        <v>3521</v>
      </c>
      <c r="BT126" s="19" t="s">
        <v>118</v>
      </c>
      <c r="BU126" s="19" t="s">
        <v>4570</v>
      </c>
      <c r="BV126" s="19" t="s">
        <v>4571</v>
      </c>
      <c r="BW126" s="19" t="s">
        <v>2113</v>
      </c>
      <c r="BX126" s="19"/>
      <c r="BY126" s="19"/>
      <c r="BZ126" s="19"/>
      <c r="CA126" s="19"/>
      <c r="CB126" s="19" t="s">
        <v>2113</v>
      </c>
      <c r="CC126" s="19"/>
      <c r="CD126" s="19" t="s">
        <v>2137</v>
      </c>
      <c r="CE126" s="19" t="s">
        <v>16</v>
      </c>
      <c r="CF126" s="19"/>
      <c r="CG126" s="19"/>
      <c r="CH126" s="19" t="s">
        <v>16</v>
      </c>
      <c r="CI126" s="21">
        <v>0.0</v>
      </c>
      <c r="CJ126" s="19" t="s">
        <v>16</v>
      </c>
      <c r="CK126" s="19"/>
      <c r="CL126" s="19"/>
      <c r="CM126" s="19" t="s">
        <v>2138</v>
      </c>
      <c r="CN126" s="19" t="s">
        <v>3220</v>
      </c>
      <c r="CO126" s="19"/>
      <c r="CP126" s="19"/>
      <c r="CQ126" s="19"/>
      <c r="CR126" s="19" t="s">
        <v>2113</v>
      </c>
      <c r="CS126" s="19" t="s">
        <v>2113</v>
      </c>
      <c r="CT126" s="19"/>
      <c r="CU126" s="19"/>
      <c r="CV126" s="19" t="s">
        <v>2141</v>
      </c>
      <c r="CW126" s="19"/>
      <c r="CX126" s="19"/>
      <c r="CY126" s="19" t="s">
        <v>2113</v>
      </c>
      <c r="CZ126" s="19" t="s">
        <v>2113</v>
      </c>
      <c r="DA126" s="19" t="s">
        <v>16</v>
      </c>
      <c r="DB126" s="19" t="s">
        <v>16</v>
      </c>
      <c r="DC126" s="19" t="s">
        <v>4572</v>
      </c>
      <c r="DD126" s="19" t="s">
        <v>2113</v>
      </c>
      <c r="DE126" s="19" t="s">
        <v>2113</v>
      </c>
      <c r="DF126" s="19" t="s">
        <v>2870</v>
      </c>
      <c r="DG126" s="19" t="s">
        <v>3221</v>
      </c>
      <c r="DH126" s="19" t="s">
        <v>2144</v>
      </c>
      <c r="DI126" s="24">
        <v>45524.0</v>
      </c>
      <c r="DJ126" s="19" t="s">
        <v>2325</v>
      </c>
      <c r="DK126" s="19" t="s">
        <v>2271</v>
      </c>
      <c r="DL126" s="19" t="s">
        <v>2326</v>
      </c>
      <c r="DM126" s="19"/>
      <c r="DN126" s="19">
        <v>8.0</v>
      </c>
      <c r="DO126" s="19">
        <v>8.0</v>
      </c>
      <c r="DP126" s="19" t="s">
        <v>4573</v>
      </c>
      <c r="DQ126" s="19" t="s">
        <v>4574</v>
      </c>
      <c r="DR126" s="19" t="s">
        <v>4575</v>
      </c>
      <c r="DS126" s="19" t="s">
        <v>2365</v>
      </c>
      <c r="DT126" s="19" t="s">
        <v>2366</v>
      </c>
      <c r="DU126" s="19"/>
      <c r="DV126" s="19"/>
      <c r="DW126" s="19" t="s">
        <v>2153</v>
      </c>
      <c r="DX126" s="19">
        <v>8.0</v>
      </c>
      <c r="DY126" s="19">
        <v>0.0</v>
      </c>
      <c r="DZ126" s="19">
        <v>2.0</v>
      </c>
      <c r="EA126" s="19">
        <v>0.0</v>
      </c>
      <c r="EB126" s="19">
        <v>0.0</v>
      </c>
      <c r="EC126" s="19">
        <v>20.0</v>
      </c>
      <c r="ED126" s="19" t="s">
        <v>2325</v>
      </c>
      <c r="EE126" s="24">
        <v>45524.0</v>
      </c>
      <c r="EF126" s="19" t="s">
        <v>2325</v>
      </c>
      <c r="EG126" s="19" t="s">
        <v>2271</v>
      </c>
      <c r="EH126" s="19" t="s">
        <v>2326</v>
      </c>
      <c r="EI126" s="22">
        <v>15.0</v>
      </c>
      <c r="EJ126" s="19">
        <v>44.0</v>
      </c>
      <c r="EK126" s="19"/>
      <c r="EL126" s="19" t="s">
        <v>2282</v>
      </c>
      <c r="EM126" s="19" t="s">
        <v>3230</v>
      </c>
      <c r="EN126" s="19" t="s">
        <v>384</v>
      </c>
      <c r="EO126" s="19" t="s">
        <v>4564</v>
      </c>
      <c r="EP126" s="19" t="s">
        <v>2554</v>
      </c>
      <c r="EQ126" s="19" t="s">
        <v>3220</v>
      </c>
      <c r="ER126" s="19"/>
      <c r="ES126" s="19" t="s">
        <v>384</v>
      </c>
      <c r="ET126" s="19" t="s">
        <v>384</v>
      </c>
      <c r="EU126" s="19" t="s">
        <v>4561</v>
      </c>
      <c r="EV126" s="19">
        <v>9456.0</v>
      </c>
      <c r="EW126" s="19" t="s">
        <v>16</v>
      </c>
      <c r="EX126" s="19">
        <v>2.0</v>
      </c>
      <c r="EY126" s="25" t="s">
        <v>383</v>
      </c>
      <c r="EZ126" s="19" t="s">
        <v>2154</v>
      </c>
      <c r="FA126" s="5" t="s">
        <v>4576</v>
      </c>
      <c r="FB126" s="26" t="s">
        <v>2156</v>
      </c>
      <c r="FC126" s="26"/>
    </row>
    <row r="127">
      <c r="A127" s="19" t="s">
        <v>2112</v>
      </c>
      <c r="B127" s="19" t="s">
        <v>2113</v>
      </c>
      <c r="C127" s="19" t="s">
        <v>2113</v>
      </c>
      <c r="D127" s="19" t="s">
        <v>385</v>
      </c>
      <c r="E127" s="19" t="s">
        <v>4577</v>
      </c>
      <c r="F127" s="19" t="s">
        <v>385</v>
      </c>
      <c r="G127" s="19"/>
      <c r="H127" s="19" t="s">
        <v>385</v>
      </c>
      <c r="I127" s="19" t="s">
        <v>387</v>
      </c>
      <c r="J127" s="19" t="s">
        <v>4578</v>
      </c>
      <c r="K127" s="19" t="s">
        <v>4579</v>
      </c>
      <c r="L127" s="20">
        <v>45441.0</v>
      </c>
      <c r="M127" s="20">
        <v>45441.0</v>
      </c>
      <c r="N127" s="20">
        <v>45441.0</v>
      </c>
      <c r="O127" s="19" t="s">
        <v>386</v>
      </c>
      <c r="P127" s="19">
        <v>0.0</v>
      </c>
      <c r="Q127" s="19">
        <v>18.0</v>
      </c>
      <c r="R127" s="19">
        <v>6625.0</v>
      </c>
      <c r="S127" s="20" t="s">
        <v>4580</v>
      </c>
      <c r="T127" s="20">
        <v>45461.0</v>
      </c>
      <c r="U127" s="19" t="s">
        <v>385</v>
      </c>
      <c r="V127" s="19"/>
      <c r="W127" s="19" t="s">
        <v>4581</v>
      </c>
      <c r="X127" s="21">
        <v>20.0</v>
      </c>
      <c r="Y127" s="21">
        <v>10.0</v>
      </c>
      <c r="Z127" s="21">
        <v>5.0</v>
      </c>
      <c r="AA127" s="21">
        <v>0.0</v>
      </c>
      <c r="AB127" s="5">
        <v>35.0</v>
      </c>
      <c r="AC127" s="19">
        <v>4.0</v>
      </c>
      <c r="AD127" s="19">
        <v>4.6</v>
      </c>
      <c r="AE127" s="19">
        <v>4.0</v>
      </c>
      <c r="AF127" s="19">
        <v>4.6</v>
      </c>
      <c r="AG127" s="19">
        <v>3.8</v>
      </c>
      <c r="AH127" s="19">
        <v>5.0</v>
      </c>
      <c r="AI127" s="22">
        <v>12.918750000000001</v>
      </c>
      <c r="AJ127" s="19">
        <v>10.0</v>
      </c>
      <c r="AK127" s="19">
        <v>10.0</v>
      </c>
      <c r="AL127" s="19">
        <v>15.0</v>
      </c>
      <c r="AM127" s="19">
        <v>35.0</v>
      </c>
      <c r="AN127" s="19">
        <v>47.9</v>
      </c>
      <c r="AO127" s="19">
        <v>82.9</v>
      </c>
      <c r="AP127" s="19">
        <v>98.0</v>
      </c>
      <c r="AQ127" s="23">
        <v>124.0</v>
      </c>
      <c r="AR127" s="23">
        <v>17.0</v>
      </c>
      <c r="AS127" s="22"/>
      <c r="AT127" s="19" t="s">
        <v>2282</v>
      </c>
      <c r="AU127" s="19" t="s">
        <v>4582</v>
      </c>
      <c r="AV127" s="19" t="s">
        <v>4583</v>
      </c>
      <c r="AW127" s="19"/>
      <c r="AX127" s="20">
        <v>38836.0</v>
      </c>
      <c r="AY127" s="19" t="s">
        <v>2167</v>
      </c>
      <c r="AZ127" s="19" t="s">
        <v>2310</v>
      </c>
      <c r="BA127" s="19" t="s">
        <v>4584</v>
      </c>
      <c r="BB127" s="19" t="s">
        <v>2921</v>
      </c>
      <c r="BC127" s="19" t="s">
        <v>4585</v>
      </c>
      <c r="BD127" s="19" t="s">
        <v>4586</v>
      </c>
      <c r="BE127" s="19" t="s">
        <v>4578</v>
      </c>
      <c r="BF127" s="19">
        <v>1.1939046246E10</v>
      </c>
      <c r="BG127" s="19" t="s">
        <v>2127</v>
      </c>
      <c r="BH127" s="19" t="s">
        <v>2128</v>
      </c>
      <c r="BI127" s="19"/>
      <c r="BJ127" s="19"/>
      <c r="BK127" s="19" t="s">
        <v>16</v>
      </c>
      <c r="BL127" s="19"/>
      <c r="BM127" s="19" t="s">
        <v>2130</v>
      </c>
      <c r="BN127" s="19" t="s">
        <v>17</v>
      </c>
      <c r="BO127" s="19" t="s">
        <v>2132</v>
      </c>
      <c r="BP127" s="19" t="s">
        <v>4587</v>
      </c>
      <c r="BQ127" s="19" t="s">
        <v>2174</v>
      </c>
      <c r="BR127" s="19" t="s">
        <v>2174</v>
      </c>
      <c r="BS127" s="19" t="s">
        <v>2243</v>
      </c>
      <c r="BT127" s="19" t="s">
        <v>21</v>
      </c>
      <c r="BU127" s="19" t="s">
        <v>4588</v>
      </c>
      <c r="BV127" s="19" t="s">
        <v>4589</v>
      </c>
      <c r="BW127" s="19" t="s">
        <v>2113</v>
      </c>
      <c r="BX127" s="19"/>
      <c r="BY127" s="19"/>
      <c r="BZ127" s="19"/>
      <c r="CA127" s="19"/>
      <c r="CB127" s="19"/>
      <c r="CC127" s="19"/>
      <c r="CD127" s="19" t="s">
        <v>2137</v>
      </c>
      <c r="CE127" s="19" t="s">
        <v>16</v>
      </c>
      <c r="CF127" s="19"/>
      <c r="CG127" s="19"/>
      <c r="CH127" s="19" t="s">
        <v>16</v>
      </c>
      <c r="CI127" s="21">
        <v>0.0</v>
      </c>
      <c r="CJ127" s="19" t="s">
        <v>16</v>
      </c>
      <c r="CK127" s="19"/>
      <c r="CL127" s="19"/>
      <c r="CM127" s="19" t="s">
        <v>2138</v>
      </c>
      <c r="CN127" s="19" t="s">
        <v>2176</v>
      </c>
      <c r="CO127" s="19"/>
      <c r="CP127" s="19" t="s">
        <v>2267</v>
      </c>
      <c r="CQ127" s="19"/>
      <c r="CR127" s="19" t="s">
        <v>2113</v>
      </c>
      <c r="CS127" s="19" t="s">
        <v>2113</v>
      </c>
      <c r="CT127" s="19" t="s">
        <v>2113</v>
      </c>
      <c r="CU127" s="19" t="s">
        <v>2113</v>
      </c>
      <c r="CV127" s="19" t="s">
        <v>2179</v>
      </c>
      <c r="CW127" s="19"/>
      <c r="CX127" s="19"/>
      <c r="CY127" s="19"/>
      <c r="CZ127" s="19"/>
      <c r="DA127" s="19" t="s">
        <v>16</v>
      </c>
      <c r="DB127" s="19" t="s">
        <v>16</v>
      </c>
      <c r="DC127" s="19" t="s">
        <v>2182</v>
      </c>
      <c r="DD127" s="19" t="s">
        <v>2113</v>
      </c>
      <c r="DE127" s="19" t="s">
        <v>2113</v>
      </c>
      <c r="DF127" s="19" t="s">
        <v>2181</v>
      </c>
      <c r="DG127" s="19" t="s">
        <v>2345</v>
      </c>
      <c r="DH127" s="19" t="s">
        <v>2144</v>
      </c>
      <c r="DI127" s="24">
        <v>45518.0</v>
      </c>
      <c r="DJ127" s="19" t="s">
        <v>2174</v>
      </c>
      <c r="DK127" s="19" t="s">
        <v>2271</v>
      </c>
      <c r="DL127" s="19" t="s">
        <v>2183</v>
      </c>
      <c r="DM127" s="19" t="s">
        <v>2346</v>
      </c>
      <c r="DN127" s="19">
        <v>4.0</v>
      </c>
      <c r="DO127" s="19">
        <v>4.0</v>
      </c>
      <c r="DP127" s="19"/>
      <c r="DQ127" s="19"/>
      <c r="DR127" s="19"/>
      <c r="DS127" s="19" t="s">
        <v>2151</v>
      </c>
      <c r="DT127" s="19" t="s">
        <v>2350</v>
      </c>
      <c r="DU127" s="19" t="s">
        <v>4590</v>
      </c>
      <c r="DV127" s="19"/>
      <c r="DW127" s="19" t="s">
        <v>2153</v>
      </c>
      <c r="DX127" s="19">
        <v>13.0</v>
      </c>
      <c r="DY127" s="19">
        <v>10.0</v>
      </c>
      <c r="DZ127" s="19">
        <v>0.0</v>
      </c>
      <c r="EA127" s="19">
        <v>10.0</v>
      </c>
      <c r="EB127" s="19">
        <v>0.0</v>
      </c>
      <c r="EC127" s="19">
        <v>20.0</v>
      </c>
      <c r="ED127" s="19" t="s">
        <v>2174</v>
      </c>
      <c r="EE127" s="24">
        <v>45518.0</v>
      </c>
      <c r="EF127" s="19" t="s">
        <v>2174</v>
      </c>
      <c r="EG127" s="19" t="s">
        <v>2271</v>
      </c>
      <c r="EH127" s="19" t="s">
        <v>2183</v>
      </c>
      <c r="EI127" s="22">
        <v>12.918750000000001</v>
      </c>
      <c r="EJ127" s="19">
        <v>35.0</v>
      </c>
      <c r="EK127" s="19"/>
      <c r="EL127" s="19" t="s">
        <v>2282</v>
      </c>
      <c r="EM127" s="19" t="s">
        <v>4582</v>
      </c>
      <c r="EN127" s="19" t="s">
        <v>387</v>
      </c>
      <c r="EO127" s="19" t="s">
        <v>2167</v>
      </c>
      <c r="EP127" s="19" t="s">
        <v>2310</v>
      </c>
      <c r="EQ127" s="19" t="s">
        <v>2176</v>
      </c>
      <c r="ER127" s="19"/>
      <c r="ES127" s="19" t="s">
        <v>387</v>
      </c>
      <c r="ET127" s="19" t="s">
        <v>387</v>
      </c>
      <c r="EU127" s="19" t="s">
        <v>4579</v>
      </c>
      <c r="EV127" s="19">
        <v>6625.0</v>
      </c>
      <c r="EW127" s="19" t="s">
        <v>16</v>
      </c>
      <c r="EX127" s="19">
        <v>5.0</v>
      </c>
      <c r="EY127" s="25" t="s">
        <v>386</v>
      </c>
      <c r="EZ127" s="19" t="s">
        <v>2154</v>
      </c>
      <c r="FA127" s="5" t="s">
        <v>4591</v>
      </c>
      <c r="FB127" s="26" t="s">
        <v>2156</v>
      </c>
      <c r="FC127" s="26"/>
    </row>
    <row r="128">
      <c r="A128" s="19" t="s">
        <v>2156</v>
      </c>
      <c r="B128" s="19" t="s">
        <v>2113</v>
      </c>
      <c r="C128" s="19" t="s">
        <v>2113</v>
      </c>
      <c r="D128" s="19" t="s">
        <v>388</v>
      </c>
      <c r="E128" s="19" t="s">
        <v>4592</v>
      </c>
      <c r="F128" s="19" t="s">
        <v>388</v>
      </c>
      <c r="G128" s="19"/>
      <c r="H128" s="19" t="s">
        <v>388</v>
      </c>
      <c r="I128" s="19" t="s">
        <v>390</v>
      </c>
      <c r="J128" s="19" t="s">
        <v>4593</v>
      </c>
      <c r="K128" s="19" t="s">
        <v>4594</v>
      </c>
      <c r="L128" s="20">
        <v>45445.0</v>
      </c>
      <c r="M128" s="20">
        <v>45446.0</v>
      </c>
      <c r="N128" s="20">
        <v>45446.0</v>
      </c>
      <c r="O128" s="19" t="s">
        <v>389</v>
      </c>
      <c r="P128" s="19">
        <v>0.0</v>
      </c>
      <c r="Q128" s="19">
        <v>21.0</v>
      </c>
      <c r="R128" s="19">
        <v>7882.0</v>
      </c>
      <c r="S128" s="20" t="s">
        <v>4595</v>
      </c>
      <c r="T128" s="20">
        <v>45461.0</v>
      </c>
      <c r="U128" s="19" t="s">
        <v>388</v>
      </c>
      <c r="V128" s="19"/>
      <c r="W128" s="19"/>
      <c r="X128" s="21">
        <v>20.0</v>
      </c>
      <c r="Y128" s="21">
        <v>0.0</v>
      </c>
      <c r="Z128" s="21">
        <v>3.0</v>
      </c>
      <c r="AA128" s="21">
        <v>0.0</v>
      </c>
      <c r="AB128" s="5">
        <v>23.0</v>
      </c>
      <c r="AC128" s="19">
        <v>5.0</v>
      </c>
      <c r="AD128" s="19">
        <v>5.0</v>
      </c>
      <c r="AE128" s="19">
        <v>5.0</v>
      </c>
      <c r="AF128" s="19">
        <v>4.5</v>
      </c>
      <c r="AG128" s="19">
        <v>5.0</v>
      </c>
      <c r="AH128" s="19">
        <v>5.0</v>
      </c>
      <c r="AI128" s="22">
        <v>14.8125</v>
      </c>
      <c r="AJ128" s="19">
        <v>15.0</v>
      </c>
      <c r="AK128" s="19">
        <v>15.0</v>
      </c>
      <c r="AL128" s="19">
        <v>15.0</v>
      </c>
      <c r="AM128" s="19">
        <v>45.0</v>
      </c>
      <c r="AN128" s="19">
        <v>59.8</v>
      </c>
      <c r="AO128" s="19">
        <v>82.8</v>
      </c>
      <c r="AP128" s="19">
        <v>321.0</v>
      </c>
      <c r="AQ128" s="23">
        <v>125.0</v>
      </c>
      <c r="AR128" s="23">
        <v>4.0</v>
      </c>
      <c r="AS128" s="22"/>
      <c r="AT128" s="19" t="s">
        <v>2117</v>
      </c>
      <c r="AU128" s="19" t="s">
        <v>4072</v>
      </c>
      <c r="AV128" s="19" t="s">
        <v>4073</v>
      </c>
      <c r="AW128" s="19" t="s">
        <v>4596</v>
      </c>
      <c r="AX128" s="20">
        <v>37579.0</v>
      </c>
      <c r="AY128" s="19" t="s">
        <v>3826</v>
      </c>
      <c r="AZ128" s="19" t="s">
        <v>2122</v>
      </c>
      <c r="BA128" s="19" t="s">
        <v>4075</v>
      </c>
      <c r="BB128" s="19" t="s">
        <v>4076</v>
      </c>
      <c r="BC128" s="19" t="s">
        <v>4597</v>
      </c>
      <c r="BD128" s="19" t="s">
        <v>4598</v>
      </c>
      <c r="BE128" s="19" t="s">
        <v>4593</v>
      </c>
      <c r="BF128" s="19">
        <v>1.1932612256E10</v>
      </c>
      <c r="BG128" s="19" t="s">
        <v>4038</v>
      </c>
      <c r="BH128" s="19" t="s">
        <v>2128</v>
      </c>
      <c r="BI128" s="19"/>
      <c r="BJ128" s="19" t="s">
        <v>2128</v>
      </c>
      <c r="BK128" s="19" t="s">
        <v>17</v>
      </c>
      <c r="BL128" s="19"/>
      <c r="BM128" s="19" t="s">
        <v>2130</v>
      </c>
      <c r="BN128" s="19" t="s">
        <v>17</v>
      </c>
      <c r="BO128" s="19" t="s">
        <v>2473</v>
      </c>
      <c r="BP128" s="19" t="s">
        <v>4599</v>
      </c>
      <c r="BQ128" s="19" t="s">
        <v>3832</v>
      </c>
      <c r="BR128" s="19" t="s">
        <v>3832</v>
      </c>
      <c r="BS128" s="19" t="s">
        <v>2134</v>
      </c>
      <c r="BT128" s="19" t="s">
        <v>268</v>
      </c>
      <c r="BU128" s="19" t="s">
        <v>4600</v>
      </c>
      <c r="BV128" s="19" t="s">
        <v>4601</v>
      </c>
      <c r="BW128" s="19" t="s">
        <v>2113</v>
      </c>
      <c r="BX128" s="19"/>
      <c r="BY128" s="19"/>
      <c r="BZ128" s="19"/>
      <c r="CA128" s="19"/>
      <c r="CB128" s="19" t="s">
        <v>2113</v>
      </c>
      <c r="CC128" s="19"/>
      <c r="CD128" s="19" t="s">
        <v>2137</v>
      </c>
      <c r="CE128" s="19" t="s">
        <v>16</v>
      </c>
      <c r="CF128" s="19"/>
      <c r="CG128" s="19"/>
      <c r="CH128" s="19" t="s">
        <v>16</v>
      </c>
      <c r="CI128" s="21">
        <v>0.0</v>
      </c>
      <c r="CJ128" s="19" t="s">
        <v>17</v>
      </c>
      <c r="CK128" s="19"/>
      <c r="CL128" s="19"/>
      <c r="CM128" s="19" t="s">
        <v>2749</v>
      </c>
      <c r="CN128" s="19" t="s">
        <v>3835</v>
      </c>
      <c r="CO128" s="19"/>
      <c r="CP128" s="19" t="s">
        <v>2246</v>
      </c>
      <c r="CQ128" s="19"/>
      <c r="CR128" s="19"/>
      <c r="CS128" s="19"/>
      <c r="CT128" s="19" t="s">
        <v>2113</v>
      </c>
      <c r="CU128" s="19" t="s">
        <v>2113</v>
      </c>
      <c r="CV128" s="19" t="s">
        <v>2141</v>
      </c>
      <c r="CW128" s="19" t="s">
        <v>2113</v>
      </c>
      <c r="CX128" s="19" t="s">
        <v>2113</v>
      </c>
      <c r="CY128" s="19"/>
      <c r="CZ128" s="19"/>
      <c r="DA128" s="19" t="s">
        <v>16</v>
      </c>
      <c r="DB128" s="19" t="s">
        <v>17</v>
      </c>
      <c r="DC128" s="19" t="s">
        <v>3990</v>
      </c>
      <c r="DD128" s="19" t="s">
        <v>2113</v>
      </c>
      <c r="DE128" s="19" t="s">
        <v>2113</v>
      </c>
      <c r="DF128" s="19" t="s">
        <v>2433</v>
      </c>
      <c r="DG128" s="19" t="s">
        <v>3103</v>
      </c>
      <c r="DH128" s="19" t="s">
        <v>2144</v>
      </c>
      <c r="DI128" s="24">
        <v>45518.0</v>
      </c>
      <c r="DJ128" s="19" t="s">
        <v>3257</v>
      </c>
      <c r="DK128" s="19" t="s">
        <v>2271</v>
      </c>
      <c r="DL128" s="19" t="s">
        <v>2207</v>
      </c>
      <c r="DM128" s="22" t="s">
        <v>4602</v>
      </c>
      <c r="DN128" s="19">
        <v>1.0</v>
      </c>
      <c r="DO128" s="19">
        <v>1.0</v>
      </c>
      <c r="DP128" s="19" t="s">
        <v>4603</v>
      </c>
      <c r="DQ128" s="19" t="s">
        <v>4604</v>
      </c>
      <c r="DR128" s="19" t="s">
        <v>4605</v>
      </c>
      <c r="DS128" s="19" t="s">
        <v>2185</v>
      </c>
      <c r="DT128" s="19" t="s">
        <v>2186</v>
      </c>
      <c r="DU128" s="19"/>
      <c r="DV128" s="19"/>
      <c r="DW128" s="19" t="s">
        <v>2153</v>
      </c>
      <c r="DX128" s="19">
        <v>1.0</v>
      </c>
      <c r="DY128" s="19">
        <v>0.0</v>
      </c>
      <c r="DZ128" s="19">
        <v>0.0</v>
      </c>
      <c r="EA128" s="19">
        <v>0.0</v>
      </c>
      <c r="EB128" s="19">
        <v>0.0</v>
      </c>
      <c r="EC128" s="19">
        <v>20.0</v>
      </c>
      <c r="ED128" s="19" t="s">
        <v>3257</v>
      </c>
      <c r="EE128" s="24">
        <v>45518.0</v>
      </c>
      <c r="EF128" s="19" t="s">
        <v>3257</v>
      </c>
      <c r="EG128" s="19" t="s">
        <v>2271</v>
      </c>
      <c r="EH128" s="19" t="s">
        <v>2207</v>
      </c>
      <c r="EI128" s="22">
        <v>14.8125</v>
      </c>
      <c r="EJ128" s="19">
        <v>45.0</v>
      </c>
      <c r="EK128" s="19" t="s">
        <v>2113</v>
      </c>
      <c r="EL128" s="19" t="s">
        <v>2117</v>
      </c>
      <c r="EM128" s="19" t="s">
        <v>4072</v>
      </c>
      <c r="EN128" s="19" t="s">
        <v>390</v>
      </c>
      <c r="EO128" s="19" t="s">
        <v>3826</v>
      </c>
      <c r="EP128" s="19" t="s">
        <v>2122</v>
      </c>
      <c r="EQ128" s="19" t="s">
        <v>3835</v>
      </c>
      <c r="ER128" s="19"/>
      <c r="ES128" s="19" t="s">
        <v>390</v>
      </c>
      <c r="ET128" s="19" t="s">
        <v>390</v>
      </c>
      <c r="EU128" s="19" t="s">
        <v>4594</v>
      </c>
      <c r="EV128" s="19">
        <v>7882.0</v>
      </c>
      <c r="EW128" s="19" t="s">
        <v>16</v>
      </c>
      <c r="EX128" s="19">
        <v>3.0</v>
      </c>
      <c r="EY128" s="25" t="s">
        <v>389</v>
      </c>
      <c r="EZ128" s="19" t="s">
        <v>2154</v>
      </c>
      <c r="FA128" s="5" t="s">
        <v>4606</v>
      </c>
      <c r="FB128" s="26" t="s">
        <v>2156</v>
      </c>
      <c r="FC128" s="26"/>
    </row>
    <row r="129">
      <c r="A129" s="19" t="s">
        <v>2112</v>
      </c>
      <c r="B129" s="19" t="s">
        <v>2113</v>
      </c>
      <c r="C129" s="19" t="s">
        <v>2113</v>
      </c>
      <c r="D129" s="19" t="s">
        <v>391</v>
      </c>
      <c r="E129" s="19" t="s">
        <v>391</v>
      </c>
      <c r="F129" s="19" t="s">
        <v>391</v>
      </c>
      <c r="G129" s="19"/>
      <c r="H129" s="19" t="s">
        <v>391</v>
      </c>
      <c r="I129" s="19" t="s">
        <v>393</v>
      </c>
      <c r="J129" s="19" t="s">
        <v>4607</v>
      </c>
      <c r="K129" s="19" t="s">
        <v>4608</v>
      </c>
      <c r="L129" s="20">
        <v>45459.0</v>
      </c>
      <c r="M129" s="20">
        <v>45460.0</v>
      </c>
      <c r="N129" s="20">
        <v>45460.0</v>
      </c>
      <c r="O129" s="19" t="s">
        <v>392</v>
      </c>
      <c r="P129" s="19">
        <v>0.0</v>
      </c>
      <c r="Q129" s="19">
        <v>27.0</v>
      </c>
      <c r="R129" s="19">
        <v>10127.0</v>
      </c>
      <c r="S129" s="20" t="s">
        <v>4609</v>
      </c>
      <c r="T129" s="20">
        <v>45461.0</v>
      </c>
      <c r="U129" s="19" t="s">
        <v>391</v>
      </c>
      <c r="V129" s="19"/>
      <c r="W129" s="19"/>
      <c r="X129" s="21">
        <v>20.0</v>
      </c>
      <c r="Y129" s="21">
        <v>0.0</v>
      </c>
      <c r="Z129" s="21">
        <v>3.0</v>
      </c>
      <c r="AA129" s="21">
        <v>0.0</v>
      </c>
      <c r="AB129" s="5">
        <v>23.0</v>
      </c>
      <c r="AC129" s="19">
        <v>5.0</v>
      </c>
      <c r="AD129" s="19">
        <v>5.0</v>
      </c>
      <c r="AE129" s="19">
        <v>5.0</v>
      </c>
      <c r="AF129" s="19">
        <v>5.0</v>
      </c>
      <c r="AG129" s="19">
        <v>4.5</v>
      </c>
      <c r="AH129" s="19">
        <v>4.5</v>
      </c>
      <c r="AI129" s="22">
        <v>14.625</v>
      </c>
      <c r="AJ129" s="19">
        <v>15.0</v>
      </c>
      <c r="AK129" s="19">
        <v>15.0</v>
      </c>
      <c r="AL129" s="19">
        <v>15.0</v>
      </c>
      <c r="AM129" s="19">
        <v>45.0</v>
      </c>
      <c r="AN129" s="19">
        <v>59.6</v>
      </c>
      <c r="AO129" s="19">
        <v>82.6</v>
      </c>
      <c r="AP129" s="19">
        <v>305.0</v>
      </c>
      <c r="AQ129" s="23">
        <v>126.0</v>
      </c>
      <c r="AR129" s="23">
        <v>5.0</v>
      </c>
      <c r="AS129" s="22" t="s">
        <v>4071</v>
      </c>
      <c r="AT129" s="19" t="s">
        <v>2117</v>
      </c>
      <c r="AU129" s="19" t="s">
        <v>4072</v>
      </c>
      <c r="AV129" s="19" t="s">
        <v>4073</v>
      </c>
      <c r="AW129" s="19"/>
      <c r="AX129" s="20">
        <v>35334.0</v>
      </c>
      <c r="AY129" s="19" t="s">
        <v>3826</v>
      </c>
      <c r="AZ129" s="19" t="s">
        <v>2122</v>
      </c>
      <c r="BA129" s="19" t="s">
        <v>4075</v>
      </c>
      <c r="BB129" s="19" t="s">
        <v>4076</v>
      </c>
      <c r="BC129" s="19" t="s">
        <v>4610</v>
      </c>
      <c r="BD129" s="19" t="s">
        <v>4611</v>
      </c>
      <c r="BE129" s="19" t="s">
        <v>4607</v>
      </c>
      <c r="BF129" s="19">
        <v>1.1989427574E10</v>
      </c>
      <c r="BG129" s="19" t="s">
        <v>2127</v>
      </c>
      <c r="BH129" s="19" t="s">
        <v>2128</v>
      </c>
      <c r="BI129" s="19"/>
      <c r="BJ129" s="19" t="s">
        <v>2128</v>
      </c>
      <c r="BK129" s="19" t="s">
        <v>17</v>
      </c>
      <c r="BL129" s="19"/>
      <c r="BM129" s="19" t="s">
        <v>2130</v>
      </c>
      <c r="BN129" s="19" t="s">
        <v>17</v>
      </c>
      <c r="BO129" s="19" t="s">
        <v>2473</v>
      </c>
      <c r="BP129" s="19" t="s">
        <v>4612</v>
      </c>
      <c r="BQ129" s="19" t="s">
        <v>3832</v>
      </c>
      <c r="BR129" s="19" t="s">
        <v>3832</v>
      </c>
      <c r="BS129" s="19" t="s">
        <v>3521</v>
      </c>
      <c r="BT129" s="19" t="s">
        <v>268</v>
      </c>
      <c r="BU129" s="19" t="s">
        <v>4613</v>
      </c>
      <c r="BV129" s="19" t="s">
        <v>4614</v>
      </c>
      <c r="BW129" s="19"/>
      <c r="BX129" s="19"/>
      <c r="BY129" s="19"/>
      <c r="BZ129" s="19"/>
      <c r="CA129" s="19"/>
      <c r="CB129" s="19" t="s">
        <v>2113</v>
      </c>
      <c r="CC129" s="19" t="s">
        <v>2113</v>
      </c>
      <c r="CD129" s="19" t="s">
        <v>2137</v>
      </c>
      <c r="CE129" s="19" t="s">
        <v>16</v>
      </c>
      <c r="CF129" s="19"/>
      <c r="CG129" s="19"/>
      <c r="CH129" s="19" t="s">
        <v>16</v>
      </c>
      <c r="CI129" s="21">
        <v>0.0</v>
      </c>
      <c r="CJ129" s="19" t="s">
        <v>17</v>
      </c>
      <c r="CK129" s="19"/>
      <c r="CL129" s="19"/>
      <c r="CM129" s="19" t="s">
        <v>2138</v>
      </c>
      <c r="CN129" s="19" t="s">
        <v>3835</v>
      </c>
      <c r="CO129" s="19"/>
      <c r="CP129" s="19" t="s">
        <v>2140</v>
      </c>
      <c r="CQ129" s="19"/>
      <c r="CR129" s="19" t="s">
        <v>2113</v>
      </c>
      <c r="CS129" s="19" t="s">
        <v>2113</v>
      </c>
      <c r="CT129" s="19" t="s">
        <v>2113</v>
      </c>
      <c r="CU129" s="19" t="s">
        <v>2113</v>
      </c>
      <c r="CV129" s="19" t="s">
        <v>2179</v>
      </c>
      <c r="CW129" s="19" t="s">
        <v>2113</v>
      </c>
      <c r="CX129" s="19" t="s">
        <v>2113</v>
      </c>
      <c r="CY129" s="19" t="s">
        <v>2113</v>
      </c>
      <c r="CZ129" s="19" t="s">
        <v>2113</v>
      </c>
      <c r="DA129" s="19" t="s">
        <v>16</v>
      </c>
      <c r="DB129" s="19" t="s">
        <v>17</v>
      </c>
      <c r="DC129" s="19" t="s">
        <v>3836</v>
      </c>
      <c r="DD129" s="19" t="s">
        <v>2113</v>
      </c>
      <c r="DE129" s="19" t="s">
        <v>2113</v>
      </c>
      <c r="DF129" s="19" t="s">
        <v>3990</v>
      </c>
      <c r="DG129" s="19" t="s">
        <v>3256</v>
      </c>
      <c r="DH129" s="19" t="s">
        <v>2144</v>
      </c>
      <c r="DI129" s="24">
        <v>45519.0</v>
      </c>
      <c r="DJ129" s="19" t="s">
        <v>3257</v>
      </c>
      <c r="DK129" s="19" t="s">
        <v>2145</v>
      </c>
      <c r="DL129" s="19" t="s">
        <v>2207</v>
      </c>
      <c r="DM129" s="19" t="s">
        <v>4615</v>
      </c>
      <c r="DN129" s="19">
        <v>2.0</v>
      </c>
      <c r="DO129" s="19">
        <v>2.0</v>
      </c>
      <c r="DP129" s="19"/>
      <c r="DQ129" s="19"/>
      <c r="DR129" s="19"/>
      <c r="DS129" s="19" t="s">
        <v>2185</v>
      </c>
      <c r="DT129" s="19" t="s">
        <v>2229</v>
      </c>
      <c r="DU129" s="19" t="s">
        <v>4616</v>
      </c>
      <c r="DV129" s="19"/>
      <c r="DW129" s="19" t="s">
        <v>2153</v>
      </c>
      <c r="DX129" s="19">
        <v>2.0</v>
      </c>
      <c r="DY129" s="19">
        <v>0.0</v>
      </c>
      <c r="DZ129" s="19">
        <v>0.0</v>
      </c>
      <c r="EA129" s="19">
        <v>0.0</v>
      </c>
      <c r="EB129" s="19">
        <v>0.0</v>
      </c>
      <c r="EC129" s="19">
        <v>20.0</v>
      </c>
      <c r="ED129" s="19" t="s">
        <v>3257</v>
      </c>
      <c r="EE129" s="24">
        <v>45519.0</v>
      </c>
      <c r="EF129" s="19" t="s">
        <v>3257</v>
      </c>
      <c r="EG129" s="19" t="s">
        <v>2145</v>
      </c>
      <c r="EH129" s="19" t="s">
        <v>2207</v>
      </c>
      <c r="EI129" s="22">
        <v>14.625</v>
      </c>
      <c r="EJ129" s="19">
        <v>45.0</v>
      </c>
      <c r="EK129" s="19" t="s">
        <v>2113</v>
      </c>
      <c r="EL129" s="19" t="s">
        <v>2117</v>
      </c>
      <c r="EM129" s="19" t="s">
        <v>4072</v>
      </c>
      <c r="EN129" s="19" t="s">
        <v>393</v>
      </c>
      <c r="EO129" s="19" t="s">
        <v>3826</v>
      </c>
      <c r="EP129" s="19" t="s">
        <v>2122</v>
      </c>
      <c r="EQ129" s="19" t="s">
        <v>3835</v>
      </c>
      <c r="ER129" s="19"/>
      <c r="ES129" s="19" t="s">
        <v>393</v>
      </c>
      <c r="ET129" s="19" t="s">
        <v>393</v>
      </c>
      <c r="EU129" s="19" t="s">
        <v>4608</v>
      </c>
      <c r="EV129" s="19">
        <v>10127.0</v>
      </c>
      <c r="EW129" s="19" t="s">
        <v>16</v>
      </c>
      <c r="EX129" s="19">
        <v>3.0</v>
      </c>
      <c r="EY129" s="25" t="s">
        <v>392</v>
      </c>
      <c r="EZ129" s="19" t="s">
        <v>2154</v>
      </c>
      <c r="FA129" s="5" t="s">
        <v>4617</v>
      </c>
      <c r="FB129" s="26" t="s">
        <v>2156</v>
      </c>
      <c r="FC129" s="26"/>
    </row>
    <row r="130">
      <c r="A130" s="19" t="s">
        <v>17</v>
      </c>
      <c r="B130" s="19" t="s">
        <v>2113</v>
      </c>
      <c r="C130" s="19" t="s">
        <v>2113</v>
      </c>
      <c r="D130" s="19" t="s">
        <v>394</v>
      </c>
      <c r="E130" s="19" t="s">
        <v>4618</v>
      </c>
      <c r="F130" s="19" t="s">
        <v>394</v>
      </c>
      <c r="G130" s="19"/>
      <c r="H130" s="19" t="s">
        <v>394</v>
      </c>
      <c r="I130" s="19" t="s">
        <v>396</v>
      </c>
      <c r="J130" s="19" t="s">
        <v>4619</v>
      </c>
      <c r="K130" s="19" t="s">
        <v>4620</v>
      </c>
      <c r="L130" s="20">
        <v>45459.0</v>
      </c>
      <c r="M130" s="20">
        <v>45460.0</v>
      </c>
      <c r="N130" s="20">
        <v>45460.0</v>
      </c>
      <c r="O130" s="19" t="s">
        <v>395</v>
      </c>
      <c r="P130" s="19">
        <v>0.0</v>
      </c>
      <c r="Q130" s="19">
        <v>26.0</v>
      </c>
      <c r="R130" s="19">
        <v>9660.0</v>
      </c>
      <c r="S130" s="20" t="s">
        <v>4621</v>
      </c>
      <c r="T130" s="20">
        <v>45461.0</v>
      </c>
      <c r="U130" s="19" t="s">
        <v>394</v>
      </c>
      <c r="V130" s="19"/>
      <c r="W130" s="19"/>
      <c r="X130" s="21">
        <v>20.0</v>
      </c>
      <c r="Y130" s="21">
        <v>0.0</v>
      </c>
      <c r="Z130" s="21">
        <v>3.0</v>
      </c>
      <c r="AA130" s="21">
        <v>0.0</v>
      </c>
      <c r="AB130" s="5">
        <v>23.0</v>
      </c>
      <c r="AC130" s="19">
        <v>5.0</v>
      </c>
      <c r="AD130" s="19">
        <v>5.0</v>
      </c>
      <c r="AE130" s="19">
        <v>5.0</v>
      </c>
      <c r="AF130" s="19">
        <v>4.5</v>
      </c>
      <c r="AG130" s="19">
        <v>4.0</v>
      </c>
      <c r="AH130" s="19">
        <v>5.0</v>
      </c>
      <c r="AI130" s="22">
        <v>14.4375</v>
      </c>
      <c r="AJ130" s="19">
        <v>15.0</v>
      </c>
      <c r="AK130" s="19">
        <v>15.0</v>
      </c>
      <c r="AL130" s="19">
        <v>15.0</v>
      </c>
      <c r="AM130" s="19">
        <v>45.0</v>
      </c>
      <c r="AN130" s="19">
        <v>59.4</v>
      </c>
      <c r="AO130" s="19">
        <v>82.4</v>
      </c>
      <c r="AP130" s="19">
        <v>307.0</v>
      </c>
      <c r="AQ130" s="23">
        <v>127.0</v>
      </c>
      <c r="AR130" s="23">
        <v>6.0</v>
      </c>
      <c r="AS130" s="22"/>
      <c r="AT130" s="19" t="s">
        <v>2163</v>
      </c>
      <c r="AU130" s="19" t="s">
        <v>4622</v>
      </c>
      <c r="AV130" s="19" t="s">
        <v>4623</v>
      </c>
      <c r="AW130" s="19" t="s">
        <v>4624</v>
      </c>
      <c r="AX130" s="20">
        <v>35801.0</v>
      </c>
      <c r="AY130" s="19" t="s">
        <v>3826</v>
      </c>
      <c r="AZ130" s="19" t="s">
        <v>2122</v>
      </c>
      <c r="BA130" s="19" t="s">
        <v>4625</v>
      </c>
      <c r="BB130" s="19" t="s">
        <v>3333</v>
      </c>
      <c r="BC130" s="19" t="s">
        <v>4626</v>
      </c>
      <c r="BD130" s="19" t="s">
        <v>4627</v>
      </c>
      <c r="BE130" s="19" t="s">
        <v>4619</v>
      </c>
      <c r="BF130" s="19">
        <v>1.1996502504E10</v>
      </c>
      <c r="BG130" s="19" t="s">
        <v>4038</v>
      </c>
      <c r="BH130" s="19" t="s">
        <v>2128</v>
      </c>
      <c r="BI130" s="19"/>
      <c r="BJ130" s="19" t="s">
        <v>2128</v>
      </c>
      <c r="BK130" s="19" t="s">
        <v>17</v>
      </c>
      <c r="BL130" s="19"/>
      <c r="BM130" s="19" t="s">
        <v>2130</v>
      </c>
      <c r="BN130" s="19" t="s">
        <v>17</v>
      </c>
      <c r="BO130" s="19" t="s">
        <v>2473</v>
      </c>
      <c r="BP130" s="19" t="s">
        <v>4628</v>
      </c>
      <c r="BQ130" s="19" t="s">
        <v>3832</v>
      </c>
      <c r="BR130" s="19" t="s">
        <v>3832</v>
      </c>
      <c r="BS130" s="19" t="s">
        <v>3521</v>
      </c>
      <c r="BT130" s="19" t="s">
        <v>268</v>
      </c>
      <c r="BU130" s="19" t="s">
        <v>4629</v>
      </c>
      <c r="BV130" s="19" t="s">
        <v>4630</v>
      </c>
      <c r="BW130" s="19" t="s">
        <v>2113</v>
      </c>
      <c r="BX130" s="19"/>
      <c r="BY130" s="19"/>
      <c r="BZ130" s="19"/>
      <c r="CA130" s="19"/>
      <c r="CB130" s="19" t="s">
        <v>2113</v>
      </c>
      <c r="CC130" s="19"/>
      <c r="CD130" s="19" t="s">
        <v>2137</v>
      </c>
      <c r="CE130" s="19" t="s">
        <v>16</v>
      </c>
      <c r="CF130" s="19"/>
      <c r="CG130" s="19"/>
      <c r="CH130" s="19" t="s">
        <v>16</v>
      </c>
      <c r="CI130" s="21">
        <v>0.0</v>
      </c>
      <c r="CJ130" s="19" t="s">
        <v>17</v>
      </c>
      <c r="CK130" s="19"/>
      <c r="CL130" s="19"/>
      <c r="CM130" s="19" t="s">
        <v>2138</v>
      </c>
      <c r="CN130" s="19" t="s">
        <v>3835</v>
      </c>
      <c r="CO130" s="19"/>
      <c r="CP130" s="19" t="s">
        <v>4631</v>
      </c>
      <c r="CQ130" s="19"/>
      <c r="CR130" s="19" t="s">
        <v>2113</v>
      </c>
      <c r="CS130" s="19" t="s">
        <v>2113</v>
      </c>
      <c r="CT130" s="19" t="s">
        <v>2113</v>
      </c>
      <c r="CU130" s="19" t="s">
        <v>2113</v>
      </c>
      <c r="CV130" s="19" t="s">
        <v>2141</v>
      </c>
      <c r="CW130" s="19" t="s">
        <v>2113</v>
      </c>
      <c r="CX130" s="19" t="s">
        <v>2113</v>
      </c>
      <c r="CY130" s="19"/>
      <c r="CZ130" s="19"/>
      <c r="DA130" s="19" t="s">
        <v>16</v>
      </c>
      <c r="DB130" s="19" t="s">
        <v>17</v>
      </c>
      <c r="DC130" s="19" t="s">
        <v>3836</v>
      </c>
      <c r="DD130" s="19" t="s">
        <v>2113</v>
      </c>
      <c r="DE130" s="19" t="s">
        <v>2113</v>
      </c>
      <c r="DF130" s="19" t="s">
        <v>2248</v>
      </c>
      <c r="DG130" s="19" t="s">
        <v>2804</v>
      </c>
      <c r="DH130" s="19" t="s">
        <v>2144</v>
      </c>
      <c r="DI130" s="24">
        <v>45518.0</v>
      </c>
      <c r="DJ130" s="19" t="s">
        <v>3257</v>
      </c>
      <c r="DK130" s="19" t="s">
        <v>2271</v>
      </c>
      <c r="DL130" s="19" t="s">
        <v>2207</v>
      </c>
      <c r="DM130" s="22" t="s">
        <v>4008</v>
      </c>
      <c r="DN130" s="19">
        <v>1.0</v>
      </c>
      <c r="DO130" s="19">
        <v>1.0</v>
      </c>
      <c r="DP130" s="19" t="s">
        <v>4632</v>
      </c>
      <c r="DQ130" s="19" t="s">
        <v>4633</v>
      </c>
      <c r="DR130" s="19" t="s">
        <v>4634</v>
      </c>
      <c r="DS130" s="19" t="s">
        <v>2185</v>
      </c>
      <c r="DT130" s="19" t="s">
        <v>2350</v>
      </c>
      <c r="DU130" s="19"/>
      <c r="DV130" s="19"/>
      <c r="DW130" s="19" t="s">
        <v>2153</v>
      </c>
      <c r="DX130" s="19">
        <v>1.0</v>
      </c>
      <c r="DY130" s="19">
        <v>0.0</v>
      </c>
      <c r="DZ130" s="19">
        <v>0.0</v>
      </c>
      <c r="EA130" s="19">
        <v>0.0</v>
      </c>
      <c r="EB130" s="19">
        <v>0.0</v>
      </c>
      <c r="EC130" s="19">
        <v>20.0</v>
      </c>
      <c r="ED130" s="19" t="s">
        <v>3257</v>
      </c>
      <c r="EE130" s="24">
        <v>45518.0</v>
      </c>
      <c r="EF130" s="19" t="s">
        <v>3257</v>
      </c>
      <c r="EG130" s="19" t="s">
        <v>2271</v>
      </c>
      <c r="EH130" s="19" t="s">
        <v>2207</v>
      </c>
      <c r="EI130" s="22">
        <v>14.4375</v>
      </c>
      <c r="EJ130" s="19">
        <v>45.0</v>
      </c>
      <c r="EK130" s="19" t="s">
        <v>2113</v>
      </c>
      <c r="EL130" s="19" t="s">
        <v>2163</v>
      </c>
      <c r="EM130" s="19" t="s">
        <v>4622</v>
      </c>
      <c r="EN130" s="19" t="s">
        <v>396</v>
      </c>
      <c r="EO130" s="19" t="s">
        <v>3826</v>
      </c>
      <c r="EP130" s="19" t="s">
        <v>2122</v>
      </c>
      <c r="EQ130" s="19" t="s">
        <v>3835</v>
      </c>
      <c r="ER130" s="19"/>
      <c r="ES130" s="19" t="s">
        <v>396</v>
      </c>
      <c r="ET130" s="19" t="s">
        <v>396</v>
      </c>
      <c r="EU130" s="19" t="s">
        <v>4620</v>
      </c>
      <c r="EV130" s="19">
        <v>9660.0</v>
      </c>
      <c r="EW130" s="19" t="s">
        <v>16</v>
      </c>
      <c r="EX130" s="19">
        <v>3.0</v>
      </c>
      <c r="EY130" s="25" t="s">
        <v>395</v>
      </c>
      <c r="EZ130" s="19" t="s">
        <v>2154</v>
      </c>
      <c r="FA130" s="5" t="s">
        <v>4635</v>
      </c>
      <c r="FB130" s="26" t="s">
        <v>2156</v>
      </c>
      <c r="FC130" s="26"/>
    </row>
    <row r="131">
      <c r="A131" s="19" t="s">
        <v>2156</v>
      </c>
      <c r="B131" s="19" t="s">
        <v>2113</v>
      </c>
      <c r="C131" s="19" t="s">
        <v>2113</v>
      </c>
      <c r="D131" s="19" t="s">
        <v>397</v>
      </c>
      <c r="E131" s="19" t="s">
        <v>397</v>
      </c>
      <c r="F131" s="19" t="s">
        <v>397</v>
      </c>
      <c r="G131" s="19"/>
      <c r="H131" s="19" t="s">
        <v>397</v>
      </c>
      <c r="I131" s="19" t="s">
        <v>399</v>
      </c>
      <c r="J131" s="19" t="s">
        <v>4636</v>
      </c>
      <c r="K131" s="19" t="s">
        <v>4637</v>
      </c>
      <c r="L131" s="20">
        <v>45460.0</v>
      </c>
      <c r="M131" s="20">
        <v>45462.0</v>
      </c>
      <c r="N131" s="20">
        <v>45462.0</v>
      </c>
      <c r="O131" s="19" t="s">
        <v>398</v>
      </c>
      <c r="P131" s="19">
        <v>0.0</v>
      </c>
      <c r="Q131" s="19">
        <v>29.0</v>
      </c>
      <c r="R131" s="19">
        <v>10910.0</v>
      </c>
      <c r="S131" s="20" t="s">
        <v>4638</v>
      </c>
      <c r="T131" s="20">
        <v>45461.0</v>
      </c>
      <c r="U131" s="19" t="s">
        <v>397</v>
      </c>
      <c r="V131" s="19" t="s">
        <v>4639</v>
      </c>
      <c r="W131" s="19" t="s">
        <v>4640</v>
      </c>
      <c r="X131" s="21">
        <v>20.0</v>
      </c>
      <c r="Y131" s="21">
        <v>5.0</v>
      </c>
      <c r="Z131" s="21">
        <v>1.0</v>
      </c>
      <c r="AA131" s="21">
        <v>0.0</v>
      </c>
      <c r="AB131" s="5">
        <v>26.0</v>
      </c>
      <c r="AC131" s="19">
        <v>5.0</v>
      </c>
      <c r="AD131" s="19">
        <v>5.0</v>
      </c>
      <c r="AE131" s="19">
        <v>5.0</v>
      </c>
      <c r="AF131" s="19">
        <v>4.5</v>
      </c>
      <c r="AG131" s="19">
        <v>3.5</v>
      </c>
      <c r="AH131" s="19">
        <v>5.0</v>
      </c>
      <c r="AI131" s="22">
        <v>14.25</v>
      </c>
      <c r="AJ131" s="19">
        <v>14.0</v>
      </c>
      <c r="AK131" s="19">
        <v>15.0</v>
      </c>
      <c r="AL131" s="19">
        <v>13.0</v>
      </c>
      <c r="AM131" s="19">
        <v>42.0</v>
      </c>
      <c r="AN131" s="19">
        <v>56.3</v>
      </c>
      <c r="AO131" s="19">
        <v>82.3</v>
      </c>
      <c r="AP131" s="19">
        <v>253.0</v>
      </c>
      <c r="AQ131" s="23">
        <v>128.0</v>
      </c>
      <c r="AR131" s="23">
        <v>14.0</v>
      </c>
      <c r="AS131" s="22"/>
      <c r="AT131" s="19" t="s">
        <v>2117</v>
      </c>
      <c r="AU131" s="19" t="s">
        <v>4641</v>
      </c>
      <c r="AV131" s="19" t="s">
        <v>4642</v>
      </c>
      <c r="AW131" s="19" t="s">
        <v>4643</v>
      </c>
      <c r="AX131" s="20">
        <v>34551.0</v>
      </c>
      <c r="AY131" s="19" t="s">
        <v>3494</v>
      </c>
      <c r="AZ131" s="19" t="s">
        <v>2122</v>
      </c>
      <c r="BA131" s="19" t="s">
        <v>4644</v>
      </c>
      <c r="BB131" s="19" t="s">
        <v>4645</v>
      </c>
      <c r="BC131" s="19" t="s">
        <v>4646</v>
      </c>
      <c r="BD131" s="19" t="s">
        <v>4647</v>
      </c>
      <c r="BE131" s="19" t="s">
        <v>4636</v>
      </c>
      <c r="BF131" s="19" t="s">
        <v>4648</v>
      </c>
      <c r="BG131" s="19" t="s">
        <v>3518</v>
      </c>
      <c r="BH131" s="19" t="s">
        <v>2128</v>
      </c>
      <c r="BI131" s="19"/>
      <c r="BJ131" s="19" t="s">
        <v>2427</v>
      </c>
      <c r="BK131" s="19" t="s">
        <v>17</v>
      </c>
      <c r="BL131" s="19"/>
      <c r="BM131" s="19" t="s">
        <v>2130</v>
      </c>
      <c r="BN131" s="19" t="s">
        <v>4275</v>
      </c>
      <c r="BO131" s="19" t="s">
        <v>3082</v>
      </c>
      <c r="BP131" s="19" t="s">
        <v>4649</v>
      </c>
      <c r="BQ131" s="19" t="s">
        <v>2325</v>
      </c>
      <c r="BR131" s="19" t="s">
        <v>2325</v>
      </c>
      <c r="BS131" s="19" t="s">
        <v>2134</v>
      </c>
      <c r="BT131" s="19" t="s">
        <v>118</v>
      </c>
      <c r="BU131" s="19" t="s">
        <v>4650</v>
      </c>
      <c r="BV131" s="19" t="s">
        <v>4651</v>
      </c>
      <c r="BW131" s="19"/>
      <c r="BX131" s="19"/>
      <c r="BY131" s="19"/>
      <c r="BZ131" s="19" t="s">
        <v>2113</v>
      </c>
      <c r="CA131" s="19"/>
      <c r="CB131" s="19" t="s">
        <v>2113</v>
      </c>
      <c r="CC131" s="19" t="s">
        <v>2113</v>
      </c>
      <c r="CD131" s="19" t="s">
        <v>2137</v>
      </c>
      <c r="CE131" s="19" t="s">
        <v>16</v>
      </c>
      <c r="CF131" s="19"/>
      <c r="CG131" s="19"/>
      <c r="CH131" s="19" t="s">
        <v>16</v>
      </c>
      <c r="CI131" s="21">
        <v>0.0</v>
      </c>
      <c r="CJ131" s="19" t="s">
        <v>16</v>
      </c>
      <c r="CK131" s="19"/>
      <c r="CL131" s="19"/>
      <c r="CM131" s="19" t="s">
        <v>2138</v>
      </c>
      <c r="CN131" s="19" t="s">
        <v>3503</v>
      </c>
      <c r="CO131" s="19"/>
      <c r="CP131" s="19" t="s">
        <v>2246</v>
      </c>
      <c r="CQ131" s="19"/>
      <c r="CR131" s="19"/>
      <c r="CS131" s="19"/>
      <c r="CT131" s="19" t="s">
        <v>2113</v>
      </c>
      <c r="CU131" s="19" t="s">
        <v>2113</v>
      </c>
      <c r="CV131" s="19" t="s">
        <v>2179</v>
      </c>
      <c r="CW131" s="19" t="s">
        <v>2113</v>
      </c>
      <c r="CX131" s="19" t="s">
        <v>2113</v>
      </c>
      <c r="CY131" s="19"/>
      <c r="CZ131" s="19"/>
      <c r="DA131" s="19" t="s">
        <v>16</v>
      </c>
      <c r="DB131" s="19" t="s">
        <v>16</v>
      </c>
      <c r="DC131" s="19" t="s">
        <v>2455</v>
      </c>
      <c r="DD131" s="19" t="s">
        <v>2113</v>
      </c>
      <c r="DE131" s="19" t="s">
        <v>2113</v>
      </c>
      <c r="DF131" s="19" t="s">
        <v>4652</v>
      </c>
      <c r="DG131" s="19" t="s">
        <v>2432</v>
      </c>
      <c r="DH131" s="19" t="s">
        <v>2144</v>
      </c>
      <c r="DI131" s="24">
        <v>45519.0</v>
      </c>
      <c r="DJ131" s="19" t="s">
        <v>2325</v>
      </c>
      <c r="DK131" s="19" t="s">
        <v>2145</v>
      </c>
      <c r="DL131" s="19" t="s">
        <v>2326</v>
      </c>
      <c r="DM131" s="19"/>
      <c r="DN131" s="19">
        <v>5.0</v>
      </c>
      <c r="DO131" s="19">
        <v>5.0</v>
      </c>
      <c r="DP131" s="19"/>
      <c r="DQ131" s="19"/>
      <c r="DR131" s="19"/>
      <c r="DS131" s="19" t="s">
        <v>2185</v>
      </c>
      <c r="DT131" s="19" t="s">
        <v>2186</v>
      </c>
      <c r="DU131" s="19" t="s">
        <v>4653</v>
      </c>
      <c r="DV131" s="19"/>
      <c r="DW131" s="19" t="s">
        <v>3306</v>
      </c>
      <c r="DX131" s="19">
        <v>4.0</v>
      </c>
      <c r="DY131" s="19">
        <v>5.0</v>
      </c>
      <c r="DZ131" s="19">
        <v>0.0</v>
      </c>
      <c r="EA131" s="19">
        <v>5.0</v>
      </c>
      <c r="EB131" s="19">
        <v>0.0</v>
      </c>
      <c r="EC131" s="19">
        <v>20.0</v>
      </c>
      <c r="ED131" s="19" t="s">
        <v>2325</v>
      </c>
      <c r="EE131" s="24">
        <v>45519.0</v>
      </c>
      <c r="EF131" s="19" t="s">
        <v>2325</v>
      </c>
      <c r="EG131" s="19" t="s">
        <v>2145</v>
      </c>
      <c r="EH131" s="19" t="s">
        <v>2326</v>
      </c>
      <c r="EI131" s="22">
        <v>14.25</v>
      </c>
      <c r="EJ131" s="19">
        <v>42.0</v>
      </c>
      <c r="EK131" s="19"/>
      <c r="EL131" s="19" t="s">
        <v>2117</v>
      </c>
      <c r="EM131" s="19" t="s">
        <v>4641</v>
      </c>
      <c r="EN131" s="19" t="s">
        <v>399</v>
      </c>
      <c r="EO131" s="19" t="s">
        <v>3494</v>
      </c>
      <c r="EP131" s="19" t="s">
        <v>2122</v>
      </c>
      <c r="EQ131" s="19" t="s">
        <v>3503</v>
      </c>
      <c r="ER131" s="19"/>
      <c r="ES131" s="19" t="s">
        <v>399</v>
      </c>
      <c r="ET131" s="19" t="s">
        <v>399</v>
      </c>
      <c r="EU131" s="19" t="s">
        <v>4637</v>
      </c>
      <c r="EV131" s="19">
        <v>10910.0</v>
      </c>
      <c r="EW131" s="19" t="s">
        <v>16</v>
      </c>
      <c r="EX131" s="19">
        <v>1.0</v>
      </c>
      <c r="EY131" s="25" t="s">
        <v>398</v>
      </c>
      <c r="EZ131" s="19" t="s">
        <v>2154</v>
      </c>
      <c r="FA131" s="5" t="s">
        <v>4654</v>
      </c>
      <c r="FB131" s="26" t="s">
        <v>2156</v>
      </c>
      <c r="FC131" s="26"/>
    </row>
    <row r="132">
      <c r="A132" s="19" t="s">
        <v>2112</v>
      </c>
      <c r="B132" s="19" t="s">
        <v>2113</v>
      </c>
      <c r="C132" s="19" t="s">
        <v>2113</v>
      </c>
      <c r="D132" s="19" t="s">
        <v>400</v>
      </c>
      <c r="E132" s="19" t="s">
        <v>4655</v>
      </c>
      <c r="F132" s="19" t="s">
        <v>400</v>
      </c>
      <c r="G132" s="19"/>
      <c r="H132" s="19" t="s">
        <v>400</v>
      </c>
      <c r="I132" s="19" t="s">
        <v>402</v>
      </c>
      <c r="J132" s="19" t="s">
        <v>4656</v>
      </c>
      <c r="K132" s="19" t="s">
        <v>4657</v>
      </c>
      <c r="L132" s="20">
        <v>45439.0</v>
      </c>
      <c r="M132" s="20">
        <v>45439.0</v>
      </c>
      <c r="N132" s="20">
        <v>45439.0</v>
      </c>
      <c r="O132" s="19" t="s">
        <v>401</v>
      </c>
      <c r="P132" s="19">
        <v>0.0</v>
      </c>
      <c r="Q132" s="19">
        <v>27.0</v>
      </c>
      <c r="R132" s="19">
        <v>10108.0</v>
      </c>
      <c r="S132" s="20" t="s">
        <v>4658</v>
      </c>
      <c r="T132" s="20">
        <v>45461.0</v>
      </c>
      <c r="U132" s="19" t="s">
        <v>400</v>
      </c>
      <c r="V132" s="19"/>
      <c r="W132" s="19"/>
      <c r="X132" s="21">
        <v>20.0</v>
      </c>
      <c r="Y132" s="21">
        <v>0.0</v>
      </c>
      <c r="Z132" s="21">
        <v>3.0</v>
      </c>
      <c r="AA132" s="21">
        <v>0.0</v>
      </c>
      <c r="AB132" s="5">
        <v>23.0</v>
      </c>
      <c r="AC132" s="19">
        <v>5.0</v>
      </c>
      <c r="AD132" s="19">
        <v>5.0</v>
      </c>
      <c r="AE132" s="19">
        <v>5.0</v>
      </c>
      <c r="AF132" s="19">
        <v>4.0</v>
      </c>
      <c r="AG132" s="19">
        <v>4.0</v>
      </c>
      <c r="AH132" s="19">
        <v>5.0</v>
      </c>
      <c r="AI132" s="22">
        <v>14.25</v>
      </c>
      <c r="AJ132" s="19">
        <v>15.0</v>
      </c>
      <c r="AK132" s="19">
        <v>15.0</v>
      </c>
      <c r="AL132" s="19">
        <v>15.0</v>
      </c>
      <c r="AM132" s="19">
        <v>45.0</v>
      </c>
      <c r="AN132" s="19">
        <v>59.3</v>
      </c>
      <c r="AO132" s="19">
        <v>82.3</v>
      </c>
      <c r="AP132" s="19">
        <v>306.0</v>
      </c>
      <c r="AQ132" s="23">
        <v>129.0</v>
      </c>
      <c r="AR132" s="23">
        <v>10.0</v>
      </c>
      <c r="AS132" s="22"/>
      <c r="AT132" s="19" t="s">
        <v>2282</v>
      </c>
      <c r="AU132" s="19" t="s">
        <v>4659</v>
      </c>
      <c r="AV132" s="19" t="s">
        <v>4660</v>
      </c>
      <c r="AW132" s="19"/>
      <c r="AX132" s="20">
        <v>35353.0</v>
      </c>
      <c r="AY132" s="19" t="s">
        <v>4661</v>
      </c>
      <c r="AZ132" s="19" t="s">
        <v>2919</v>
      </c>
      <c r="BA132" s="19" t="s">
        <v>4662</v>
      </c>
      <c r="BB132" s="19" t="s">
        <v>4663</v>
      </c>
      <c r="BC132" s="19" t="s">
        <v>4664</v>
      </c>
      <c r="BD132" s="19" t="s">
        <v>4665</v>
      </c>
      <c r="BE132" s="19" t="s">
        <v>4666</v>
      </c>
      <c r="BF132" s="19">
        <v>1.1963052812E10</v>
      </c>
      <c r="BG132" s="19" t="s">
        <v>2127</v>
      </c>
      <c r="BH132" s="19" t="s">
        <v>2128</v>
      </c>
      <c r="BI132" s="19"/>
      <c r="BJ132" s="19" t="s">
        <v>2128</v>
      </c>
      <c r="BK132" s="19" t="s">
        <v>17</v>
      </c>
      <c r="BL132" s="19"/>
      <c r="BM132" s="19" t="s">
        <v>2130</v>
      </c>
      <c r="BN132" s="19" t="s">
        <v>17</v>
      </c>
      <c r="BO132" s="19" t="s">
        <v>2473</v>
      </c>
      <c r="BP132" s="19"/>
      <c r="BQ132" s="19" t="s">
        <v>2133</v>
      </c>
      <c r="BR132" s="19" t="s">
        <v>2133</v>
      </c>
      <c r="BS132" s="19" t="s">
        <v>3521</v>
      </c>
      <c r="BT132" s="19" t="s">
        <v>52</v>
      </c>
      <c r="BU132" s="19" t="s">
        <v>4667</v>
      </c>
      <c r="BV132" s="19" t="s">
        <v>4668</v>
      </c>
      <c r="BW132" s="19" t="s">
        <v>2113</v>
      </c>
      <c r="BX132" s="19"/>
      <c r="BY132" s="19"/>
      <c r="BZ132" s="19"/>
      <c r="CA132" s="19"/>
      <c r="CB132" s="19" t="s">
        <v>2113</v>
      </c>
      <c r="CC132" s="19"/>
      <c r="CD132" s="19" t="s">
        <v>2137</v>
      </c>
      <c r="CE132" s="19" t="s">
        <v>16</v>
      </c>
      <c r="CF132" s="19"/>
      <c r="CG132" s="19"/>
      <c r="CH132" s="19" t="s">
        <v>16</v>
      </c>
      <c r="CI132" s="21">
        <v>0.0</v>
      </c>
      <c r="CJ132" s="19" t="s">
        <v>16</v>
      </c>
      <c r="CK132" s="19"/>
      <c r="CL132" s="19"/>
      <c r="CM132" s="19" t="s">
        <v>2138</v>
      </c>
      <c r="CN132" s="19" t="s">
        <v>3544</v>
      </c>
      <c r="CO132" s="19"/>
      <c r="CP132" s="19" t="s">
        <v>2178</v>
      </c>
      <c r="CQ132" s="19"/>
      <c r="CR132" s="19" t="s">
        <v>2113</v>
      </c>
      <c r="CS132" s="19" t="s">
        <v>2113</v>
      </c>
      <c r="CT132" s="19" t="s">
        <v>2113</v>
      </c>
      <c r="CU132" s="19" t="s">
        <v>2113</v>
      </c>
      <c r="CV132" s="19" t="s">
        <v>2141</v>
      </c>
      <c r="CW132" s="19" t="s">
        <v>2113</v>
      </c>
      <c r="CX132" s="19" t="s">
        <v>2113</v>
      </c>
      <c r="CY132" s="19" t="s">
        <v>2113</v>
      </c>
      <c r="CZ132" s="19" t="s">
        <v>2113</v>
      </c>
      <c r="DA132" s="19" t="s">
        <v>16</v>
      </c>
      <c r="DB132" s="19" t="s">
        <v>16</v>
      </c>
      <c r="DC132" s="19" t="s">
        <v>2579</v>
      </c>
      <c r="DD132" s="19" t="s">
        <v>2113</v>
      </c>
      <c r="DE132" s="19" t="s">
        <v>2113</v>
      </c>
      <c r="DF132" s="19" t="s">
        <v>2406</v>
      </c>
      <c r="DG132" s="19" t="s">
        <v>2578</v>
      </c>
      <c r="DH132" s="19" t="s">
        <v>2144</v>
      </c>
      <c r="DI132" s="24">
        <v>45526.0</v>
      </c>
      <c r="DJ132" s="19" t="s">
        <v>2133</v>
      </c>
      <c r="DK132" s="19" t="s">
        <v>2145</v>
      </c>
      <c r="DL132" s="19" t="s">
        <v>2146</v>
      </c>
      <c r="DM132" s="19" t="s">
        <v>3338</v>
      </c>
      <c r="DN132" s="19">
        <v>11.0</v>
      </c>
      <c r="DO132" s="19">
        <v>11.0</v>
      </c>
      <c r="DP132" s="19" t="s">
        <v>4669</v>
      </c>
      <c r="DQ132" s="19" t="s">
        <v>4670</v>
      </c>
      <c r="DR132" s="19" t="s">
        <v>4671</v>
      </c>
      <c r="DS132" s="19" t="s">
        <v>2365</v>
      </c>
      <c r="DT132" s="19" t="s">
        <v>2366</v>
      </c>
      <c r="DU132" s="19"/>
      <c r="DV132" s="19"/>
      <c r="DW132" s="19" t="s">
        <v>2188</v>
      </c>
      <c r="DX132" s="19">
        <v>10.0</v>
      </c>
      <c r="DY132" s="19">
        <v>0.0</v>
      </c>
      <c r="DZ132" s="19">
        <v>0.0</v>
      </c>
      <c r="EA132" s="19">
        <v>0.0</v>
      </c>
      <c r="EB132" s="19">
        <v>0.0</v>
      </c>
      <c r="EC132" s="19">
        <v>20.0</v>
      </c>
      <c r="ED132" s="19" t="s">
        <v>2133</v>
      </c>
      <c r="EE132" s="24">
        <v>45526.0</v>
      </c>
      <c r="EF132" s="19" t="s">
        <v>2133</v>
      </c>
      <c r="EG132" s="19" t="s">
        <v>2145</v>
      </c>
      <c r="EH132" s="19" t="s">
        <v>2146</v>
      </c>
      <c r="EI132" s="22">
        <v>14.25</v>
      </c>
      <c r="EJ132" s="19">
        <v>45.0</v>
      </c>
      <c r="EK132" s="19"/>
      <c r="EL132" s="19" t="s">
        <v>2282</v>
      </c>
      <c r="EM132" s="19" t="s">
        <v>4659</v>
      </c>
      <c r="EN132" s="19" t="s">
        <v>402</v>
      </c>
      <c r="EO132" s="19" t="s">
        <v>4661</v>
      </c>
      <c r="EP132" s="19" t="s">
        <v>2919</v>
      </c>
      <c r="EQ132" s="19" t="s">
        <v>3544</v>
      </c>
      <c r="ER132" s="19"/>
      <c r="ES132" s="19" t="s">
        <v>402</v>
      </c>
      <c r="ET132" s="19" t="s">
        <v>402</v>
      </c>
      <c r="EU132" s="19" t="s">
        <v>4657</v>
      </c>
      <c r="EV132" s="19">
        <v>10108.0</v>
      </c>
      <c r="EW132" s="19" t="s">
        <v>16</v>
      </c>
      <c r="EX132" s="19">
        <v>3.0</v>
      </c>
      <c r="EY132" s="25" t="s">
        <v>401</v>
      </c>
      <c r="EZ132" s="19" t="s">
        <v>2154</v>
      </c>
      <c r="FA132" s="5" t="s">
        <v>4672</v>
      </c>
      <c r="FB132" s="26" t="s">
        <v>2156</v>
      </c>
      <c r="FC132" s="26"/>
    </row>
    <row r="133" hidden="1">
      <c r="A133" s="19" t="s">
        <v>2112</v>
      </c>
      <c r="B133" s="19" t="s">
        <v>2113</v>
      </c>
      <c r="C133" s="19" t="s">
        <v>2113</v>
      </c>
      <c r="D133" s="27" t="s">
        <v>4673</v>
      </c>
      <c r="E133" s="19" t="s">
        <v>4673</v>
      </c>
      <c r="F133" s="19" t="s">
        <v>4673</v>
      </c>
      <c r="G133" s="19"/>
      <c r="H133" s="27" t="s">
        <v>4673</v>
      </c>
      <c r="I133" s="19" t="s">
        <v>4674</v>
      </c>
      <c r="J133" s="19" t="s">
        <v>4675</v>
      </c>
      <c r="K133" s="19" t="s">
        <v>4676</v>
      </c>
      <c r="L133" s="20">
        <v>45446.0</v>
      </c>
      <c r="M133" s="20">
        <v>45447.0</v>
      </c>
      <c r="N133" s="20">
        <v>45447.0</v>
      </c>
      <c r="O133" s="19" t="s">
        <v>4677</v>
      </c>
      <c r="P133" s="19">
        <v>0.0</v>
      </c>
      <c r="Q133" s="19">
        <v>18.0</v>
      </c>
      <c r="R133" s="19">
        <v>6723.0</v>
      </c>
      <c r="S133" s="20" t="s">
        <v>4678</v>
      </c>
      <c r="T133" s="20">
        <v>45461.0</v>
      </c>
      <c r="U133" s="19" t="s">
        <v>4673</v>
      </c>
      <c r="V133" s="19"/>
      <c r="W133" s="19"/>
      <c r="X133" s="21">
        <v>20.0</v>
      </c>
      <c r="Y133" s="21">
        <v>10.0</v>
      </c>
      <c r="Z133" s="21">
        <v>5.0</v>
      </c>
      <c r="AA133" s="21">
        <v>2.0</v>
      </c>
      <c r="AB133" s="5">
        <v>37.0</v>
      </c>
      <c r="AC133" s="19">
        <v>4.2</v>
      </c>
      <c r="AD133" s="19">
        <v>3.0</v>
      </c>
      <c r="AE133" s="19">
        <v>3.6</v>
      </c>
      <c r="AF133" s="19">
        <v>3.6</v>
      </c>
      <c r="AG133" s="19">
        <v>3.0</v>
      </c>
      <c r="AH133" s="19">
        <v>2.6</v>
      </c>
      <c r="AI133" s="22">
        <v>10.087500000000002</v>
      </c>
      <c r="AJ133" s="19">
        <v>15.0</v>
      </c>
      <c r="AK133" s="19">
        <v>10.0</v>
      </c>
      <c r="AL133" s="19">
        <v>10.0</v>
      </c>
      <c r="AM133" s="19">
        <v>35.0</v>
      </c>
      <c r="AN133" s="19">
        <v>45.1</v>
      </c>
      <c r="AO133" s="19">
        <v>82.1</v>
      </c>
      <c r="AP133" s="19">
        <v>20.0</v>
      </c>
      <c r="AQ133" s="19">
        <v>132.0</v>
      </c>
      <c r="AR133" s="19">
        <v>8.0</v>
      </c>
      <c r="AS133" s="22"/>
      <c r="AT133" s="19" t="s">
        <v>2282</v>
      </c>
      <c r="AU133" s="19" t="s">
        <v>4679</v>
      </c>
      <c r="AV133" s="19" t="s">
        <v>4680</v>
      </c>
      <c r="AW133" s="19" t="s">
        <v>2166</v>
      </c>
      <c r="AX133" s="20">
        <v>38738.0</v>
      </c>
      <c r="AY133" s="19" t="s">
        <v>4681</v>
      </c>
      <c r="AZ133" s="19" t="s">
        <v>2422</v>
      </c>
      <c r="BA133" s="19" t="s">
        <v>4682</v>
      </c>
      <c r="BB133" s="19" t="s">
        <v>4683</v>
      </c>
      <c r="BC133" s="19" t="s">
        <v>4684</v>
      </c>
      <c r="BD133" s="19" t="s">
        <v>4685</v>
      </c>
      <c r="BE133" s="19" t="s">
        <v>4675</v>
      </c>
      <c r="BF133" s="19">
        <v>1.1910579692E10</v>
      </c>
      <c r="BG133" s="19" t="s">
        <v>2127</v>
      </c>
      <c r="BH133" s="19" t="s">
        <v>2128</v>
      </c>
      <c r="BI133" s="19"/>
      <c r="BJ133" s="19" t="s">
        <v>2128</v>
      </c>
      <c r="BK133" s="19" t="s">
        <v>17</v>
      </c>
      <c r="BL133" s="19"/>
      <c r="BM133" s="19" t="s">
        <v>2130</v>
      </c>
      <c r="BN133" s="19" t="s">
        <v>17</v>
      </c>
      <c r="BO133" s="19" t="s">
        <v>2132</v>
      </c>
      <c r="BP133" s="19"/>
      <c r="BQ133" s="19" t="s">
        <v>2174</v>
      </c>
      <c r="BR133" s="19" t="s">
        <v>2174</v>
      </c>
      <c r="BS133" s="19" t="s">
        <v>2134</v>
      </c>
      <c r="BT133" s="19" t="s">
        <v>75</v>
      </c>
      <c r="BU133" s="19" t="s">
        <v>4686</v>
      </c>
      <c r="BV133" s="19" t="s">
        <v>4687</v>
      </c>
      <c r="BW133" s="19" t="s">
        <v>2113</v>
      </c>
      <c r="BX133" s="19"/>
      <c r="BY133" s="19"/>
      <c r="BZ133" s="19"/>
      <c r="CA133" s="19"/>
      <c r="CB133" s="19"/>
      <c r="CC133" s="19"/>
      <c r="CD133" s="19" t="s">
        <v>2137</v>
      </c>
      <c r="CE133" s="19" t="s">
        <v>16</v>
      </c>
      <c r="CF133" s="19"/>
      <c r="CG133" s="19"/>
      <c r="CH133" s="19" t="s">
        <v>16</v>
      </c>
      <c r="CI133" s="21">
        <v>0.0</v>
      </c>
      <c r="CJ133" s="19" t="s">
        <v>16</v>
      </c>
      <c r="CK133" s="19"/>
      <c r="CL133" s="19"/>
      <c r="CM133" s="19" t="s">
        <v>2138</v>
      </c>
      <c r="CN133" s="19" t="s">
        <v>2537</v>
      </c>
      <c r="CO133" s="19"/>
      <c r="CP133" s="19" t="s">
        <v>2134</v>
      </c>
      <c r="CQ133" s="19"/>
      <c r="CR133" s="19"/>
      <c r="CS133" s="19"/>
      <c r="CT133" s="19" t="s">
        <v>2113</v>
      </c>
      <c r="CU133" s="19" t="s">
        <v>2113</v>
      </c>
      <c r="CV133" s="19" t="s">
        <v>2141</v>
      </c>
      <c r="CW133" s="19" t="s">
        <v>2113</v>
      </c>
      <c r="CX133" s="19" t="s">
        <v>2113</v>
      </c>
      <c r="CY133" s="19"/>
      <c r="CZ133" s="19"/>
      <c r="DA133" s="19" t="s">
        <v>16</v>
      </c>
      <c r="DB133" s="19" t="s">
        <v>16</v>
      </c>
      <c r="DC133" s="19" t="s">
        <v>3562</v>
      </c>
      <c r="DD133" s="19" t="s">
        <v>2113</v>
      </c>
      <c r="DE133" s="19" t="s">
        <v>2113</v>
      </c>
      <c r="DF133" s="19" t="s">
        <v>2538</v>
      </c>
      <c r="DG133" s="19" t="s">
        <v>4042</v>
      </c>
      <c r="DH133" s="19" t="s">
        <v>2144</v>
      </c>
      <c r="DI133" s="24">
        <v>45531.0</v>
      </c>
      <c r="DJ133" s="19" t="s">
        <v>2174</v>
      </c>
      <c r="DK133" s="19" t="s">
        <v>2271</v>
      </c>
      <c r="DL133" s="19" t="s">
        <v>2183</v>
      </c>
      <c r="DM133" s="19"/>
      <c r="DN133" s="19">
        <v>8.0</v>
      </c>
      <c r="DO133" s="19">
        <v>8.0</v>
      </c>
      <c r="DP133" s="19" t="s">
        <v>4688</v>
      </c>
      <c r="DQ133" s="19" t="s">
        <v>4689</v>
      </c>
      <c r="DR133" s="19" t="s">
        <v>4690</v>
      </c>
      <c r="DS133" s="19" t="s">
        <v>2151</v>
      </c>
      <c r="DT133" s="19" t="s">
        <v>2186</v>
      </c>
      <c r="DU133" s="19"/>
      <c r="DV133" s="19"/>
      <c r="DW133" s="19" t="s">
        <v>2188</v>
      </c>
      <c r="DX133" s="19">
        <v>15.0</v>
      </c>
      <c r="DY133" s="19">
        <v>10.0</v>
      </c>
      <c r="DZ133" s="19">
        <v>2.0</v>
      </c>
      <c r="EA133" s="19">
        <v>10.0</v>
      </c>
      <c r="EB133" s="19">
        <v>0.0</v>
      </c>
      <c r="EC133" s="19">
        <v>20.0</v>
      </c>
      <c r="ED133" s="19" t="s">
        <v>2174</v>
      </c>
      <c r="EE133" s="24">
        <v>45531.0</v>
      </c>
      <c r="EF133" s="19" t="s">
        <v>2174</v>
      </c>
      <c r="EG133" s="19" t="s">
        <v>2271</v>
      </c>
      <c r="EH133" s="19" t="s">
        <v>2183</v>
      </c>
      <c r="EI133" s="22">
        <v>10.087500000000002</v>
      </c>
      <c r="EJ133" s="19">
        <v>35.0</v>
      </c>
      <c r="EK133" s="19"/>
      <c r="EL133" s="19" t="s">
        <v>2282</v>
      </c>
      <c r="EM133" s="19" t="s">
        <v>4679</v>
      </c>
      <c r="EN133" s="19" t="s">
        <v>4674</v>
      </c>
      <c r="EO133" s="19" t="s">
        <v>4681</v>
      </c>
      <c r="EP133" s="19" t="s">
        <v>2422</v>
      </c>
      <c r="EQ133" s="19" t="s">
        <v>2537</v>
      </c>
      <c r="ER133" s="19"/>
      <c r="ES133" s="19" t="s">
        <v>4674</v>
      </c>
      <c r="ET133" s="19" t="s">
        <v>4674</v>
      </c>
      <c r="EU133" s="19" t="s">
        <v>4676</v>
      </c>
      <c r="EV133" s="19">
        <v>6723.0</v>
      </c>
      <c r="EW133" s="19" t="s">
        <v>16</v>
      </c>
      <c r="EX133" s="19">
        <v>5.0</v>
      </c>
      <c r="EY133" s="25" t="s">
        <v>4677</v>
      </c>
      <c r="EZ133" s="19" t="s">
        <v>2154</v>
      </c>
      <c r="FA133" s="5" t="s">
        <v>4691</v>
      </c>
      <c r="FB133" s="26" t="s">
        <v>2633</v>
      </c>
      <c r="FC133" s="26" t="s">
        <v>2634</v>
      </c>
    </row>
    <row r="134">
      <c r="A134" s="19" t="s">
        <v>2112</v>
      </c>
      <c r="B134" s="19" t="s">
        <v>2113</v>
      </c>
      <c r="C134" s="19" t="s">
        <v>2113</v>
      </c>
      <c r="D134" s="19" t="s">
        <v>4692</v>
      </c>
      <c r="E134" s="19" t="s">
        <v>4693</v>
      </c>
      <c r="F134" s="19" t="s">
        <v>4694</v>
      </c>
      <c r="G134" s="19" t="s">
        <v>4693</v>
      </c>
      <c r="H134" s="19" t="s">
        <v>403</v>
      </c>
      <c r="I134" s="19" t="s">
        <v>405</v>
      </c>
      <c r="J134" s="19" t="s">
        <v>4695</v>
      </c>
      <c r="K134" s="19" t="s">
        <v>4696</v>
      </c>
      <c r="L134" s="20">
        <v>45446.0</v>
      </c>
      <c r="M134" s="20">
        <v>45447.0</v>
      </c>
      <c r="N134" s="20">
        <v>45447.0</v>
      </c>
      <c r="O134" s="19" t="s">
        <v>404</v>
      </c>
      <c r="P134" s="19">
        <v>0.0</v>
      </c>
      <c r="Q134" s="19">
        <v>26.0</v>
      </c>
      <c r="R134" s="19">
        <v>9590.0</v>
      </c>
      <c r="S134" s="20" t="s">
        <v>4697</v>
      </c>
      <c r="T134" s="20">
        <v>45461.0</v>
      </c>
      <c r="U134" s="19" t="s">
        <v>4694</v>
      </c>
      <c r="V134" s="19"/>
      <c r="W134" s="19"/>
      <c r="X134" s="21">
        <v>20.0</v>
      </c>
      <c r="Y134" s="21">
        <v>0.0</v>
      </c>
      <c r="Z134" s="21">
        <v>5.0</v>
      </c>
      <c r="AA134" s="21">
        <v>0.0</v>
      </c>
      <c r="AB134" s="5">
        <v>25.0</v>
      </c>
      <c r="AC134" s="19">
        <v>4.0</v>
      </c>
      <c r="AD134" s="19">
        <v>4.0</v>
      </c>
      <c r="AE134" s="19">
        <v>4.0</v>
      </c>
      <c r="AF134" s="19">
        <v>4.6</v>
      </c>
      <c r="AG134" s="19">
        <v>3.6</v>
      </c>
      <c r="AH134" s="19">
        <v>4.0</v>
      </c>
      <c r="AI134" s="22">
        <v>12.075000000000001</v>
      </c>
      <c r="AJ134" s="19">
        <v>15.0</v>
      </c>
      <c r="AK134" s="19">
        <v>15.0</v>
      </c>
      <c r="AL134" s="19">
        <v>15.0</v>
      </c>
      <c r="AM134" s="19">
        <v>45.0</v>
      </c>
      <c r="AN134" s="19">
        <v>57.1</v>
      </c>
      <c r="AO134" s="19">
        <v>82.1</v>
      </c>
      <c r="AP134" s="19">
        <v>268.0</v>
      </c>
      <c r="AQ134" s="23">
        <v>130.0</v>
      </c>
      <c r="AR134" s="23">
        <v>8.0</v>
      </c>
      <c r="AS134" s="22"/>
      <c r="AT134" s="19" t="s">
        <v>2282</v>
      </c>
      <c r="AU134" s="19" t="s">
        <v>4698</v>
      </c>
      <c r="AV134" s="19" t="s">
        <v>4699</v>
      </c>
      <c r="AW134" s="19"/>
      <c r="AX134" s="20">
        <v>35871.0</v>
      </c>
      <c r="AY134" s="19" t="s">
        <v>2529</v>
      </c>
      <c r="AZ134" s="19" t="s">
        <v>2122</v>
      </c>
      <c r="BA134" s="19" t="s">
        <v>4700</v>
      </c>
      <c r="BB134" s="19" t="s">
        <v>4701</v>
      </c>
      <c r="BC134" s="19" t="s">
        <v>4702</v>
      </c>
      <c r="BD134" s="19" t="s">
        <v>4703</v>
      </c>
      <c r="BE134" s="19" t="s">
        <v>4695</v>
      </c>
      <c r="BF134" s="19">
        <v>1.1977169095E10</v>
      </c>
      <c r="BG134" s="19" t="s">
        <v>4038</v>
      </c>
      <c r="BH134" s="19" t="s">
        <v>2128</v>
      </c>
      <c r="BI134" s="19"/>
      <c r="BJ134" s="19" t="s">
        <v>2128</v>
      </c>
      <c r="BK134" s="19" t="s">
        <v>17</v>
      </c>
      <c r="BL134" s="19"/>
      <c r="BM134" s="19" t="s">
        <v>2130</v>
      </c>
      <c r="BN134" s="19" t="s">
        <v>17</v>
      </c>
      <c r="BO134" s="19" t="s">
        <v>2132</v>
      </c>
      <c r="BP134" s="19" t="s">
        <v>4704</v>
      </c>
      <c r="BQ134" s="19" t="s">
        <v>2174</v>
      </c>
      <c r="BR134" s="19" t="s">
        <v>2174</v>
      </c>
      <c r="BS134" s="19" t="s">
        <v>2134</v>
      </c>
      <c r="BT134" s="19" t="s">
        <v>75</v>
      </c>
      <c r="BU134" s="19" t="s">
        <v>4705</v>
      </c>
      <c r="BV134" s="19" t="s">
        <v>4706</v>
      </c>
      <c r="BW134" s="19" t="s">
        <v>2113</v>
      </c>
      <c r="BX134" s="19"/>
      <c r="BY134" s="19"/>
      <c r="BZ134" s="19"/>
      <c r="CA134" s="19"/>
      <c r="CB134" s="19"/>
      <c r="CC134" s="19"/>
      <c r="CD134" s="19" t="s">
        <v>2137</v>
      </c>
      <c r="CE134" s="19" t="s">
        <v>16</v>
      </c>
      <c r="CF134" s="19"/>
      <c r="CG134" s="19"/>
      <c r="CH134" s="19" t="s">
        <v>16</v>
      </c>
      <c r="CI134" s="21">
        <v>0.0</v>
      </c>
      <c r="CJ134" s="19" t="s">
        <v>16</v>
      </c>
      <c r="CK134" s="19"/>
      <c r="CL134" s="19"/>
      <c r="CM134" s="19" t="s">
        <v>2344</v>
      </c>
      <c r="CN134" s="19" t="s">
        <v>2537</v>
      </c>
      <c r="CO134" s="19"/>
      <c r="CP134" s="19" t="s">
        <v>2246</v>
      </c>
      <c r="CQ134" s="19"/>
      <c r="CR134" s="19" t="s">
        <v>2113</v>
      </c>
      <c r="CS134" s="19" t="s">
        <v>2113</v>
      </c>
      <c r="CT134" s="19"/>
      <c r="CU134" s="19"/>
      <c r="CV134" s="19" t="s">
        <v>2141</v>
      </c>
      <c r="CW134" s="19"/>
      <c r="CX134" s="19"/>
      <c r="CY134" s="19"/>
      <c r="CZ134" s="19"/>
      <c r="DA134" s="19" t="s">
        <v>16</v>
      </c>
      <c r="DB134" s="19" t="s">
        <v>16</v>
      </c>
      <c r="DC134" s="19" t="s">
        <v>4044</v>
      </c>
      <c r="DD134" s="19"/>
      <c r="DE134" s="19"/>
      <c r="DF134" s="19" t="s">
        <v>4707</v>
      </c>
      <c r="DG134" s="19" t="s">
        <v>2804</v>
      </c>
      <c r="DH134" s="19" t="s">
        <v>2144</v>
      </c>
      <c r="DI134" s="24">
        <v>45519.0</v>
      </c>
      <c r="DJ134" s="19" t="s">
        <v>2174</v>
      </c>
      <c r="DK134" s="19" t="s">
        <v>2271</v>
      </c>
      <c r="DL134" s="19" t="s">
        <v>2183</v>
      </c>
      <c r="DM134" s="19" t="s">
        <v>2272</v>
      </c>
      <c r="DN134" s="19">
        <v>6.0</v>
      </c>
      <c r="DO134" s="19">
        <v>6.0</v>
      </c>
      <c r="DP134" s="19" t="s">
        <v>4708</v>
      </c>
      <c r="DQ134" s="19" t="s">
        <v>4709</v>
      </c>
      <c r="DR134" s="19" t="s">
        <v>4710</v>
      </c>
      <c r="DS134" s="19" t="s">
        <v>2151</v>
      </c>
      <c r="DT134" s="19" t="s">
        <v>2301</v>
      </c>
      <c r="DU134" s="19"/>
      <c r="DV134" s="19"/>
      <c r="DW134" s="19" t="s">
        <v>2188</v>
      </c>
      <c r="DX134" s="19">
        <v>15.0</v>
      </c>
      <c r="DY134" s="19">
        <v>0.0</v>
      </c>
      <c r="DZ134" s="19">
        <v>0.0</v>
      </c>
      <c r="EA134" s="19">
        <v>0.0</v>
      </c>
      <c r="EB134" s="19">
        <v>0.0</v>
      </c>
      <c r="EC134" s="19">
        <v>20.0</v>
      </c>
      <c r="ED134" s="19" t="s">
        <v>2174</v>
      </c>
      <c r="EE134" s="24">
        <v>45519.0</v>
      </c>
      <c r="EF134" s="19" t="s">
        <v>2174</v>
      </c>
      <c r="EG134" s="19" t="s">
        <v>2271</v>
      </c>
      <c r="EH134" s="19" t="s">
        <v>2183</v>
      </c>
      <c r="EI134" s="22">
        <v>12.075000000000001</v>
      </c>
      <c r="EJ134" s="19">
        <v>45.0</v>
      </c>
      <c r="EK134" s="19"/>
      <c r="EL134" s="19" t="s">
        <v>2282</v>
      </c>
      <c r="EM134" s="19" t="s">
        <v>4698</v>
      </c>
      <c r="EN134" s="19" t="s">
        <v>405</v>
      </c>
      <c r="EO134" s="19" t="s">
        <v>2529</v>
      </c>
      <c r="EP134" s="19" t="s">
        <v>2122</v>
      </c>
      <c r="EQ134" s="19" t="s">
        <v>2537</v>
      </c>
      <c r="ER134" s="19"/>
      <c r="ES134" s="19" t="s">
        <v>405</v>
      </c>
      <c r="ET134" s="19" t="s">
        <v>405</v>
      </c>
      <c r="EU134" s="19" t="s">
        <v>4696</v>
      </c>
      <c r="EV134" s="19">
        <v>9590.0</v>
      </c>
      <c r="EW134" s="19" t="s">
        <v>16</v>
      </c>
      <c r="EX134" s="19">
        <v>5.0</v>
      </c>
      <c r="EY134" s="25" t="s">
        <v>404</v>
      </c>
      <c r="EZ134" s="19" t="s">
        <v>2154</v>
      </c>
      <c r="FA134" s="5" t="s">
        <v>4711</v>
      </c>
      <c r="FB134" s="26" t="s">
        <v>2156</v>
      </c>
      <c r="FC134" s="26"/>
    </row>
    <row r="135">
      <c r="A135" s="19" t="s">
        <v>2112</v>
      </c>
      <c r="B135" s="19" t="s">
        <v>2113</v>
      </c>
      <c r="C135" s="19" t="s">
        <v>2113</v>
      </c>
      <c r="D135" s="19" t="s">
        <v>406</v>
      </c>
      <c r="E135" s="19" t="s">
        <v>4712</v>
      </c>
      <c r="F135" s="19" t="s">
        <v>406</v>
      </c>
      <c r="G135" s="19"/>
      <c r="H135" s="19" t="s">
        <v>406</v>
      </c>
      <c r="I135" s="19" t="s">
        <v>408</v>
      </c>
      <c r="J135" s="19" t="s">
        <v>4713</v>
      </c>
      <c r="K135" s="19" t="s">
        <v>4714</v>
      </c>
      <c r="L135" s="20">
        <v>45394.0</v>
      </c>
      <c r="M135" s="20">
        <v>45404.0</v>
      </c>
      <c r="N135" s="20">
        <v>45404.0</v>
      </c>
      <c r="O135" s="19" t="s">
        <v>407</v>
      </c>
      <c r="P135" s="19">
        <v>0.0</v>
      </c>
      <c r="Q135" s="19">
        <v>28.0</v>
      </c>
      <c r="R135" s="19">
        <v>10378.0</v>
      </c>
      <c r="S135" s="20" t="s">
        <v>4715</v>
      </c>
      <c r="T135" s="20">
        <v>45461.0</v>
      </c>
      <c r="U135" s="19" t="s">
        <v>406</v>
      </c>
      <c r="V135" s="19"/>
      <c r="W135" s="19"/>
      <c r="X135" s="21">
        <v>20.0</v>
      </c>
      <c r="Y135" s="21">
        <v>0.0</v>
      </c>
      <c r="Z135" s="21">
        <v>5.0</v>
      </c>
      <c r="AA135" s="21">
        <v>0.0</v>
      </c>
      <c r="AB135" s="5">
        <v>25.0</v>
      </c>
      <c r="AC135" s="19">
        <v>4.25</v>
      </c>
      <c r="AD135" s="19">
        <v>4.75</v>
      </c>
      <c r="AE135" s="19">
        <v>4.5</v>
      </c>
      <c r="AF135" s="19">
        <v>4.75</v>
      </c>
      <c r="AG135" s="19">
        <v>3.75</v>
      </c>
      <c r="AH135" s="19">
        <v>5.0</v>
      </c>
      <c r="AI135" s="22">
        <v>13.546875</v>
      </c>
      <c r="AJ135" s="19">
        <v>15.0</v>
      </c>
      <c r="AK135" s="19">
        <v>15.0</v>
      </c>
      <c r="AL135" s="19">
        <v>13.5</v>
      </c>
      <c r="AM135" s="19">
        <v>43.5</v>
      </c>
      <c r="AN135" s="19">
        <v>57.0</v>
      </c>
      <c r="AO135" s="19">
        <v>82.0</v>
      </c>
      <c r="AP135" s="19">
        <v>261.0</v>
      </c>
      <c r="AQ135" s="23">
        <v>131.0</v>
      </c>
      <c r="AR135" s="23">
        <v>18.0</v>
      </c>
      <c r="AS135" s="22"/>
      <c r="AT135" s="19" t="s">
        <v>2282</v>
      </c>
      <c r="AU135" s="19" t="s">
        <v>4380</v>
      </c>
      <c r="AV135" s="19" t="s">
        <v>4716</v>
      </c>
      <c r="AW135" s="19" t="s">
        <v>4717</v>
      </c>
      <c r="AX135" s="20">
        <v>35083.0</v>
      </c>
      <c r="AY135" s="19" t="s">
        <v>2167</v>
      </c>
      <c r="AZ135" s="19" t="s">
        <v>2122</v>
      </c>
      <c r="BA135" s="19" t="s">
        <v>4718</v>
      </c>
      <c r="BB135" s="19" t="s">
        <v>4719</v>
      </c>
      <c r="BC135" s="19" t="s">
        <v>4720</v>
      </c>
      <c r="BD135" s="19" t="s">
        <v>4721</v>
      </c>
      <c r="BE135" s="19"/>
      <c r="BF135" s="19"/>
      <c r="BG135" s="19" t="s">
        <v>4038</v>
      </c>
      <c r="BH135" s="19" t="s">
        <v>2649</v>
      </c>
      <c r="BI135" s="19"/>
      <c r="BJ135" s="19" t="s">
        <v>2129</v>
      </c>
      <c r="BK135" s="19" t="s">
        <v>17</v>
      </c>
      <c r="BL135" s="19"/>
      <c r="BM135" s="19" t="s">
        <v>2130</v>
      </c>
      <c r="BN135" s="19" t="s">
        <v>17</v>
      </c>
      <c r="BO135" s="19" t="s">
        <v>2132</v>
      </c>
      <c r="BP135" s="19" t="s">
        <v>4722</v>
      </c>
      <c r="BQ135" s="19" t="s">
        <v>2174</v>
      </c>
      <c r="BR135" s="19" t="s">
        <v>2174</v>
      </c>
      <c r="BS135" s="19" t="s">
        <v>4723</v>
      </c>
      <c r="BT135" s="19" t="s">
        <v>21</v>
      </c>
      <c r="BU135" s="19" t="s">
        <v>4724</v>
      </c>
      <c r="BV135" s="19" t="s">
        <v>4725</v>
      </c>
      <c r="BW135" s="19" t="s">
        <v>2113</v>
      </c>
      <c r="BX135" s="19"/>
      <c r="BY135" s="19"/>
      <c r="BZ135" s="19"/>
      <c r="CA135" s="19"/>
      <c r="CB135" s="19" t="s">
        <v>2113</v>
      </c>
      <c r="CC135" s="19"/>
      <c r="CD135" s="19" t="s">
        <v>2137</v>
      </c>
      <c r="CE135" s="19" t="s">
        <v>16</v>
      </c>
      <c r="CF135" s="19"/>
      <c r="CG135" s="19"/>
      <c r="CH135" s="19" t="s">
        <v>16</v>
      </c>
      <c r="CI135" s="21">
        <v>0.0</v>
      </c>
      <c r="CJ135" s="19" t="s">
        <v>16</v>
      </c>
      <c r="CK135" s="19"/>
      <c r="CL135" s="19"/>
      <c r="CM135" s="19" t="s">
        <v>2138</v>
      </c>
      <c r="CN135" s="19" t="s">
        <v>2176</v>
      </c>
      <c r="CO135" s="19" t="s">
        <v>2177</v>
      </c>
      <c r="CP135" s="19" t="s">
        <v>2246</v>
      </c>
      <c r="CQ135" s="19"/>
      <c r="CR135" s="19"/>
      <c r="CS135" s="19"/>
      <c r="CT135" s="19"/>
      <c r="CU135" s="19"/>
      <c r="CV135" s="19" t="s">
        <v>2141</v>
      </c>
      <c r="CW135" s="19"/>
      <c r="CX135" s="19"/>
      <c r="CY135" s="19" t="s">
        <v>2113</v>
      </c>
      <c r="CZ135" s="19" t="s">
        <v>2113</v>
      </c>
      <c r="DA135" s="19" t="s">
        <v>16</v>
      </c>
      <c r="DB135" s="19" t="s">
        <v>16</v>
      </c>
      <c r="DC135" s="19" t="s">
        <v>2247</v>
      </c>
      <c r="DD135" s="19" t="s">
        <v>2113</v>
      </c>
      <c r="DE135" s="19" t="s">
        <v>2113</v>
      </c>
      <c r="DF135" s="19" t="s">
        <v>2182</v>
      </c>
      <c r="DG135" s="19" t="s">
        <v>2180</v>
      </c>
      <c r="DH135" s="19" t="s">
        <v>2144</v>
      </c>
      <c r="DI135" s="24">
        <v>45517.0</v>
      </c>
      <c r="DJ135" s="19" t="s">
        <v>2174</v>
      </c>
      <c r="DK135" s="19" t="s">
        <v>2271</v>
      </c>
      <c r="DL135" s="19" t="s">
        <v>2183</v>
      </c>
      <c r="DM135" s="19" t="s">
        <v>2515</v>
      </c>
      <c r="DN135" s="19">
        <v>2.0</v>
      </c>
      <c r="DO135" s="19">
        <v>2.0</v>
      </c>
      <c r="DP135" s="19" t="s">
        <v>4726</v>
      </c>
      <c r="DQ135" s="19" t="s">
        <v>4727</v>
      </c>
      <c r="DR135" s="19" t="s">
        <v>4728</v>
      </c>
      <c r="DS135" s="19" t="s">
        <v>2151</v>
      </c>
      <c r="DT135" s="19" t="s">
        <v>2366</v>
      </c>
      <c r="DU135" s="19"/>
      <c r="DV135" s="19"/>
      <c r="DW135" s="19" t="s">
        <v>2153</v>
      </c>
      <c r="DX135" s="19">
        <v>13.0</v>
      </c>
      <c r="DY135" s="19">
        <v>0.0</v>
      </c>
      <c r="DZ135" s="19">
        <v>0.0</v>
      </c>
      <c r="EA135" s="19">
        <v>0.0</v>
      </c>
      <c r="EB135" s="19">
        <v>0.0</v>
      </c>
      <c r="EC135" s="19">
        <v>20.0</v>
      </c>
      <c r="ED135" s="19" t="s">
        <v>2174</v>
      </c>
      <c r="EE135" s="24">
        <v>45517.0</v>
      </c>
      <c r="EF135" s="19" t="s">
        <v>2174</v>
      </c>
      <c r="EG135" s="19" t="s">
        <v>2271</v>
      </c>
      <c r="EH135" s="19" t="s">
        <v>2183</v>
      </c>
      <c r="EI135" s="22">
        <v>13.546875</v>
      </c>
      <c r="EJ135" s="19">
        <v>43.5</v>
      </c>
      <c r="EK135" s="19"/>
      <c r="EL135" s="19" t="s">
        <v>2282</v>
      </c>
      <c r="EM135" s="19" t="s">
        <v>4380</v>
      </c>
      <c r="EN135" s="19" t="s">
        <v>408</v>
      </c>
      <c r="EO135" s="19" t="s">
        <v>2167</v>
      </c>
      <c r="EP135" s="19" t="s">
        <v>2122</v>
      </c>
      <c r="EQ135" s="19" t="s">
        <v>2176</v>
      </c>
      <c r="ER135" s="19" t="s">
        <v>2177</v>
      </c>
      <c r="ES135" s="19" t="s">
        <v>408</v>
      </c>
      <c r="ET135" s="19" t="s">
        <v>408</v>
      </c>
      <c r="EU135" s="19" t="s">
        <v>4714</v>
      </c>
      <c r="EV135" s="19">
        <v>10378.0</v>
      </c>
      <c r="EW135" s="19" t="s">
        <v>16</v>
      </c>
      <c r="EX135" s="19">
        <v>5.0</v>
      </c>
      <c r="EY135" s="25" t="s">
        <v>407</v>
      </c>
      <c r="EZ135" s="19" t="s">
        <v>2154</v>
      </c>
      <c r="FA135" s="5" t="s">
        <v>4729</v>
      </c>
      <c r="FB135" s="26" t="s">
        <v>2156</v>
      </c>
      <c r="FC135" s="26"/>
    </row>
    <row r="136">
      <c r="A136" s="19" t="s">
        <v>2156</v>
      </c>
      <c r="B136" s="19" t="s">
        <v>2113</v>
      </c>
      <c r="C136" s="19" t="s">
        <v>2113</v>
      </c>
      <c r="D136" s="19" t="s">
        <v>409</v>
      </c>
      <c r="E136" s="19" t="s">
        <v>4730</v>
      </c>
      <c r="F136" s="19" t="s">
        <v>409</v>
      </c>
      <c r="G136" s="19"/>
      <c r="H136" s="19" t="s">
        <v>409</v>
      </c>
      <c r="I136" s="19" t="s">
        <v>411</v>
      </c>
      <c r="J136" s="19" t="s">
        <v>4731</v>
      </c>
      <c r="K136" s="19" t="s">
        <v>4732</v>
      </c>
      <c r="L136" s="20">
        <v>45446.0</v>
      </c>
      <c r="M136" s="20">
        <v>45447.0</v>
      </c>
      <c r="N136" s="20">
        <v>45447.0</v>
      </c>
      <c r="O136" s="19" t="s">
        <v>410</v>
      </c>
      <c r="P136" s="19">
        <v>0.0</v>
      </c>
      <c r="Q136" s="19">
        <v>24.0</v>
      </c>
      <c r="R136" s="19">
        <v>9041.0</v>
      </c>
      <c r="S136" s="20" t="s">
        <v>4733</v>
      </c>
      <c r="T136" s="20">
        <v>45461.0</v>
      </c>
      <c r="U136" s="19" t="s">
        <v>409</v>
      </c>
      <c r="V136" s="19"/>
      <c r="W136" s="19"/>
      <c r="X136" s="21">
        <v>20.0</v>
      </c>
      <c r="Y136" s="21">
        <v>0.0</v>
      </c>
      <c r="Z136" s="21">
        <v>4.0</v>
      </c>
      <c r="AA136" s="21">
        <v>0.0</v>
      </c>
      <c r="AB136" s="5">
        <v>24.0</v>
      </c>
      <c r="AC136" s="19">
        <v>5.0</v>
      </c>
      <c r="AD136" s="19">
        <v>5.0</v>
      </c>
      <c r="AE136" s="19">
        <v>5.0</v>
      </c>
      <c r="AF136" s="19">
        <v>5.0</v>
      </c>
      <c r="AG136" s="19">
        <v>5.0</v>
      </c>
      <c r="AH136" s="19">
        <v>5.0</v>
      </c>
      <c r="AI136" s="22">
        <v>15.0</v>
      </c>
      <c r="AJ136" s="19">
        <v>13.0</v>
      </c>
      <c r="AK136" s="19">
        <v>15.0</v>
      </c>
      <c r="AL136" s="19">
        <v>15.0</v>
      </c>
      <c r="AM136" s="19">
        <v>43.0</v>
      </c>
      <c r="AN136" s="19">
        <v>58.0</v>
      </c>
      <c r="AO136" s="19">
        <v>82.0</v>
      </c>
      <c r="AP136" s="19">
        <v>285.0</v>
      </c>
      <c r="AQ136" s="23">
        <v>132.0</v>
      </c>
      <c r="AR136" s="23">
        <v>11.0</v>
      </c>
      <c r="AS136" s="22"/>
      <c r="AT136" s="19" t="s">
        <v>2163</v>
      </c>
      <c r="AU136" s="19" t="s">
        <v>4734</v>
      </c>
      <c r="AV136" s="19" t="s">
        <v>4735</v>
      </c>
      <c r="AW136" s="19" t="s">
        <v>4736</v>
      </c>
      <c r="AX136" s="20">
        <v>36420.0</v>
      </c>
      <c r="AY136" s="19" t="s">
        <v>2375</v>
      </c>
      <c r="AZ136" s="19" t="s">
        <v>2122</v>
      </c>
      <c r="BA136" s="19" t="s">
        <v>4737</v>
      </c>
      <c r="BB136" s="19" t="s">
        <v>2764</v>
      </c>
      <c r="BC136" s="19" t="s">
        <v>4738</v>
      </c>
      <c r="BD136" s="19" t="s">
        <v>4739</v>
      </c>
      <c r="BE136" s="19"/>
      <c r="BF136" s="19"/>
      <c r="BG136" s="19" t="s">
        <v>4038</v>
      </c>
      <c r="BH136" s="19" t="s">
        <v>2128</v>
      </c>
      <c r="BI136" s="19"/>
      <c r="BJ136" s="19" t="s">
        <v>2128</v>
      </c>
      <c r="BK136" s="19" t="s">
        <v>17</v>
      </c>
      <c r="BL136" s="19"/>
      <c r="BM136" s="19" t="s">
        <v>2130</v>
      </c>
      <c r="BN136" s="19" t="s">
        <v>3521</v>
      </c>
      <c r="BO136" s="19" t="s">
        <v>2317</v>
      </c>
      <c r="BP136" s="19"/>
      <c r="BQ136" s="19" t="s">
        <v>2133</v>
      </c>
      <c r="BR136" s="19" t="s">
        <v>2133</v>
      </c>
      <c r="BS136" s="19" t="s">
        <v>2134</v>
      </c>
      <c r="BT136" s="19" t="s">
        <v>52</v>
      </c>
      <c r="BU136" s="19" t="s">
        <v>4740</v>
      </c>
      <c r="BV136" s="19" t="s">
        <v>4741</v>
      </c>
      <c r="BW136" s="19" t="s">
        <v>2113</v>
      </c>
      <c r="BX136" s="19"/>
      <c r="BY136" s="19"/>
      <c r="BZ136" s="19"/>
      <c r="CA136" s="19"/>
      <c r="CB136" s="19" t="s">
        <v>2113</v>
      </c>
      <c r="CC136" s="19"/>
      <c r="CD136" s="19" t="s">
        <v>2137</v>
      </c>
      <c r="CE136" s="19" t="s">
        <v>16</v>
      </c>
      <c r="CF136" s="19"/>
      <c r="CG136" s="19"/>
      <c r="CH136" s="19" t="s">
        <v>16</v>
      </c>
      <c r="CI136" s="21">
        <v>0.0</v>
      </c>
      <c r="CJ136" s="19" t="s">
        <v>17</v>
      </c>
      <c r="CK136" s="19"/>
      <c r="CL136" s="19"/>
      <c r="CM136" s="19" t="s">
        <v>2138</v>
      </c>
      <c r="CN136" s="19" t="s">
        <v>2382</v>
      </c>
      <c r="CO136" s="19"/>
      <c r="CP136" s="19" t="s">
        <v>2246</v>
      </c>
      <c r="CQ136" s="19"/>
      <c r="CR136" s="19"/>
      <c r="CS136" s="19"/>
      <c r="CT136" s="19"/>
      <c r="CU136" s="19"/>
      <c r="CV136" s="19" t="s">
        <v>2141</v>
      </c>
      <c r="CW136" s="19" t="s">
        <v>2113</v>
      </c>
      <c r="CX136" s="19" t="s">
        <v>2113</v>
      </c>
      <c r="CY136" s="19" t="s">
        <v>2113</v>
      </c>
      <c r="CZ136" s="19" t="s">
        <v>2113</v>
      </c>
      <c r="DA136" s="19" t="s">
        <v>16</v>
      </c>
      <c r="DB136" s="19" t="s">
        <v>17</v>
      </c>
      <c r="DC136" s="19" t="s">
        <v>2297</v>
      </c>
      <c r="DD136" s="19" t="s">
        <v>2113</v>
      </c>
      <c r="DE136" s="19" t="s">
        <v>2113</v>
      </c>
      <c r="DF136" s="19" t="s">
        <v>4742</v>
      </c>
      <c r="DG136" s="19" t="s">
        <v>2142</v>
      </c>
      <c r="DH136" s="19" t="s">
        <v>2580</v>
      </c>
      <c r="DI136" s="24">
        <v>45517.0</v>
      </c>
      <c r="DJ136" s="19" t="s">
        <v>2133</v>
      </c>
      <c r="DK136" s="19" t="s">
        <v>2271</v>
      </c>
      <c r="DL136" s="19" t="s">
        <v>2146</v>
      </c>
      <c r="DM136" s="19"/>
      <c r="DN136" s="19">
        <v>2.0</v>
      </c>
      <c r="DO136" s="19">
        <v>2.0</v>
      </c>
      <c r="DP136" s="19" t="s">
        <v>4743</v>
      </c>
      <c r="DQ136" s="19" t="s">
        <v>4744</v>
      </c>
      <c r="DR136" s="19" t="s">
        <v>4745</v>
      </c>
      <c r="DS136" s="19" t="s">
        <v>2365</v>
      </c>
      <c r="DT136" s="19" t="s">
        <v>2350</v>
      </c>
      <c r="DU136" s="19"/>
      <c r="DV136" s="19"/>
      <c r="DW136" s="19" t="s">
        <v>2153</v>
      </c>
      <c r="DX136" s="19">
        <v>7.0</v>
      </c>
      <c r="DY136" s="19">
        <v>0.0</v>
      </c>
      <c r="DZ136" s="19">
        <v>0.0</v>
      </c>
      <c r="EA136" s="19">
        <v>0.0</v>
      </c>
      <c r="EB136" s="19">
        <v>0.0</v>
      </c>
      <c r="EC136" s="19">
        <v>20.0</v>
      </c>
      <c r="ED136" s="19" t="s">
        <v>2133</v>
      </c>
      <c r="EE136" s="24">
        <v>45517.0</v>
      </c>
      <c r="EF136" s="19" t="s">
        <v>2133</v>
      </c>
      <c r="EG136" s="19" t="s">
        <v>2271</v>
      </c>
      <c r="EH136" s="19" t="s">
        <v>2146</v>
      </c>
      <c r="EI136" s="22">
        <v>15.0</v>
      </c>
      <c r="EJ136" s="19">
        <v>43.0</v>
      </c>
      <c r="EK136" s="19" t="s">
        <v>2113</v>
      </c>
      <c r="EL136" s="19" t="s">
        <v>2163</v>
      </c>
      <c r="EM136" s="19" t="s">
        <v>4734</v>
      </c>
      <c r="EN136" s="19" t="s">
        <v>411</v>
      </c>
      <c r="EO136" s="19" t="s">
        <v>2375</v>
      </c>
      <c r="EP136" s="19" t="s">
        <v>2122</v>
      </c>
      <c r="EQ136" s="19" t="s">
        <v>2382</v>
      </c>
      <c r="ER136" s="19"/>
      <c r="ES136" s="19" t="s">
        <v>411</v>
      </c>
      <c r="ET136" s="19" t="s">
        <v>411</v>
      </c>
      <c r="EU136" s="19" t="s">
        <v>4732</v>
      </c>
      <c r="EV136" s="19">
        <v>9041.0</v>
      </c>
      <c r="EW136" s="19" t="s">
        <v>16</v>
      </c>
      <c r="EX136" s="19">
        <v>4.0</v>
      </c>
      <c r="EY136" s="25" t="s">
        <v>410</v>
      </c>
      <c r="EZ136" s="19" t="s">
        <v>2154</v>
      </c>
      <c r="FA136" s="5" t="s">
        <v>4746</v>
      </c>
      <c r="FB136" s="26" t="s">
        <v>2156</v>
      </c>
      <c r="FC136" s="26"/>
    </row>
    <row r="137">
      <c r="A137" s="19" t="s">
        <v>2112</v>
      </c>
      <c r="B137" s="19" t="s">
        <v>2113</v>
      </c>
      <c r="C137" s="19" t="s">
        <v>2113</v>
      </c>
      <c r="D137" s="19" t="s">
        <v>412</v>
      </c>
      <c r="E137" s="19" t="s">
        <v>4747</v>
      </c>
      <c r="F137" s="19" t="s">
        <v>412</v>
      </c>
      <c r="G137" s="19"/>
      <c r="H137" s="19" t="s">
        <v>412</v>
      </c>
      <c r="I137" s="19" t="s">
        <v>414</v>
      </c>
      <c r="J137" s="19" t="s">
        <v>4748</v>
      </c>
      <c r="K137" s="19" t="s">
        <v>4749</v>
      </c>
      <c r="L137" s="20">
        <v>45395.0</v>
      </c>
      <c r="M137" s="20">
        <v>45411.0</v>
      </c>
      <c r="N137" s="20">
        <v>45411.0</v>
      </c>
      <c r="O137" s="19" t="s">
        <v>413</v>
      </c>
      <c r="P137" s="19">
        <v>0.0</v>
      </c>
      <c r="Q137" s="19">
        <v>28.0</v>
      </c>
      <c r="R137" s="19">
        <v>10297.0</v>
      </c>
      <c r="S137" s="20" t="s">
        <v>4750</v>
      </c>
      <c r="T137" s="20">
        <v>45461.0</v>
      </c>
      <c r="U137" s="19" t="s">
        <v>412</v>
      </c>
      <c r="V137" s="19"/>
      <c r="W137" s="19" t="s">
        <v>4751</v>
      </c>
      <c r="X137" s="21">
        <v>20.0</v>
      </c>
      <c r="Y137" s="21">
        <v>0.0</v>
      </c>
      <c r="Z137" s="21">
        <v>3.0</v>
      </c>
      <c r="AA137" s="21">
        <v>0.0</v>
      </c>
      <c r="AB137" s="5">
        <v>23.0</v>
      </c>
      <c r="AC137" s="19">
        <v>4.6</v>
      </c>
      <c r="AD137" s="19">
        <v>4.8</v>
      </c>
      <c r="AE137" s="19">
        <v>4.6</v>
      </c>
      <c r="AF137" s="19">
        <v>4.4</v>
      </c>
      <c r="AG137" s="19">
        <v>4.4</v>
      </c>
      <c r="AH137" s="19">
        <v>4.8</v>
      </c>
      <c r="AI137" s="22">
        <v>13.856250000000001</v>
      </c>
      <c r="AJ137" s="19">
        <v>15.0</v>
      </c>
      <c r="AK137" s="19">
        <v>15.0</v>
      </c>
      <c r="AL137" s="19">
        <v>15.0</v>
      </c>
      <c r="AM137" s="19">
        <v>45.0</v>
      </c>
      <c r="AN137" s="19">
        <v>58.9</v>
      </c>
      <c r="AO137" s="19">
        <v>81.9</v>
      </c>
      <c r="AP137" s="19">
        <v>303.0</v>
      </c>
      <c r="AQ137" s="23">
        <v>133.0</v>
      </c>
      <c r="AR137" s="23">
        <v>12.0</v>
      </c>
      <c r="AS137" s="22"/>
      <c r="AT137" s="19" t="s">
        <v>2117</v>
      </c>
      <c r="AU137" s="19" t="s">
        <v>4752</v>
      </c>
      <c r="AV137" s="19" t="s">
        <v>4753</v>
      </c>
      <c r="AW137" s="19"/>
      <c r="AX137" s="20">
        <v>35164.0</v>
      </c>
      <c r="AY137" s="19" t="s">
        <v>3034</v>
      </c>
      <c r="AZ137" s="19" t="s">
        <v>2310</v>
      </c>
      <c r="BA137" s="19" t="s">
        <v>4754</v>
      </c>
      <c r="BB137" s="19" t="s">
        <v>4755</v>
      </c>
      <c r="BC137" s="19" t="s">
        <v>4756</v>
      </c>
      <c r="BD137" s="19" t="s">
        <v>4757</v>
      </c>
      <c r="BE137" s="19" t="s">
        <v>4748</v>
      </c>
      <c r="BF137" s="19">
        <v>1.1948905625E10</v>
      </c>
      <c r="BG137" s="19" t="s">
        <v>4038</v>
      </c>
      <c r="BH137" s="19" t="s">
        <v>4080</v>
      </c>
      <c r="BI137" s="19"/>
      <c r="BJ137" s="19" t="s">
        <v>2128</v>
      </c>
      <c r="BK137" s="19" t="s">
        <v>17</v>
      </c>
      <c r="BL137" s="19"/>
      <c r="BM137" s="19" t="s">
        <v>2130</v>
      </c>
      <c r="BN137" s="19" t="s">
        <v>17</v>
      </c>
      <c r="BO137" s="19" t="s">
        <v>2473</v>
      </c>
      <c r="BP137" s="19"/>
      <c r="BQ137" s="19" t="s">
        <v>2174</v>
      </c>
      <c r="BR137" s="19" t="s">
        <v>2174</v>
      </c>
      <c r="BS137" s="19" t="s">
        <v>2134</v>
      </c>
      <c r="BT137" s="19" t="s">
        <v>34</v>
      </c>
      <c r="BU137" s="19" t="s">
        <v>4758</v>
      </c>
      <c r="BV137" s="19" t="s">
        <v>4759</v>
      </c>
      <c r="BW137" s="19"/>
      <c r="BX137" s="19" t="s">
        <v>2113</v>
      </c>
      <c r="BY137" s="19" t="s">
        <v>2113</v>
      </c>
      <c r="BZ137" s="19" t="s">
        <v>2113</v>
      </c>
      <c r="CA137" s="19" t="s">
        <v>2113</v>
      </c>
      <c r="CB137" s="19"/>
      <c r="CC137" s="19"/>
      <c r="CD137" s="19" t="s">
        <v>2137</v>
      </c>
      <c r="CE137" s="19" t="s">
        <v>16</v>
      </c>
      <c r="CF137" s="19"/>
      <c r="CG137" s="19"/>
      <c r="CH137" s="19" t="s">
        <v>16</v>
      </c>
      <c r="CI137" s="21">
        <v>0.0</v>
      </c>
      <c r="CJ137" s="19" t="s">
        <v>16</v>
      </c>
      <c r="CK137" s="19"/>
      <c r="CL137" s="19"/>
      <c r="CM137" s="19" t="s">
        <v>2138</v>
      </c>
      <c r="CN137" s="19" t="s">
        <v>3041</v>
      </c>
      <c r="CO137" s="19"/>
      <c r="CP137" s="19" t="s">
        <v>2246</v>
      </c>
      <c r="CQ137" s="19"/>
      <c r="CR137" s="19" t="s">
        <v>2113</v>
      </c>
      <c r="CS137" s="19" t="s">
        <v>2113</v>
      </c>
      <c r="CT137" s="19" t="s">
        <v>2113</v>
      </c>
      <c r="CU137" s="19" t="s">
        <v>2113</v>
      </c>
      <c r="CV137" s="19" t="s">
        <v>2141</v>
      </c>
      <c r="CW137" s="19" t="s">
        <v>2113</v>
      </c>
      <c r="CX137" s="19" t="s">
        <v>2113</v>
      </c>
      <c r="CY137" s="19"/>
      <c r="CZ137" s="19"/>
      <c r="DA137" s="19" t="s">
        <v>16</v>
      </c>
      <c r="DB137" s="19" t="s">
        <v>16</v>
      </c>
      <c r="DC137" s="19" t="s">
        <v>3042</v>
      </c>
      <c r="DD137" s="19" t="s">
        <v>2113</v>
      </c>
      <c r="DE137" s="19" t="s">
        <v>2113</v>
      </c>
      <c r="DF137" s="19" t="s">
        <v>2207</v>
      </c>
      <c r="DG137" s="19" t="s">
        <v>3163</v>
      </c>
      <c r="DH137" s="19" t="s">
        <v>2144</v>
      </c>
      <c r="DI137" s="24">
        <v>45518.0</v>
      </c>
      <c r="DJ137" s="19" t="s">
        <v>2174</v>
      </c>
      <c r="DK137" s="19" t="s">
        <v>2145</v>
      </c>
      <c r="DL137" s="19" t="s">
        <v>2183</v>
      </c>
      <c r="DM137" s="19" t="s">
        <v>2228</v>
      </c>
      <c r="DN137" s="19">
        <v>3.0</v>
      </c>
      <c r="DO137" s="19">
        <v>3.0</v>
      </c>
      <c r="DP137" s="19" t="s">
        <v>4760</v>
      </c>
      <c r="DQ137" s="19" t="s">
        <v>4761</v>
      </c>
      <c r="DR137" s="19" t="s">
        <v>4762</v>
      </c>
      <c r="DS137" s="19" t="s">
        <v>2365</v>
      </c>
      <c r="DT137" s="19" t="s">
        <v>2152</v>
      </c>
      <c r="DU137" s="19"/>
      <c r="DV137" s="19"/>
      <c r="DW137" s="19" t="s">
        <v>2188</v>
      </c>
      <c r="DX137" s="19">
        <v>10.0</v>
      </c>
      <c r="DY137" s="19">
        <v>0.0</v>
      </c>
      <c r="DZ137" s="19">
        <v>0.0</v>
      </c>
      <c r="EA137" s="19">
        <v>0.0</v>
      </c>
      <c r="EB137" s="19">
        <v>0.0</v>
      </c>
      <c r="EC137" s="19">
        <v>20.0</v>
      </c>
      <c r="ED137" s="19" t="s">
        <v>2174</v>
      </c>
      <c r="EE137" s="24">
        <v>45518.0</v>
      </c>
      <c r="EF137" s="19" t="s">
        <v>2174</v>
      </c>
      <c r="EG137" s="19" t="s">
        <v>2145</v>
      </c>
      <c r="EH137" s="19" t="s">
        <v>2183</v>
      </c>
      <c r="EI137" s="22">
        <v>13.856250000000001</v>
      </c>
      <c r="EJ137" s="19">
        <v>45.0</v>
      </c>
      <c r="EK137" s="19"/>
      <c r="EL137" s="19" t="s">
        <v>2117</v>
      </c>
      <c r="EM137" s="19" t="s">
        <v>4752</v>
      </c>
      <c r="EN137" s="19" t="s">
        <v>414</v>
      </c>
      <c r="EO137" s="19" t="s">
        <v>3034</v>
      </c>
      <c r="EP137" s="19" t="s">
        <v>2310</v>
      </c>
      <c r="EQ137" s="19" t="s">
        <v>3041</v>
      </c>
      <c r="ER137" s="19"/>
      <c r="ES137" s="19" t="s">
        <v>414</v>
      </c>
      <c r="ET137" s="19" t="s">
        <v>414</v>
      </c>
      <c r="EU137" s="19" t="s">
        <v>4749</v>
      </c>
      <c r="EV137" s="19">
        <v>10297.0</v>
      </c>
      <c r="EW137" s="19" t="s">
        <v>16</v>
      </c>
      <c r="EX137" s="19">
        <v>3.0</v>
      </c>
      <c r="EY137" s="25" t="s">
        <v>413</v>
      </c>
      <c r="EZ137" s="19" t="s">
        <v>2154</v>
      </c>
      <c r="FA137" s="5" t="s">
        <v>4763</v>
      </c>
      <c r="FB137" s="26" t="s">
        <v>2156</v>
      </c>
      <c r="FC137" s="26"/>
    </row>
    <row r="138">
      <c r="A138" s="19" t="s">
        <v>2156</v>
      </c>
      <c r="B138" s="19" t="s">
        <v>2113</v>
      </c>
      <c r="C138" s="19" t="s">
        <v>2113</v>
      </c>
      <c r="D138" s="19" t="s">
        <v>415</v>
      </c>
      <c r="E138" s="19" t="s">
        <v>415</v>
      </c>
      <c r="F138" s="19" t="s">
        <v>415</v>
      </c>
      <c r="G138" s="19" t="s">
        <v>415</v>
      </c>
      <c r="H138" s="19" t="s">
        <v>415</v>
      </c>
      <c r="I138" s="19" t="s">
        <v>417</v>
      </c>
      <c r="J138" s="19" t="s">
        <v>4764</v>
      </c>
      <c r="K138" s="19" t="s">
        <v>4765</v>
      </c>
      <c r="L138" s="20">
        <v>45432.0</v>
      </c>
      <c r="M138" s="20">
        <v>45433.0</v>
      </c>
      <c r="N138" s="20">
        <v>45433.0</v>
      </c>
      <c r="O138" s="19" t="s">
        <v>416</v>
      </c>
      <c r="P138" s="19">
        <v>0.0</v>
      </c>
      <c r="Q138" s="19">
        <v>20.0</v>
      </c>
      <c r="R138" s="19">
        <v>7528.0</v>
      </c>
      <c r="S138" s="20" t="s">
        <v>4766</v>
      </c>
      <c r="T138" s="20">
        <v>45461.0</v>
      </c>
      <c r="U138" s="19" t="s">
        <v>415</v>
      </c>
      <c r="V138" s="19"/>
      <c r="W138" s="19"/>
      <c r="X138" s="21">
        <v>20.0</v>
      </c>
      <c r="Y138" s="21">
        <v>10.0</v>
      </c>
      <c r="Z138" s="21">
        <v>1.0</v>
      </c>
      <c r="AA138" s="21">
        <v>0.0</v>
      </c>
      <c r="AB138" s="5">
        <v>31.0</v>
      </c>
      <c r="AC138" s="19">
        <v>4.5</v>
      </c>
      <c r="AD138" s="19">
        <v>4.0</v>
      </c>
      <c r="AE138" s="19">
        <v>5.0</v>
      </c>
      <c r="AF138" s="19">
        <v>4.5</v>
      </c>
      <c r="AG138" s="19">
        <v>4.0</v>
      </c>
      <c r="AH138" s="19">
        <v>4.0</v>
      </c>
      <c r="AI138" s="22">
        <v>13.171875</v>
      </c>
      <c r="AJ138" s="19">
        <v>12.0</v>
      </c>
      <c r="AK138" s="19">
        <v>13.3</v>
      </c>
      <c r="AL138" s="19">
        <v>12.3</v>
      </c>
      <c r="AM138" s="19">
        <v>37.7</v>
      </c>
      <c r="AN138" s="19">
        <v>50.9</v>
      </c>
      <c r="AO138" s="19">
        <v>81.8</v>
      </c>
      <c r="AP138" s="19">
        <v>212.0</v>
      </c>
      <c r="AQ138" s="23">
        <v>134.0</v>
      </c>
      <c r="AR138" s="23">
        <v>15.0</v>
      </c>
      <c r="AS138" s="22"/>
      <c r="AT138" s="19" t="s">
        <v>2117</v>
      </c>
      <c r="AU138" s="19" t="s">
        <v>4767</v>
      </c>
      <c r="AV138" s="19" t="s">
        <v>4768</v>
      </c>
      <c r="AW138" s="19" t="s">
        <v>3476</v>
      </c>
      <c r="AX138" s="20">
        <v>37933.0</v>
      </c>
      <c r="AY138" s="19" t="s">
        <v>3632</v>
      </c>
      <c r="AZ138" s="19" t="s">
        <v>2122</v>
      </c>
      <c r="BA138" s="19" t="s">
        <v>4769</v>
      </c>
      <c r="BB138" s="19" t="s">
        <v>4770</v>
      </c>
      <c r="BC138" s="19" t="s">
        <v>4771</v>
      </c>
      <c r="BD138" s="19" t="s">
        <v>4772</v>
      </c>
      <c r="BE138" s="19" t="s">
        <v>4773</v>
      </c>
      <c r="BF138" s="19">
        <v>1.1988680366E10</v>
      </c>
      <c r="BG138" s="19" t="s">
        <v>2127</v>
      </c>
      <c r="BH138" s="19" t="s">
        <v>2128</v>
      </c>
      <c r="BI138" s="19"/>
      <c r="BJ138" s="19" t="s">
        <v>2128</v>
      </c>
      <c r="BK138" s="19" t="s">
        <v>17</v>
      </c>
      <c r="BL138" s="19"/>
      <c r="BM138" s="19" t="s">
        <v>2130</v>
      </c>
      <c r="BN138" s="19" t="s">
        <v>17</v>
      </c>
      <c r="BO138" s="19" t="s">
        <v>3082</v>
      </c>
      <c r="BP138" s="19" t="s">
        <v>4774</v>
      </c>
      <c r="BQ138" s="19" t="s">
        <v>2325</v>
      </c>
      <c r="BR138" s="19" t="s">
        <v>2325</v>
      </c>
      <c r="BS138" s="19" t="s">
        <v>2134</v>
      </c>
      <c r="BT138" s="19" t="s">
        <v>118</v>
      </c>
      <c r="BU138" s="19" t="s">
        <v>4775</v>
      </c>
      <c r="BV138" s="19" t="s">
        <v>4776</v>
      </c>
      <c r="BW138" s="19" t="s">
        <v>2113</v>
      </c>
      <c r="BX138" s="19"/>
      <c r="BY138" s="19"/>
      <c r="BZ138" s="19"/>
      <c r="CA138" s="19"/>
      <c r="CB138" s="19" t="s">
        <v>2113</v>
      </c>
      <c r="CC138" s="19"/>
      <c r="CD138" s="19" t="s">
        <v>2137</v>
      </c>
      <c r="CE138" s="19" t="s">
        <v>16</v>
      </c>
      <c r="CF138" s="19"/>
      <c r="CG138" s="19"/>
      <c r="CH138" s="19" t="s">
        <v>16</v>
      </c>
      <c r="CI138" s="21">
        <v>0.0</v>
      </c>
      <c r="CJ138" s="19" t="s">
        <v>17</v>
      </c>
      <c r="CK138" s="19"/>
      <c r="CL138" s="19"/>
      <c r="CM138" s="19" t="s">
        <v>2344</v>
      </c>
      <c r="CN138" s="19" t="s">
        <v>3503</v>
      </c>
      <c r="CO138" s="19"/>
      <c r="CP138" s="19" t="s">
        <v>2178</v>
      </c>
      <c r="CQ138" s="19"/>
      <c r="CR138" s="19"/>
      <c r="CS138" s="19"/>
      <c r="CT138" s="19"/>
      <c r="CU138" s="19"/>
      <c r="CV138" s="19" t="s">
        <v>2179</v>
      </c>
      <c r="CW138" s="19"/>
      <c r="CX138" s="19"/>
      <c r="CY138" s="19"/>
      <c r="CZ138" s="19"/>
      <c r="DA138" s="19" t="s">
        <v>16</v>
      </c>
      <c r="DB138" s="19" t="s">
        <v>17</v>
      </c>
      <c r="DC138" s="19" t="s">
        <v>2455</v>
      </c>
      <c r="DD138" s="19" t="s">
        <v>2113</v>
      </c>
      <c r="DE138" s="19" t="s">
        <v>2113</v>
      </c>
      <c r="DF138" s="19" t="s">
        <v>2207</v>
      </c>
      <c r="DG138" s="19" t="s">
        <v>2433</v>
      </c>
      <c r="DH138" s="19" t="s">
        <v>2144</v>
      </c>
      <c r="DI138" s="24">
        <v>45519.0</v>
      </c>
      <c r="DJ138" s="19" t="s">
        <v>2325</v>
      </c>
      <c r="DK138" s="19" t="s">
        <v>2271</v>
      </c>
      <c r="DL138" s="19" t="s">
        <v>2326</v>
      </c>
      <c r="DM138" s="19"/>
      <c r="DN138" s="19">
        <v>6.0</v>
      </c>
      <c r="DO138" s="19">
        <v>6.0</v>
      </c>
      <c r="DP138" s="19"/>
      <c r="DQ138" s="19"/>
      <c r="DR138" s="19"/>
      <c r="DS138" s="19" t="s">
        <v>2185</v>
      </c>
      <c r="DT138" s="19" t="s">
        <v>2186</v>
      </c>
      <c r="DU138" s="19" t="s">
        <v>4777</v>
      </c>
      <c r="DV138" s="19"/>
      <c r="DW138" s="19" t="s">
        <v>3306</v>
      </c>
      <c r="DX138" s="19">
        <v>4.0</v>
      </c>
      <c r="DY138" s="19">
        <v>10.0</v>
      </c>
      <c r="DZ138" s="19">
        <v>0.0</v>
      </c>
      <c r="EA138" s="19">
        <v>10.0</v>
      </c>
      <c r="EB138" s="19">
        <v>0.0</v>
      </c>
      <c r="EC138" s="19">
        <v>20.0</v>
      </c>
      <c r="ED138" s="19" t="s">
        <v>2325</v>
      </c>
      <c r="EE138" s="24">
        <v>45519.0</v>
      </c>
      <c r="EF138" s="19" t="s">
        <v>2325</v>
      </c>
      <c r="EG138" s="19" t="s">
        <v>2271</v>
      </c>
      <c r="EH138" s="19" t="s">
        <v>2326</v>
      </c>
      <c r="EI138" s="22">
        <v>13.171875</v>
      </c>
      <c r="EJ138" s="19">
        <v>37.66666667</v>
      </c>
      <c r="EK138" s="19" t="s">
        <v>2113</v>
      </c>
      <c r="EL138" s="19" t="s">
        <v>2117</v>
      </c>
      <c r="EM138" s="19" t="s">
        <v>4767</v>
      </c>
      <c r="EN138" s="19" t="s">
        <v>417</v>
      </c>
      <c r="EO138" s="19" t="s">
        <v>3632</v>
      </c>
      <c r="EP138" s="19" t="s">
        <v>2122</v>
      </c>
      <c r="EQ138" s="19" t="s">
        <v>3503</v>
      </c>
      <c r="ER138" s="19"/>
      <c r="ES138" s="19" t="s">
        <v>417</v>
      </c>
      <c r="ET138" s="19" t="s">
        <v>417</v>
      </c>
      <c r="EU138" s="19" t="s">
        <v>4765</v>
      </c>
      <c r="EV138" s="19">
        <v>7528.0</v>
      </c>
      <c r="EW138" s="19" t="s">
        <v>16</v>
      </c>
      <c r="EX138" s="19">
        <v>1.0</v>
      </c>
      <c r="EY138" s="25" t="s">
        <v>416</v>
      </c>
      <c r="EZ138" s="19" t="s">
        <v>2154</v>
      </c>
      <c r="FA138" s="5" t="s">
        <v>4778</v>
      </c>
      <c r="FB138" s="26" t="s">
        <v>2156</v>
      </c>
      <c r="FC138" s="26"/>
    </row>
    <row r="139">
      <c r="A139" s="19" t="s">
        <v>2112</v>
      </c>
      <c r="B139" s="19" t="s">
        <v>2113</v>
      </c>
      <c r="C139" s="19" t="s">
        <v>2113</v>
      </c>
      <c r="D139" s="19" t="s">
        <v>418</v>
      </c>
      <c r="E139" s="19" t="s">
        <v>4779</v>
      </c>
      <c r="F139" s="19" t="s">
        <v>4780</v>
      </c>
      <c r="G139" s="19" t="s">
        <v>4781</v>
      </c>
      <c r="H139" s="19" t="s">
        <v>418</v>
      </c>
      <c r="I139" s="19" t="s">
        <v>420</v>
      </c>
      <c r="J139" s="19" t="s">
        <v>4782</v>
      </c>
      <c r="K139" s="19" t="s">
        <v>4783</v>
      </c>
      <c r="L139" s="20">
        <v>45446.0</v>
      </c>
      <c r="M139" s="20">
        <v>45447.0</v>
      </c>
      <c r="N139" s="20">
        <v>45447.0</v>
      </c>
      <c r="O139" s="19" t="s">
        <v>419</v>
      </c>
      <c r="P139" s="19">
        <v>0.0</v>
      </c>
      <c r="Q139" s="19">
        <v>22.0</v>
      </c>
      <c r="R139" s="19">
        <v>8153.0</v>
      </c>
      <c r="S139" s="20" t="s">
        <v>4784</v>
      </c>
      <c r="T139" s="20">
        <v>45461.0</v>
      </c>
      <c r="U139" s="19" t="s">
        <v>4780</v>
      </c>
      <c r="V139" s="19"/>
      <c r="W139" s="19" t="s">
        <v>2131</v>
      </c>
      <c r="X139" s="21">
        <v>20.0</v>
      </c>
      <c r="Y139" s="21">
        <v>0.0</v>
      </c>
      <c r="Z139" s="21">
        <v>5.0</v>
      </c>
      <c r="AA139" s="21">
        <v>3.0</v>
      </c>
      <c r="AB139" s="5">
        <v>28.0</v>
      </c>
      <c r="AC139" s="19">
        <v>4.4</v>
      </c>
      <c r="AD139" s="19">
        <v>4.8</v>
      </c>
      <c r="AE139" s="19">
        <v>4.8</v>
      </c>
      <c r="AF139" s="19">
        <v>4.6</v>
      </c>
      <c r="AG139" s="19">
        <v>4.2</v>
      </c>
      <c r="AH139" s="19">
        <v>4.6</v>
      </c>
      <c r="AI139" s="22">
        <v>13.8375</v>
      </c>
      <c r="AJ139" s="19">
        <v>13.0</v>
      </c>
      <c r="AK139" s="19">
        <v>12.0</v>
      </c>
      <c r="AL139" s="19">
        <v>15.0</v>
      </c>
      <c r="AM139" s="19">
        <v>40.0</v>
      </c>
      <c r="AN139" s="19">
        <v>53.8</v>
      </c>
      <c r="AO139" s="19">
        <v>81.8</v>
      </c>
      <c r="AP139" s="19">
        <v>244.0</v>
      </c>
      <c r="AQ139" s="23">
        <v>135.0</v>
      </c>
      <c r="AR139" s="23">
        <v>9.0</v>
      </c>
      <c r="AS139" s="22"/>
      <c r="AT139" s="19" t="s">
        <v>2117</v>
      </c>
      <c r="AU139" s="19" t="s">
        <v>4032</v>
      </c>
      <c r="AV139" s="19" t="s">
        <v>4033</v>
      </c>
      <c r="AW139" s="19" t="s">
        <v>4035</v>
      </c>
      <c r="AX139" s="20">
        <v>37308.0</v>
      </c>
      <c r="AY139" s="19" t="s">
        <v>2529</v>
      </c>
      <c r="AZ139" s="19" t="s">
        <v>2310</v>
      </c>
      <c r="BA139" s="19" t="s">
        <v>4034</v>
      </c>
      <c r="BB139" s="19" t="s">
        <v>4035</v>
      </c>
      <c r="BC139" s="19" t="s">
        <v>4785</v>
      </c>
      <c r="BD139" s="19" t="s">
        <v>4786</v>
      </c>
      <c r="BE139" s="19" t="s">
        <v>4787</v>
      </c>
      <c r="BF139" s="19">
        <v>1.1995914672E10</v>
      </c>
      <c r="BG139" s="19" t="s">
        <v>4038</v>
      </c>
      <c r="BH139" s="19" t="s">
        <v>2128</v>
      </c>
      <c r="BI139" s="19"/>
      <c r="BJ139" s="19" t="s">
        <v>2129</v>
      </c>
      <c r="BK139" s="19" t="s">
        <v>17</v>
      </c>
      <c r="BL139" s="19"/>
      <c r="BM139" s="19" t="s">
        <v>2130</v>
      </c>
      <c r="BN139" s="19" t="s">
        <v>17</v>
      </c>
      <c r="BO139" s="19" t="s">
        <v>2132</v>
      </c>
      <c r="BP139" s="19" t="s">
        <v>4788</v>
      </c>
      <c r="BQ139" s="19" t="s">
        <v>2174</v>
      </c>
      <c r="BR139" s="19" t="s">
        <v>2174</v>
      </c>
      <c r="BS139" s="19" t="s">
        <v>2134</v>
      </c>
      <c r="BT139" s="19" t="s">
        <v>75</v>
      </c>
      <c r="BU139" s="19" t="s">
        <v>4789</v>
      </c>
      <c r="BV139" s="19" t="s">
        <v>4790</v>
      </c>
      <c r="BW139" s="19"/>
      <c r="BX139" s="19"/>
      <c r="BY139" s="19"/>
      <c r="BZ139" s="19"/>
      <c r="CA139" s="19"/>
      <c r="CB139" s="19" t="s">
        <v>2113</v>
      </c>
      <c r="CC139" s="19"/>
      <c r="CD139" s="19" t="s">
        <v>2137</v>
      </c>
      <c r="CE139" s="19" t="s">
        <v>16</v>
      </c>
      <c r="CF139" s="19"/>
      <c r="CG139" s="19"/>
      <c r="CH139" s="19" t="s">
        <v>17</v>
      </c>
      <c r="CI139" s="21">
        <v>3.0</v>
      </c>
      <c r="CJ139" s="19" t="s">
        <v>17</v>
      </c>
      <c r="CK139" s="19"/>
      <c r="CL139" s="19"/>
      <c r="CM139" s="19" t="s">
        <v>2344</v>
      </c>
      <c r="CN139" s="19" t="s">
        <v>2537</v>
      </c>
      <c r="CO139" s="19"/>
      <c r="CP139" s="19" t="s">
        <v>2246</v>
      </c>
      <c r="CQ139" s="19"/>
      <c r="CR139" s="19"/>
      <c r="CS139" s="19"/>
      <c r="CT139" s="19" t="s">
        <v>2113</v>
      </c>
      <c r="CU139" s="19" t="s">
        <v>2113</v>
      </c>
      <c r="CV139" s="19" t="s">
        <v>2141</v>
      </c>
      <c r="CW139" s="19" t="s">
        <v>2113</v>
      </c>
      <c r="CX139" s="19" t="s">
        <v>2113</v>
      </c>
      <c r="CY139" s="19"/>
      <c r="CZ139" s="19"/>
      <c r="DA139" s="19" t="s">
        <v>16</v>
      </c>
      <c r="DB139" s="19" t="s">
        <v>17</v>
      </c>
      <c r="DC139" s="19" t="s">
        <v>4043</v>
      </c>
      <c r="DD139" s="19" t="s">
        <v>2113</v>
      </c>
      <c r="DE139" s="19" t="s">
        <v>2113</v>
      </c>
      <c r="DF139" s="19" t="s">
        <v>3684</v>
      </c>
      <c r="DG139" s="19" t="s">
        <v>4791</v>
      </c>
      <c r="DH139" s="19" t="s">
        <v>2144</v>
      </c>
      <c r="DI139" s="24">
        <v>45518.0</v>
      </c>
      <c r="DJ139" s="19" t="s">
        <v>2174</v>
      </c>
      <c r="DK139" s="19" t="s">
        <v>2145</v>
      </c>
      <c r="DL139" s="19" t="s">
        <v>2183</v>
      </c>
      <c r="DM139" s="19" t="s">
        <v>2228</v>
      </c>
      <c r="DN139" s="19">
        <v>3.0</v>
      </c>
      <c r="DO139" s="19">
        <v>3.0</v>
      </c>
      <c r="DP139" s="19" t="s">
        <v>4792</v>
      </c>
      <c r="DQ139" s="19" t="s">
        <v>4793</v>
      </c>
      <c r="DR139" s="19" t="s">
        <v>4794</v>
      </c>
      <c r="DS139" s="19" t="s">
        <v>2365</v>
      </c>
      <c r="DT139" s="19" t="s">
        <v>2366</v>
      </c>
      <c r="DU139" s="19"/>
      <c r="DV139" s="19"/>
      <c r="DW139" s="19" t="s">
        <v>2479</v>
      </c>
      <c r="DX139" s="19">
        <v>11.0</v>
      </c>
      <c r="DY139" s="19">
        <v>0.0</v>
      </c>
      <c r="DZ139" s="19">
        <v>0.0</v>
      </c>
      <c r="EA139" s="19">
        <v>0.0</v>
      </c>
      <c r="EB139" s="19">
        <v>3.0</v>
      </c>
      <c r="EC139" s="19">
        <v>20.0</v>
      </c>
      <c r="ED139" s="19" t="s">
        <v>2174</v>
      </c>
      <c r="EE139" s="24">
        <v>45518.0</v>
      </c>
      <c r="EF139" s="19" t="s">
        <v>2174</v>
      </c>
      <c r="EG139" s="19" t="s">
        <v>2145</v>
      </c>
      <c r="EH139" s="19" t="s">
        <v>2183</v>
      </c>
      <c r="EI139" s="22">
        <v>13.8375</v>
      </c>
      <c r="EJ139" s="19">
        <v>40.0</v>
      </c>
      <c r="EK139" s="19" t="s">
        <v>2113</v>
      </c>
      <c r="EL139" s="19" t="s">
        <v>2117</v>
      </c>
      <c r="EM139" s="19" t="s">
        <v>4032</v>
      </c>
      <c r="EN139" s="19" t="s">
        <v>420</v>
      </c>
      <c r="EO139" s="19" t="s">
        <v>2529</v>
      </c>
      <c r="EP139" s="19" t="s">
        <v>2310</v>
      </c>
      <c r="EQ139" s="19" t="s">
        <v>2537</v>
      </c>
      <c r="ER139" s="19"/>
      <c r="ES139" s="19" t="s">
        <v>420</v>
      </c>
      <c r="ET139" s="19" t="s">
        <v>420</v>
      </c>
      <c r="EU139" s="19" t="s">
        <v>4783</v>
      </c>
      <c r="EV139" s="19">
        <v>8153.0</v>
      </c>
      <c r="EW139" s="19" t="s">
        <v>16</v>
      </c>
      <c r="EX139" s="19">
        <v>5.0</v>
      </c>
      <c r="EY139" s="25" t="s">
        <v>419</v>
      </c>
      <c r="EZ139" s="19" t="s">
        <v>2154</v>
      </c>
      <c r="FA139" s="5" t="s">
        <v>4795</v>
      </c>
      <c r="FB139" s="26" t="s">
        <v>2156</v>
      </c>
      <c r="FC139" s="26"/>
    </row>
    <row r="140">
      <c r="A140" s="19" t="s">
        <v>2112</v>
      </c>
      <c r="B140" s="19" t="s">
        <v>2113</v>
      </c>
      <c r="C140" s="19" t="s">
        <v>2113</v>
      </c>
      <c r="D140" s="19" t="s">
        <v>4796</v>
      </c>
      <c r="E140" s="19" t="s">
        <v>4797</v>
      </c>
      <c r="F140" s="19" t="s">
        <v>4798</v>
      </c>
      <c r="G140" s="19" t="s">
        <v>4799</v>
      </c>
      <c r="H140" s="19" t="s">
        <v>421</v>
      </c>
      <c r="I140" s="19" t="s">
        <v>423</v>
      </c>
      <c r="J140" s="19" t="s">
        <v>4800</v>
      </c>
      <c r="K140" s="19" t="s">
        <v>4801</v>
      </c>
      <c r="L140" s="20">
        <v>45458.0</v>
      </c>
      <c r="M140" s="20">
        <v>45460.0</v>
      </c>
      <c r="N140" s="20">
        <v>45460.0</v>
      </c>
      <c r="O140" s="19" t="s">
        <v>422</v>
      </c>
      <c r="P140" s="19">
        <v>0.0</v>
      </c>
      <c r="Q140" s="19">
        <v>28.0</v>
      </c>
      <c r="R140" s="19">
        <v>10244.0</v>
      </c>
      <c r="S140" s="20" t="s">
        <v>4802</v>
      </c>
      <c r="T140" s="20">
        <v>45461.0</v>
      </c>
      <c r="U140" s="19" t="s">
        <v>4798</v>
      </c>
      <c r="V140" s="19"/>
      <c r="W140" s="19" t="s">
        <v>4803</v>
      </c>
      <c r="X140" s="21">
        <v>20.0</v>
      </c>
      <c r="Y140" s="21">
        <v>0.0</v>
      </c>
      <c r="Z140" s="21">
        <v>5.0</v>
      </c>
      <c r="AA140" s="21">
        <v>0.0</v>
      </c>
      <c r="AB140" s="5">
        <v>25.0</v>
      </c>
      <c r="AC140" s="19">
        <v>5.0</v>
      </c>
      <c r="AD140" s="19">
        <v>5.0</v>
      </c>
      <c r="AE140" s="19">
        <v>5.0</v>
      </c>
      <c r="AF140" s="19">
        <v>5.0</v>
      </c>
      <c r="AG140" s="19">
        <v>4.0</v>
      </c>
      <c r="AH140" s="19">
        <v>5.0</v>
      </c>
      <c r="AI140" s="22">
        <v>14.625</v>
      </c>
      <c r="AJ140" s="19">
        <v>13.0</v>
      </c>
      <c r="AK140" s="19">
        <v>14.0</v>
      </c>
      <c r="AL140" s="19">
        <v>15.0</v>
      </c>
      <c r="AM140" s="19">
        <v>42.0</v>
      </c>
      <c r="AN140" s="19">
        <v>56.6</v>
      </c>
      <c r="AO140" s="19">
        <v>81.6</v>
      </c>
      <c r="AP140" s="19">
        <v>262.0</v>
      </c>
      <c r="AQ140" s="23">
        <v>136.0</v>
      </c>
      <c r="AR140" s="23">
        <v>21.0</v>
      </c>
      <c r="AS140" s="22"/>
      <c r="AT140" s="19" t="s">
        <v>2163</v>
      </c>
      <c r="AU140" s="19" t="s">
        <v>4804</v>
      </c>
      <c r="AV140" s="19" t="s">
        <v>4805</v>
      </c>
      <c r="AW140" s="19" t="s">
        <v>2166</v>
      </c>
      <c r="AX140" s="20">
        <v>35217.0</v>
      </c>
      <c r="AY140" s="19" t="s">
        <v>2286</v>
      </c>
      <c r="AZ140" s="19" t="s">
        <v>2122</v>
      </c>
      <c r="BA140" s="19" t="s">
        <v>4806</v>
      </c>
      <c r="BB140" s="19" t="s">
        <v>3234</v>
      </c>
      <c r="BC140" s="19" t="s">
        <v>4807</v>
      </c>
      <c r="BD140" s="19" t="s">
        <v>4808</v>
      </c>
      <c r="BE140" s="19" t="s">
        <v>4809</v>
      </c>
      <c r="BF140" s="19">
        <v>1.1994380809E10</v>
      </c>
      <c r="BG140" s="19" t="s">
        <v>4038</v>
      </c>
      <c r="BH140" s="19" t="s">
        <v>2128</v>
      </c>
      <c r="BI140" s="19"/>
      <c r="BJ140" s="19" t="s">
        <v>2128</v>
      </c>
      <c r="BK140" s="19" t="s">
        <v>17</v>
      </c>
      <c r="BL140" s="19"/>
      <c r="BM140" s="19" t="s">
        <v>2130</v>
      </c>
      <c r="BN140" s="19" t="s">
        <v>17</v>
      </c>
      <c r="BO140" s="19" t="s">
        <v>2132</v>
      </c>
      <c r="BP140" s="19"/>
      <c r="BQ140" s="19" t="s">
        <v>2133</v>
      </c>
      <c r="BR140" s="19" t="s">
        <v>2133</v>
      </c>
      <c r="BS140" s="19" t="s">
        <v>2134</v>
      </c>
      <c r="BT140" s="19" t="s">
        <v>38</v>
      </c>
      <c r="BU140" s="19" t="s">
        <v>4810</v>
      </c>
      <c r="BV140" s="19" t="s">
        <v>4811</v>
      </c>
      <c r="BW140" s="19" t="s">
        <v>2113</v>
      </c>
      <c r="BX140" s="19"/>
      <c r="BY140" s="19"/>
      <c r="BZ140" s="19"/>
      <c r="CA140" s="19"/>
      <c r="CB140" s="19" t="s">
        <v>2113</v>
      </c>
      <c r="CC140" s="19"/>
      <c r="CD140" s="19" t="s">
        <v>2137</v>
      </c>
      <c r="CE140" s="19" t="s">
        <v>16</v>
      </c>
      <c r="CF140" s="19"/>
      <c r="CG140" s="19"/>
      <c r="CH140" s="19" t="s">
        <v>16</v>
      </c>
      <c r="CI140" s="21">
        <v>0.0</v>
      </c>
      <c r="CJ140" s="19" t="s">
        <v>17</v>
      </c>
      <c r="CK140" s="19"/>
      <c r="CL140" s="19"/>
      <c r="CM140" s="19" t="s">
        <v>2749</v>
      </c>
      <c r="CN140" s="19" t="s">
        <v>2294</v>
      </c>
      <c r="CO140" s="19"/>
      <c r="CP140" s="19" t="s">
        <v>2246</v>
      </c>
      <c r="CQ140" s="19"/>
      <c r="CR140" s="19" t="s">
        <v>2113</v>
      </c>
      <c r="CS140" s="19" t="s">
        <v>2113</v>
      </c>
      <c r="CT140" s="19" t="s">
        <v>2113</v>
      </c>
      <c r="CU140" s="19" t="s">
        <v>2113</v>
      </c>
      <c r="CV140" s="19" t="s">
        <v>2141</v>
      </c>
      <c r="CW140" s="19" t="s">
        <v>2113</v>
      </c>
      <c r="CX140" s="19" t="s">
        <v>2113</v>
      </c>
      <c r="CY140" s="19"/>
      <c r="CZ140" s="19"/>
      <c r="DA140" s="19" t="s">
        <v>16</v>
      </c>
      <c r="DB140" s="19" t="s">
        <v>17</v>
      </c>
      <c r="DC140" s="19" t="s">
        <v>2142</v>
      </c>
      <c r="DD140" s="19"/>
      <c r="DE140" s="19"/>
      <c r="DF140" s="19" t="s">
        <v>2477</v>
      </c>
      <c r="DG140" s="19" t="s">
        <v>2843</v>
      </c>
      <c r="DH140" s="19" t="s">
        <v>2144</v>
      </c>
      <c r="DI140" s="24">
        <v>45533.0</v>
      </c>
      <c r="DJ140" s="19" t="s">
        <v>2133</v>
      </c>
      <c r="DK140" s="19" t="s">
        <v>2145</v>
      </c>
      <c r="DL140" s="19" t="s">
        <v>2146</v>
      </c>
      <c r="DM140" s="19" t="s">
        <v>2147</v>
      </c>
      <c r="DN140" s="19">
        <v>17.0</v>
      </c>
      <c r="DO140" s="19">
        <v>17.0</v>
      </c>
      <c r="DP140" s="19" t="s">
        <v>4812</v>
      </c>
      <c r="DQ140" s="19" t="s">
        <v>4813</v>
      </c>
      <c r="DR140" s="19" t="s">
        <v>4814</v>
      </c>
      <c r="DS140" s="19" t="s">
        <v>2151</v>
      </c>
      <c r="DT140" s="19" t="s">
        <v>2186</v>
      </c>
      <c r="DU140" s="19"/>
      <c r="DV140" s="19"/>
      <c r="DW140" s="19" t="s">
        <v>2153</v>
      </c>
      <c r="DX140" s="19">
        <v>12.0</v>
      </c>
      <c r="DY140" s="19">
        <v>0.0</v>
      </c>
      <c r="DZ140" s="19">
        <v>0.0</v>
      </c>
      <c r="EA140" s="19">
        <v>0.0</v>
      </c>
      <c r="EB140" s="19">
        <v>0.0</v>
      </c>
      <c r="EC140" s="19">
        <v>20.0</v>
      </c>
      <c r="ED140" s="19" t="s">
        <v>2133</v>
      </c>
      <c r="EE140" s="24">
        <v>45533.0</v>
      </c>
      <c r="EF140" s="19" t="s">
        <v>2133</v>
      </c>
      <c r="EG140" s="19" t="s">
        <v>2145</v>
      </c>
      <c r="EH140" s="19" t="s">
        <v>2146</v>
      </c>
      <c r="EI140" s="22">
        <v>14.625</v>
      </c>
      <c r="EJ140" s="19">
        <v>42.0</v>
      </c>
      <c r="EK140" s="19" t="s">
        <v>2113</v>
      </c>
      <c r="EL140" s="19" t="s">
        <v>2163</v>
      </c>
      <c r="EM140" s="19" t="s">
        <v>4804</v>
      </c>
      <c r="EN140" s="19" t="s">
        <v>423</v>
      </c>
      <c r="EO140" s="19" t="s">
        <v>2286</v>
      </c>
      <c r="EP140" s="19" t="s">
        <v>2122</v>
      </c>
      <c r="EQ140" s="19" t="s">
        <v>2294</v>
      </c>
      <c r="ER140" s="19"/>
      <c r="ES140" s="19" t="s">
        <v>423</v>
      </c>
      <c r="ET140" s="19" t="s">
        <v>423</v>
      </c>
      <c r="EU140" s="19" t="s">
        <v>4801</v>
      </c>
      <c r="EV140" s="19">
        <v>10244.0</v>
      </c>
      <c r="EW140" s="19" t="s">
        <v>16</v>
      </c>
      <c r="EX140" s="19">
        <v>5.0</v>
      </c>
      <c r="EY140" s="25" t="s">
        <v>422</v>
      </c>
      <c r="EZ140" s="19" t="s">
        <v>2154</v>
      </c>
      <c r="FA140" s="5" t="s">
        <v>4815</v>
      </c>
      <c r="FB140" s="26" t="s">
        <v>2156</v>
      </c>
      <c r="FC140" s="26"/>
    </row>
    <row r="141">
      <c r="A141" s="19" t="s">
        <v>2112</v>
      </c>
      <c r="B141" s="19" t="s">
        <v>2113</v>
      </c>
      <c r="C141" s="19" t="s">
        <v>2113</v>
      </c>
      <c r="D141" s="19" t="s">
        <v>424</v>
      </c>
      <c r="E141" s="19" t="s">
        <v>4816</v>
      </c>
      <c r="F141" s="19" t="s">
        <v>424</v>
      </c>
      <c r="G141" s="19" t="s">
        <v>4816</v>
      </c>
      <c r="H141" s="19" t="s">
        <v>424</v>
      </c>
      <c r="I141" s="19" t="s">
        <v>426</v>
      </c>
      <c r="J141" s="19" t="s">
        <v>4817</v>
      </c>
      <c r="K141" s="19" t="s">
        <v>4818</v>
      </c>
      <c r="L141" s="20">
        <v>45404.0</v>
      </c>
      <c r="M141" s="20">
        <v>45411.0</v>
      </c>
      <c r="N141" s="20">
        <v>45411.0</v>
      </c>
      <c r="O141" s="19" t="s">
        <v>425</v>
      </c>
      <c r="P141" s="19">
        <v>0.0</v>
      </c>
      <c r="Q141" s="19">
        <v>19.0</v>
      </c>
      <c r="R141" s="19">
        <v>7169.0</v>
      </c>
      <c r="S141" s="20" t="s">
        <v>4819</v>
      </c>
      <c r="T141" s="20">
        <v>45461.0</v>
      </c>
      <c r="U141" s="19" t="s">
        <v>424</v>
      </c>
      <c r="V141" s="19"/>
      <c r="W141" s="19" t="s">
        <v>4820</v>
      </c>
      <c r="X141" s="21">
        <v>20.0</v>
      </c>
      <c r="Y141" s="21">
        <v>0.0</v>
      </c>
      <c r="Z141" s="21">
        <v>2.0</v>
      </c>
      <c r="AA141" s="21">
        <v>0.0</v>
      </c>
      <c r="AB141" s="5">
        <v>22.0</v>
      </c>
      <c r="AC141" s="19">
        <v>5.0</v>
      </c>
      <c r="AD141" s="19">
        <v>5.0</v>
      </c>
      <c r="AE141" s="19">
        <v>5.0</v>
      </c>
      <c r="AF141" s="19">
        <v>5.0</v>
      </c>
      <c r="AG141" s="19">
        <v>5.0</v>
      </c>
      <c r="AH141" s="19">
        <v>4.0</v>
      </c>
      <c r="AI141" s="22">
        <v>14.625</v>
      </c>
      <c r="AJ141" s="19">
        <v>15.0</v>
      </c>
      <c r="AK141" s="19">
        <v>15.0</v>
      </c>
      <c r="AL141" s="19">
        <v>15.0</v>
      </c>
      <c r="AM141" s="19">
        <v>45.0</v>
      </c>
      <c r="AN141" s="19">
        <v>59.6</v>
      </c>
      <c r="AO141" s="19">
        <v>81.6</v>
      </c>
      <c r="AP141" s="19">
        <v>338.0</v>
      </c>
      <c r="AQ141" s="23">
        <v>137.0</v>
      </c>
      <c r="AR141" s="23">
        <v>14.0</v>
      </c>
      <c r="AS141" s="22"/>
      <c r="AT141" s="19" t="s">
        <v>2282</v>
      </c>
      <c r="AU141" s="19" t="s">
        <v>4821</v>
      </c>
      <c r="AV141" s="19" t="s">
        <v>4822</v>
      </c>
      <c r="AW141" s="19" t="s">
        <v>4823</v>
      </c>
      <c r="AX141" s="20">
        <v>38292.0</v>
      </c>
      <c r="AY141" s="19" t="s">
        <v>3193</v>
      </c>
      <c r="AZ141" s="19" t="s">
        <v>2445</v>
      </c>
      <c r="BA141" s="19" t="s">
        <v>4824</v>
      </c>
      <c r="BB141" s="19" t="s">
        <v>4825</v>
      </c>
      <c r="BC141" s="19" t="s">
        <v>4826</v>
      </c>
      <c r="BD141" s="19" t="s">
        <v>4827</v>
      </c>
      <c r="BE141" s="19" t="s">
        <v>4828</v>
      </c>
      <c r="BF141" s="19">
        <v>1.1962286364E10</v>
      </c>
      <c r="BG141" s="19" t="s">
        <v>2127</v>
      </c>
      <c r="BH141" s="19" t="s">
        <v>2128</v>
      </c>
      <c r="BI141" s="19"/>
      <c r="BJ141" s="19" t="s">
        <v>2128</v>
      </c>
      <c r="BK141" s="19" t="s">
        <v>17</v>
      </c>
      <c r="BL141" s="19" t="s">
        <v>2113</v>
      </c>
      <c r="BM141" s="19" t="s">
        <v>2130</v>
      </c>
      <c r="BN141" s="19" t="s">
        <v>3951</v>
      </c>
      <c r="BO141" s="19" t="s">
        <v>3199</v>
      </c>
      <c r="BP141" s="19" t="s">
        <v>4829</v>
      </c>
      <c r="BQ141" s="19" t="s">
        <v>2133</v>
      </c>
      <c r="BR141" s="19" t="s">
        <v>2133</v>
      </c>
      <c r="BS141" s="19" t="s">
        <v>3521</v>
      </c>
      <c r="BT141" s="19" t="s">
        <v>15</v>
      </c>
      <c r="BU141" s="19" t="s">
        <v>4830</v>
      </c>
      <c r="BV141" s="19" t="s">
        <v>4831</v>
      </c>
      <c r="BW141" s="19"/>
      <c r="BX141" s="19"/>
      <c r="BY141" s="19"/>
      <c r="BZ141" s="19" t="s">
        <v>2113</v>
      </c>
      <c r="CA141" s="19"/>
      <c r="CB141" s="19" t="s">
        <v>2113</v>
      </c>
      <c r="CC141" s="19"/>
      <c r="CD141" s="19" t="s">
        <v>2137</v>
      </c>
      <c r="CE141" s="19" t="s">
        <v>16</v>
      </c>
      <c r="CF141" s="19"/>
      <c r="CG141" s="19"/>
      <c r="CH141" s="19" t="s">
        <v>16</v>
      </c>
      <c r="CI141" s="21">
        <v>0.0</v>
      </c>
      <c r="CJ141" s="19" t="s">
        <v>16</v>
      </c>
      <c r="CK141" s="19"/>
      <c r="CL141" s="19"/>
      <c r="CM141" s="19" t="s">
        <v>2926</v>
      </c>
      <c r="CN141" s="19" t="s">
        <v>3202</v>
      </c>
      <c r="CO141" s="19"/>
      <c r="CP141" s="19" t="s">
        <v>2267</v>
      </c>
      <c r="CQ141" s="19"/>
      <c r="CR141" s="19" t="s">
        <v>2113</v>
      </c>
      <c r="CS141" s="19" t="s">
        <v>2113</v>
      </c>
      <c r="CT141" s="19"/>
      <c r="CU141" s="19"/>
      <c r="CV141" s="19" t="s">
        <v>2141</v>
      </c>
      <c r="CW141" s="19"/>
      <c r="CX141" s="19"/>
      <c r="CY141" s="19" t="s">
        <v>2113</v>
      </c>
      <c r="CZ141" s="19" t="s">
        <v>2113</v>
      </c>
      <c r="DA141" s="19" t="s">
        <v>16</v>
      </c>
      <c r="DB141" s="19" t="s">
        <v>16</v>
      </c>
      <c r="DC141" s="19" t="s">
        <v>4120</v>
      </c>
      <c r="DD141" s="19" t="s">
        <v>2113</v>
      </c>
      <c r="DE141" s="19" t="s">
        <v>2113</v>
      </c>
      <c r="DF141" s="19" t="s">
        <v>2433</v>
      </c>
      <c r="DG141" s="19" t="s">
        <v>3337</v>
      </c>
      <c r="DH141" s="19" t="s">
        <v>2144</v>
      </c>
      <c r="DI141" s="24">
        <v>45525.0</v>
      </c>
      <c r="DJ141" s="19" t="s">
        <v>2133</v>
      </c>
      <c r="DK141" s="19" t="s">
        <v>2271</v>
      </c>
      <c r="DL141" s="19" t="s">
        <v>2146</v>
      </c>
      <c r="DM141" s="19" t="s">
        <v>2408</v>
      </c>
      <c r="DN141" s="19">
        <v>10.0</v>
      </c>
      <c r="DO141" s="19">
        <v>10.0</v>
      </c>
      <c r="DP141" s="19" t="s">
        <v>4832</v>
      </c>
      <c r="DQ141" s="19" t="s">
        <v>4833</v>
      </c>
      <c r="DR141" s="19" t="s">
        <v>4834</v>
      </c>
      <c r="DS141" s="19" t="s">
        <v>2365</v>
      </c>
      <c r="DT141" s="19" t="s">
        <v>2209</v>
      </c>
      <c r="DU141" s="19"/>
      <c r="DV141" s="19"/>
      <c r="DW141" s="19" t="s">
        <v>2153</v>
      </c>
      <c r="DX141" s="19">
        <v>8.0</v>
      </c>
      <c r="DY141" s="19">
        <v>0.0</v>
      </c>
      <c r="DZ141" s="19">
        <v>0.0</v>
      </c>
      <c r="EA141" s="19">
        <v>0.0</v>
      </c>
      <c r="EB141" s="19">
        <v>0.0</v>
      </c>
      <c r="EC141" s="19">
        <v>20.0</v>
      </c>
      <c r="ED141" s="19" t="s">
        <v>2133</v>
      </c>
      <c r="EE141" s="24">
        <v>45525.0</v>
      </c>
      <c r="EF141" s="19" t="s">
        <v>2133</v>
      </c>
      <c r="EG141" s="19" t="s">
        <v>2271</v>
      </c>
      <c r="EH141" s="19" t="s">
        <v>2146</v>
      </c>
      <c r="EI141" s="22">
        <v>14.625</v>
      </c>
      <c r="EJ141" s="19">
        <v>45.0</v>
      </c>
      <c r="EK141" s="19"/>
      <c r="EL141" s="19" t="s">
        <v>2282</v>
      </c>
      <c r="EM141" s="19" t="s">
        <v>4821</v>
      </c>
      <c r="EN141" s="19" t="s">
        <v>426</v>
      </c>
      <c r="EO141" s="19" t="s">
        <v>3193</v>
      </c>
      <c r="EP141" s="19" t="s">
        <v>2445</v>
      </c>
      <c r="EQ141" s="19" t="s">
        <v>3202</v>
      </c>
      <c r="ER141" s="19"/>
      <c r="ES141" s="19" t="s">
        <v>426</v>
      </c>
      <c r="ET141" s="19" t="s">
        <v>426</v>
      </c>
      <c r="EU141" s="19" t="s">
        <v>4818</v>
      </c>
      <c r="EV141" s="19">
        <v>7169.0</v>
      </c>
      <c r="EW141" s="19" t="s">
        <v>16</v>
      </c>
      <c r="EX141" s="19">
        <v>2.0</v>
      </c>
      <c r="EY141" s="25" t="s">
        <v>425</v>
      </c>
      <c r="EZ141" s="19" t="s">
        <v>2154</v>
      </c>
      <c r="FA141" s="5" t="s">
        <v>4835</v>
      </c>
      <c r="FB141" s="26" t="s">
        <v>2156</v>
      </c>
      <c r="FC141" s="26"/>
    </row>
    <row r="142">
      <c r="A142" s="19" t="s">
        <v>2156</v>
      </c>
      <c r="B142" s="19" t="s">
        <v>2113</v>
      </c>
      <c r="C142" s="19" t="s">
        <v>2113</v>
      </c>
      <c r="D142" s="19" t="s">
        <v>427</v>
      </c>
      <c r="E142" s="19" t="s">
        <v>4836</v>
      </c>
      <c r="F142" s="19" t="s">
        <v>427</v>
      </c>
      <c r="G142" s="19"/>
      <c r="H142" s="19" t="s">
        <v>427</v>
      </c>
      <c r="I142" s="19" t="s">
        <v>429</v>
      </c>
      <c r="J142" s="19" t="s">
        <v>4837</v>
      </c>
      <c r="K142" s="19" t="s">
        <v>4838</v>
      </c>
      <c r="L142" s="20">
        <v>45460.0</v>
      </c>
      <c r="M142" s="20">
        <v>45460.0</v>
      </c>
      <c r="N142" s="20">
        <v>45460.0</v>
      </c>
      <c r="O142" s="19" t="s">
        <v>428</v>
      </c>
      <c r="P142" s="19">
        <v>0.0</v>
      </c>
      <c r="Q142" s="19">
        <v>24.0</v>
      </c>
      <c r="R142" s="19">
        <v>8850.0</v>
      </c>
      <c r="S142" s="20" t="s">
        <v>4839</v>
      </c>
      <c r="T142" s="20">
        <v>45461.0</v>
      </c>
      <c r="U142" s="19" t="s">
        <v>427</v>
      </c>
      <c r="V142" s="19"/>
      <c r="W142" s="19" t="s">
        <v>4840</v>
      </c>
      <c r="X142" s="21">
        <v>20.0</v>
      </c>
      <c r="Y142" s="21">
        <v>0.0</v>
      </c>
      <c r="Z142" s="21">
        <v>4.0</v>
      </c>
      <c r="AA142" s="21">
        <v>0.0</v>
      </c>
      <c r="AB142" s="5">
        <v>24.0</v>
      </c>
      <c r="AC142" s="19">
        <v>5.0</v>
      </c>
      <c r="AD142" s="19">
        <v>5.0</v>
      </c>
      <c r="AE142" s="19">
        <v>5.0</v>
      </c>
      <c r="AF142" s="19">
        <v>4.0</v>
      </c>
      <c r="AG142" s="19">
        <v>5.0</v>
      </c>
      <c r="AH142" s="19">
        <v>4.0</v>
      </c>
      <c r="AI142" s="22">
        <v>14.25</v>
      </c>
      <c r="AJ142" s="19">
        <v>13.0</v>
      </c>
      <c r="AK142" s="19">
        <v>15.0</v>
      </c>
      <c r="AL142" s="19">
        <v>15.0</v>
      </c>
      <c r="AM142" s="19">
        <v>43.0</v>
      </c>
      <c r="AN142" s="19">
        <v>57.3</v>
      </c>
      <c r="AO142" s="19">
        <v>81.3</v>
      </c>
      <c r="AP142" s="19">
        <v>286.0</v>
      </c>
      <c r="AQ142" s="23">
        <v>138.0</v>
      </c>
      <c r="AR142" s="23">
        <v>12.0</v>
      </c>
      <c r="AS142" s="22"/>
      <c r="AT142" s="19" t="s">
        <v>2117</v>
      </c>
      <c r="AU142" s="19" t="s">
        <v>4841</v>
      </c>
      <c r="AV142" s="19" t="s">
        <v>4842</v>
      </c>
      <c r="AW142" s="19" t="s">
        <v>2166</v>
      </c>
      <c r="AX142" s="20">
        <v>36611.0</v>
      </c>
      <c r="AY142" s="19" t="s">
        <v>2375</v>
      </c>
      <c r="AZ142" s="19" t="s">
        <v>2122</v>
      </c>
      <c r="BA142" s="19" t="s">
        <v>4843</v>
      </c>
      <c r="BB142" s="19" t="s">
        <v>4844</v>
      </c>
      <c r="BC142" s="19" t="s">
        <v>4845</v>
      </c>
      <c r="BD142" s="19" t="s">
        <v>4846</v>
      </c>
      <c r="BE142" s="19" t="s">
        <v>4837</v>
      </c>
      <c r="BF142" s="19">
        <v>1.1943569382E10</v>
      </c>
      <c r="BG142" s="19" t="s">
        <v>4038</v>
      </c>
      <c r="BH142" s="19" t="s">
        <v>2128</v>
      </c>
      <c r="BI142" s="19"/>
      <c r="BJ142" s="19" t="s">
        <v>2128</v>
      </c>
      <c r="BK142" s="19" t="s">
        <v>17</v>
      </c>
      <c r="BL142" s="19" t="s">
        <v>2113</v>
      </c>
      <c r="BM142" s="19" t="s">
        <v>2130</v>
      </c>
      <c r="BN142" s="19" t="s">
        <v>3910</v>
      </c>
      <c r="BO142" s="19" t="s">
        <v>2317</v>
      </c>
      <c r="BP142" s="19" t="s">
        <v>4847</v>
      </c>
      <c r="BQ142" s="19" t="s">
        <v>2133</v>
      </c>
      <c r="BR142" s="19" t="s">
        <v>2133</v>
      </c>
      <c r="BS142" s="19" t="s">
        <v>2134</v>
      </c>
      <c r="BT142" s="19" t="s">
        <v>52</v>
      </c>
      <c r="BU142" s="19" t="s">
        <v>4848</v>
      </c>
      <c r="BV142" s="19" t="s">
        <v>4849</v>
      </c>
      <c r="BW142" s="19"/>
      <c r="BX142" s="19" t="s">
        <v>2113</v>
      </c>
      <c r="BY142" s="19" t="s">
        <v>2113</v>
      </c>
      <c r="BZ142" s="19" t="s">
        <v>2113</v>
      </c>
      <c r="CA142" s="19" t="s">
        <v>2113</v>
      </c>
      <c r="CB142" s="19" t="s">
        <v>2113</v>
      </c>
      <c r="CC142" s="19"/>
      <c r="CD142" s="19" t="s">
        <v>2137</v>
      </c>
      <c r="CE142" s="19" t="s">
        <v>16</v>
      </c>
      <c r="CF142" s="19"/>
      <c r="CG142" s="19"/>
      <c r="CH142" s="19" t="s">
        <v>16</v>
      </c>
      <c r="CI142" s="21">
        <v>0.0</v>
      </c>
      <c r="CJ142" s="19" t="s">
        <v>17</v>
      </c>
      <c r="CK142" s="19"/>
      <c r="CL142" s="19" t="s">
        <v>2113</v>
      </c>
      <c r="CM142" s="19" t="s">
        <v>2138</v>
      </c>
      <c r="CN142" s="19" t="s">
        <v>2382</v>
      </c>
      <c r="CO142" s="19"/>
      <c r="CP142" s="19" t="s">
        <v>2246</v>
      </c>
      <c r="CQ142" s="19"/>
      <c r="CR142" s="19" t="s">
        <v>2113</v>
      </c>
      <c r="CS142" s="19" t="s">
        <v>2113</v>
      </c>
      <c r="CT142" s="19" t="s">
        <v>2113</v>
      </c>
      <c r="CU142" s="19" t="s">
        <v>2113</v>
      </c>
      <c r="CV142" s="19" t="s">
        <v>2141</v>
      </c>
      <c r="CW142" s="19" t="s">
        <v>2113</v>
      </c>
      <c r="CX142" s="19" t="s">
        <v>2113</v>
      </c>
      <c r="CY142" s="19" t="s">
        <v>2113</v>
      </c>
      <c r="CZ142" s="19" t="s">
        <v>2113</v>
      </c>
      <c r="DA142" s="19" t="s">
        <v>16</v>
      </c>
      <c r="DB142" s="19" t="s">
        <v>17</v>
      </c>
      <c r="DC142" s="19" t="s">
        <v>2627</v>
      </c>
      <c r="DD142" s="19" t="s">
        <v>2113</v>
      </c>
      <c r="DE142" s="19" t="s">
        <v>2113</v>
      </c>
      <c r="DF142" s="19" t="s">
        <v>2579</v>
      </c>
      <c r="DG142" s="19" t="s">
        <v>4424</v>
      </c>
      <c r="DH142" s="19" t="s">
        <v>2144</v>
      </c>
      <c r="DI142" s="24">
        <v>45518.0</v>
      </c>
      <c r="DJ142" s="19" t="s">
        <v>2133</v>
      </c>
      <c r="DK142" s="19" t="s">
        <v>2145</v>
      </c>
      <c r="DL142" s="19" t="s">
        <v>2146</v>
      </c>
      <c r="DM142" s="19" t="s">
        <v>2672</v>
      </c>
      <c r="DN142" s="19">
        <v>3.0</v>
      </c>
      <c r="DO142" s="19">
        <v>3.0</v>
      </c>
      <c r="DP142" s="19" t="s">
        <v>4850</v>
      </c>
      <c r="DQ142" s="19" t="s">
        <v>4851</v>
      </c>
      <c r="DR142" s="19" t="s">
        <v>4852</v>
      </c>
      <c r="DS142" s="19" t="s">
        <v>2365</v>
      </c>
      <c r="DT142" s="19" t="s">
        <v>2186</v>
      </c>
      <c r="DU142" s="19"/>
      <c r="DV142" s="19"/>
      <c r="DW142" s="19" t="s">
        <v>2153</v>
      </c>
      <c r="DX142" s="19">
        <v>8.0</v>
      </c>
      <c r="DY142" s="19">
        <v>0.0</v>
      </c>
      <c r="DZ142" s="19">
        <v>0.0</v>
      </c>
      <c r="EA142" s="19">
        <v>0.0</v>
      </c>
      <c r="EB142" s="19">
        <v>0.0</v>
      </c>
      <c r="EC142" s="19">
        <v>20.0</v>
      </c>
      <c r="ED142" s="19" t="s">
        <v>2133</v>
      </c>
      <c r="EE142" s="24">
        <v>45518.0</v>
      </c>
      <c r="EF142" s="19" t="s">
        <v>2133</v>
      </c>
      <c r="EG142" s="19" t="s">
        <v>2145</v>
      </c>
      <c r="EH142" s="19" t="s">
        <v>2146</v>
      </c>
      <c r="EI142" s="22">
        <v>14.25</v>
      </c>
      <c r="EJ142" s="19">
        <v>43.0</v>
      </c>
      <c r="EK142" s="19" t="s">
        <v>2113</v>
      </c>
      <c r="EL142" s="19" t="s">
        <v>2117</v>
      </c>
      <c r="EM142" s="19" t="s">
        <v>4841</v>
      </c>
      <c r="EN142" s="19" t="s">
        <v>429</v>
      </c>
      <c r="EO142" s="19" t="s">
        <v>2375</v>
      </c>
      <c r="EP142" s="19" t="s">
        <v>2122</v>
      </c>
      <c r="EQ142" s="19" t="s">
        <v>2382</v>
      </c>
      <c r="ER142" s="19"/>
      <c r="ES142" s="19" t="s">
        <v>429</v>
      </c>
      <c r="ET142" s="19" t="s">
        <v>429</v>
      </c>
      <c r="EU142" s="19" t="s">
        <v>4838</v>
      </c>
      <c r="EV142" s="19">
        <v>8850.0</v>
      </c>
      <c r="EW142" s="19" t="s">
        <v>16</v>
      </c>
      <c r="EX142" s="19">
        <v>4.0</v>
      </c>
      <c r="EY142" s="25" t="s">
        <v>428</v>
      </c>
      <c r="EZ142" s="19" t="s">
        <v>2154</v>
      </c>
      <c r="FA142" s="5" t="s">
        <v>4853</v>
      </c>
      <c r="FB142" s="26" t="s">
        <v>2156</v>
      </c>
      <c r="FC142" s="26"/>
    </row>
    <row r="143">
      <c r="A143" s="19" t="s">
        <v>2156</v>
      </c>
      <c r="B143" s="19" t="s">
        <v>2113</v>
      </c>
      <c r="C143" s="19" t="s">
        <v>2113</v>
      </c>
      <c r="D143" s="19" t="s">
        <v>430</v>
      </c>
      <c r="E143" s="19" t="s">
        <v>4854</v>
      </c>
      <c r="F143" s="19" t="s">
        <v>430</v>
      </c>
      <c r="G143" s="19" t="s">
        <v>4854</v>
      </c>
      <c r="H143" s="19" t="s">
        <v>430</v>
      </c>
      <c r="I143" s="19" t="s">
        <v>432</v>
      </c>
      <c r="J143" s="19" t="s">
        <v>4855</v>
      </c>
      <c r="K143" s="19" t="s">
        <v>4856</v>
      </c>
      <c r="L143" s="20">
        <v>45438.0</v>
      </c>
      <c r="M143" s="20">
        <v>45439.0</v>
      </c>
      <c r="N143" s="20">
        <v>45439.0</v>
      </c>
      <c r="O143" s="19" t="s">
        <v>431</v>
      </c>
      <c r="P143" s="19">
        <v>0.0</v>
      </c>
      <c r="Q143" s="19">
        <v>24.0</v>
      </c>
      <c r="R143" s="19">
        <v>8985.0</v>
      </c>
      <c r="S143" s="20" t="s">
        <v>4857</v>
      </c>
      <c r="T143" s="20">
        <v>45461.0</v>
      </c>
      <c r="U143" s="19" t="s">
        <v>430</v>
      </c>
      <c r="V143" s="19"/>
      <c r="W143" s="19"/>
      <c r="X143" s="21">
        <v>20.0</v>
      </c>
      <c r="Y143" s="21">
        <v>0.0</v>
      </c>
      <c r="Z143" s="21">
        <v>3.0</v>
      </c>
      <c r="AA143" s="21">
        <v>0.0</v>
      </c>
      <c r="AB143" s="5">
        <v>23.0</v>
      </c>
      <c r="AC143" s="19">
        <v>5.0</v>
      </c>
      <c r="AD143" s="19">
        <v>5.0</v>
      </c>
      <c r="AE143" s="19">
        <v>5.0</v>
      </c>
      <c r="AF143" s="19">
        <v>5.0</v>
      </c>
      <c r="AG143" s="19">
        <v>5.0</v>
      </c>
      <c r="AH143" s="19">
        <v>5.0</v>
      </c>
      <c r="AI143" s="22">
        <v>15.0</v>
      </c>
      <c r="AJ143" s="19">
        <v>14.0</v>
      </c>
      <c r="AK143" s="19">
        <v>15.0</v>
      </c>
      <c r="AL143" s="19">
        <v>14.0</v>
      </c>
      <c r="AM143" s="19">
        <v>43.0</v>
      </c>
      <c r="AN143" s="19">
        <v>58.0</v>
      </c>
      <c r="AO143" s="19">
        <v>81.0</v>
      </c>
      <c r="AP143" s="19">
        <v>312.0</v>
      </c>
      <c r="AQ143" s="23">
        <v>139.0</v>
      </c>
      <c r="AR143" s="23">
        <v>12.0</v>
      </c>
      <c r="AS143" s="22"/>
      <c r="AT143" s="19" t="s">
        <v>2117</v>
      </c>
      <c r="AU143" s="19" t="s">
        <v>4858</v>
      </c>
      <c r="AV143" s="19" t="s">
        <v>4859</v>
      </c>
      <c r="AW143" s="19"/>
      <c r="AX143" s="20">
        <v>36476.0</v>
      </c>
      <c r="AY143" s="19" t="s">
        <v>4860</v>
      </c>
      <c r="AZ143" s="19" t="s">
        <v>2122</v>
      </c>
      <c r="BA143" s="19" t="s">
        <v>4861</v>
      </c>
      <c r="BB143" s="19" t="s">
        <v>4862</v>
      </c>
      <c r="BC143" s="19" t="s">
        <v>4863</v>
      </c>
      <c r="BD143" s="19" t="s">
        <v>4864</v>
      </c>
      <c r="BE143" s="19"/>
      <c r="BF143" s="19"/>
      <c r="BG143" s="19" t="s">
        <v>2127</v>
      </c>
      <c r="BH143" s="19" t="s">
        <v>2128</v>
      </c>
      <c r="BI143" s="19"/>
      <c r="BJ143" s="19"/>
      <c r="BK143" s="19" t="s">
        <v>16</v>
      </c>
      <c r="BL143" s="19" t="s">
        <v>2113</v>
      </c>
      <c r="BM143" s="19" t="s">
        <v>2130</v>
      </c>
      <c r="BN143" s="19" t="s">
        <v>17</v>
      </c>
      <c r="BO143" s="19" t="s">
        <v>2473</v>
      </c>
      <c r="BP143" s="19"/>
      <c r="BQ143" s="19" t="s">
        <v>2325</v>
      </c>
      <c r="BR143" s="19" t="s">
        <v>2325</v>
      </c>
      <c r="BS143" s="19" t="s">
        <v>3521</v>
      </c>
      <c r="BT143" s="19" t="s">
        <v>59</v>
      </c>
      <c r="BU143" s="19" t="s">
        <v>4865</v>
      </c>
      <c r="BV143" s="19" t="s">
        <v>4866</v>
      </c>
      <c r="BW143" s="19"/>
      <c r="BX143" s="19" t="s">
        <v>2113</v>
      </c>
      <c r="BY143" s="19" t="s">
        <v>2113</v>
      </c>
      <c r="BZ143" s="19" t="s">
        <v>2113</v>
      </c>
      <c r="CA143" s="19"/>
      <c r="CB143" s="19" t="s">
        <v>2113</v>
      </c>
      <c r="CC143" s="19"/>
      <c r="CD143" s="19" t="s">
        <v>2137</v>
      </c>
      <c r="CE143" s="19" t="s">
        <v>16</v>
      </c>
      <c r="CF143" s="19"/>
      <c r="CG143" s="19"/>
      <c r="CH143" s="19" t="s">
        <v>16</v>
      </c>
      <c r="CI143" s="21">
        <v>0.0</v>
      </c>
      <c r="CJ143" s="19" t="s">
        <v>17</v>
      </c>
      <c r="CK143" s="19"/>
      <c r="CL143" s="19"/>
      <c r="CM143" s="19" t="s">
        <v>2138</v>
      </c>
      <c r="CN143" s="19" t="s">
        <v>3064</v>
      </c>
      <c r="CO143" s="19"/>
      <c r="CP143" s="19"/>
      <c r="CQ143" s="19"/>
      <c r="CR143" s="19"/>
      <c r="CS143" s="19"/>
      <c r="CT143" s="19"/>
      <c r="CU143" s="19"/>
      <c r="CV143" s="19" t="s">
        <v>2179</v>
      </c>
      <c r="CW143" s="19" t="s">
        <v>2113</v>
      </c>
      <c r="CX143" s="19" t="s">
        <v>2113</v>
      </c>
      <c r="CY143" s="19"/>
      <c r="CZ143" s="19"/>
      <c r="DA143" s="19" t="s">
        <v>16</v>
      </c>
      <c r="DB143" s="19" t="s">
        <v>17</v>
      </c>
      <c r="DC143" s="19" t="s">
        <v>2496</v>
      </c>
      <c r="DD143" s="19" t="s">
        <v>2113</v>
      </c>
      <c r="DE143" s="19" t="s">
        <v>2113</v>
      </c>
      <c r="DF143" s="19" t="s">
        <v>2323</v>
      </c>
      <c r="DG143" s="19" t="s">
        <v>2207</v>
      </c>
      <c r="DH143" s="19" t="s">
        <v>2144</v>
      </c>
      <c r="DI143" s="24">
        <v>45517.0</v>
      </c>
      <c r="DJ143" s="19" t="s">
        <v>2325</v>
      </c>
      <c r="DK143" s="19" t="s">
        <v>2271</v>
      </c>
      <c r="DL143" s="19" t="s">
        <v>2326</v>
      </c>
      <c r="DM143" s="19"/>
      <c r="DN143" s="19">
        <v>2.0</v>
      </c>
      <c r="DO143" s="19">
        <v>2.0</v>
      </c>
      <c r="DP143" s="19"/>
      <c r="DQ143" s="19"/>
      <c r="DR143" s="19"/>
      <c r="DS143" s="19" t="s">
        <v>2185</v>
      </c>
      <c r="DT143" s="19" t="s">
        <v>2186</v>
      </c>
      <c r="DU143" s="19" t="s">
        <v>4867</v>
      </c>
      <c r="DV143" s="19"/>
      <c r="DW143" s="19" t="s">
        <v>2153</v>
      </c>
      <c r="DX143" s="19">
        <v>3.0</v>
      </c>
      <c r="DY143" s="19">
        <v>0.0</v>
      </c>
      <c r="DZ143" s="19">
        <v>0.0</v>
      </c>
      <c r="EA143" s="19">
        <v>0.0</v>
      </c>
      <c r="EB143" s="19">
        <v>0.0</v>
      </c>
      <c r="EC143" s="19">
        <v>20.0</v>
      </c>
      <c r="ED143" s="19" t="s">
        <v>2325</v>
      </c>
      <c r="EE143" s="24">
        <v>45517.0</v>
      </c>
      <c r="EF143" s="19" t="s">
        <v>2325</v>
      </c>
      <c r="EG143" s="19" t="s">
        <v>2271</v>
      </c>
      <c r="EH143" s="19" t="s">
        <v>2326</v>
      </c>
      <c r="EI143" s="22">
        <v>15.0</v>
      </c>
      <c r="EJ143" s="19">
        <v>43.0</v>
      </c>
      <c r="EK143" s="19" t="s">
        <v>2113</v>
      </c>
      <c r="EL143" s="19" t="s">
        <v>2117</v>
      </c>
      <c r="EM143" s="19" t="s">
        <v>4858</v>
      </c>
      <c r="EN143" s="19" t="s">
        <v>432</v>
      </c>
      <c r="EO143" s="19" t="s">
        <v>4860</v>
      </c>
      <c r="EP143" s="19" t="s">
        <v>2122</v>
      </c>
      <c r="EQ143" s="19" t="s">
        <v>3064</v>
      </c>
      <c r="ER143" s="19"/>
      <c r="ES143" s="19" t="s">
        <v>432</v>
      </c>
      <c r="ET143" s="19" t="s">
        <v>432</v>
      </c>
      <c r="EU143" s="19" t="s">
        <v>4856</v>
      </c>
      <c r="EV143" s="19">
        <v>8985.0</v>
      </c>
      <c r="EW143" s="19" t="s">
        <v>16</v>
      </c>
      <c r="EX143" s="19">
        <v>3.0</v>
      </c>
      <c r="EY143" s="25" t="s">
        <v>431</v>
      </c>
      <c r="EZ143" s="19" t="s">
        <v>2154</v>
      </c>
      <c r="FA143" s="5" t="s">
        <v>4868</v>
      </c>
      <c r="FB143" s="26" t="s">
        <v>2156</v>
      </c>
      <c r="FC143" s="26"/>
    </row>
    <row r="144">
      <c r="A144" s="19" t="s">
        <v>2112</v>
      </c>
      <c r="B144" s="19" t="s">
        <v>2113</v>
      </c>
      <c r="C144" s="19" t="s">
        <v>2113</v>
      </c>
      <c r="D144" s="19" t="s">
        <v>433</v>
      </c>
      <c r="E144" s="19" t="s">
        <v>4869</v>
      </c>
      <c r="F144" s="19" t="s">
        <v>433</v>
      </c>
      <c r="G144" s="19"/>
      <c r="H144" s="19" t="s">
        <v>433</v>
      </c>
      <c r="I144" s="19" t="s">
        <v>435</v>
      </c>
      <c r="J144" s="19" t="s">
        <v>4870</v>
      </c>
      <c r="K144" s="19" t="s">
        <v>4871</v>
      </c>
      <c r="L144" s="20">
        <v>45442.0</v>
      </c>
      <c r="M144" s="20">
        <v>45446.0</v>
      </c>
      <c r="N144" s="20">
        <v>45446.0</v>
      </c>
      <c r="O144" s="19" t="s">
        <v>434</v>
      </c>
      <c r="P144" s="19">
        <v>0.0</v>
      </c>
      <c r="Q144" s="19">
        <v>18.0</v>
      </c>
      <c r="R144" s="19">
        <v>6753.0</v>
      </c>
      <c r="S144" s="20" t="s">
        <v>4872</v>
      </c>
      <c r="T144" s="20">
        <v>45461.0</v>
      </c>
      <c r="U144" s="19" t="s">
        <v>433</v>
      </c>
      <c r="V144" s="19"/>
      <c r="W144" s="19" t="s">
        <v>4873</v>
      </c>
      <c r="X144" s="21">
        <v>20.0</v>
      </c>
      <c r="Y144" s="21">
        <v>10.0</v>
      </c>
      <c r="Z144" s="21">
        <v>4.0</v>
      </c>
      <c r="AA144" s="21">
        <v>0.0</v>
      </c>
      <c r="AB144" s="5">
        <v>34.0</v>
      </c>
      <c r="AC144" s="19">
        <v>3.0</v>
      </c>
      <c r="AD144" s="19">
        <v>2.4</v>
      </c>
      <c r="AE144" s="19">
        <v>3.2</v>
      </c>
      <c r="AF144" s="19">
        <v>3.6</v>
      </c>
      <c r="AG144" s="19">
        <v>3.0</v>
      </c>
      <c r="AH144" s="19">
        <v>2.8</v>
      </c>
      <c r="AI144" s="22">
        <v>8.906250000000002</v>
      </c>
      <c r="AJ144" s="19">
        <v>15.0</v>
      </c>
      <c r="AK144" s="19">
        <v>10.0</v>
      </c>
      <c r="AL144" s="19">
        <v>13.0</v>
      </c>
      <c r="AM144" s="19">
        <v>38.0</v>
      </c>
      <c r="AN144" s="19">
        <v>46.9</v>
      </c>
      <c r="AO144" s="19">
        <v>80.9</v>
      </c>
      <c r="AP144" s="19">
        <v>136.0</v>
      </c>
      <c r="AQ144" s="23">
        <v>140.0</v>
      </c>
      <c r="AR144" s="23">
        <v>10.0</v>
      </c>
      <c r="AS144" s="22"/>
      <c r="AT144" s="19" t="s">
        <v>2163</v>
      </c>
      <c r="AU144" s="19" t="s">
        <v>4874</v>
      </c>
      <c r="AV144" s="19" t="s">
        <v>4875</v>
      </c>
      <c r="AW144" s="19"/>
      <c r="AX144" s="20">
        <v>38708.0</v>
      </c>
      <c r="AY144" s="19" t="s">
        <v>4876</v>
      </c>
      <c r="AZ144" s="19" t="s">
        <v>2310</v>
      </c>
      <c r="BA144" s="19" t="s">
        <v>4877</v>
      </c>
      <c r="BB144" s="19" t="s">
        <v>4878</v>
      </c>
      <c r="BC144" s="19" t="s">
        <v>4879</v>
      </c>
      <c r="BD144" s="19" t="s">
        <v>4880</v>
      </c>
      <c r="BE144" s="19" t="s">
        <v>4870</v>
      </c>
      <c r="BF144" s="19">
        <v>1.1914727523E10</v>
      </c>
      <c r="BG144" s="19" t="s">
        <v>2127</v>
      </c>
      <c r="BH144" s="19" t="s">
        <v>2128</v>
      </c>
      <c r="BI144" s="19"/>
      <c r="BJ144" s="19"/>
      <c r="BK144" s="19" t="s">
        <v>16</v>
      </c>
      <c r="BL144" s="19"/>
      <c r="BM144" s="19" t="s">
        <v>2130</v>
      </c>
      <c r="BN144" s="19" t="s">
        <v>17</v>
      </c>
      <c r="BO144" s="19" t="s">
        <v>2317</v>
      </c>
      <c r="BP144" s="19" t="s">
        <v>4881</v>
      </c>
      <c r="BQ144" s="19" t="s">
        <v>2174</v>
      </c>
      <c r="BR144" s="19" t="s">
        <v>2174</v>
      </c>
      <c r="BS144" s="19" t="s">
        <v>2134</v>
      </c>
      <c r="BT144" s="19" t="s">
        <v>75</v>
      </c>
      <c r="BU144" s="19" t="s">
        <v>4882</v>
      </c>
      <c r="BV144" s="19" t="s">
        <v>4883</v>
      </c>
      <c r="BW144" s="19" t="s">
        <v>2113</v>
      </c>
      <c r="BX144" s="19"/>
      <c r="BY144" s="19"/>
      <c r="BZ144" s="19"/>
      <c r="CA144" s="19"/>
      <c r="CB144" s="19" t="s">
        <v>2113</v>
      </c>
      <c r="CC144" s="19"/>
      <c r="CD144" s="19" t="s">
        <v>2137</v>
      </c>
      <c r="CE144" s="19" t="s">
        <v>16</v>
      </c>
      <c r="CF144" s="19"/>
      <c r="CG144" s="19"/>
      <c r="CH144" s="19" t="s">
        <v>16</v>
      </c>
      <c r="CI144" s="21">
        <v>0.0</v>
      </c>
      <c r="CJ144" s="19" t="s">
        <v>17</v>
      </c>
      <c r="CK144" s="19"/>
      <c r="CL144" s="19"/>
      <c r="CM144" s="19" t="s">
        <v>2926</v>
      </c>
      <c r="CN144" s="19" t="s">
        <v>4884</v>
      </c>
      <c r="CO144" s="19"/>
      <c r="CP144" s="19"/>
      <c r="CQ144" s="19"/>
      <c r="CR144" s="19"/>
      <c r="CS144" s="19"/>
      <c r="CT144" s="19"/>
      <c r="CU144" s="19"/>
      <c r="CV144" s="19" t="s">
        <v>2141</v>
      </c>
      <c r="CW144" s="19"/>
      <c r="CX144" s="19"/>
      <c r="CY144" s="19" t="s">
        <v>2113</v>
      </c>
      <c r="CZ144" s="19" t="s">
        <v>2113</v>
      </c>
      <c r="DA144" s="19" t="s">
        <v>16</v>
      </c>
      <c r="DB144" s="19" t="s">
        <v>17</v>
      </c>
      <c r="DC144" s="19" t="s">
        <v>4791</v>
      </c>
      <c r="DD144" s="19"/>
      <c r="DE144" s="19"/>
      <c r="DF144" s="19" t="s">
        <v>2540</v>
      </c>
      <c r="DG144" s="19" t="s">
        <v>2539</v>
      </c>
      <c r="DH144" s="19" t="s">
        <v>2144</v>
      </c>
      <c r="DI144" s="24">
        <v>45519.0</v>
      </c>
      <c r="DJ144" s="19" t="s">
        <v>2174</v>
      </c>
      <c r="DK144" s="19" t="s">
        <v>2145</v>
      </c>
      <c r="DL144" s="19" t="s">
        <v>2183</v>
      </c>
      <c r="DM144" s="19" t="s">
        <v>4885</v>
      </c>
      <c r="DN144" s="19">
        <v>5.0</v>
      </c>
      <c r="DO144" s="19">
        <v>5.0</v>
      </c>
      <c r="DP144" s="19" t="s">
        <v>4886</v>
      </c>
      <c r="DQ144" s="19" t="s">
        <v>4887</v>
      </c>
      <c r="DR144" s="19" t="s">
        <v>4888</v>
      </c>
      <c r="DS144" s="19" t="s">
        <v>2151</v>
      </c>
      <c r="DT144" s="19" t="s">
        <v>2350</v>
      </c>
      <c r="DU144" s="19"/>
      <c r="DV144" s="19"/>
      <c r="DW144" s="19" t="s">
        <v>2153</v>
      </c>
      <c r="DX144" s="19">
        <v>14.0</v>
      </c>
      <c r="DY144" s="19">
        <v>10.0</v>
      </c>
      <c r="DZ144" s="19">
        <v>0.0</v>
      </c>
      <c r="EA144" s="19">
        <v>10.0</v>
      </c>
      <c r="EB144" s="19">
        <v>0.0</v>
      </c>
      <c r="EC144" s="19">
        <v>20.0</v>
      </c>
      <c r="ED144" s="19" t="s">
        <v>2174</v>
      </c>
      <c r="EE144" s="24">
        <v>45519.0</v>
      </c>
      <c r="EF144" s="19" t="s">
        <v>2174</v>
      </c>
      <c r="EG144" s="19" t="s">
        <v>2145</v>
      </c>
      <c r="EH144" s="19" t="s">
        <v>2183</v>
      </c>
      <c r="EI144" s="22">
        <v>8.906250000000002</v>
      </c>
      <c r="EJ144" s="19">
        <v>38.0</v>
      </c>
      <c r="EK144" s="19" t="s">
        <v>2113</v>
      </c>
      <c r="EL144" s="19" t="s">
        <v>2163</v>
      </c>
      <c r="EM144" s="19" t="s">
        <v>4874</v>
      </c>
      <c r="EN144" s="19" t="s">
        <v>435</v>
      </c>
      <c r="EO144" s="19" t="s">
        <v>4876</v>
      </c>
      <c r="EP144" s="19" t="s">
        <v>2310</v>
      </c>
      <c r="EQ144" s="19" t="s">
        <v>4884</v>
      </c>
      <c r="ER144" s="19"/>
      <c r="ES144" s="19" t="s">
        <v>435</v>
      </c>
      <c r="ET144" s="19" t="s">
        <v>435</v>
      </c>
      <c r="EU144" s="19" t="s">
        <v>4871</v>
      </c>
      <c r="EV144" s="19">
        <v>6753.0</v>
      </c>
      <c r="EW144" s="19" t="s">
        <v>16</v>
      </c>
      <c r="EX144" s="19">
        <v>4.0</v>
      </c>
      <c r="EY144" s="25" t="s">
        <v>434</v>
      </c>
      <c r="EZ144" s="19" t="s">
        <v>2154</v>
      </c>
      <c r="FA144" s="5" t="s">
        <v>4889</v>
      </c>
      <c r="FB144" s="26" t="s">
        <v>2156</v>
      </c>
      <c r="FC144" s="26"/>
    </row>
    <row r="145">
      <c r="A145" s="19" t="s">
        <v>2156</v>
      </c>
      <c r="B145" s="19" t="s">
        <v>2113</v>
      </c>
      <c r="C145" s="19" t="s">
        <v>2113</v>
      </c>
      <c r="D145" s="19" t="s">
        <v>4890</v>
      </c>
      <c r="E145" s="19" t="s">
        <v>4891</v>
      </c>
      <c r="F145" s="19" t="s">
        <v>4890</v>
      </c>
      <c r="G145" s="19"/>
      <c r="H145" s="19" t="s">
        <v>436</v>
      </c>
      <c r="I145" s="19" t="s">
        <v>438</v>
      </c>
      <c r="J145" s="19" t="s">
        <v>4892</v>
      </c>
      <c r="K145" s="19" t="s">
        <v>4893</v>
      </c>
      <c r="L145" s="20">
        <v>45399.0</v>
      </c>
      <c r="M145" s="20">
        <v>45411.0</v>
      </c>
      <c r="N145" s="20">
        <v>45411.0</v>
      </c>
      <c r="O145" s="19" t="s">
        <v>437</v>
      </c>
      <c r="P145" s="19">
        <v>0.0</v>
      </c>
      <c r="Q145" s="19">
        <v>19.0</v>
      </c>
      <c r="R145" s="19">
        <v>7003.0</v>
      </c>
      <c r="S145" s="20" t="s">
        <v>4894</v>
      </c>
      <c r="T145" s="20">
        <v>45461.0</v>
      </c>
      <c r="U145" s="19" t="s">
        <v>4890</v>
      </c>
      <c r="V145" s="19"/>
      <c r="W145" s="19"/>
      <c r="X145" s="21">
        <v>20.0</v>
      </c>
      <c r="Y145" s="21">
        <v>10.0</v>
      </c>
      <c r="Z145" s="21">
        <v>3.0</v>
      </c>
      <c r="AA145" s="21">
        <v>0.0</v>
      </c>
      <c r="AB145" s="5">
        <v>33.0</v>
      </c>
      <c r="AC145" s="19">
        <v>3.5</v>
      </c>
      <c r="AD145" s="19">
        <v>3.0</v>
      </c>
      <c r="AE145" s="19">
        <v>3.0</v>
      </c>
      <c r="AF145" s="19">
        <v>2.5</v>
      </c>
      <c r="AG145" s="19">
        <v>2.5</v>
      </c>
      <c r="AH145" s="19">
        <v>3.0</v>
      </c>
      <c r="AI145" s="22">
        <v>8.859375</v>
      </c>
      <c r="AJ145" s="19">
        <v>13.0</v>
      </c>
      <c r="AK145" s="19">
        <v>13.0</v>
      </c>
      <c r="AL145" s="19">
        <v>13.0</v>
      </c>
      <c r="AM145" s="19">
        <v>39.0</v>
      </c>
      <c r="AN145" s="19">
        <v>47.9</v>
      </c>
      <c r="AO145" s="19">
        <v>80.9</v>
      </c>
      <c r="AP145" s="19">
        <v>168.0</v>
      </c>
      <c r="AQ145" s="23">
        <v>141.0</v>
      </c>
      <c r="AR145" s="23">
        <v>13.0</v>
      </c>
      <c r="AS145" s="22" t="s">
        <v>2642</v>
      </c>
      <c r="AT145" s="19" t="s">
        <v>2163</v>
      </c>
      <c r="AU145" s="19" t="s">
        <v>4895</v>
      </c>
      <c r="AV145" s="19" t="s">
        <v>4896</v>
      </c>
      <c r="AW145" s="19"/>
      <c r="AX145" s="20">
        <v>38458.0</v>
      </c>
      <c r="AY145" s="19" t="s">
        <v>4897</v>
      </c>
      <c r="AZ145" s="19" t="s">
        <v>2122</v>
      </c>
      <c r="BA145" s="19" t="s">
        <v>4898</v>
      </c>
      <c r="BB145" s="19" t="s">
        <v>4899</v>
      </c>
      <c r="BC145" s="19" t="s">
        <v>4900</v>
      </c>
      <c r="BD145" s="19" t="s">
        <v>4901</v>
      </c>
      <c r="BE145" s="19"/>
      <c r="BF145" s="19"/>
      <c r="BG145" s="19" t="s">
        <v>2127</v>
      </c>
      <c r="BH145" s="19" t="s">
        <v>2128</v>
      </c>
      <c r="BI145" s="19"/>
      <c r="BJ145" s="19"/>
      <c r="BK145" s="19" t="s">
        <v>16</v>
      </c>
      <c r="BL145" s="19"/>
      <c r="BM145" s="19" t="s">
        <v>2130</v>
      </c>
      <c r="BN145" s="19" t="s">
        <v>2172</v>
      </c>
      <c r="BO145" s="19" t="s">
        <v>2473</v>
      </c>
      <c r="BP145" s="19"/>
      <c r="BQ145" s="19" t="s">
        <v>2325</v>
      </c>
      <c r="BR145" s="19" t="s">
        <v>2325</v>
      </c>
      <c r="BS145" s="19" t="s">
        <v>2134</v>
      </c>
      <c r="BT145" s="19" t="s">
        <v>59</v>
      </c>
      <c r="BU145" s="19" t="s">
        <v>2651</v>
      </c>
      <c r="BV145" s="19" t="s">
        <v>4902</v>
      </c>
      <c r="BW145" s="19"/>
      <c r="BX145" s="19"/>
      <c r="BY145" s="19"/>
      <c r="BZ145" s="19" t="s">
        <v>2113</v>
      </c>
      <c r="CA145" s="19"/>
      <c r="CB145" s="19"/>
      <c r="CC145" s="19"/>
      <c r="CD145" s="19" t="s">
        <v>2137</v>
      </c>
      <c r="CE145" s="19" t="s">
        <v>16</v>
      </c>
      <c r="CF145" s="19"/>
      <c r="CG145" s="19"/>
      <c r="CH145" s="19" t="s">
        <v>16</v>
      </c>
      <c r="CI145" s="21">
        <v>0.0</v>
      </c>
      <c r="CJ145" s="19" t="s">
        <v>17</v>
      </c>
      <c r="CK145" s="19"/>
      <c r="CL145" s="19"/>
      <c r="CM145" s="19" t="s">
        <v>2138</v>
      </c>
      <c r="CN145" s="19" t="s">
        <v>3064</v>
      </c>
      <c r="CO145" s="19"/>
      <c r="CP145" s="19"/>
      <c r="CQ145" s="19"/>
      <c r="CR145" s="19" t="s">
        <v>2113</v>
      </c>
      <c r="CS145" s="19" t="s">
        <v>2113</v>
      </c>
      <c r="CT145" s="19"/>
      <c r="CU145" s="19"/>
      <c r="CV145" s="19" t="s">
        <v>2141</v>
      </c>
      <c r="CW145" s="19" t="s">
        <v>2113</v>
      </c>
      <c r="CX145" s="19" t="s">
        <v>2113</v>
      </c>
      <c r="CY145" s="19"/>
      <c r="CZ145" s="19"/>
      <c r="DA145" s="19" t="s">
        <v>16</v>
      </c>
      <c r="DB145" s="19" t="s">
        <v>17</v>
      </c>
      <c r="DC145" s="19" t="s">
        <v>4903</v>
      </c>
      <c r="DD145" s="19"/>
      <c r="DE145" s="19"/>
      <c r="DF145" s="19" t="s">
        <v>3933</v>
      </c>
      <c r="DG145" s="19" t="s">
        <v>4904</v>
      </c>
      <c r="DH145" s="19" t="s">
        <v>2144</v>
      </c>
      <c r="DI145" s="24">
        <v>45517.0</v>
      </c>
      <c r="DJ145" s="19" t="s">
        <v>2325</v>
      </c>
      <c r="DK145" s="19" t="s">
        <v>2145</v>
      </c>
      <c r="DL145" s="19" t="s">
        <v>2326</v>
      </c>
      <c r="DM145" s="19"/>
      <c r="DN145" s="19">
        <v>1.0</v>
      </c>
      <c r="DO145" s="19">
        <v>1.0</v>
      </c>
      <c r="DP145" s="19" t="s">
        <v>4905</v>
      </c>
      <c r="DQ145" s="19" t="s">
        <v>4906</v>
      </c>
      <c r="DR145" s="19" t="s">
        <v>4907</v>
      </c>
      <c r="DS145" s="19" t="s">
        <v>2185</v>
      </c>
      <c r="DT145" s="19" t="s">
        <v>2152</v>
      </c>
      <c r="DU145" s="19"/>
      <c r="DV145" s="19"/>
      <c r="DW145" s="19" t="s">
        <v>2153</v>
      </c>
      <c r="DX145" s="19">
        <v>2.0</v>
      </c>
      <c r="DY145" s="19">
        <v>10.0</v>
      </c>
      <c r="DZ145" s="19">
        <v>0.0</v>
      </c>
      <c r="EA145" s="19">
        <v>10.0</v>
      </c>
      <c r="EB145" s="19">
        <v>0.0</v>
      </c>
      <c r="EC145" s="19">
        <v>20.0</v>
      </c>
      <c r="ED145" s="19" t="s">
        <v>2325</v>
      </c>
      <c r="EE145" s="24">
        <v>45517.0</v>
      </c>
      <c r="EF145" s="19" t="s">
        <v>2325</v>
      </c>
      <c r="EG145" s="19" t="s">
        <v>2145</v>
      </c>
      <c r="EH145" s="19" t="s">
        <v>2326</v>
      </c>
      <c r="EI145" s="22">
        <v>8.859375</v>
      </c>
      <c r="EJ145" s="19">
        <v>39.0</v>
      </c>
      <c r="EK145" s="19" t="s">
        <v>2113</v>
      </c>
      <c r="EL145" s="19" t="s">
        <v>2163</v>
      </c>
      <c r="EM145" s="19" t="s">
        <v>4895</v>
      </c>
      <c r="EN145" s="19" t="s">
        <v>438</v>
      </c>
      <c r="EO145" s="19" t="s">
        <v>4897</v>
      </c>
      <c r="EP145" s="19" t="s">
        <v>2122</v>
      </c>
      <c r="EQ145" s="19" t="s">
        <v>3064</v>
      </c>
      <c r="ER145" s="19"/>
      <c r="ES145" s="19" t="s">
        <v>438</v>
      </c>
      <c r="ET145" s="19" t="s">
        <v>438</v>
      </c>
      <c r="EU145" s="19" t="s">
        <v>4893</v>
      </c>
      <c r="EV145" s="19">
        <v>7003.0</v>
      </c>
      <c r="EW145" s="19" t="s">
        <v>16</v>
      </c>
      <c r="EX145" s="19">
        <v>3.0</v>
      </c>
      <c r="EY145" s="25" t="s">
        <v>437</v>
      </c>
      <c r="EZ145" s="19" t="s">
        <v>2154</v>
      </c>
      <c r="FA145" s="5" t="s">
        <v>4908</v>
      </c>
      <c r="FB145" s="26" t="s">
        <v>2156</v>
      </c>
      <c r="FC145" s="26"/>
    </row>
    <row r="146">
      <c r="A146" s="19" t="s">
        <v>2112</v>
      </c>
      <c r="B146" s="19" t="s">
        <v>2113</v>
      </c>
      <c r="C146" s="19" t="s">
        <v>2113</v>
      </c>
      <c r="D146" s="19" t="s">
        <v>4909</v>
      </c>
      <c r="E146" s="19" t="s">
        <v>4910</v>
      </c>
      <c r="F146" s="19" t="s">
        <v>4911</v>
      </c>
      <c r="G146" s="19" t="s">
        <v>4912</v>
      </c>
      <c r="H146" s="19" t="s">
        <v>439</v>
      </c>
      <c r="I146" s="19" t="s">
        <v>441</v>
      </c>
      <c r="J146" s="19" t="s">
        <v>4913</v>
      </c>
      <c r="K146" s="19" t="s">
        <v>4914</v>
      </c>
      <c r="L146" s="20">
        <v>45397.0</v>
      </c>
      <c r="M146" s="20">
        <v>45411.0</v>
      </c>
      <c r="N146" s="20">
        <v>45411.0</v>
      </c>
      <c r="O146" s="19" t="s">
        <v>440</v>
      </c>
      <c r="P146" s="19">
        <v>0.0</v>
      </c>
      <c r="Q146" s="19">
        <v>22.0</v>
      </c>
      <c r="R146" s="19">
        <v>8137.0</v>
      </c>
      <c r="S146" s="20" t="s">
        <v>3589</v>
      </c>
      <c r="T146" s="20">
        <v>45461.0</v>
      </c>
      <c r="U146" s="19" t="s">
        <v>4911</v>
      </c>
      <c r="V146" s="19"/>
      <c r="W146" s="19"/>
      <c r="X146" s="21">
        <v>20.0</v>
      </c>
      <c r="Y146" s="21">
        <v>0.0</v>
      </c>
      <c r="Z146" s="21">
        <v>1.0</v>
      </c>
      <c r="AA146" s="21">
        <v>2.0</v>
      </c>
      <c r="AB146" s="5">
        <v>23.0</v>
      </c>
      <c r="AC146" s="19">
        <v>5.0</v>
      </c>
      <c r="AD146" s="19">
        <v>5.0</v>
      </c>
      <c r="AE146" s="19">
        <v>4.0</v>
      </c>
      <c r="AF146" s="19">
        <v>3.5</v>
      </c>
      <c r="AG146" s="19">
        <v>3.5</v>
      </c>
      <c r="AH146" s="19">
        <v>4.5</v>
      </c>
      <c r="AI146" s="22">
        <v>12.9375</v>
      </c>
      <c r="AJ146" s="19">
        <v>15.0</v>
      </c>
      <c r="AK146" s="19">
        <v>15.0</v>
      </c>
      <c r="AL146" s="19">
        <v>15.0</v>
      </c>
      <c r="AM146" s="19">
        <v>45.0</v>
      </c>
      <c r="AN146" s="19">
        <v>57.9</v>
      </c>
      <c r="AO146" s="19">
        <v>80.9</v>
      </c>
      <c r="AP146" s="19">
        <v>326.0</v>
      </c>
      <c r="AQ146" s="23">
        <v>142.0</v>
      </c>
      <c r="AR146" s="23">
        <v>13.0</v>
      </c>
      <c r="AS146" s="19"/>
      <c r="AT146" s="19" t="s">
        <v>2282</v>
      </c>
      <c r="AU146" s="19" t="s">
        <v>4915</v>
      </c>
      <c r="AV146" s="19" t="s">
        <v>4916</v>
      </c>
      <c r="AW146" s="19"/>
      <c r="AX146" s="20">
        <v>37324.0</v>
      </c>
      <c r="AY146" s="19" t="s">
        <v>4917</v>
      </c>
      <c r="AZ146" s="19" t="s">
        <v>2422</v>
      </c>
      <c r="BA146" s="19" t="s">
        <v>4918</v>
      </c>
      <c r="BB146" s="19" t="s">
        <v>4919</v>
      </c>
      <c r="BC146" s="19" t="s">
        <v>4920</v>
      </c>
      <c r="BD146" s="19" t="s">
        <v>4921</v>
      </c>
      <c r="BE146" s="19" t="s">
        <v>4922</v>
      </c>
      <c r="BF146" s="19">
        <v>1.1944664219E10</v>
      </c>
      <c r="BG146" s="19" t="s">
        <v>4038</v>
      </c>
      <c r="BH146" s="19" t="s">
        <v>2128</v>
      </c>
      <c r="BI146" s="19"/>
      <c r="BJ146" s="19" t="s">
        <v>2128</v>
      </c>
      <c r="BK146" s="19" t="s">
        <v>17</v>
      </c>
      <c r="BL146" s="19"/>
      <c r="BM146" s="19" t="s">
        <v>2130</v>
      </c>
      <c r="BN146" s="19" t="s">
        <v>17</v>
      </c>
      <c r="BO146" s="19" t="s">
        <v>3082</v>
      </c>
      <c r="BP146" s="19"/>
      <c r="BQ146" s="19" t="s">
        <v>2174</v>
      </c>
      <c r="BR146" s="19" t="s">
        <v>2174</v>
      </c>
      <c r="BS146" s="19" t="s">
        <v>3521</v>
      </c>
      <c r="BT146" s="19" t="s">
        <v>34</v>
      </c>
      <c r="BU146" s="19" t="s">
        <v>4923</v>
      </c>
      <c r="BV146" s="19" t="s">
        <v>4924</v>
      </c>
      <c r="BW146" s="19"/>
      <c r="BX146" s="19"/>
      <c r="BY146" s="19"/>
      <c r="BZ146" s="19"/>
      <c r="CA146" s="19"/>
      <c r="CB146" s="19" t="s">
        <v>2113</v>
      </c>
      <c r="CC146" s="19"/>
      <c r="CD146" s="19" t="s">
        <v>2137</v>
      </c>
      <c r="CE146" s="19" t="s">
        <v>16</v>
      </c>
      <c r="CF146" s="19"/>
      <c r="CG146" s="19"/>
      <c r="CH146" s="19" t="s">
        <v>16</v>
      </c>
      <c r="CI146" s="21">
        <v>0.0</v>
      </c>
      <c r="CJ146" s="19" t="s">
        <v>16</v>
      </c>
      <c r="CK146" s="19"/>
      <c r="CL146" s="19" t="s">
        <v>2113</v>
      </c>
      <c r="CM146" s="19" t="s">
        <v>2138</v>
      </c>
      <c r="CN146" s="19" t="s">
        <v>4925</v>
      </c>
      <c r="CO146" s="19"/>
      <c r="CP146" s="19" t="s">
        <v>2178</v>
      </c>
      <c r="CQ146" s="19"/>
      <c r="CR146" s="19" t="s">
        <v>2113</v>
      </c>
      <c r="CS146" s="19" t="s">
        <v>2113</v>
      </c>
      <c r="CT146" s="19" t="s">
        <v>2113</v>
      </c>
      <c r="CU146" s="19" t="s">
        <v>2113</v>
      </c>
      <c r="CV146" s="19" t="s">
        <v>2141</v>
      </c>
      <c r="CW146" s="19"/>
      <c r="CX146" s="19"/>
      <c r="CY146" s="19" t="s">
        <v>2113</v>
      </c>
      <c r="CZ146" s="19" t="s">
        <v>2113</v>
      </c>
      <c r="DA146" s="19" t="s">
        <v>16</v>
      </c>
      <c r="DB146" s="19" t="s">
        <v>16</v>
      </c>
      <c r="DC146" s="19" t="s">
        <v>4926</v>
      </c>
      <c r="DD146" s="19" t="s">
        <v>2113</v>
      </c>
      <c r="DE146" s="19" t="s">
        <v>2113</v>
      </c>
      <c r="DF146" s="19" t="s">
        <v>2804</v>
      </c>
      <c r="DG146" s="19" t="s">
        <v>2539</v>
      </c>
      <c r="DH146" s="19" t="s">
        <v>2144</v>
      </c>
      <c r="DI146" s="24">
        <v>45533.0</v>
      </c>
      <c r="DJ146" s="19" t="s">
        <v>2174</v>
      </c>
      <c r="DK146" s="19" t="s">
        <v>2271</v>
      </c>
      <c r="DL146" s="19" t="s">
        <v>2207</v>
      </c>
      <c r="DM146" s="19" t="s">
        <v>4927</v>
      </c>
      <c r="DN146" s="19">
        <v>8.0</v>
      </c>
      <c r="DO146" s="19">
        <v>8.0</v>
      </c>
      <c r="DP146" s="19" t="s">
        <v>4928</v>
      </c>
      <c r="DQ146" s="19" t="s">
        <v>4929</v>
      </c>
      <c r="DR146" s="19" t="s">
        <v>4930</v>
      </c>
      <c r="DS146" s="19" t="s">
        <v>2151</v>
      </c>
      <c r="DT146" s="19" t="s">
        <v>2152</v>
      </c>
      <c r="DU146" s="19"/>
      <c r="DV146" s="19" t="s">
        <v>4931</v>
      </c>
      <c r="DW146" s="19" t="s">
        <v>2153</v>
      </c>
      <c r="DX146" s="19">
        <v>13.0</v>
      </c>
      <c r="DY146" s="19">
        <v>0.0</v>
      </c>
      <c r="DZ146" s="19">
        <v>2.0</v>
      </c>
      <c r="EA146" s="19">
        <v>0.0</v>
      </c>
      <c r="EB146" s="19">
        <v>0.0</v>
      </c>
      <c r="EC146" s="19">
        <v>20.0</v>
      </c>
      <c r="ED146" s="19" t="s">
        <v>2174</v>
      </c>
      <c r="EE146" s="24">
        <v>45533.0</v>
      </c>
      <c r="EF146" s="19" t="s">
        <v>2174</v>
      </c>
      <c r="EG146" s="19" t="s">
        <v>2271</v>
      </c>
      <c r="EH146" s="19" t="s">
        <v>2207</v>
      </c>
      <c r="EI146" s="22">
        <v>12.9375</v>
      </c>
      <c r="EJ146" s="19">
        <v>45.0</v>
      </c>
      <c r="EK146" s="19"/>
      <c r="EL146" s="19" t="s">
        <v>2282</v>
      </c>
      <c r="EM146" s="19" t="s">
        <v>4915</v>
      </c>
      <c r="EN146" s="19" t="s">
        <v>441</v>
      </c>
      <c r="EO146" s="19" t="s">
        <v>4917</v>
      </c>
      <c r="EP146" s="19" t="s">
        <v>2422</v>
      </c>
      <c r="EQ146" s="19" t="s">
        <v>4925</v>
      </c>
      <c r="ER146" s="19"/>
      <c r="ES146" s="19" t="s">
        <v>441</v>
      </c>
      <c r="ET146" s="19" t="s">
        <v>441</v>
      </c>
      <c r="EU146" s="19" t="s">
        <v>4914</v>
      </c>
      <c r="EV146" s="19">
        <v>8137.0</v>
      </c>
      <c r="EW146" s="19" t="s">
        <v>16</v>
      </c>
      <c r="EX146" s="19">
        <v>1.0</v>
      </c>
      <c r="EY146" s="25" t="s">
        <v>440</v>
      </c>
      <c r="EZ146" s="19" t="s">
        <v>2154</v>
      </c>
      <c r="FA146" s="5" t="s">
        <v>4932</v>
      </c>
      <c r="FB146" s="26" t="s">
        <v>2156</v>
      </c>
      <c r="FC146" s="26"/>
    </row>
    <row r="147">
      <c r="A147" s="19" t="s">
        <v>2112</v>
      </c>
      <c r="B147" s="19" t="s">
        <v>2113</v>
      </c>
      <c r="C147" s="19" t="s">
        <v>2113</v>
      </c>
      <c r="D147" s="19" t="s">
        <v>442</v>
      </c>
      <c r="E147" s="19" t="s">
        <v>4933</v>
      </c>
      <c r="F147" s="19" t="s">
        <v>4934</v>
      </c>
      <c r="G147" s="19" t="s">
        <v>4935</v>
      </c>
      <c r="H147" s="19" t="s">
        <v>442</v>
      </c>
      <c r="I147" s="19" t="s">
        <v>444</v>
      </c>
      <c r="J147" s="19" t="s">
        <v>4936</v>
      </c>
      <c r="K147" s="19" t="s">
        <v>4937</v>
      </c>
      <c r="L147" s="20">
        <v>45401.0</v>
      </c>
      <c r="M147" s="20">
        <v>45411.0</v>
      </c>
      <c r="N147" s="20">
        <v>45411.0</v>
      </c>
      <c r="O147" s="19" t="s">
        <v>443</v>
      </c>
      <c r="P147" s="19">
        <v>0.0</v>
      </c>
      <c r="Q147" s="19">
        <v>28.0</v>
      </c>
      <c r="R147" s="19">
        <v>10447.0</v>
      </c>
      <c r="S147" s="20" t="s">
        <v>4938</v>
      </c>
      <c r="T147" s="20">
        <v>45461.0</v>
      </c>
      <c r="U147" s="19" t="s">
        <v>4934</v>
      </c>
      <c r="V147" s="19"/>
      <c r="W147" s="19" t="s">
        <v>4939</v>
      </c>
      <c r="X147" s="21">
        <v>20.0</v>
      </c>
      <c r="Y147" s="21">
        <v>0.0</v>
      </c>
      <c r="Z147" s="21">
        <v>5.0</v>
      </c>
      <c r="AA147" s="21">
        <v>3.0</v>
      </c>
      <c r="AB147" s="5">
        <v>28.0</v>
      </c>
      <c r="AC147" s="19">
        <v>4.0</v>
      </c>
      <c r="AD147" s="19">
        <v>5.0</v>
      </c>
      <c r="AE147" s="19">
        <v>5.0</v>
      </c>
      <c r="AF147" s="19">
        <v>5.0</v>
      </c>
      <c r="AG147" s="19">
        <v>4.0</v>
      </c>
      <c r="AH147" s="19">
        <v>4.0</v>
      </c>
      <c r="AI147" s="22">
        <v>13.78125</v>
      </c>
      <c r="AJ147" s="19">
        <v>13.0</v>
      </c>
      <c r="AK147" s="19">
        <v>13.0</v>
      </c>
      <c r="AL147" s="19">
        <v>13.0</v>
      </c>
      <c r="AM147" s="19">
        <v>39.0</v>
      </c>
      <c r="AN147" s="19">
        <v>52.8</v>
      </c>
      <c r="AO147" s="19">
        <v>80.8</v>
      </c>
      <c r="AP147" s="19">
        <v>240.0</v>
      </c>
      <c r="AQ147" s="23">
        <v>143.0</v>
      </c>
      <c r="AR147" s="23">
        <v>22.0</v>
      </c>
      <c r="AS147" s="22"/>
      <c r="AT147" s="19" t="s">
        <v>2117</v>
      </c>
      <c r="AU147" s="19" t="s">
        <v>2283</v>
      </c>
      <c r="AV147" s="19" t="s">
        <v>4940</v>
      </c>
      <c r="AW147" s="19"/>
      <c r="AX147" s="20">
        <v>35014.0</v>
      </c>
      <c r="AY147" s="19" t="s">
        <v>2286</v>
      </c>
      <c r="AZ147" s="19" t="s">
        <v>2122</v>
      </c>
      <c r="BA147" s="19" t="s">
        <v>4941</v>
      </c>
      <c r="BB147" s="19" t="s">
        <v>4942</v>
      </c>
      <c r="BC147" s="19" t="s">
        <v>4943</v>
      </c>
      <c r="BD147" s="19" t="s">
        <v>4944</v>
      </c>
      <c r="BE147" s="19" t="s">
        <v>4945</v>
      </c>
      <c r="BF147" s="19">
        <v>1.198856253E10</v>
      </c>
      <c r="BG147" s="19" t="s">
        <v>4038</v>
      </c>
      <c r="BH147" s="19" t="s">
        <v>2128</v>
      </c>
      <c r="BI147" s="19"/>
      <c r="BJ147" s="19" t="s">
        <v>2128</v>
      </c>
      <c r="BK147" s="19" t="s">
        <v>17</v>
      </c>
      <c r="BL147" s="19"/>
      <c r="BM147" s="19" t="s">
        <v>2130</v>
      </c>
      <c r="BN147" s="19" t="s">
        <v>3951</v>
      </c>
      <c r="BO147" s="19" t="s">
        <v>2132</v>
      </c>
      <c r="BP147" s="19"/>
      <c r="BQ147" s="19" t="s">
        <v>2133</v>
      </c>
      <c r="BR147" s="19" t="s">
        <v>2133</v>
      </c>
      <c r="BS147" s="19" t="s">
        <v>2134</v>
      </c>
      <c r="BT147" s="19" t="s">
        <v>38</v>
      </c>
      <c r="BU147" s="19" t="s">
        <v>4946</v>
      </c>
      <c r="BV147" s="19" t="s">
        <v>4947</v>
      </c>
      <c r="BW147" s="19" t="s">
        <v>2113</v>
      </c>
      <c r="BX147" s="19"/>
      <c r="BY147" s="19"/>
      <c r="BZ147" s="19"/>
      <c r="CA147" s="19"/>
      <c r="CB147" s="19" t="s">
        <v>2113</v>
      </c>
      <c r="CC147" s="19"/>
      <c r="CD147" s="19" t="s">
        <v>2137</v>
      </c>
      <c r="CE147" s="19" t="s">
        <v>16</v>
      </c>
      <c r="CF147" s="19"/>
      <c r="CG147" s="19"/>
      <c r="CH147" s="19" t="s">
        <v>17</v>
      </c>
      <c r="CI147" s="21">
        <v>3.0</v>
      </c>
      <c r="CJ147" s="19" t="s">
        <v>16</v>
      </c>
      <c r="CK147" s="19"/>
      <c r="CL147" s="19"/>
      <c r="CM147" s="19" t="s">
        <v>3102</v>
      </c>
      <c r="CN147" s="19" t="s">
        <v>2294</v>
      </c>
      <c r="CO147" s="19"/>
      <c r="CP147" s="19" t="s">
        <v>2246</v>
      </c>
      <c r="CQ147" s="19"/>
      <c r="CR147" s="19" t="s">
        <v>2113</v>
      </c>
      <c r="CS147" s="19" t="s">
        <v>2113</v>
      </c>
      <c r="CT147" s="19" t="s">
        <v>2113</v>
      </c>
      <c r="CU147" s="19" t="s">
        <v>2113</v>
      </c>
      <c r="CV147" s="19" t="s">
        <v>2141</v>
      </c>
      <c r="CW147" s="19" t="s">
        <v>2113</v>
      </c>
      <c r="CX147" s="19" t="s">
        <v>2113</v>
      </c>
      <c r="CY147" s="19" t="s">
        <v>2113</v>
      </c>
      <c r="CZ147" s="19" t="s">
        <v>2113</v>
      </c>
      <c r="DA147" s="19" t="s">
        <v>16</v>
      </c>
      <c r="DB147" s="19" t="s">
        <v>16</v>
      </c>
      <c r="DC147" s="19" t="s">
        <v>2295</v>
      </c>
      <c r="DD147" s="19" t="s">
        <v>2113</v>
      </c>
      <c r="DE147" s="19" t="s">
        <v>2113</v>
      </c>
      <c r="DF147" s="19" t="s">
        <v>2750</v>
      </c>
      <c r="DG147" s="19" t="s">
        <v>2296</v>
      </c>
      <c r="DH147" s="19" t="s">
        <v>2144</v>
      </c>
      <c r="DI147" s="24">
        <v>45525.0</v>
      </c>
      <c r="DJ147" s="19" t="s">
        <v>2133</v>
      </c>
      <c r="DK147" s="19" t="s">
        <v>2145</v>
      </c>
      <c r="DL147" s="19" t="s">
        <v>2146</v>
      </c>
      <c r="DM147" s="19" t="s">
        <v>3003</v>
      </c>
      <c r="DN147" s="19">
        <v>9.0</v>
      </c>
      <c r="DO147" s="19">
        <v>9.0</v>
      </c>
      <c r="DP147" s="19" t="s">
        <v>4948</v>
      </c>
      <c r="DQ147" s="19" t="s">
        <v>4949</v>
      </c>
      <c r="DR147" s="19" t="s">
        <v>4950</v>
      </c>
      <c r="DS147" s="19" t="s">
        <v>2185</v>
      </c>
      <c r="DT147" s="19" t="s">
        <v>2229</v>
      </c>
      <c r="DU147" s="19"/>
      <c r="DV147" s="19"/>
      <c r="DW147" s="19" t="s">
        <v>2479</v>
      </c>
      <c r="DX147" s="19">
        <v>6.0</v>
      </c>
      <c r="DY147" s="19">
        <v>0.0</v>
      </c>
      <c r="DZ147" s="19">
        <v>0.0</v>
      </c>
      <c r="EA147" s="19">
        <v>0.0</v>
      </c>
      <c r="EB147" s="19">
        <v>3.0</v>
      </c>
      <c r="EC147" s="19">
        <v>20.0</v>
      </c>
      <c r="ED147" s="19" t="s">
        <v>2133</v>
      </c>
      <c r="EE147" s="24">
        <v>45525.0</v>
      </c>
      <c r="EF147" s="19" t="s">
        <v>2133</v>
      </c>
      <c r="EG147" s="19" t="s">
        <v>2145</v>
      </c>
      <c r="EH147" s="19" t="s">
        <v>2146</v>
      </c>
      <c r="EI147" s="22">
        <v>13.78125</v>
      </c>
      <c r="EJ147" s="19">
        <v>39.0</v>
      </c>
      <c r="EK147" s="19"/>
      <c r="EL147" s="19" t="s">
        <v>2117</v>
      </c>
      <c r="EM147" s="19" t="s">
        <v>2283</v>
      </c>
      <c r="EN147" s="19" t="s">
        <v>444</v>
      </c>
      <c r="EO147" s="19" t="s">
        <v>2286</v>
      </c>
      <c r="EP147" s="19" t="s">
        <v>2122</v>
      </c>
      <c r="EQ147" s="19" t="s">
        <v>2294</v>
      </c>
      <c r="ER147" s="19"/>
      <c r="ES147" s="19" t="s">
        <v>444</v>
      </c>
      <c r="ET147" s="19" t="s">
        <v>444</v>
      </c>
      <c r="EU147" s="19" t="s">
        <v>4937</v>
      </c>
      <c r="EV147" s="19">
        <v>10447.0</v>
      </c>
      <c r="EW147" s="19" t="s">
        <v>16</v>
      </c>
      <c r="EX147" s="19">
        <v>5.0</v>
      </c>
      <c r="EY147" s="25" t="s">
        <v>443</v>
      </c>
      <c r="EZ147" s="19" t="s">
        <v>2154</v>
      </c>
      <c r="FA147" s="5" t="s">
        <v>4951</v>
      </c>
      <c r="FB147" s="26" t="s">
        <v>2156</v>
      </c>
      <c r="FC147" s="26"/>
    </row>
    <row r="148">
      <c r="A148" s="19" t="s">
        <v>2112</v>
      </c>
      <c r="B148" s="19" t="s">
        <v>2113</v>
      </c>
      <c r="C148" s="19" t="s">
        <v>2113</v>
      </c>
      <c r="D148" s="19" t="s">
        <v>445</v>
      </c>
      <c r="E148" s="19" t="s">
        <v>445</v>
      </c>
      <c r="F148" s="19" t="s">
        <v>4952</v>
      </c>
      <c r="G148" s="19" t="s">
        <v>4953</v>
      </c>
      <c r="H148" s="19" t="s">
        <v>445</v>
      </c>
      <c r="I148" s="19" t="s">
        <v>447</v>
      </c>
      <c r="J148" s="19" t="s">
        <v>4954</v>
      </c>
      <c r="K148" s="19" t="s">
        <v>4955</v>
      </c>
      <c r="L148" s="20">
        <v>45433.0</v>
      </c>
      <c r="M148" s="20">
        <v>45433.0</v>
      </c>
      <c r="N148" s="20">
        <v>45433.0</v>
      </c>
      <c r="O148" s="19" t="s">
        <v>446</v>
      </c>
      <c r="P148" s="19">
        <v>0.0</v>
      </c>
      <c r="Q148" s="19">
        <v>29.0</v>
      </c>
      <c r="R148" s="19">
        <v>10649.0</v>
      </c>
      <c r="S148" s="20" t="s">
        <v>4956</v>
      </c>
      <c r="T148" s="20">
        <v>45461.0</v>
      </c>
      <c r="U148" s="19" t="s">
        <v>4952</v>
      </c>
      <c r="V148" s="19"/>
      <c r="W148" s="19"/>
      <c r="X148" s="21">
        <v>20.0</v>
      </c>
      <c r="Y148" s="21">
        <v>0.0</v>
      </c>
      <c r="Z148" s="21">
        <v>2.0</v>
      </c>
      <c r="AA148" s="21">
        <v>0.0</v>
      </c>
      <c r="AB148" s="5">
        <v>22.0</v>
      </c>
      <c r="AC148" s="19">
        <v>4.0</v>
      </c>
      <c r="AD148" s="19">
        <v>5.0</v>
      </c>
      <c r="AE148" s="19">
        <v>5.0</v>
      </c>
      <c r="AF148" s="19">
        <v>4.0</v>
      </c>
      <c r="AG148" s="19">
        <v>4.5</v>
      </c>
      <c r="AH148" s="19">
        <v>4.5</v>
      </c>
      <c r="AI148" s="22">
        <v>13.78125</v>
      </c>
      <c r="AJ148" s="19">
        <v>15.0</v>
      </c>
      <c r="AK148" s="19">
        <v>15.0</v>
      </c>
      <c r="AL148" s="19">
        <v>15.0</v>
      </c>
      <c r="AM148" s="19">
        <v>45.0</v>
      </c>
      <c r="AN148" s="19">
        <v>58.8</v>
      </c>
      <c r="AO148" s="19">
        <v>80.8</v>
      </c>
      <c r="AP148" s="19">
        <v>327.0</v>
      </c>
      <c r="AQ148" s="23">
        <v>144.0</v>
      </c>
      <c r="AR148" s="23">
        <v>6.0</v>
      </c>
      <c r="AS148" s="22" t="s">
        <v>4071</v>
      </c>
      <c r="AT148" s="19" t="s">
        <v>2282</v>
      </c>
      <c r="AU148" s="19" t="s">
        <v>4957</v>
      </c>
      <c r="AV148" s="19" t="s">
        <v>4958</v>
      </c>
      <c r="AW148" s="19" t="s">
        <v>4959</v>
      </c>
      <c r="AX148" s="20">
        <v>34812.0</v>
      </c>
      <c r="AY148" s="19" t="s">
        <v>3734</v>
      </c>
      <c r="AZ148" s="19" t="s">
        <v>2310</v>
      </c>
      <c r="BA148" s="19" t="s">
        <v>4960</v>
      </c>
      <c r="BB148" s="19" t="s">
        <v>4961</v>
      </c>
      <c r="BC148" s="19" t="s">
        <v>4962</v>
      </c>
      <c r="BD148" s="19" t="s">
        <v>4963</v>
      </c>
      <c r="BE148" s="19" t="s">
        <v>4954</v>
      </c>
      <c r="BF148" s="19">
        <v>1.1957691711E10</v>
      </c>
      <c r="BG148" s="19" t="s">
        <v>2127</v>
      </c>
      <c r="BH148" s="19" t="s">
        <v>2649</v>
      </c>
      <c r="BI148" s="19"/>
      <c r="BJ148" s="19"/>
      <c r="BK148" s="19" t="s">
        <v>16</v>
      </c>
      <c r="BL148" s="19" t="s">
        <v>2113</v>
      </c>
      <c r="BM148" s="19" t="s">
        <v>2130</v>
      </c>
      <c r="BN148" s="19" t="s">
        <v>17</v>
      </c>
      <c r="BO148" s="19" t="s">
        <v>3199</v>
      </c>
      <c r="BP148" s="19"/>
      <c r="BQ148" s="19" t="s">
        <v>3251</v>
      </c>
      <c r="BR148" s="19" t="s">
        <v>3251</v>
      </c>
      <c r="BS148" s="19" t="s">
        <v>3521</v>
      </c>
      <c r="BT148" s="19" t="s">
        <v>177</v>
      </c>
      <c r="BU148" s="19" t="s">
        <v>4964</v>
      </c>
      <c r="BV148" s="19" t="s">
        <v>4965</v>
      </c>
      <c r="BW148" s="19"/>
      <c r="BX148" s="19"/>
      <c r="BY148" s="19" t="s">
        <v>2113</v>
      </c>
      <c r="BZ148" s="19" t="s">
        <v>2113</v>
      </c>
      <c r="CA148" s="19" t="s">
        <v>2113</v>
      </c>
      <c r="CB148" s="19"/>
      <c r="CC148" s="19"/>
      <c r="CD148" s="19" t="s">
        <v>2137</v>
      </c>
      <c r="CE148" s="19" t="s">
        <v>16</v>
      </c>
      <c r="CF148" s="19"/>
      <c r="CG148" s="19"/>
      <c r="CH148" s="19" t="s">
        <v>16</v>
      </c>
      <c r="CI148" s="21">
        <v>0.0</v>
      </c>
      <c r="CJ148" s="19" t="s">
        <v>16</v>
      </c>
      <c r="CK148" s="19"/>
      <c r="CL148" s="19"/>
      <c r="CM148" s="19" t="s">
        <v>2138</v>
      </c>
      <c r="CN148" s="19" t="s">
        <v>3253</v>
      </c>
      <c r="CO148" s="19"/>
      <c r="CP148" s="19"/>
      <c r="CQ148" s="19"/>
      <c r="CR148" s="19"/>
      <c r="CS148" s="19"/>
      <c r="CT148" s="19" t="s">
        <v>2113</v>
      </c>
      <c r="CU148" s="19" t="s">
        <v>2113</v>
      </c>
      <c r="CV148" s="19" t="s">
        <v>2141</v>
      </c>
      <c r="CW148" s="19" t="s">
        <v>2113</v>
      </c>
      <c r="CX148" s="19" t="s">
        <v>2113</v>
      </c>
      <c r="CY148" s="19"/>
      <c r="CZ148" s="19"/>
      <c r="DA148" s="19" t="s">
        <v>16</v>
      </c>
      <c r="DB148" s="19" t="s">
        <v>16</v>
      </c>
      <c r="DC148" s="19" t="s">
        <v>3914</v>
      </c>
      <c r="DD148" s="19" t="s">
        <v>2113</v>
      </c>
      <c r="DE148" s="19" t="s">
        <v>2113</v>
      </c>
      <c r="DF148" s="19" t="s">
        <v>4966</v>
      </c>
      <c r="DG148" s="19" t="s">
        <v>2323</v>
      </c>
      <c r="DH148" s="19" t="s">
        <v>2144</v>
      </c>
      <c r="DI148" s="24">
        <v>45519.0</v>
      </c>
      <c r="DJ148" s="19" t="s">
        <v>3257</v>
      </c>
      <c r="DK148" s="19" t="s">
        <v>2145</v>
      </c>
      <c r="DL148" s="19" t="s">
        <v>2207</v>
      </c>
      <c r="DM148" s="19" t="s">
        <v>4615</v>
      </c>
      <c r="DN148" s="19">
        <v>2.0</v>
      </c>
      <c r="DO148" s="19">
        <v>2.0</v>
      </c>
      <c r="DP148" s="19" t="s">
        <v>4967</v>
      </c>
      <c r="DQ148" s="19" t="s">
        <v>4968</v>
      </c>
      <c r="DR148" s="19" t="s">
        <v>4969</v>
      </c>
      <c r="DS148" s="19" t="s">
        <v>2365</v>
      </c>
      <c r="DT148" s="19" t="s">
        <v>2350</v>
      </c>
      <c r="DU148" s="19"/>
      <c r="DV148" s="19"/>
      <c r="DW148" s="19" t="s">
        <v>2479</v>
      </c>
      <c r="DX148" s="19">
        <v>11.0</v>
      </c>
      <c r="DY148" s="19">
        <v>0.0</v>
      </c>
      <c r="DZ148" s="19">
        <v>0.0</v>
      </c>
      <c r="EA148" s="19">
        <v>0.0</v>
      </c>
      <c r="EB148" s="19">
        <v>0.0</v>
      </c>
      <c r="EC148" s="19">
        <v>20.0</v>
      </c>
      <c r="ED148" s="19" t="s">
        <v>3257</v>
      </c>
      <c r="EE148" s="24">
        <v>45519.0</v>
      </c>
      <c r="EF148" s="19" t="s">
        <v>3257</v>
      </c>
      <c r="EG148" s="19" t="s">
        <v>2145</v>
      </c>
      <c r="EH148" s="19" t="s">
        <v>2207</v>
      </c>
      <c r="EI148" s="22">
        <v>13.78125</v>
      </c>
      <c r="EJ148" s="19">
        <v>45.0</v>
      </c>
      <c r="EK148" s="19"/>
      <c r="EL148" s="19" t="s">
        <v>2282</v>
      </c>
      <c r="EM148" s="19" t="s">
        <v>4957</v>
      </c>
      <c r="EN148" s="19" t="s">
        <v>447</v>
      </c>
      <c r="EO148" s="19" t="s">
        <v>3734</v>
      </c>
      <c r="EP148" s="19" t="s">
        <v>2310</v>
      </c>
      <c r="EQ148" s="19" t="s">
        <v>3253</v>
      </c>
      <c r="ER148" s="19"/>
      <c r="ES148" s="19" t="s">
        <v>447</v>
      </c>
      <c r="ET148" s="19" t="s">
        <v>447</v>
      </c>
      <c r="EU148" s="19" t="s">
        <v>4955</v>
      </c>
      <c r="EV148" s="19">
        <v>10649.0</v>
      </c>
      <c r="EW148" s="19" t="s">
        <v>16</v>
      </c>
      <c r="EX148" s="19">
        <v>2.0</v>
      </c>
      <c r="EY148" s="25" t="s">
        <v>446</v>
      </c>
      <c r="EZ148" s="19" t="s">
        <v>2154</v>
      </c>
      <c r="FA148" s="5" t="s">
        <v>4970</v>
      </c>
      <c r="FB148" s="26" t="s">
        <v>2156</v>
      </c>
      <c r="FC148" s="26"/>
    </row>
    <row r="149">
      <c r="A149" s="19" t="s">
        <v>2156</v>
      </c>
      <c r="B149" s="19" t="s">
        <v>2113</v>
      </c>
      <c r="C149" s="19" t="s">
        <v>2113</v>
      </c>
      <c r="D149" s="19" t="s">
        <v>4971</v>
      </c>
      <c r="E149" s="19" t="s">
        <v>4972</v>
      </c>
      <c r="F149" s="19" t="s">
        <v>4971</v>
      </c>
      <c r="G149" s="19"/>
      <c r="H149" s="19" t="s">
        <v>448</v>
      </c>
      <c r="I149" s="19" t="s">
        <v>450</v>
      </c>
      <c r="J149" s="19" t="s">
        <v>4973</v>
      </c>
      <c r="K149" s="19" t="s">
        <v>4974</v>
      </c>
      <c r="L149" s="20">
        <v>45425.0</v>
      </c>
      <c r="M149" s="20">
        <v>45428.0</v>
      </c>
      <c r="N149" s="20">
        <v>45428.0</v>
      </c>
      <c r="O149" s="19" t="s">
        <v>449</v>
      </c>
      <c r="P149" s="19">
        <v>0.0</v>
      </c>
      <c r="Q149" s="19">
        <v>20.0</v>
      </c>
      <c r="R149" s="19">
        <v>7348.0</v>
      </c>
      <c r="S149" s="20" t="s">
        <v>4975</v>
      </c>
      <c r="T149" s="20">
        <v>45461.0</v>
      </c>
      <c r="U149" s="19" t="s">
        <v>4971</v>
      </c>
      <c r="V149" s="19"/>
      <c r="W149" s="19"/>
      <c r="X149" s="21">
        <v>20.0</v>
      </c>
      <c r="Y149" s="21">
        <v>5.0</v>
      </c>
      <c r="Z149" s="21">
        <v>2.0</v>
      </c>
      <c r="AA149" s="21">
        <v>0.0</v>
      </c>
      <c r="AB149" s="5">
        <v>27.0</v>
      </c>
      <c r="AC149" s="19">
        <v>4.0</v>
      </c>
      <c r="AD149" s="19">
        <v>3.0</v>
      </c>
      <c r="AE149" s="19">
        <v>4.5</v>
      </c>
      <c r="AF149" s="19">
        <v>4.5</v>
      </c>
      <c r="AG149" s="19">
        <v>3.0</v>
      </c>
      <c r="AH149" s="19">
        <v>4.0</v>
      </c>
      <c r="AI149" s="22">
        <v>11.53125</v>
      </c>
      <c r="AJ149" s="19">
        <v>15.0</v>
      </c>
      <c r="AK149" s="19">
        <v>14.0</v>
      </c>
      <c r="AL149" s="19">
        <v>13.0</v>
      </c>
      <c r="AM149" s="19">
        <v>42.0</v>
      </c>
      <c r="AN149" s="19">
        <v>53.5</v>
      </c>
      <c r="AO149" s="19">
        <v>80.5</v>
      </c>
      <c r="AP149" s="19">
        <v>249.0</v>
      </c>
      <c r="AQ149" s="23">
        <v>145.0</v>
      </c>
      <c r="AR149" s="23">
        <v>9.0</v>
      </c>
      <c r="AS149" s="22"/>
      <c r="AT149" s="19" t="s">
        <v>2163</v>
      </c>
      <c r="AU149" s="19" t="s">
        <v>4976</v>
      </c>
      <c r="AV149" s="19" t="s">
        <v>4977</v>
      </c>
      <c r="AW149" s="19" t="s">
        <v>2166</v>
      </c>
      <c r="AX149" s="20">
        <v>38113.0</v>
      </c>
      <c r="AY149" s="19" t="s">
        <v>4978</v>
      </c>
      <c r="AZ149" s="19" t="s">
        <v>2310</v>
      </c>
      <c r="BA149" s="19" t="s">
        <v>4979</v>
      </c>
      <c r="BB149" s="19" t="s">
        <v>4980</v>
      </c>
      <c r="BC149" s="19" t="s">
        <v>4981</v>
      </c>
      <c r="BD149" s="19" t="s">
        <v>4982</v>
      </c>
      <c r="BE149" s="19" t="s">
        <v>4973</v>
      </c>
      <c r="BF149" s="19">
        <v>1.1937470593E10</v>
      </c>
      <c r="BG149" s="19" t="s">
        <v>3518</v>
      </c>
      <c r="BH149" s="19" t="s">
        <v>2128</v>
      </c>
      <c r="BI149" s="19"/>
      <c r="BJ149" s="19" t="s">
        <v>2427</v>
      </c>
      <c r="BK149" s="19" t="s">
        <v>17</v>
      </c>
      <c r="BL149" s="19"/>
      <c r="BM149" s="19" t="s">
        <v>2130</v>
      </c>
      <c r="BN149" s="19" t="s">
        <v>17</v>
      </c>
      <c r="BO149" s="19" t="s">
        <v>3199</v>
      </c>
      <c r="BP149" s="19"/>
      <c r="BQ149" s="19" t="s">
        <v>2318</v>
      </c>
      <c r="BR149" s="19" t="s">
        <v>2318</v>
      </c>
      <c r="BS149" s="19" t="s">
        <v>2134</v>
      </c>
      <c r="BT149" s="19" t="s">
        <v>42</v>
      </c>
      <c r="BU149" s="19" t="s">
        <v>4983</v>
      </c>
      <c r="BV149" s="19" t="s">
        <v>4984</v>
      </c>
      <c r="BW149" s="19" t="s">
        <v>2113</v>
      </c>
      <c r="BX149" s="19"/>
      <c r="BY149" s="19"/>
      <c r="BZ149" s="19"/>
      <c r="CA149" s="19"/>
      <c r="CB149" s="19"/>
      <c r="CC149" s="19"/>
      <c r="CD149" s="19" t="s">
        <v>2137</v>
      </c>
      <c r="CE149" s="19" t="s">
        <v>17</v>
      </c>
      <c r="CF149" s="19"/>
      <c r="CG149" s="19"/>
      <c r="CH149" s="19" t="s">
        <v>16</v>
      </c>
      <c r="CI149" s="21">
        <v>0.0</v>
      </c>
      <c r="CJ149" s="19" t="s">
        <v>17</v>
      </c>
      <c r="CK149" s="19"/>
      <c r="CL149" s="19"/>
      <c r="CM149" s="19" t="s">
        <v>2926</v>
      </c>
      <c r="CN149" s="19" t="s">
        <v>4985</v>
      </c>
      <c r="CO149" s="19" t="s">
        <v>4986</v>
      </c>
      <c r="CP149" s="19" t="s">
        <v>2140</v>
      </c>
      <c r="CQ149" s="19"/>
      <c r="CR149" s="19"/>
      <c r="CS149" s="19"/>
      <c r="CT149" s="19"/>
      <c r="CU149" s="19"/>
      <c r="CV149" s="19" t="s">
        <v>2141</v>
      </c>
      <c r="CW149" s="19" t="s">
        <v>2113</v>
      </c>
      <c r="CX149" s="19" t="s">
        <v>2113</v>
      </c>
      <c r="CY149" s="19" t="s">
        <v>2113</v>
      </c>
      <c r="CZ149" s="19" t="s">
        <v>2113</v>
      </c>
      <c r="DA149" s="19" t="s">
        <v>17</v>
      </c>
      <c r="DB149" s="19" t="s">
        <v>17</v>
      </c>
      <c r="DC149" s="19" t="s">
        <v>2324</v>
      </c>
      <c r="DD149" s="19"/>
      <c r="DE149" s="19"/>
      <c r="DF149" s="19" t="s">
        <v>4987</v>
      </c>
      <c r="DG149" s="19" t="s">
        <v>2982</v>
      </c>
      <c r="DH149" s="19" t="s">
        <v>2144</v>
      </c>
      <c r="DI149" s="24">
        <v>45519.0</v>
      </c>
      <c r="DJ149" s="19" t="s">
        <v>2325</v>
      </c>
      <c r="DK149" s="19" t="s">
        <v>2271</v>
      </c>
      <c r="DL149" s="19" t="s">
        <v>2326</v>
      </c>
      <c r="DM149" s="19"/>
      <c r="DN149" s="19">
        <v>6.0</v>
      </c>
      <c r="DO149" s="19">
        <v>6.0</v>
      </c>
      <c r="DP149" s="19" t="s">
        <v>4988</v>
      </c>
      <c r="DQ149" s="19" t="s">
        <v>4989</v>
      </c>
      <c r="DR149" s="19" t="s">
        <v>4990</v>
      </c>
      <c r="DS149" s="19" t="s">
        <v>2185</v>
      </c>
      <c r="DT149" s="19" t="s">
        <v>2366</v>
      </c>
      <c r="DU149" s="19"/>
      <c r="DV149" s="19"/>
      <c r="DW149" s="19" t="s">
        <v>2479</v>
      </c>
      <c r="DX149" s="19">
        <v>6.0</v>
      </c>
      <c r="DY149" s="19">
        <v>5.0</v>
      </c>
      <c r="DZ149" s="19">
        <v>0.0</v>
      </c>
      <c r="EA149" s="19">
        <v>5.0</v>
      </c>
      <c r="EB149" s="19">
        <v>0.0</v>
      </c>
      <c r="EC149" s="19">
        <v>20.0</v>
      </c>
      <c r="ED149" s="19" t="s">
        <v>2325</v>
      </c>
      <c r="EE149" s="24">
        <v>45519.0</v>
      </c>
      <c r="EF149" s="19" t="s">
        <v>2325</v>
      </c>
      <c r="EG149" s="19" t="s">
        <v>2271</v>
      </c>
      <c r="EH149" s="19" t="s">
        <v>2326</v>
      </c>
      <c r="EI149" s="22">
        <v>11.53125</v>
      </c>
      <c r="EJ149" s="19">
        <v>42.0</v>
      </c>
      <c r="EK149" s="19" t="s">
        <v>2113</v>
      </c>
      <c r="EL149" s="19" t="s">
        <v>2163</v>
      </c>
      <c r="EM149" s="19" t="s">
        <v>4976</v>
      </c>
      <c r="EN149" s="19" t="s">
        <v>450</v>
      </c>
      <c r="EO149" s="19" t="s">
        <v>4978</v>
      </c>
      <c r="EP149" s="19" t="s">
        <v>2310</v>
      </c>
      <c r="EQ149" s="19" t="s">
        <v>4985</v>
      </c>
      <c r="ER149" s="19" t="s">
        <v>4986</v>
      </c>
      <c r="ES149" s="19" t="s">
        <v>450</v>
      </c>
      <c r="ET149" s="19" t="s">
        <v>450</v>
      </c>
      <c r="EU149" s="19" t="s">
        <v>4974</v>
      </c>
      <c r="EV149" s="19">
        <v>7348.0</v>
      </c>
      <c r="EW149" s="19" t="s">
        <v>17</v>
      </c>
      <c r="EX149" s="19">
        <v>2.0</v>
      </c>
      <c r="EY149" s="25" t="s">
        <v>449</v>
      </c>
      <c r="EZ149" s="19" t="s">
        <v>4991</v>
      </c>
      <c r="FA149" s="5" t="s">
        <v>4992</v>
      </c>
      <c r="FB149" s="26" t="s">
        <v>2156</v>
      </c>
      <c r="FC149" s="26"/>
    </row>
    <row r="150">
      <c r="A150" s="19" t="s">
        <v>2112</v>
      </c>
      <c r="B150" s="19" t="s">
        <v>2113</v>
      </c>
      <c r="C150" s="19" t="s">
        <v>2113</v>
      </c>
      <c r="D150" s="19" t="s">
        <v>451</v>
      </c>
      <c r="E150" s="19" t="s">
        <v>4993</v>
      </c>
      <c r="F150" s="19" t="s">
        <v>451</v>
      </c>
      <c r="G150" s="19"/>
      <c r="H150" s="19" t="s">
        <v>451</v>
      </c>
      <c r="I150" s="19" t="s">
        <v>453</v>
      </c>
      <c r="J150" s="19" t="s">
        <v>4994</v>
      </c>
      <c r="K150" s="19" t="s">
        <v>4995</v>
      </c>
      <c r="L150" s="20">
        <v>45396.0</v>
      </c>
      <c r="M150" s="20">
        <v>45411.0</v>
      </c>
      <c r="N150" s="20">
        <v>45411.0</v>
      </c>
      <c r="O150" s="19" t="s">
        <v>452</v>
      </c>
      <c r="P150" s="19">
        <v>0.0</v>
      </c>
      <c r="Q150" s="19">
        <v>21.0</v>
      </c>
      <c r="R150" s="19">
        <v>7739.0</v>
      </c>
      <c r="S150" s="20" t="s">
        <v>3291</v>
      </c>
      <c r="T150" s="20">
        <v>45461.0</v>
      </c>
      <c r="U150" s="19" t="s">
        <v>451</v>
      </c>
      <c r="V150" s="19"/>
      <c r="W150" s="19"/>
      <c r="X150" s="21">
        <v>20.0</v>
      </c>
      <c r="Y150" s="21">
        <v>0.0</v>
      </c>
      <c r="Z150" s="21">
        <v>3.0</v>
      </c>
      <c r="AA150" s="21">
        <v>0.0</v>
      </c>
      <c r="AB150" s="5">
        <v>23.0</v>
      </c>
      <c r="AC150" s="19">
        <v>5.0</v>
      </c>
      <c r="AD150" s="19">
        <v>5.0</v>
      </c>
      <c r="AE150" s="19">
        <v>5.0</v>
      </c>
      <c r="AF150" s="19">
        <v>5.0</v>
      </c>
      <c r="AG150" s="19">
        <v>5.0</v>
      </c>
      <c r="AH150" s="19">
        <v>5.0</v>
      </c>
      <c r="AI150" s="22">
        <v>15.0</v>
      </c>
      <c r="AJ150" s="19">
        <v>12.5</v>
      </c>
      <c r="AK150" s="19">
        <v>15.0</v>
      </c>
      <c r="AL150" s="19">
        <v>15.0</v>
      </c>
      <c r="AM150" s="19">
        <v>42.5</v>
      </c>
      <c r="AN150" s="19">
        <v>57.5</v>
      </c>
      <c r="AO150" s="19">
        <v>80.5</v>
      </c>
      <c r="AP150" s="19">
        <v>322.0</v>
      </c>
      <c r="AQ150" s="23">
        <v>146.0</v>
      </c>
      <c r="AR150" s="23">
        <v>23.0</v>
      </c>
      <c r="AS150" s="22"/>
      <c r="AT150" s="19" t="s">
        <v>2163</v>
      </c>
      <c r="AU150" s="19" t="s">
        <v>4996</v>
      </c>
      <c r="AV150" s="19" t="s">
        <v>4997</v>
      </c>
      <c r="AW150" s="19" t="s">
        <v>4998</v>
      </c>
      <c r="AX150" s="20">
        <v>37722.0</v>
      </c>
      <c r="AY150" s="19" t="s">
        <v>2467</v>
      </c>
      <c r="AZ150" s="19" t="s">
        <v>2310</v>
      </c>
      <c r="BA150" s="19" t="s">
        <v>4999</v>
      </c>
      <c r="BB150" s="19" t="s">
        <v>5000</v>
      </c>
      <c r="BC150" s="19" t="s">
        <v>5001</v>
      </c>
      <c r="BD150" s="19" t="s">
        <v>5002</v>
      </c>
      <c r="BE150" s="19" t="s">
        <v>5003</v>
      </c>
      <c r="BF150" s="19">
        <v>1.1948678762E10</v>
      </c>
      <c r="BG150" s="19" t="s">
        <v>4038</v>
      </c>
      <c r="BH150" s="19" t="s">
        <v>2128</v>
      </c>
      <c r="BI150" s="19"/>
      <c r="BJ150" s="19" t="s">
        <v>2128</v>
      </c>
      <c r="BK150" s="19" t="s">
        <v>17</v>
      </c>
      <c r="BL150" s="19"/>
      <c r="BM150" s="19" t="s">
        <v>2130</v>
      </c>
      <c r="BN150" s="19" t="s">
        <v>2131</v>
      </c>
      <c r="BO150" s="19" t="s">
        <v>2473</v>
      </c>
      <c r="BP150" s="19" t="s">
        <v>5004</v>
      </c>
      <c r="BQ150" s="19" t="s">
        <v>2133</v>
      </c>
      <c r="BR150" s="19" t="s">
        <v>2133</v>
      </c>
      <c r="BS150" s="19" t="s">
        <v>2134</v>
      </c>
      <c r="BT150" s="19" t="s">
        <v>38</v>
      </c>
      <c r="BU150" s="19" t="s">
        <v>5005</v>
      </c>
      <c r="BV150" s="19" t="s">
        <v>5006</v>
      </c>
      <c r="BW150" s="19" t="s">
        <v>2113</v>
      </c>
      <c r="BX150" s="19"/>
      <c r="BY150" s="19"/>
      <c r="BZ150" s="19"/>
      <c r="CA150" s="19"/>
      <c r="CB150" s="19"/>
      <c r="CC150" s="19"/>
      <c r="CD150" s="19" t="s">
        <v>2137</v>
      </c>
      <c r="CE150" s="19" t="s">
        <v>16</v>
      </c>
      <c r="CF150" s="19"/>
      <c r="CG150" s="19"/>
      <c r="CH150" s="19" t="s">
        <v>16</v>
      </c>
      <c r="CI150" s="21">
        <v>0.0</v>
      </c>
      <c r="CJ150" s="19" t="s">
        <v>17</v>
      </c>
      <c r="CK150" s="19"/>
      <c r="CL150" s="19"/>
      <c r="CM150" s="19" t="s">
        <v>2344</v>
      </c>
      <c r="CN150" s="19" t="s">
        <v>2475</v>
      </c>
      <c r="CO150" s="19"/>
      <c r="CP150" s="19" t="s">
        <v>2246</v>
      </c>
      <c r="CQ150" s="19"/>
      <c r="CR150" s="19"/>
      <c r="CS150" s="19"/>
      <c r="CT150" s="19" t="s">
        <v>2113</v>
      </c>
      <c r="CU150" s="19" t="s">
        <v>2113</v>
      </c>
      <c r="CV150" s="19" t="s">
        <v>2141</v>
      </c>
      <c r="CW150" s="19" t="s">
        <v>2113</v>
      </c>
      <c r="CX150" s="19" t="s">
        <v>2113</v>
      </c>
      <c r="CY150" s="19"/>
      <c r="CZ150" s="19"/>
      <c r="DA150" s="19" t="s">
        <v>16</v>
      </c>
      <c r="DB150" s="19" t="s">
        <v>17</v>
      </c>
      <c r="DC150" s="19" t="s">
        <v>2477</v>
      </c>
      <c r="DD150" s="19" t="s">
        <v>2113</v>
      </c>
      <c r="DE150" s="19" t="s">
        <v>2113</v>
      </c>
      <c r="DF150" s="19" t="s">
        <v>2248</v>
      </c>
      <c r="DG150" s="19" t="s">
        <v>3914</v>
      </c>
      <c r="DH150" s="19" t="s">
        <v>2144</v>
      </c>
      <c r="DI150" s="24">
        <v>45524.0</v>
      </c>
      <c r="DJ150" s="19" t="s">
        <v>2133</v>
      </c>
      <c r="DK150" s="19" t="s">
        <v>2145</v>
      </c>
      <c r="DL150" s="19" t="s">
        <v>2146</v>
      </c>
      <c r="DM150" s="19" t="s">
        <v>3302</v>
      </c>
      <c r="DN150" s="19">
        <v>7.0</v>
      </c>
      <c r="DO150" s="19">
        <v>7.0</v>
      </c>
      <c r="DP150" s="19" t="s">
        <v>5007</v>
      </c>
      <c r="DQ150" s="19" t="s">
        <v>5008</v>
      </c>
      <c r="DR150" s="19" t="s">
        <v>5009</v>
      </c>
      <c r="DS150" s="19" t="s">
        <v>2185</v>
      </c>
      <c r="DT150" s="19" t="s">
        <v>2152</v>
      </c>
      <c r="DU150" s="19"/>
      <c r="DV150" s="19"/>
      <c r="DW150" s="19" t="s">
        <v>3306</v>
      </c>
      <c r="DX150" s="19">
        <v>4.0</v>
      </c>
      <c r="DY150" s="19">
        <v>0.0</v>
      </c>
      <c r="DZ150" s="19">
        <v>0.0</v>
      </c>
      <c r="EA150" s="19">
        <v>0.0</v>
      </c>
      <c r="EB150" s="19">
        <v>0.0</v>
      </c>
      <c r="EC150" s="19">
        <v>20.0</v>
      </c>
      <c r="ED150" s="19" t="s">
        <v>2133</v>
      </c>
      <c r="EE150" s="24">
        <v>45524.0</v>
      </c>
      <c r="EF150" s="19" t="s">
        <v>2133</v>
      </c>
      <c r="EG150" s="19" t="s">
        <v>2145</v>
      </c>
      <c r="EH150" s="19" t="s">
        <v>2146</v>
      </c>
      <c r="EI150" s="22">
        <v>15.0</v>
      </c>
      <c r="EJ150" s="19">
        <v>42.5</v>
      </c>
      <c r="EK150" s="19" t="s">
        <v>2113</v>
      </c>
      <c r="EL150" s="19" t="s">
        <v>2163</v>
      </c>
      <c r="EM150" s="19" t="s">
        <v>4996</v>
      </c>
      <c r="EN150" s="19" t="s">
        <v>453</v>
      </c>
      <c r="EO150" s="19" t="s">
        <v>2467</v>
      </c>
      <c r="EP150" s="19" t="s">
        <v>2310</v>
      </c>
      <c r="EQ150" s="19" t="s">
        <v>2475</v>
      </c>
      <c r="ER150" s="19"/>
      <c r="ES150" s="19" t="s">
        <v>453</v>
      </c>
      <c r="ET150" s="19" t="s">
        <v>453</v>
      </c>
      <c r="EU150" s="19" t="s">
        <v>4995</v>
      </c>
      <c r="EV150" s="19">
        <v>7739.0</v>
      </c>
      <c r="EW150" s="19" t="s">
        <v>16</v>
      </c>
      <c r="EX150" s="19">
        <v>3.0</v>
      </c>
      <c r="EY150" s="25" t="s">
        <v>452</v>
      </c>
      <c r="EZ150" s="19" t="s">
        <v>2154</v>
      </c>
      <c r="FA150" s="5" t="s">
        <v>5010</v>
      </c>
      <c r="FB150" s="26" t="s">
        <v>2156</v>
      </c>
      <c r="FC150" s="26"/>
    </row>
    <row r="151">
      <c r="A151" s="19" t="s">
        <v>2112</v>
      </c>
      <c r="B151" s="19" t="s">
        <v>2113</v>
      </c>
      <c r="C151" s="19" t="s">
        <v>2113</v>
      </c>
      <c r="D151" s="19" t="s">
        <v>454</v>
      </c>
      <c r="E151" s="19" t="s">
        <v>5011</v>
      </c>
      <c r="F151" s="19" t="s">
        <v>454</v>
      </c>
      <c r="G151" s="19"/>
      <c r="H151" s="19" t="s">
        <v>454</v>
      </c>
      <c r="I151" s="19" t="s">
        <v>456</v>
      </c>
      <c r="J151" s="19" t="s">
        <v>5012</v>
      </c>
      <c r="K151" s="19" t="s">
        <v>5013</v>
      </c>
      <c r="L151" s="20">
        <v>45405.0</v>
      </c>
      <c r="M151" s="20">
        <v>45411.0</v>
      </c>
      <c r="N151" s="20">
        <v>45411.0</v>
      </c>
      <c r="O151" s="19" t="s">
        <v>455</v>
      </c>
      <c r="P151" s="19">
        <v>0.0</v>
      </c>
      <c r="Q151" s="19">
        <v>20.0</v>
      </c>
      <c r="R151" s="19">
        <v>7320.0</v>
      </c>
      <c r="S151" s="20" t="s">
        <v>5014</v>
      </c>
      <c r="T151" s="20">
        <v>45461.0</v>
      </c>
      <c r="U151" s="19" t="s">
        <v>454</v>
      </c>
      <c r="V151" s="19"/>
      <c r="W151" s="19"/>
      <c r="X151" s="21">
        <v>20.0</v>
      </c>
      <c r="Y151" s="21">
        <v>10.0</v>
      </c>
      <c r="Z151" s="21">
        <v>4.0</v>
      </c>
      <c r="AA151" s="21">
        <v>0.0</v>
      </c>
      <c r="AB151" s="5">
        <v>34.0</v>
      </c>
      <c r="AC151" s="19">
        <v>4.0</v>
      </c>
      <c r="AD151" s="19">
        <v>4.0</v>
      </c>
      <c r="AE151" s="19">
        <v>4.0</v>
      </c>
      <c r="AF151" s="19">
        <v>3.0</v>
      </c>
      <c r="AG151" s="19">
        <v>3.0</v>
      </c>
      <c r="AH151" s="19">
        <v>4.0</v>
      </c>
      <c r="AI151" s="22">
        <v>11.25</v>
      </c>
      <c r="AJ151" s="19">
        <v>12.0</v>
      </c>
      <c r="AK151" s="19">
        <v>13.0</v>
      </c>
      <c r="AL151" s="19">
        <v>10.0</v>
      </c>
      <c r="AM151" s="19">
        <v>35.0</v>
      </c>
      <c r="AN151" s="19">
        <v>46.3</v>
      </c>
      <c r="AO151" s="19">
        <v>80.3</v>
      </c>
      <c r="AP151" s="19">
        <v>130.0</v>
      </c>
      <c r="AQ151" s="23">
        <v>147.0</v>
      </c>
      <c r="AR151" s="23">
        <v>10.0</v>
      </c>
      <c r="AS151" s="22"/>
      <c r="AT151" s="19" t="s">
        <v>2163</v>
      </c>
      <c r="AU151" s="19" t="s">
        <v>5015</v>
      </c>
      <c r="AV151" s="19" t="s">
        <v>5016</v>
      </c>
      <c r="AW151" s="19"/>
      <c r="AX151" s="20">
        <v>38141.0</v>
      </c>
      <c r="AY151" s="19" t="s">
        <v>2309</v>
      </c>
      <c r="AZ151" s="19" t="s">
        <v>2122</v>
      </c>
      <c r="BA151" s="19" t="s">
        <v>5017</v>
      </c>
      <c r="BB151" s="19" t="s">
        <v>5018</v>
      </c>
      <c r="BC151" s="19" t="s">
        <v>5019</v>
      </c>
      <c r="BD151" s="19" t="s">
        <v>5020</v>
      </c>
      <c r="BE151" s="19" t="s">
        <v>5021</v>
      </c>
      <c r="BF151" s="19">
        <v>1.193207953E10</v>
      </c>
      <c r="BG151" s="19" t="s">
        <v>2127</v>
      </c>
      <c r="BH151" s="19" t="s">
        <v>2128</v>
      </c>
      <c r="BI151" s="19"/>
      <c r="BJ151" s="19"/>
      <c r="BK151" s="19" t="s">
        <v>16</v>
      </c>
      <c r="BL151" s="19"/>
      <c r="BM151" s="19" t="s">
        <v>2130</v>
      </c>
      <c r="BN151" s="19" t="s">
        <v>2708</v>
      </c>
      <c r="BO151" s="19" t="s">
        <v>2317</v>
      </c>
      <c r="BP151" s="19"/>
      <c r="BQ151" s="19" t="s">
        <v>2318</v>
      </c>
      <c r="BR151" s="19" t="s">
        <v>2318</v>
      </c>
      <c r="BS151" s="19" t="s">
        <v>2134</v>
      </c>
      <c r="BT151" s="19" t="s">
        <v>42</v>
      </c>
      <c r="BU151" s="19" t="s">
        <v>5022</v>
      </c>
      <c r="BV151" s="19" t="s">
        <v>5023</v>
      </c>
      <c r="BW151" s="19" t="s">
        <v>2113</v>
      </c>
      <c r="BX151" s="19"/>
      <c r="BY151" s="19"/>
      <c r="BZ151" s="19"/>
      <c r="CA151" s="19"/>
      <c r="CB151" s="19"/>
      <c r="CC151" s="19"/>
      <c r="CD151" s="19" t="s">
        <v>2137</v>
      </c>
      <c r="CE151" s="19" t="s">
        <v>16</v>
      </c>
      <c r="CF151" s="19"/>
      <c r="CG151" s="19"/>
      <c r="CH151" s="19" t="s">
        <v>16</v>
      </c>
      <c r="CI151" s="21">
        <v>0.0</v>
      </c>
      <c r="CJ151" s="19" t="s">
        <v>17</v>
      </c>
      <c r="CK151" s="19"/>
      <c r="CL151" s="19"/>
      <c r="CM151" s="19" t="s">
        <v>2138</v>
      </c>
      <c r="CN151" s="19" t="s">
        <v>2321</v>
      </c>
      <c r="CO151" s="19"/>
      <c r="CP151" s="19"/>
      <c r="CQ151" s="19"/>
      <c r="CR151" s="19"/>
      <c r="CS151" s="19"/>
      <c r="CT151" s="19" t="s">
        <v>2113</v>
      </c>
      <c r="CU151" s="19" t="s">
        <v>2113</v>
      </c>
      <c r="CV151" s="19" t="s">
        <v>2141</v>
      </c>
      <c r="CW151" s="19" t="s">
        <v>2113</v>
      </c>
      <c r="CX151" s="19" t="s">
        <v>2113</v>
      </c>
      <c r="CY151" s="19"/>
      <c r="CZ151" s="19"/>
      <c r="DA151" s="19" t="s">
        <v>16</v>
      </c>
      <c r="DB151" s="19" t="s">
        <v>17</v>
      </c>
      <c r="DC151" s="19" t="s">
        <v>2322</v>
      </c>
      <c r="DD151" s="19" t="s">
        <v>2113</v>
      </c>
      <c r="DE151" s="19" t="s">
        <v>2113</v>
      </c>
      <c r="DF151" s="19" t="s">
        <v>2983</v>
      </c>
      <c r="DG151" s="19" t="s">
        <v>5024</v>
      </c>
      <c r="DH151" s="19" t="s">
        <v>2144</v>
      </c>
      <c r="DI151" s="24">
        <v>45524.0</v>
      </c>
      <c r="DJ151" s="19" t="s">
        <v>2325</v>
      </c>
      <c r="DK151" s="19" t="s">
        <v>2145</v>
      </c>
      <c r="DL151" s="19" t="s">
        <v>2326</v>
      </c>
      <c r="DM151" s="19"/>
      <c r="DN151" s="19">
        <v>7.0</v>
      </c>
      <c r="DO151" s="19">
        <v>7.0</v>
      </c>
      <c r="DP151" s="19" t="s">
        <v>5025</v>
      </c>
      <c r="DQ151" s="19" t="s">
        <v>5026</v>
      </c>
      <c r="DR151" s="19" t="s">
        <v>5027</v>
      </c>
      <c r="DS151" s="19" t="s">
        <v>2185</v>
      </c>
      <c r="DT151" s="19" t="s">
        <v>2366</v>
      </c>
      <c r="DU151" s="19"/>
      <c r="DV151" s="19"/>
      <c r="DW151" s="19" t="s">
        <v>2479</v>
      </c>
      <c r="DX151" s="19">
        <v>6.0</v>
      </c>
      <c r="DY151" s="19">
        <v>10.0</v>
      </c>
      <c r="DZ151" s="19">
        <v>0.0</v>
      </c>
      <c r="EA151" s="19">
        <v>10.0</v>
      </c>
      <c r="EB151" s="19">
        <v>0.0</v>
      </c>
      <c r="EC151" s="19">
        <v>20.0</v>
      </c>
      <c r="ED151" s="19" t="s">
        <v>2325</v>
      </c>
      <c r="EE151" s="24">
        <v>45524.0</v>
      </c>
      <c r="EF151" s="19" t="s">
        <v>2325</v>
      </c>
      <c r="EG151" s="19" t="s">
        <v>2145</v>
      </c>
      <c r="EH151" s="19" t="s">
        <v>2326</v>
      </c>
      <c r="EI151" s="22">
        <v>11.25</v>
      </c>
      <c r="EJ151" s="19">
        <v>35.0</v>
      </c>
      <c r="EK151" s="19" t="s">
        <v>2113</v>
      </c>
      <c r="EL151" s="19" t="s">
        <v>2163</v>
      </c>
      <c r="EM151" s="19" t="s">
        <v>5015</v>
      </c>
      <c r="EN151" s="19" t="s">
        <v>456</v>
      </c>
      <c r="EO151" s="19" t="s">
        <v>2309</v>
      </c>
      <c r="EP151" s="19" t="s">
        <v>2122</v>
      </c>
      <c r="EQ151" s="19" t="s">
        <v>2321</v>
      </c>
      <c r="ER151" s="19"/>
      <c r="ES151" s="19" t="s">
        <v>456</v>
      </c>
      <c r="ET151" s="19" t="s">
        <v>456</v>
      </c>
      <c r="EU151" s="19" t="s">
        <v>5013</v>
      </c>
      <c r="EV151" s="19">
        <v>7320.0</v>
      </c>
      <c r="EW151" s="19" t="s">
        <v>16</v>
      </c>
      <c r="EX151" s="19">
        <v>4.0</v>
      </c>
      <c r="EY151" s="25" t="s">
        <v>455</v>
      </c>
      <c r="EZ151" s="19" t="s">
        <v>2154</v>
      </c>
      <c r="FA151" s="5" t="s">
        <v>5028</v>
      </c>
      <c r="FB151" s="26" t="s">
        <v>2156</v>
      </c>
      <c r="FC151" s="26"/>
    </row>
    <row r="152">
      <c r="A152" s="19" t="s">
        <v>2112</v>
      </c>
      <c r="B152" s="19" t="s">
        <v>2113</v>
      </c>
      <c r="C152" s="19" t="s">
        <v>2113</v>
      </c>
      <c r="D152" s="19" t="s">
        <v>5029</v>
      </c>
      <c r="E152" s="19" t="s">
        <v>5030</v>
      </c>
      <c r="F152" s="19" t="s">
        <v>5029</v>
      </c>
      <c r="G152" s="19"/>
      <c r="H152" s="19" t="s">
        <v>457</v>
      </c>
      <c r="I152" s="19" t="s">
        <v>459</v>
      </c>
      <c r="J152" s="19" t="s">
        <v>5031</v>
      </c>
      <c r="K152" s="19" t="s">
        <v>5032</v>
      </c>
      <c r="L152" s="20">
        <v>45454.0</v>
      </c>
      <c r="M152" s="20">
        <v>45455.0</v>
      </c>
      <c r="N152" s="20">
        <v>45455.0</v>
      </c>
      <c r="O152" s="19" t="s">
        <v>458</v>
      </c>
      <c r="P152" s="19">
        <v>0.0</v>
      </c>
      <c r="Q152" s="19">
        <v>21.0</v>
      </c>
      <c r="R152" s="19">
        <v>7774.0</v>
      </c>
      <c r="S152" s="20" t="s">
        <v>5033</v>
      </c>
      <c r="T152" s="20">
        <v>45461.0</v>
      </c>
      <c r="U152" s="19" t="s">
        <v>5029</v>
      </c>
      <c r="V152" s="19"/>
      <c r="W152" s="19" t="s">
        <v>5034</v>
      </c>
      <c r="X152" s="21">
        <v>20.0</v>
      </c>
      <c r="Y152" s="21">
        <v>10.0</v>
      </c>
      <c r="Z152" s="21">
        <v>3.0</v>
      </c>
      <c r="AA152" s="21">
        <v>0.0</v>
      </c>
      <c r="AB152" s="5">
        <v>33.0</v>
      </c>
      <c r="AC152" s="19">
        <v>4.6</v>
      </c>
      <c r="AD152" s="19">
        <v>5.0</v>
      </c>
      <c r="AE152" s="19">
        <v>4.6</v>
      </c>
      <c r="AF152" s="19">
        <v>5.0</v>
      </c>
      <c r="AG152" s="19">
        <v>4.6</v>
      </c>
      <c r="AH152" s="19">
        <v>4.6</v>
      </c>
      <c r="AI152" s="22">
        <v>14.2125</v>
      </c>
      <c r="AJ152" s="19">
        <v>11.0</v>
      </c>
      <c r="AK152" s="19">
        <v>11.0</v>
      </c>
      <c r="AL152" s="19">
        <v>11.0</v>
      </c>
      <c r="AM152" s="19">
        <v>33.0</v>
      </c>
      <c r="AN152" s="19">
        <v>47.2</v>
      </c>
      <c r="AO152" s="19">
        <v>80.2</v>
      </c>
      <c r="AP152" s="19">
        <v>157.0</v>
      </c>
      <c r="AQ152" s="23">
        <v>148.0</v>
      </c>
      <c r="AR152" s="23">
        <v>14.0</v>
      </c>
      <c r="AS152" s="22"/>
      <c r="AT152" s="19" t="s">
        <v>2282</v>
      </c>
      <c r="AU152" s="19" t="s">
        <v>3031</v>
      </c>
      <c r="AV152" s="19" t="s">
        <v>5035</v>
      </c>
      <c r="AW152" s="19" t="s">
        <v>5036</v>
      </c>
      <c r="AX152" s="20">
        <v>37687.0</v>
      </c>
      <c r="AY152" s="19" t="s">
        <v>3034</v>
      </c>
      <c r="AZ152" s="19" t="s">
        <v>2122</v>
      </c>
      <c r="BA152" s="19" t="s">
        <v>5037</v>
      </c>
      <c r="BB152" s="19" t="s">
        <v>5038</v>
      </c>
      <c r="BC152" s="19" t="s">
        <v>5039</v>
      </c>
      <c r="BD152" s="19" t="s">
        <v>5040</v>
      </c>
      <c r="BE152" s="19" t="s">
        <v>5031</v>
      </c>
      <c r="BF152" s="19">
        <v>1.1934501088E10</v>
      </c>
      <c r="BG152" s="19" t="s">
        <v>2127</v>
      </c>
      <c r="BH152" s="19" t="s">
        <v>2128</v>
      </c>
      <c r="BI152" s="19"/>
      <c r="BJ152" s="19"/>
      <c r="BK152" s="19" t="s">
        <v>16</v>
      </c>
      <c r="BL152" s="19"/>
      <c r="BM152" s="19" t="s">
        <v>2130</v>
      </c>
      <c r="BN152" s="19" t="s">
        <v>17</v>
      </c>
      <c r="BO152" s="19" t="s">
        <v>2473</v>
      </c>
      <c r="BP152" s="19"/>
      <c r="BQ152" s="19" t="s">
        <v>2174</v>
      </c>
      <c r="BR152" s="19" t="s">
        <v>2174</v>
      </c>
      <c r="BS152" s="19" t="s">
        <v>2243</v>
      </c>
      <c r="BT152" s="19" t="s">
        <v>34</v>
      </c>
      <c r="BU152" s="19" t="s">
        <v>5041</v>
      </c>
      <c r="BV152" s="19" t="s">
        <v>5042</v>
      </c>
      <c r="BW152" s="19"/>
      <c r="BX152" s="19"/>
      <c r="BY152" s="19"/>
      <c r="BZ152" s="19"/>
      <c r="CA152" s="19" t="s">
        <v>2113</v>
      </c>
      <c r="CB152" s="19" t="s">
        <v>2113</v>
      </c>
      <c r="CC152" s="19"/>
      <c r="CD152" s="19" t="s">
        <v>2137</v>
      </c>
      <c r="CE152" s="19" t="s">
        <v>16</v>
      </c>
      <c r="CF152" s="19"/>
      <c r="CG152" s="19"/>
      <c r="CH152" s="19" t="s">
        <v>16</v>
      </c>
      <c r="CI152" s="21">
        <v>0.0</v>
      </c>
      <c r="CJ152" s="19" t="s">
        <v>16</v>
      </c>
      <c r="CK152" s="19"/>
      <c r="CL152" s="19"/>
      <c r="CM152" s="19" t="s">
        <v>2926</v>
      </c>
      <c r="CN152" s="19" t="s">
        <v>3041</v>
      </c>
      <c r="CO152" s="19"/>
      <c r="CP152" s="19"/>
      <c r="CQ152" s="19"/>
      <c r="CR152" s="19" t="s">
        <v>2113</v>
      </c>
      <c r="CS152" s="19" t="s">
        <v>2113</v>
      </c>
      <c r="CT152" s="19" t="s">
        <v>2113</v>
      </c>
      <c r="CU152" s="19" t="s">
        <v>2113</v>
      </c>
      <c r="CV152" s="19" t="s">
        <v>2141</v>
      </c>
      <c r="CW152" s="19"/>
      <c r="CX152" s="19"/>
      <c r="CY152" s="19"/>
      <c r="CZ152" s="19"/>
      <c r="DA152" s="19" t="s">
        <v>16</v>
      </c>
      <c r="DB152" s="19" t="s">
        <v>16</v>
      </c>
      <c r="DC152" s="19" t="s">
        <v>3146</v>
      </c>
      <c r="DD152" s="19"/>
      <c r="DE152" s="19"/>
      <c r="DF152" s="19" t="s">
        <v>5043</v>
      </c>
      <c r="DG152" s="19" t="s">
        <v>3042</v>
      </c>
      <c r="DH152" s="19" t="s">
        <v>2144</v>
      </c>
      <c r="DI152" s="24">
        <v>45531.0</v>
      </c>
      <c r="DJ152" s="19" t="s">
        <v>2174</v>
      </c>
      <c r="DK152" s="19" t="s">
        <v>2145</v>
      </c>
      <c r="DL152" s="19" t="s">
        <v>2183</v>
      </c>
      <c r="DM152" s="19"/>
      <c r="DN152" s="19">
        <v>7.0</v>
      </c>
      <c r="DO152" s="19">
        <v>7.0</v>
      </c>
      <c r="DP152" s="19" t="s">
        <v>5044</v>
      </c>
      <c r="DQ152" s="19" t="s">
        <v>5045</v>
      </c>
      <c r="DR152" s="19" t="s">
        <v>5046</v>
      </c>
      <c r="DS152" s="19" t="s">
        <v>2151</v>
      </c>
      <c r="DT152" s="19" t="s">
        <v>2209</v>
      </c>
      <c r="DU152" s="19"/>
      <c r="DV152" s="19"/>
      <c r="DW152" s="19" t="s">
        <v>2153</v>
      </c>
      <c r="DX152" s="19">
        <v>14.0</v>
      </c>
      <c r="DY152" s="19">
        <v>10.0</v>
      </c>
      <c r="DZ152" s="19">
        <v>0.0</v>
      </c>
      <c r="EA152" s="19">
        <v>10.0</v>
      </c>
      <c r="EB152" s="19">
        <v>0.0</v>
      </c>
      <c r="EC152" s="19">
        <v>20.0</v>
      </c>
      <c r="ED152" s="19" t="s">
        <v>2174</v>
      </c>
      <c r="EE152" s="24">
        <v>45531.0</v>
      </c>
      <c r="EF152" s="19" t="s">
        <v>2174</v>
      </c>
      <c r="EG152" s="19" t="s">
        <v>2145</v>
      </c>
      <c r="EH152" s="19" t="s">
        <v>2183</v>
      </c>
      <c r="EI152" s="22">
        <v>14.2125</v>
      </c>
      <c r="EJ152" s="19">
        <v>33.0</v>
      </c>
      <c r="EK152" s="19"/>
      <c r="EL152" s="19" t="s">
        <v>2282</v>
      </c>
      <c r="EM152" s="19" t="s">
        <v>3031</v>
      </c>
      <c r="EN152" s="19" t="s">
        <v>459</v>
      </c>
      <c r="EO152" s="19" t="s">
        <v>3034</v>
      </c>
      <c r="EP152" s="19" t="s">
        <v>2122</v>
      </c>
      <c r="EQ152" s="19" t="s">
        <v>3041</v>
      </c>
      <c r="ER152" s="19"/>
      <c r="ES152" s="19" t="s">
        <v>459</v>
      </c>
      <c r="ET152" s="19" t="s">
        <v>459</v>
      </c>
      <c r="EU152" s="19" t="s">
        <v>5032</v>
      </c>
      <c r="EV152" s="19">
        <v>7774.0</v>
      </c>
      <c r="EW152" s="19" t="s">
        <v>16</v>
      </c>
      <c r="EX152" s="19">
        <v>3.0</v>
      </c>
      <c r="EY152" s="25" t="s">
        <v>458</v>
      </c>
      <c r="EZ152" s="19" t="s">
        <v>2154</v>
      </c>
      <c r="FA152" s="5" t="s">
        <v>5047</v>
      </c>
      <c r="FB152" s="26" t="s">
        <v>2156</v>
      </c>
      <c r="FC152" s="26"/>
    </row>
    <row r="153">
      <c r="A153" s="19" t="s">
        <v>17</v>
      </c>
      <c r="B153" s="19" t="s">
        <v>2113</v>
      </c>
      <c r="C153" s="19" t="s">
        <v>2113</v>
      </c>
      <c r="D153" s="19" t="s">
        <v>460</v>
      </c>
      <c r="E153" s="19" t="s">
        <v>5048</v>
      </c>
      <c r="F153" s="19" t="s">
        <v>460</v>
      </c>
      <c r="G153" s="19"/>
      <c r="H153" s="19" t="s">
        <v>460</v>
      </c>
      <c r="I153" s="19" t="s">
        <v>334</v>
      </c>
      <c r="J153" s="19" t="s">
        <v>5049</v>
      </c>
      <c r="K153" s="19" t="s">
        <v>5050</v>
      </c>
      <c r="L153" s="20">
        <v>45456.0</v>
      </c>
      <c r="M153" s="20">
        <v>45457.0</v>
      </c>
      <c r="N153" s="20">
        <v>45457.0</v>
      </c>
      <c r="O153" s="19" t="s">
        <v>461</v>
      </c>
      <c r="P153" s="19">
        <v>0.0</v>
      </c>
      <c r="Q153" s="19">
        <v>22.0</v>
      </c>
      <c r="R153" s="19">
        <v>8108.0</v>
      </c>
      <c r="S153" s="20" t="s">
        <v>5051</v>
      </c>
      <c r="T153" s="20">
        <v>45461.0</v>
      </c>
      <c r="U153" s="19" t="s">
        <v>460</v>
      </c>
      <c r="V153" s="19"/>
      <c r="W153" s="19"/>
      <c r="X153" s="21">
        <v>20.0</v>
      </c>
      <c r="Y153" s="21">
        <v>5.0</v>
      </c>
      <c r="Z153" s="21">
        <v>3.0</v>
      </c>
      <c r="AA153" s="21">
        <v>0.0</v>
      </c>
      <c r="AB153" s="5">
        <v>28.0</v>
      </c>
      <c r="AC153" s="19">
        <v>4.0</v>
      </c>
      <c r="AD153" s="19">
        <v>4.333333333333333</v>
      </c>
      <c r="AE153" s="19">
        <v>5.0</v>
      </c>
      <c r="AF153" s="19">
        <v>4.0</v>
      </c>
      <c r="AG153" s="19">
        <v>4.333333333333333</v>
      </c>
      <c r="AH153" s="19">
        <v>4.333333333333333</v>
      </c>
      <c r="AI153" s="22">
        <v>13.21875</v>
      </c>
      <c r="AJ153" s="19">
        <v>13.0</v>
      </c>
      <c r="AK153" s="19">
        <v>13.0</v>
      </c>
      <c r="AL153" s="19">
        <v>13.0</v>
      </c>
      <c r="AM153" s="19">
        <v>39.0</v>
      </c>
      <c r="AN153" s="19">
        <v>52.2</v>
      </c>
      <c r="AO153" s="19">
        <v>80.2</v>
      </c>
      <c r="AP153" s="19">
        <v>231.0</v>
      </c>
      <c r="AQ153" s="23">
        <v>149.0</v>
      </c>
      <c r="AR153" s="23">
        <v>7.0</v>
      </c>
      <c r="AS153" s="22"/>
      <c r="AT153" s="19" t="s">
        <v>2117</v>
      </c>
      <c r="AU153" s="19" t="s">
        <v>4072</v>
      </c>
      <c r="AV153" s="19" t="s">
        <v>4073</v>
      </c>
      <c r="AW153" s="19" t="s">
        <v>5052</v>
      </c>
      <c r="AX153" s="20">
        <v>37353.0</v>
      </c>
      <c r="AY153" s="19" t="s">
        <v>3826</v>
      </c>
      <c r="AZ153" s="19" t="s">
        <v>2310</v>
      </c>
      <c r="BA153" s="19" t="s">
        <v>4075</v>
      </c>
      <c r="BB153" s="19" t="s">
        <v>4076</v>
      </c>
      <c r="BC153" s="19" t="s">
        <v>5053</v>
      </c>
      <c r="BD153" s="19" t="s">
        <v>5054</v>
      </c>
      <c r="BE153" s="19" t="s">
        <v>5049</v>
      </c>
      <c r="BF153" s="19">
        <v>1.4997266301E10</v>
      </c>
      <c r="BG153" s="19" t="s">
        <v>3518</v>
      </c>
      <c r="BH153" s="19" t="s">
        <v>2128</v>
      </c>
      <c r="BI153" s="19"/>
      <c r="BJ153" s="19" t="s">
        <v>2128</v>
      </c>
      <c r="BK153" s="19" t="s">
        <v>17</v>
      </c>
      <c r="BL153" s="19" t="s">
        <v>2113</v>
      </c>
      <c r="BM153" s="19" t="s">
        <v>2130</v>
      </c>
      <c r="BN153" s="19" t="s">
        <v>5055</v>
      </c>
      <c r="BO153" s="19" t="s">
        <v>2473</v>
      </c>
      <c r="BP153" s="19" t="s">
        <v>5056</v>
      </c>
      <c r="BQ153" s="19" t="s">
        <v>3832</v>
      </c>
      <c r="BR153" s="19" t="s">
        <v>3832</v>
      </c>
      <c r="BS153" s="19" t="s">
        <v>2134</v>
      </c>
      <c r="BT153" s="19" t="s">
        <v>268</v>
      </c>
      <c r="BU153" s="19" t="s">
        <v>5057</v>
      </c>
      <c r="BV153" s="19" t="s">
        <v>5058</v>
      </c>
      <c r="BW153" s="19"/>
      <c r="BX153" s="19"/>
      <c r="BY153" s="19"/>
      <c r="BZ153" s="19"/>
      <c r="CA153" s="19"/>
      <c r="CB153" s="19" t="s">
        <v>2113</v>
      </c>
      <c r="CC153" s="19"/>
      <c r="CD153" s="19" t="s">
        <v>2137</v>
      </c>
      <c r="CE153" s="19" t="s">
        <v>16</v>
      </c>
      <c r="CF153" s="19"/>
      <c r="CG153" s="19"/>
      <c r="CH153" s="19" t="s">
        <v>16</v>
      </c>
      <c r="CI153" s="21">
        <v>0.0</v>
      </c>
      <c r="CJ153" s="19" t="s">
        <v>17</v>
      </c>
      <c r="CK153" s="19"/>
      <c r="CL153" s="19"/>
      <c r="CM153" s="19" t="s">
        <v>2344</v>
      </c>
      <c r="CN153" s="19" t="s">
        <v>3835</v>
      </c>
      <c r="CO153" s="19"/>
      <c r="CP153" s="19" t="s">
        <v>2246</v>
      </c>
      <c r="CQ153" s="19"/>
      <c r="CR153" s="19"/>
      <c r="CS153" s="19"/>
      <c r="CT153" s="19" t="s">
        <v>2113</v>
      </c>
      <c r="CU153" s="19" t="s">
        <v>2113</v>
      </c>
      <c r="CV153" s="19" t="s">
        <v>2179</v>
      </c>
      <c r="CW153" s="19" t="s">
        <v>2113</v>
      </c>
      <c r="CX153" s="19" t="s">
        <v>2113</v>
      </c>
      <c r="CY153" s="19" t="s">
        <v>2113</v>
      </c>
      <c r="CZ153" s="19" t="s">
        <v>2113</v>
      </c>
      <c r="DA153" s="19" t="s">
        <v>16</v>
      </c>
      <c r="DB153" s="19" t="s">
        <v>17</v>
      </c>
      <c r="DC153" s="19" t="s">
        <v>4083</v>
      </c>
      <c r="DD153" s="19" t="s">
        <v>2113</v>
      </c>
      <c r="DE153" s="19" t="s">
        <v>2113</v>
      </c>
      <c r="DF153" s="19" t="s">
        <v>3836</v>
      </c>
      <c r="DG153" s="19" t="s">
        <v>3256</v>
      </c>
      <c r="DH153" s="19" t="s">
        <v>2144</v>
      </c>
      <c r="DI153" s="24">
        <v>45525.0</v>
      </c>
      <c r="DJ153" s="19" t="s">
        <v>3257</v>
      </c>
      <c r="DK153" s="19" t="s">
        <v>2271</v>
      </c>
      <c r="DL153" s="19" t="s">
        <v>2207</v>
      </c>
      <c r="DM153" s="22" t="s">
        <v>3599</v>
      </c>
      <c r="DN153" s="19">
        <v>4.0</v>
      </c>
      <c r="DO153" s="19">
        <v>4.0</v>
      </c>
      <c r="DP153" s="19"/>
      <c r="DQ153" s="19"/>
      <c r="DR153" s="19"/>
      <c r="DS153" s="19" t="s">
        <v>2365</v>
      </c>
      <c r="DT153" s="19" t="s">
        <v>2301</v>
      </c>
      <c r="DU153" s="19" t="s">
        <v>5059</v>
      </c>
      <c r="DV153" s="19"/>
      <c r="DW153" s="19" t="s">
        <v>2188</v>
      </c>
      <c r="DX153" s="19">
        <v>10.0</v>
      </c>
      <c r="DY153" s="19">
        <v>5.0</v>
      </c>
      <c r="DZ153" s="19">
        <v>0.0</v>
      </c>
      <c r="EA153" s="19">
        <v>5.0</v>
      </c>
      <c r="EB153" s="19">
        <v>0.0</v>
      </c>
      <c r="EC153" s="19">
        <v>20.0</v>
      </c>
      <c r="ED153" s="19" t="s">
        <v>3257</v>
      </c>
      <c r="EE153" s="24">
        <v>45525.0</v>
      </c>
      <c r="EF153" s="19" t="s">
        <v>3257</v>
      </c>
      <c r="EG153" s="19" t="s">
        <v>2271</v>
      </c>
      <c r="EH153" s="19" t="s">
        <v>2207</v>
      </c>
      <c r="EI153" s="22">
        <v>13.21875</v>
      </c>
      <c r="EJ153" s="19">
        <v>39.0</v>
      </c>
      <c r="EK153" s="19" t="s">
        <v>2113</v>
      </c>
      <c r="EL153" s="19" t="s">
        <v>2117</v>
      </c>
      <c r="EM153" s="19" t="s">
        <v>4072</v>
      </c>
      <c r="EN153" s="19" t="s">
        <v>334</v>
      </c>
      <c r="EO153" s="19" t="s">
        <v>3826</v>
      </c>
      <c r="EP153" s="19" t="s">
        <v>2310</v>
      </c>
      <c r="EQ153" s="19" t="s">
        <v>3835</v>
      </c>
      <c r="ER153" s="19"/>
      <c r="ES153" s="19" t="s">
        <v>334</v>
      </c>
      <c r="ET153" s="19" t="s">
        <v>334</v>
      </c>
      <c r="EU153" s="19" t="s">
        <v>5050</v>
      </c>
      <c r="EV153" s="19">
        <v>8108.0</v>
      </c>
      <c r="EW153" s="19" t="s">
        <v>16</v>
      </c>
      <c r="EX153" s="19">
        <v>3.0</v>
      </c>
      <c r="EY153" s="25" t="s">
        <v>461</v>
      </c>
      <c r="EZ153" s="19" t="s">
        <v>2154</v>
      </c>
      <c r="FA153" s="5" t="s">
        <v>5060</v>
      </c>
      <c r="FB153" s="26" t="s">
        <v>2156</v>
      </c>
      <c r="FC153" s="26"/>
    </row>
    <row r="154">
      <c r="A154" s="19" t="s">
        <v>2112</v>
      </c>
      <c r="B154" s="19" t="s">
        <v>2113</v>
      </c>
      <c r="C154" s="19" t="s">
        <v>2113</v>
      </c>
      <c r="D154" s="19" t="s">
        <v>462</v>
      </c>
      <c r="E154" s="19" t="s">
        <v>5061</v>
      </c>
      <c r="F154" s="19" t="s">
        <v>462</v>
      </c>
      <c r="G154" s="19"/>
      <c r="H154" s="19" t="s">
        <v>462</v>
      </c>
      <c r="I154" s="19" t="s">
        <v>464</v>
      </c>
      <c r="J154" s="19" t="s">
        <v>5062</v>
      </c>
      <c r="K154" s="19" t="s">
        <v>5063</v>
      </c>
      <c r="L154" s="20">
        <v>45394.0</v>
      </c>
      <c r="M154" s="20">
        <v>45404.0</v>
      </c>
      <c r="N154" s="20">
        <v>45404.0</v>
      </c>
      <c r="O154" s="19" t="s">
        <v>463</v>
      </c>
      <c r="P154" s="19">
        <v>0.0</v>
      </c>
      <c r="Q154" s="19">
        <v>26.0</v>
      </c>
      <c r="R154" s="19">
        <v>9662.0</v>
      </c>
      <c r="S154" s="20" t="s">
        <v>5064</v>
      </c>
      <c r="T154" s="20">
        <v>45461.0</v>
      </c>
      <c r="U154" s="19" t="s">
        <v>462</v>
      </c>
      <c r="V154" s="19"/>
      <c r="W154" s="19"/>
      <c r="X154" s="21">
        <v>20.0</v>
      </c>
      <c r="Y154" s="21">
        <v>0.0</v>
      </c>
      <c r="Z154" s="21">
        <v>5.0</v>
      </c>
      <c r="AA154" s="21">
        <v>0.0</v>
      </c>
      <c r="AB154" s="5">
        <v>25.0</v>
      </c>
      <c r="AC154" s="19">
        <v>4.0</v>
      </c>
      <c r="AD154" s="19">
        <v>3.5</v>
      </c>
      <c r="AE154" s="19">
        <v>3.0</v>
      </c>
      <c r="AF154" s="19">
        <v>3.0</v>
      </c>
      <c r="AG154" s="19">
        <v>3.0</v>
      </c>
      <c r="AH154" s="19">
        <v>4.0</v>
      </c>
      <c r="AI154" s="22">
        <v>10.171875</v>
      </c>
      <c r="AJ154" s="19">
        <v>15.0</v>
      </c>
      <c r="AK154" s="19">
        <v>15.0</v>
      </c>
      <c r="AL154" s="19">
        <v>15.0</v>
      </c>
      <c r="AM154" s="19">
        <v>45.0</v>
      </c>
      <c r="AN154" s="19">
        <v>55.2</v>
      </c>
      <c r="AO154" s="19">
        <v>80.2</v>
      </c>
      <c r="AP154" s="19">
        <v>267.0</v>
      </c>
      <c r="AQ154" s="23">
        <v>150.0</v>
      </c>
      <c r="AR154" s="23">
        <v>19.0</v>
      </c>
      <c r="AS154" s="19"/>
      <c r="AT154" s="19" t="s">
        <v>2163</v>
      </c>
      <c r="AU154" s="19" t="s">
        <v>5065</v>
      </c>
      <c r="AV154" s="19" t="s">
        <v>5066</v>
      </c>
      <c r="AW154" s="19" t="s">
        <v>2466</v>
      </c>
      <c r="AX154" s="20">
        <v>35799.0</v>
      </c>
      <c r="AY154" s="19" t="s">
        <v>2338</v>
      </c>
      <c r="AZ154" s="19" t="s">
        <v>2122</v>
      </c>
      <c r="BA154" s="19" t="s">
        <v>5067</v>
      </c>
      <c r="BB154" s="19" t="s">
        <v>5068</v>
      </c>
      <c r="BC154" s="19" t="s">
        <v>5069</v>
      </c>
      <c r="BD154" s="19" t="s">
        <v>5070</v>
      </c>
      <c r="BE154" s="19" t="s">
        <v>5071</v>
      </c>
      <c r="BF154" s="19">
        <v>1.1994499246E10</v>
      </c>
      <c r="BG154" s="19" t="s">
        <v>4038</v>
      </c>
      <c r="BH154" s="19" t="s">
        <v>2128</v>
      </c>
      <c r="BI154" s="19"/>
      <c r="BJ154" s="19" t="s">
        <v>2129</v>
      </c>
      <c r="BK154" s="19" t="s">
        <v>17</v>
      </c>
      <c r="BL154" s="19"/>
      <c r="BM154" s="19" t="s">
        <v>2130</v>
      </c>
      <c r="BN154" s="19" t="s">
        <v>17</v>
      </c>
      <c r="BO154" s="19" t="s">
        <v>2132</v>
      </c>
      <c r="BP154" s="19"/>
      <c r="BQ154" s="19" t="s">
        <v>2174</v>
      </c>
      <c r="BR154" s="19" t="s">
        <v>2174</v>
      </c>
      <c r="BS154" s="19" t="s">
        <v>3521</v>
      </c>
      <c r="BT154" s="19" t="s">
        <v>21</v>
      </c>
      <c r="BU154" s="19" t="s">
        <v>5072</v>
      </c>
      <c r="BV154" s="19" t="s">
        <v>5073</v>
      </c>
      <c r="BW154" s="19" t="s">
        <v>2113</v>
      </c>
      <c r="BX154" s="19"/>
      <c r="BY154" s="19"/>
      <c r="BZ154" s="19"/>
      <c r="CA154" s="19"/>
      <c r="CB154" s="19" t="s">
        <v>2113</v>
      </c>
      <c r="CC154" s="19"/>
      <c r="CD154" s="19" t="s">
        <v>2137</v>
      </c>
      <c r="CE154" s="19" t="s">
        <v>16</v>
      </c>
      <c r="CF154" s="19"/>
      <c r="CG154" s="19"/>
      <c r="CH154" s="19" t="s">
        <v>16</v>
      </c>
      <c r="CI154" s="21">
        <v>0.0</v>
      </c>
      <c r="CJ154" s="19" t="s">
        <v>17</v>
      </c>
      <c r="CK154" s="19"/>
      <c r="CL154" s="19"/>
      <c r="CM154" s="19" t="s">
        <v>2138</v>
      </c>
      <c r="CN154" s="19" t="s">
        <v>2204</v>
      </c>
      <c r="CO154" s="19"/>
      <c r="CP154" s="19" t="s">
        <v>2246</v>
      </c>
      <c r="CQ154" s="19"/>
      <c r="CR154" s="19"/>
      <c r="CS154" s="19"/>
      <c r="CT154" s="19"/>
      <c r="CU154" s="19"/>
      <c r="CV154" s="19" t="s">
        <v>2141</v>
      </c>
      <c r="CW154" s="19"/>
      <c r="CX154" s="19"/>
      <c r="CY154" s="19"/>
      <c r="CZ154" s="19"/>
      <c r="DA154" s="19" t="s">
        <v>16</v>
      </c>
      <c r="DB154" s="19" t="s">
        <v>17</v>
      </c>
      <c r="DC154" s="19" t="s">
        <v>2180</v>
      </c>
      <c r="DD154" s="19"/>
      <c r="DE154" s="19"/>
      <c r="DF154" s="19" t="s">
        <v>2270</v>
      </c>
      <c r="DG154" s="19" t="s">
        <v>2514</v>
      </c>
      <c r="DH154" s="19" t="s">
        <v>2144</v>
      </c>
      <c r="DI154" s="24">
        <v>45533.0</v>
      </c>
      <c r="DJ154" s="19" t="s">
        <v>2174</v>
      </c>
      <c r="DK154" s="19" t="s">
        <v>2145</v>
      </c>
      <c r="DL154" s="19" t="s">
        <v>2207</v>
      </c>
      <c r="DM154" s="19" t="s">
        <v>3353</v>
      </c>
      <c r="DN154" s="19">
        <v>2.0</v>
      </c>
      <c r="DO154" s="19">
        <v>2.0</v>
      </c>
      <c r="DP154" s="19" t="s">
        <v>5074</v>
      </c>
      <c r="DQ154" s="19" t="s">
        <v>5075</v>
      </c>
      <c r="DR154" s="19" t="s">
        <v>5076</v>
      </c>
      <c r="DS154" s="19" t="s">
        <v>2185</v>
      </c>
      <c r="DT154" s="19" t="s">
        <v>2186</v>
      </c>
      <c r="DU154" s="19"/>
      <c r="DV154" s="19" t="s">
        <v>5077</v>
      </c>
      <c r="DW154" s="19" t="s">
        <v>2188</v>
      </c>
      <c r="DX154" s="19">
        <v>5.0</v>
      </c>
      <c r="DY154" s="19">
        <v>0.0</v>
      </c>
      <c r="DZ154" s="19">
        <v>0.0</v>
      </c>
      <c r="EA154" s="19">
        <v>0.0</v>
      </c>
      <c r="EB154" s="19">
        <v>0.0</v>
      </c>
      <c r="EC154" s="19">
        <v>20.0</v>
      </c>
      <c r="ED154" s="19" t="s">
        <v>2174</v>
      </c>
      <c r="EE154" s="24">
        <v>45533.0</v>
      </c>
      <c r="EF154" s="19" t="s">
        <v>2174</v>
      </c>
      <c r="EG154" s="19" t="s">
        <v>2145</v>
      </c>
      <c r="EH154" s="19" t="s">
        <v>2207</v>
      </c>
      <c r="EI154" s="22">
        <v>10.171875</v>
      </c>
      <c r="EJ154" s="19">
        <v>45.0</v>
      </c>
      <c r="EK154" s="19" t="s">
        <v>2113</v>
      </c>
      <c r="EL154" s="19" t="s">
        <v>2163</v>
      </c>
      <c r="EM154" s="19" t="s">
        <v>5065</v>
      </c>
      <c r="EN154" s="19" t="s">
        <v>464</v>
      </c>
      <c r="EO154" s="19" t="s">
        <v>2338</v>
      </c>
      <c r="EP154" s="19" t="s">
        <v>2122</v>
      </c>
      <c r="EQ154" s="19" t="s">
        <v>2204</v>
      </c>
      <c r="ER154" s="19"/>
      <c r="ES154" s="19" t="s">
        <v>464</v>
      </c>
      <c r="ET154" s="19" t="s">
        <v>464</v>
      </c>
      <c r="EU154" s="19" t="s">
        <v>5063</v>
      </c>
      <c r="EV154" s="19">
        <v>9662.0</v>
      </c>
      <c r="EW154" s="19" t="s">
        <v>16</v>
      </c>
      <c r="EX154" s="19">
        <v>5.0</v>
      </c>
      <c r="EY154" s="25" t="s">
        <v>463</v>
      </c>
      <c r="EZ154" s="19" t="s">
        <v>2154</v>
      </c>
      <c r="FA154" s="5" t="s">
        <v>5078</v>
      </c>
      <c r="FB154" s="26" t="s">
        <v>2156</v>
      </c>
      <c r="FC154" s="26"/>
    </row>
    <row r="155">
      <c r="A155" s="19" t="s">
        <v>2112</v>
      </c>
      <c r="B155" s="19" t="s">
        <v>2113</v>
      </c>
      <c r="C155" s="19" t="s">
        <v>2113</v>
      </c>
      <c r="D155" s="19" t="s">
        <v>5079</v>
      </c>
      <c r="E155" s="19" t="s">
        <v>5080</v>
      </c>
      <c r="F155" s="19" t="s">
        <v>465</v>
      </c>
      <c r="G155" s="19" t="s">
        <v>5081</v>
      </c>
      <c r="H155" s="19" t="s">
        <v>465</v>
      </c>
      <c r="I155" s="19" t="s">
        <v>467</v>
      </c>
      <c r="J155" s="19" t="s">
        <v>5082</v>
      </c>
      <c r="K155" s="19" t="s">
        <v>5083</v>
      </c>
      <c r="L155" s="20">
        <v>45426.0</v>
      </c>
      <c r="M155" s="20">
        <v>45428.0</v>
      </c>
      <c r="N155" s="20">
        <v>45428.0</v>
      </c>
      <c r="O155" s="19" t="s">
        <v>466</v>
      </c>
      <c r="P155" s="19">
        <v>0.0</v>
      </c>
      <c r="Q155" s="19">
        <v>29.0</v>
      </c>
      <c r="R155" s="19">
        <v>10727.0</v>
      </c>
      <c r="S155" s="20" t="s">
        <v>5084</v>
      </c>
      <c r="T155" s="20">
        <v>45461.0</v>
      </c>
      <c r="U155" s="19" t="s">
        <v>465</v>
      </c>
      <c r="V155" s="19"/>
      <c r="W155" s="19"/>
      <c r="X155" s="21">
        <v>20.0</v>
      </c>
      <c r="Y155" s="21">
        <v>5.0</v>
      </c>
      <c r="Z155" s="21">
        <v>3.0</v>
      </c>
      <c r="AA155" s="21">
        <v>0.0</v>
      </c>
      <c r="AB155" s="5">
        <v>28.0</v>
      </c>
      <c r="AC155" s="19">
        <v>5.0</v>
      </c>
      <c r="AD155" s="19">
        <v>4.0</v>
      </c>
      <c r="AE155" s="19">
        <v>4.0</v>
      </c>
      <c r="AF155" s="19">
        <v>4.0</v>
      </c>
      <c r="AG155" s="19">
        <v>3.0</v>
      </c>
      <c r="AH155" s="19">
        <v>4.0</v>
      </c>
      <c r="AI155" s="22">
        <v>12.09375</v>
      </c>
      <c r="AJ155" s="19">
        <v>14.0</v>
      </c>
      <c r="AK155" s="19">
        <v>13.0</v>
      </c>
      <c r="AL155" s="19">
        <v>13.0</v>
      </c>
      <c r="AM155" s="19">
        <v>40.0</v>
      </c>
      <c r="AN155" s="19">
        <v>52.1</v>
      </c>
      <c r="AO155" s="19">
        <v>80.1</v>
      </c>
      <c r="AP155" s="19">
        <v>227.0</v>
      </c>
      <c r="AQ155" s="23">
        <v>151.0</v>
      </c>
      <c r="AR155" s="23">
        <v>8.0</v>
      </c>
      <c r="AS155" s="22"/>
      <c r="AT155" s="19" t="s">
        <v>2282</v>
      </c>
      <c r="AU155" s="19" t="s">
        <v>5085</v>
      </c>
      <c r="AV155" s="19" t="s">
        <v>5086</v>
      </c>
      <c r="AW155" s="19"/>
      <c r="AX155" s="20">
        <v>34734.0</v>
      </c>
      <c r="AY155" s="19" t="s">
        <v>5087</v>
      </c>
      <c r="AZ155" s="19" t="s">
        <v>2445</v>
      </c>
      <c r="BA155" s="19" t="s">
        <v>5088</v>
      </c>
      <c r="BB155" s="19" t="s">
        <v>3296</v>
      </c>
      <c r="BC155" s="19" t="s">
        <v>5089</v>
      </c>
      <c r="BD155" s="19" t="s">
        <v>5090</v>
      </c>
      <c r="BE155" s="19" t="s">
        <v>5082</v>
      </c>
      <c r="BF155" s="19">
        <v>1.1983537741E10</v>
      </c>
      <c r="BG155" s="19" t="s">
        <v>3518</v>
      </c>
      <c r="BH155" s="19" t="s">
        <v>2128</v>
      </c>
      <c r="BI155" s="19"/>
      <c r="BJ155" s="19"/>
      <c r="BK155" s="19" t="s">
        <v>16</v>
      </c>
      <c r="BL155" s="19"/>
      <c r="BM155" s="19" t="s">
        <v>2130</v>
      </c>
      <c r="BN155" s="19" t="s">
        <v>17</v>
      </c>
      <c r="BO155" s="19" t="s">
        <v>2473</v>
      </c>
      <c r="BP155" s="19" t="s">
        <v>5091</v>
      </c>
      <c r="BQ155" s="19" t="s">
        <v>3832</v>
      </c>
      <c r="BR155" s="19" t="s">
        <v>3832</v>
      </c>
      <c r="BS155" s="19" t="s">
        <v>3521</v>
      </c>
      <c r="BT155" s="19" t="s">
        <v>268</v>
      </c>
      <c r="BU155" s="19" t="s">
        <v>5092</v>
      </c>
      <c r="BV155" s="19" t="s">
        <v>5093</v>
      </c>
      <c r="BW155" s="19"/>
      <c r="BX155" s="19"/>
      <c r="BY155" s="19" t="s">
        <v>2113</v>
      </c>
      <c r="BZ155" s="19" t="s">
        <v>2113</v>
      </c>
      <c r="CA155" s="19"/>
      <c r="CB155" s="19" t="s">
        <v>2113</v>
      </c>
      <c r="CC155" s="19"/>
      <c r="CD155" s="19" t="s">
        <v>2137</v>
      </c>
      <c r="CE155" s="19" t="s">
        <v>16</v>
      </c>
      <c r="CF155" s="19"/>
      <c r="CG155" s="19"/>
      <c r="CH155" s="19" t="s">
        <v>16</v>
      </c>
      <c r="CI155" s="21">
        <v>0.0</v>
      </c>
      <c r="CJ155" s="19" t="s">
        <v>16</v>
      </c>
      <c r="CK155" s="19"/>
      <c r="CL155" s="19"/>
      <c r="CM155" s="19" t="s">
        <v>2138</v>
      </c>
      <c r="CN155" s="19" t="s">
        <v>3835</v>
      </c>
      <c r="CO155" s="19" t="s">
        <v>3449</v>
      </c>
      <c r="CP155" s="19"/>
      <c r="CQ155" s="19"/>
      <c r="CR155" s="19" t="s">
        <v>2113</v>
      </c>
      <c r="CS155" s="19" t="s">
        <v>2113</v>
      </c>
      <c r="CT155" s="19"/>
      <c r="CU155" s="19"/>
      <c r="CV155" s="19" t="s">
        <v>2141</v>
      </c>
      <c r="CW155" s="19"/>
      <c r="CX155" s="19"/>
      <c r="CY155" s="19"/>
      <c r="CZ155" s="19"/>
      <c r="DA155" s="19" t="s">
        <v>16</v>
      </c>
      <c r="DB155" s="19" t="s">
        <v>16</v>
      </c>
      <c r="DC155" s="19" t="s">
        <v>3836</v>
      </c>
      <c r="DD155" s="19" t="s">
        <v>2113</v>
      </c>
      <c r="DE155" s="19" t="s">
        <v>2113</v>
      </c>
      <c r="DF155" s="19" t="s">
        <v>3990</v>
      </c>
      <c r="DG155" s="19" t="s">
        <v>2433</v>
      </c>
      <c r="DH155" s="19" t="s">
        <v>2144</v>
      </c>
      <c r="DI155" s="24">
        <v>45519.0</v>
      </c>
      <c r="DJ155" s="19" t="s">
        <v>3257</v>
      </c>
      <c r="DK155" s="19" t="s">
        <v>2271</v>
      </c>
      <c r="DL155" s="19" t="s">
        <v>2207</v>
      </c>
      <c r="DM155" s="19" t="s">
        <v>3450</v>
      </c>
      <c r="DN155" s="19">
        <v>3.0</v>
      </c>
      <c r="DO155" s="19">
        <v>3.0</v>
      </c>
      <c r="DP155" s="19" t="s">
        <v>5094</v>
      </c>
      <c r="DQ155" s="19" t="s">
        <v>5095</v>
      </c>
      <c r="DR155" s="19" t="s">
        <v>5096</v>
      </c>
      <c r="DS155" s="19" t="s">
        <v>2185</v>
      </c>
      <c r="DT155" s="19" t="s">
        <v>2209</v>
      </c>
      <c r="DU155" s="19"/>
      <c r="DV155" s="19"/>
      <c r="DW155" s="19" t="s">
        <v>2153</v>
      </c>
      <c r="DX155" s="19">
        <v>2.0</v>
      </c>
      <c r="DY155" s="19">
        <v>5.0</v>
      </c>
      <c r="DZ155" s="19">
        <v>0.0</v>
      </c>
      <c r="EA155" s="19">
        <v>5.0</v>
      </c>
      <c r="EB155" s="19">
        <v>0.0</v>
      </c>
      <c r="EC155" s="19">
        <v>20.0</v>
      </c>
      <c r="ED155" s="19" t="s">
        <v>3257</v>
      </c>
      <c r="EE155" s="24">
        <v>45519.0</v>
      </c>
      <c r="EF155" s="19" t="s">
        <v>3257</v>
      </c>
      <c r="EG155" s="19" t="s">
        <v>2271</v>
      </c>
      <c r="EH155" s="19" t="s">
        <v>2207</v>
      </c>
      <c r="EI155" s="22">
        <v>12.09375</v>
      </c>
      <c r="EJ155" s="19">
        <v>40.0</v>
      </c>
      <c r="EK155" s="19"/>
      <c r="EL155" s="19" t="s">
        <v>2282</v>
      </c>
      <c r="EM155" s="19" t="s">
        <v>5085</v>
      </c>
      <c r="EN155" s="19" t="s">
        <v>467</v>
      </c>
      <c r="EO155" s="19" t="s">
        <v>5087</v>
      </c>
      <c r="EP155" s="19" t="s">
        <v>2445</v>
      </c>
      <c r="EQ155" s="19" t="s">
        <v>3835</v>
      </c>
      <c r="ER155" s="19" t="s">
        <v>3449</v>
      </c>
      <c r="ES155" s="19" t="s">
        <v>467</v>
      </c>
      <c r="ET155" s="19" t="s">
        <v>467</v>
      </c>
      <c r="EU155" s="19" t="s">
        <v>5083</v>
      </c>
      <c r="EV155" s="19">
        <v>10727.0</v>
      </c>
      <c r="EW155" s="19" t="s">
        <v>16</v>
      </c>
      <c r="EX155" s="19">
        <v>3.0</v>
      </c>
      <c r="EY155" s="25" t="s">
        <v>466</v>
      </c>
      <c r="EZ155" s="19" t="s">
        <v>2154</v>
      </c>
      <c r="FA155" s="5" t="s">
        <v>5097</v>
      </c>
      <c r="FB155" s="26" t="s">
        <v>2156</v>
      </c>
      <c r="FC155" s="26"/>
    </row>
    <row r="156">
      <c r="A156" s="19" t="s">
        <v>2156</v>
      </c>
      <c r="B156" s="19" t="s">
        <v>2113</v>
      </c>
      <c r="C156" s="19" t="s">
        <v>2113</v>
      </c>
      <c r="D156" s="19" t="s">
        <v>468</v>
      </c>
      <c r="E156" s="19" t="s">
        <v>5098</v>
      </c>
      <c r="F156" s="19" t="s">
        <v>468</v>
      </c>
      <c r="G156" s="19"/>
      <c r="H156" s="19" t="s">
        <v>468</v>
      </c>
      <c r="I156" s="19" t="s">
        <v>470</v>
      </c>
      <c r="J156" s="19" t="s">
        <v>5099</v>
      </c>
      <c r="K156" s="19" t="s">
        <v>5100</v>
      </c>
      <c r="L156" s="20">
        <v>45460.0</v>
      </c>
      <c r="M156" s="20">
        <v>45462.0</v>
      </c>
      <c r="N156" s="20">
        <v>45462.0</v>
      </c>
      <c r="O156" s="19" t="s">
        <v>469</v>
      </c>
      <c r="P156" s="19">
        <v>0.0</v>
      </c>
      <c r="Q156" s="19">
        <v>25.0</v>
      </c>
      <c r="R156" s="19">
        <v>9302.0</v>
      </c>
      <c r="S156" s="20" t="s">
        <v>5101</v>
      </c>
      <c r="T156" s="20">
        <v>45461.0</v>
      </c>
      <c r="U156" s="19" t="s">
        <v>468</v>
      </c>
      <c r="V156" s="19"/>
      <c r="W156" s="19"/>
      <c r="X156" s="21">
        <v>20.0</v>
      </c>
      <c r="Y156" s="21">
        <v>0.0</v>
      </c>
      <c r="Z156" s="21">
        <v>3.0</v>
      </c>
      <c r="AA156" s="21">
        <v>3.0</v>
      </c>
      <c r="AB156" s="5">
        <v>26.0</v>
      </c>
      <c r="AC156" s="19">
        <v>4.5</v>
      </c>
      <c r="AD156" s="19">
        <v>4.0</v>
      </c>
      <c r="AE156" s="19">
        <v>3.5</v>
      </c>
      <c r="AF156" s="19">
        <v>4.0</v>
      </c>
      <c r="AG156" s="19">
        <v>3.5</v>
      </c>
      <c r="AH156" s="19">
        <v>4.5</v>
      </c>
      <c r="AI156" s="22">
        <v>11.859375</v>
      </c>
      <c r="AJ156" s="19">
        <v>12.0</v>
      </c>
      <c r="AK156" s="19">
        <v>15.0</v>
      </c>
      <c r="AL156" s="19">
        <v>15.0</v>
      </c>
      <c r="AM156" s="19">
        <v>42.0</v>
      </c>
      <c r="AN156" s="19">
        <v>53.9</v>
      </c>
      <c r="AO156" s="19">
        <v>79.9</v>
      </c>
      <c r="AP156" s="19">
        <v>256.0</v>
      </c>
      <c r="AQ156" s="23">
        <v>152.0</v>
      </c>
      <c r="AR156" s="23">
        <v>9.0</v>
      </c>
      <c r="AS156" s="22"/>
      <c r="AT156" s="19" t="s">
        <v>2163</v>
      </c>
      <c r="AU156" s="19" t="s">
        <v>5102</v>
      </c>
      <c r="AV156" s="19" t="s">
        <v>5103</v>
      </c>
      <c r="AW156" s="19" t="s">
        <v>5104</v>
      </c>
      <c r="AX156" s="20">
        <v>36159.0</v>
      </c>
      <c r="AY156" s="19" t="s">
        <v>5105</v>
      </c>
      <c r="AZ156" s="19" t="s">
        <v>2122</v>
      </c>
      <c r="BA156" s="19" t="s">
        <v>5106</v>
      </c>
      <c r="BB156" s="19" t="s">
        <v>2132</v>
      </c>
      <c r="BC156" s="19" t="s">
        <v>5107</v>
      </c>
      <c r="BD156" s="19" t="s">
        <v>5108</v>
      </c>
      <c r="BE156" s="19" t="s">
        <v>5099</v>
      </c>
      <c r="BF156" s="19">
        <v>1.1988774888E10</v>
      </c>
      <c r="BG156" s="19" t="s">
        <v>4038</v>
      </c>
      <c r="BH156" s="19" t="s">
        <v>2128</v>
      </c>
      <c r="BI156" s="19"/>
      <c r="BJ156" s="19" t="s">
        <v>2128</v>
      </c>
      <c r="BK156" s="19" t="s">
        <v>17</v>
      </c>
      <c r="BL156" s="19"/>
      <c r="BM156" s="19" t="s">
        <v>2130</v>
      </c>
      <c r="BN156" s="19" t="s">
        <v>17</v>
      </c>
      <c r="BO156" s="19" t="s">
        <v>2473</v>
      </c>
      <c r="BP156" s="19"/>
      <c r="BQ156" s="19" t="s">
        <v>3832</v>
      </c>
      <c r="BR156" s="19" t="s">
        <v>3832</v>
      </c>
      <c r="BS156" s="19" t="s">
        <v>2134</v>
      </c>
      <c r="BT156" s="19" t="s">
        <v>268</v>
      </c>
      <c r="BU156" s="19" t="s">
        <v>4848</v>
      </c>
      <c r="BV156" s="19" t="s">
        <v>5109</v>
      </c>
      <c r="BW156" s="19" t="s">
        <v>2113</v>
      </c>
      <c r="BX156" s="19"/>
      <c r="BY156" s="19"/>
      <c r="BZ156" s="19"/>
      <c r="CA156" s="19"/>
      <c r="CB156" s="19" t="s">
        <v>2113</v>
      </c>
      <c r="CC156" s="19"/>
      <c r="CD156" s="19" t="s">
        <v>2137</v>
      </c>
      <c r="CE156" s="19" t="s">
        <v>16</v>
      </c>
      <c r="CF156" s="19"/>
      <c r="CG156" s="19"/>
      <c r="CH156" s="19" t="s">
        <v>17</v>
      </c>
      <c r="CI156" s="21">
        <v>3.0</v>
      </c>
      <c r="CJ156" s="19" t="s">
        <v>17</v>
      </c>
      <c r="CK156" s="19"/>
      <c r="CL156" s="19"/>
      <c r="CM156" s="19" t="s">
        <v>2138</v>
      </c>
      <c r="CN156" s="19" t="s">
        <v>3835</v>
      </c>
      <c r="CO156" s="19"/>
      <c r="CP156" s="19" t="s">
        <v>2246</v>
      </c>
      <c r="CQ156" s="19"/>
      <c r="CR156" s="19"/>
      <c r="CS156" s="19"/>
      <c r="CT156" s="19" t="s">
        <v>2113</v>
      </c>
      <c r="CU156" s="19" t="s">
        <v>2113</v>
      </c>
      <c r="CV156" s="19" t="s">
        <v>2141</v>
      </c>
      <c r="CW156" s="19"/>
      <c r="CX156" s="19"/>
      <c r="CY156" s="19"/>
      <c r="CZ156" s="19"/>
      <c r="DA156" s="19" t="s">
        <v>16</v>
      </c>
      <c r="DB156" s="19" t="s">
        <v>17</v>
      </c>
      <c r="DC156" s="19" t="s">
        <v>4083</v>
      </c>
      <c r="DD156" s="19" t="s">
        <v>2113</v>
      </c>
      <c r="DE156" s="19" t="s">
        <v>2113</v>
      </c>
      <c r="DF156" s="19" t="s">
        <v>2207</v>
      </c>
      <c r="DG156" s="19" t="s">
        <v>3103</v>
      </c>
      <c r="DH156" s="19" t="s">
        <v>2144</v>
      </c>
      <c r="DI156" s="24">
        <v>45518.0</v>
      </c>
      <c r="DJ156" s="19" t="s">
        <v>3257</v>
      </c>
      <c r="DK156" s="19" t="s">
        <v>2271</v>
      </c>
      <c r="DL156" s="19" t="s">
        <v>2207</v>
      </c>
      <c r="DM156" s="22" t="s">
        <v>4008</v>
      </c>
      <c r="DN156" s="19">
        <v>1.0</v>
      </c>
      <c r="DO156" s="19">
        <v>1.0</v>
      </c>
      <c r="DP156" s="19" t="s">
        <v>5110</v>
      </c>
      <c r="DQ156" s="19" t="s">
        <v>5111</v>
      </c>
      <c r="DR156" s="19" t="s">
        <v>5112</v>
      </c>
      <c r="DS156" s="19" t="s">
        <v>2185</v>
      </c>
      <c r="DT156" s="19" t="s">
        <v>2186</v>
      </c>
      <c r="DU156" s="19"/>
      <c r="DV156" s="19"/>
      <c r="DW156" s="19" t="s">
        <v>2153</v>
      </c>
      <c r="DX156" s="19">
        <v>1.0</v>
      </c>
      <c r="DY156" s="19">
        <v>0.0</v>
      </c>
      <c r="DZ156" s="19">
        <v>0.0</v>
      </c>
      <c r="EA156" s="19">
        <v>0.0</v>
      </c>
      <c r="EB156" s="19">
        <v>3.0</v>
      </c>
      <c r="EC156" s="19">
        <v>20.0</v>
      </c>
      <c r="ED156" s="19" t="s">
        <v>3257</v>
      </c>
      <c r="EE156" s="24">
        <v>45518.0</v>
      </c>
      <c r="EF156" s="19" t="s">
        <v>3257</v>
      </c>
      <c r="EG156" s="19" t="s">
        <v>2271</v>
      </c>
      <c r="EH156" s="19" t="s">
        <v>2207</v>
      </c>
      <c r="EI156" s="22">
        <v>11.859375</v>
      </c>
      <c r="EJ156" s="19">
        <v>42.0</v>
      </c>
      <c r="EK156" s="19" t="s">
        <v>2113</v>
      </c>
      <c r="EL156" s="19" t="s">
        <v>2163</v>
      </c>
      <c r="EM156" s="19" t="s">
        <v>5102</v>
      </c>
      <c r="EN156" s="19" t="s">
        <v>470</v>
      </c>
      <c r="EO156" s="19" t="s">
        <v>5105</v>
      </c>
      <c r="EP156" s="19" t="s">
        <v>2122</v>
      </c>
      <c r="EQ156" s="19" t="s">
        <v>3835</v>
      </c>
      <c r="ER156" s="19"/>
      <c r="ES156" s="19" t="s">
        <v>470</v>
      </c>
      <c r="ET156" s="19" t="s">
        <v>470</v>
      </c>
      <c r="EU156" s="19" t="s">
        <v>5100</v>
      </c>
      <c r="EV156" s="19">
        <v>9302.0</v>
      </c>
      <c r="EW156" s="19" t="s">
        <v>16</v>
      </c>
      <c r="EX156" s="19">
        <v>3.0</v>
      </c>
      <c r="EY156" s="25" t="s">
        <v>469</v>
      </c>
      <c r="EZ156" s="19" t="s">
        <v>2154</v>
      </c>
      <c r="FA156" s="5" t="s">
        <v>5113</v>
      </c>
      <c r="FB156" s="26" t="s">
        <v>2156</v>
      </c>
      <c r="FC156" s="26"/>
    </row>
    <row r="157">
      <c r="A157" s="19" t="s">
        <v>2156</v>
      </c>
      <c r="B157" s="19" t="s">
        <v>2113</v>
      </c>
      <c r="C157" s="19" t="s">
        <v>2113</v>
      </c>
      <c r="D157" s="19" t="s">
        <v>471</v>
      </c>
      <c r="E157" s="19" t="s">
        <v>5114</v>
      </c>
      <c r="F157" s="19" t="s">
        <v>471</v>
      </c>
      <c r="G157" s="19"/>
      <c r="H157" s="19" t="s">
        <v>471</v>
      </c>
      <c r="I157" s="19" t="s">
        <v>473</v>
      </c>
      <c r="J157" s="19" t="s">
        <v>5115</v>
      </c>
      <c r="K157" s="19" t="s">
        <v>5116</v>
      </c>
      <c r="L157" s="20">
        <v>45443.0</v>
      </c>
      <c r="M157" s="20">
        <v>45446.0</v>
      </c>
      <c r="N157" s="20">
        <v>45446.0</v>
      </c>
      <c r="O157" s="19" t="s">
        <v>472</v>
      </c>
      <c r="P157" s="19">
        <v>0.0</v>
      </c>
      <c r="Q157" s="19">
        <v>20.0</v>
      </c>
      <c r="R157" s="19">
        <v>7481.0</v>
      </c>
      <c r="S157" s="20" t="s">
        <v>5117</v>
      </c>
      <c r="T157" s="20">
        <v>45461.0</v>
      </c>
      <c r="U157" s="19" t="s">
        <v>471</v>
      </c>
      <c r="V157" s="19"/>
      <c r="W157" s="19" t="s">
        <v>5118</v>
      </c>
      <c r="X157" s="21">
        <v>20.0</v>
      </c>
      <c r="Y157" s="21">
        <v>10.0</v>
      </c>
      <c r="Z157" s="21">
        <v>2.0</v>
      </c>
      <c r="AA157" s="21">
        <v>0.0</v>
      </c>
      <c r="AB157" s="5">
        <v>32.0</v>
      </c>
      <c r="AC157" s="19">
        <v>4.0</v>
      </c>
      <c r="AD157" s="19">
        <v>3.0</v>
      </c>
      <c r="AE157" s="19">
        <v>3.0</v>
      </c>
      <c r="AF157" s="19">
        <v>4.0</v>
      </c>
      <c r="AG157" s="19">
        <v>3.0</v>
      </c>
      <c r="AH157" s="19">
        <v>3.0</v>
      </c>
      <c r="AI157" s="22">
        <v>9.84375</v>
      </c>
      <c r="AJ157" s="19">
        <v>14.0</v>
      </c>
      <c r="AK157" s="19">
        <v>15.0</v>
      </c>
      <c r="AL157" s="19">
        <v>9.0</v>
      </c>
      <c r="AM157" s="19">
        <v>38.0</v>
      </c>
      <c r="AN157" s="19">
        <v>47.8</v>
      </c>
      <c r="AO157" s="19">
        <v>79.8</v>
      </c>
      <c r="AP157" s="19">
        <v>197.0</v>
      </c>
      <c r="AQ157" s="23">
        <v>153.0</v>
      </c>
      <c r="AR157" s="23">
        <v>15.0</v>
      </c>
      <c r="AS157" s="22"/>
      <c r="AT157" s="19" t="s">
        <v>2163</v>
      </c>
      <c r="AU157" s="19" t="s">
        <v>5119</v>
      </c>
      <c r="AV157" s="19" t="s">
        <v>5120</v>
      </c>
      <c r="AW157" s="19" t="s">
        <v>3923</v>
      </c>
      <c r="AX157" s="20">
        <v>37980.0</v>
      </c>
      <c r="AY157" s="19" t="s">
        <v>5121</v>
      </c>
      <c r="AZ157" s="19" t="s">
        <v>2310</v>
      </c>
      <c r="BA157" s="19" t="s">
        <v>5122</v>
      </c>
      <c r="BB157" s="19" t="s">
        <v>5123</v>
      </c>
      <c r="BC157" s="19" t="s">
        <v>5124</v>
      </c>
      <c r="BD157" s="19" t="s">
        <v>5125</v>
      </c>
      <c r="BE157" s="19" t="s">
        <v>5126</v>
      </c>
      <c r="BF157" s="19">
        <v>1.1954771924E10</v>
      </c>
      <c r="BG157" s="19" t="s">
        <v>2127</v>
      </c>
      <c r="BH157" s="19" t="s">
        <v>2128</v>
      </c>
      <c r="BI157" s="19"/>
      <c r="BJ157" s="19" t="s">
        <v>2128</v>
      </c>
      <c r="BK157" s="19" t="s">
        <v>16</v>
      </c>
      <c r="BL157" s="19"/>
      <c r="BM157" s="19" t="s">
        <v>2130</v>
      </c>
      <c r="BN157" s="19" t="s">
        <v>2172</v>
      </c>
      <c r="BO157" s="19" t="s">
        <v>3199</v>
      </c>
      <c r="BP157" s="19"/>
      <c r="BQ157" s="19" t="s">
        <v>2133</v>
      </c>
      <c r="BR157" s="19" t="s">
        <v>2133</v>
      </c>
      <c r="BS157" s="19" t="s">
        <v>2134</v>
      </c>
      <c r="BT157" s="19" t="s">
        <v>15</v>
      </c>
      <c r="BU157" s="19"/>
      <c r="BV157" s="19" t="s">
        <v>5127</v>
      </c>
      <c r="BW157" s="19" t="s">
        <v>2113</v>
      </c>
      <c r="BX157" s="19"/>
      <c r="BY157" s="19"/>
      <c r="BZ157" s="19"/>
      <c r="CA157" s="19"/>
      <c r="CB157" s="19" t="s">
        <v>2113</v>
      </c>
      <c r="CC157" s="19"/>
      <c r="CD157" s="19" t="s">
        <v>2137</v>
      </c>
      <c r="CE157" s="19" t="s">
        <v>16</v>
      </c>
      <c r="CF157" s="19"/>
      <c r="CG157" s="19"/>
      <c r="CH157" s="19" t="s">
        <v>16</v>
      </c>
      <c r="CI157" s="21">
        <v>0.0</v>
      </c>
      <c r="CJ157" s="19" t="s">
        <v>17</v>
      </c>
      <c r="CK157" s="19"/>
      <c r="CL157" s="19"/>
      <c r="CM157" s="19" t="s">
        <v>2138</v>
      </c>
      <c r="CN157" s="19" t="s">
        <v>5128</v>
      </c>
      <c r="CO157" s="19"/>
      <c r="CP157" s="19" t="s">
        <v>2134</v>
      </c>
      <c r="CQ157" s="19"/>
      <c r="CR157" s="19"/>
      <c r="CS157" s="19"/>
      <c r="CT157" s="19"/>
      <c r="CU157" s="19"/>
      <c r="CV157" s="19" t="s">
        <v>2179</v>
      </c>
      <c r="CW157" s="19"/>
      <c r="CX157" s="19"/>
      <c r="CY157" s="19"/>
      <c r="CZ157" s="19"/>
      <c r="DA157" s="19" t="s">
        <v>16</v>
      </c>
      <c r="DB157" s="19" t="s">
        <v>17</v>
      </c>
      <c r="DC157" s="19" t="s">
        <v>2146</v>
      </c>
      <c r="DD157" s="19"/>
      <c r="DE157" s="19"/>
      <c r="DF157" s="19" t="s">
        <v>5129</v>
      </c>
      <c r="DG157" s="19" t="s">
        <v>3337</v>
      </c>
      <c r="DH157" s="19" t="s">
        <v>2144</v>
      </c>
      <c r="DI157" s="24">
        <v>45518.0</v>
      </c>
      <c r="DJ157" s="19" t="s">
        <v>2133</v>
      </c>
      <c r="DK157" s="19" t="s">
        <v>2145</v>
      </c>
      <c r="DL157" s="19" t="s">
        <v>2146</v>
      </c>
      <c r="DM157" s="19" t="s">
        <v>2672</v>
      </c>
      <c r="DN157" s="19">
        <v>3.0</v>
      </c>
      <c r="DO157" s="19">
        <v>3.0</v>
      </c>
      <c r="DP157" s="19"/>
      <c r="DQ157" s="19"/>
      <c r="DR157" s="19"/>
      <c r="DS157" s="19" t="s">
        <v>2365</v>
      </c>
      <c r="DT157" s="19" t="s">
        <v>2229</v>
      </c>
      <c r="DU157" s="19" t="s">
        <v>5130</v>
      </c>
      <c r="DV157" s="19"/>
      <c r="DW157" s="19" t="s">
        <v>2153</v>
      </c>
      <c r="DX157" s="19">
        <v>7.0</v>
      </c>
      <c r="DY157" s="19">
        <v>10.0</v>
      </c>
      <c r="DZ157" s="19">
        <v>0.0</v>
      </c>
      <c r="EA157" s="19">
        <v>10.0</v>
      </c>
      <c r="EB157" s="19">
        <v>0.0</v>
      </c>
      <c r="EC157" s="19">
        <v>20.0</v>
      </c>
      <c r="ED157" s="19" t="s">
        <v>2133</v>
      </c>
      <c r="EE157" s="24">
        <v>45518.0</v>
      </c>
      <c r="EF157" s="19" t="s">
        <v>2133</v>
      </c>
      <c r="EG157" s="19" t="s">
        <v>2145</v>
      </c>
      <c r="EH157" s="19" t="s">
        <v>2146</v>
      </c>
      <c r="EI157" s="22">
        <v>9.84375</v>
      </c>
      <c r="EJ157" s="19">
        <v>38.0</v>
      </c>
      <c r="EK157" s="19" t="s">
        <v>2113</v>
      </c>
      <c r="EL157" s="19" t="s">
        <v>2163</v>
      </c>
      <c r="EM157" s="19" t="s">
        <v>5119</v>
      </c>
      <c r="EN157" s="19" t="s">
        <v>473</v>
      </c>
      <c r="EO157" s="19" t="s">
        <v>5121</v>
      </c>
      <c r="EP157" s="19" t="s">
        <v>2310</v>
      </c>
      <c r="EQ157" s="19" t="s">
        <v>5128</v>
      </c>
      <c r="ER157" s="19"/>
      <c r="ES157" s="19" t="s">
        <v>473</v>
      </c>
      <c r="ET157" s="19" t="s">
        <v>473</v>
      </c>
      <c r="EU157" s="19" t="s">
        <v>5116</v>
      </c>
      <c r="EV157" s="19">
        <v>7481.0</v>
      </c>
      <c r="EW157" s="19" t="s">
        <v>16</v>
      </c>
      <c r="EX157" s="19">
        <v>2.0</v>
      </c>
      <c r="EY157" s="25" t="s">
        <v>472</v>
      </c>
      <c r="EZ157" s="19" t="s">
        <v>2154</v>
      </c>
      <c r="FA157" s="5" t="s">
        <v>5131</v>
      </c>
      <c r="FB157" s="26" t="s">
        <v>2156</v>
      </c>
      <c r="FC157" s="26"/>
    </row>
    <row r="158">
      <c r="A158" s="19" t="s">
        <v>17</v>
      </c>
      <c r="B158" s="19" t="s">
        <v>2113</v>
      </c>
      <c r="C158" s="19" t="s">
        <v>2113</v>
      </c>
      <c r="D158" s="19" t="s">
        <v>474</v>
      </c>
      <c r="E158" s="19" t="s">
        <v>5132</v>
      </c>
      <c r="F158" s="19" t="s">
        <v>474</v>
      </c>
      <c r="G158" s="19"/>
      <c r="H158" s="19" t="s">
        <v>474</v>
      </c>
      <c r="I158" s="19" t="s">
        <v>476</v>
      </c>
      <c r="J158" s="19" t="s">
        <v>5133</v>
      </c>
      <c r="K158" s="19" t="s">
        <v>5134</v>
      </c>
      <c r="L158" s="20">
        <v>45441.0</v>
      </c>
      <c r="M158" s="20">
        <v>45446.0</v>
      </c>
      <c r="N158" s="20">
        <v>45446.0</v>
      </c>
      <c r="O158" s="19" t="s">
        <v>475</v>
      </c>
      <c r="P158" s="19">
        <v>0.0</v>
      </c>
      <c r="Q158" s="19">
        <v>25.0</v>
      </c>
      <c r="R158" s="19">
        <v>9257.0</v>
      </c>
      <c r="S158" s="20" t="s">
        <v>5135</v>
      </c>
      <c r="T158" s="20">
        <v>45461.0</v>
      </c>
      <c r="U158" s="19" t="s">
        <v>474</v>
      </c>
      <c r="V158" s="19"/>
      <c r="W158" s="19"/>
      <c r="X158" s="21">
        <v>20.0</v>
      </c>
      <c r="Y158" s="21">
        <v>5.0</v>
      </c>
      <c r="Z158" s="21">
        <v>3.0</v>
      </c>
      <c r="AA158" s="21">
        <v>0.0</v>
      </c>
      <c r="AB158" s="5">
        <v>28.0</v>
      </c>
      <c r="AC158" s="19">
        <v>3.6666666666666665</v>
      </c>
      <c r="AD158" s="19">
        <v>3.3333333333333335</v>
      </c>
      <c r="AE158" s="19">
        <v>3.3333333333333335</v>
      </c>
      <c r="AF158" s="19">
        <v>2.6666666666666665</v>
      </c>
      <c r="AG158" s="19">
        <v>2.6666666666666665</v>
      </c>
      <c r="AH158" s="19">
        <v>3.6666666666666665</v>
      </c>
      <c r="AI158" s="22">
        <v>9.78125</v>
      </c>
      <c r="AJ158" s="19">
        <v>15.0</v>
      </c>
      <c r="AK158" s="19">
        <v>14.0</v>
      </c>
      <c r="AL158" s="19">
        <v>13.0</v>
      </c>
      <c r="AM158" s="19">
        <v>42.0</v>
      </c>
      <c r="AN158" s="19">
        <v>51.8</v>
      </c>
      <c r="AO158" s="19">
        <v>79.8</v>
      </c>
      <c r="AP158" s="19">
        <v>230.0</v>
      </c>
      <c r="AQ158" s="23">
        <v>154.0</v>
      </c>
      <c r="AR158" s="23">
        <v>10.0</v>
      </c>
      <c r="AS158" s="22" t="s">
        <v>5136</v>
      </c>
      <c r="AT158" s="19" t="s">
        <v>2117</v>
      </c>
      <c r="AU158" s="19" t="s">
        <v>5137</v>
      </c>
      <c r="AV158" s="19" t="s">
        <v>5138</v>
      </c>
      <c r="AW158" s="19" t="s">
        <v>2166</v>
      </c>
      <c r="AX158" s="20">
        <v>36204.0</v>
      </c>
      <c r="AY158" s="19" t="s">
        <v>3826</v>
      </c>
      <c r="AZ158" s="19" t="s">
        <v>2122</v>
      </c>
      <c r="BA158" s="19" t="s">
        <v>5139</v>
      </c>
      <c r="BB158" s="19" t="s">
        <v>5140</v>
      </c>
      <c r="BC158" s="19" t="s">
        <v>5141</v>
      </c>
      <c r="BD158" s="19" t="s">
        <v>5142</v>
      </c>
      <c r="BE158" s="19" t="s">
        <v>5133</v>
      </c>
      <c r="BF158" s="19">
        <v>1.1946834052E10</v>
      </c>
      <c r="BG158" s="19" t="s">
        <v>3518</v>
      </c>
      <c r="BH158" s="19" t="s">
        <v>2128</v>
      </c>
      <c r="BI158" s="19"/>
      <c r="BJ158" s="19" t="s">
        <v>2427</v>
      </c>
      <c r="BK158" s="19" t="s">
        <v>17</v>
      </c>
      <c r="BL158" s="19"/>
      <c r="BM158" s="19" t="s">
        <v>2130</v>
      </c>
      <c r="BN158" s="19" t="s">
        <v>3198</v>
      </c>
      <c r="BO158" s="19" t="s">
        <v>2473</v>
      </c>
      <c r="BP158" s="19"/>
      <c r="BQ158" s="19" t="s">
        <v>3832</v>
      </c>
      <c r="BR158" s="19" t="s">
        <v>3832</v>
      </c>
      <c r="BS158" s="19" t="s">
        <v>2243</v>
      </c>
      <c r="BT158" s="19" t="s">
        <v>268</v>
      </c>
      <c r="BU158" s="19" t="s">
        <v>5143</v>
      </c>
      <c r="BV158" s="19" t="s">
        <v>5144</v>
      </c>
      <c r="BW158" s="19"/>
      <c r="BX158" s="19"/>
      <c r="BY158" s="19" t="s">
        <v>2113</v>
      </c>
      <c r="BZ158" s="19"/>
      <c r="CA158" s="19"/>
      <c r="CB158" s="19" t="s">
        <v>2113</v>
      </c>
      <c r="CC158" s="19"/>
      <c r="CD158" s="19" t="s">
        <v>2137</v>
      </c>
      <c r="CE158" s="19" t="s">
        <v>16</v>
      </c>
      <c r="CF158" s="19"/>
      <c r="CG158" s="19"/>
      <c r="CH158" s="19" t="s">
        <v>16</v>
      </c>
      <c r="CI158" s="21">
        <v>0.0</v>
      </c>
      <c r="CJ158" s="19" t="s">
        <v>16</v>
      </c>
      <c r="CK158" s="19"/>
      <c r="CL158" s="19" t="s">
        <v>2113</v>
      </c>
      <c r="CM158" s="19" t="s">
        <v>2926</v>
      </c>
      <c r="CN158" s="19" t="s">
        <v>3835</v>
      </c>
      <c r="CO158" s="19"/>
      <c r="CP158" s="19" t="s">
        <v>2246</v>
      </c>
      <c r="CQ158" s="19"/>
      <c r="CR158" s="19" t="s">
        <v>2113</v>
      </c>
      <c r="CS158" s="19" t="s">
        <v>2113</v>
      </c>
      <c r="CT158" s="19" t="s">
        <v>2113</v>
      </c>
      <c r="CU158" s="19" t="s">
        <v>2113</v>
      </c>
      <c r="CV158" s="19" t="s">
        <v>2141</v>
      </c>
      <c r="CW158" s="19"/>
      <c r="CX158" s="19"/>
      <c r="CY158" s="19" t="s">
        <v>2113</v>
      </c>
      <c r="CZ158" s="19" t="s">
        <v>2113</v>
      </c>
      <c r="DA158" s="19" t="s">
        <v>16</v>
      </c>
      <c r="DB158" s="19" t="s">
        <v>16</v>
      </c>
      <c r="DC158" s="19" t="s">
        <v>3836</v>
      </c>
      <c r="DD158" s="19"/>
      <c r="DE158" s="19"/>
      <c r="DF158" s="19" t="s">
        <v>5145</v>
      </c>
      <c r="DG158" s="19" t="s">
        <v>4084</v>
      </c>
      <c r="DH158" s="19" t="s">
        <v>2144</v>
      </c>
      <c r="DI158" s="24">
        <v>45525.0</v>
      </c>
      <c r="DJ158" s="19" t="s">
        <v>3257</v>
      </c>
      <c r="DK158" s="19" t="s">
        <v>2271</v>
      </c>
      <c r="DL158" s="19" t="s">
        <v>2207</v>
      </c>
      <c r="DM158" s="22" t="s">
        <v>3599</v>
      </c>
      <c r="DN158" s="19">
        <v>4.0</v>
      </c>
      <c r="DO158" s="19">
        <v>4.0</v>
      </c>
      <c r="DP158" s="19" t="s">
        <v>5146</v>
      </c>
      <c r="DQ158" s="19" t="s">
        <v>5146</v>
      </c>
      <c r="DR158" s="19" t="s">
        <v>5146</v>
      </c>
      <c r="DS158" s="19" t="s">
        <v>2365</v>
      </c>
      <c r="DT158" s="19" t="s">
        <v>2301</v>
      </c>
      <c r="DU158" s="19"/>
      <c r="DV158" s="19"/>
      <c r="DW158" s="19" t="s">
        <v>2188</v>
      </c>
      <c r="DX158" s="19">
        <v>10.0</v>
      </c>
      <c r="DY158" s="19">
        <v>5.0</v>
      </c>
      <c r="DZ158" s="19">
        <v>0.0</v>
      </c>
      <c r="EA158" s="19">
        <v>5.0</v>
      </c>
      <c r="EB158" s="19">
        <v>0.0</v>
      </c>
      <c r="EC158" s="19">
        <v>20.0</v>
      </c>
      <c r="ED158" s="19" t="s">
        <v>3257</v>
      </c>
      <c r="EE158" s="24">
        <v>45525.0</v>
      </c>
      <c r="EF158" s="19" t="s">
        <v>3257</v>
      </c>
      <c r="EG158" s="19" t="s">
        <v>2271</v>
      </c>
      <c r="EH158" s="19" t="s">
        <v>2207</v>
      </c>
      <c r="EI158" s="22">
        <v>9.78125</v>
      </c>
      <c r="EJ158" s="19">
        <v>42.0</v>
      </c>
      <c r="EK158" s="19"/>
      <c r="EL158" s="19" t="s">
        <v>2117</v>
      </c>
      <c r="EM158" s="19" t="s">
        <v>5137</v>
      </c>
      <c r="EN158" s="19" t="s">
        <v>476</v>
      </c>
      <c r="EO158" s="19" t="s">
        <v>3826</v>
      </c>
      <c r="EP158" s="19" t="s">
        <v>2122</v>
      </c>
      <c r="EQ158" s="19" t="s">
        <v>3835</v>
      </c>
      <c r="ER158" s="19"/>
      <c r="ES158" s="19" t="s">
        <v>476</v>
      </c>
      <c r="ET158" s="19" t="s">
        <v>476</v>
      </c>
      <c r="EU158" s="19" t="s">
        <v>5134</v>
      </c>
      <c r="EV158" s="19">
        <v>9257.0</v>
      </c>
      <c r="EW158" s="19" t="s">
        <v>16</v>
      </c>
      <c r="EX158" s="19">
        <v>3.0</v>
      </c>
      <c r="EY158" s="25" t="s">
        <v>475</v>
      </c>
      <c r="EZ158" s="19" t="s">
        <v>2154</v>
      </c>
      <c r="FA158" s="5" t="s">
        <v>5147</v>
      </c>
      <c r="FB158" s="26" t="s">
        <v>2156</v>
      </c>
      <c r="FC158" s="26"/>
    </row>
    <row r="159">
      <c r="A159" s="19"/>
      <c r="B159" s="19" t="s">
        <v>2113</v>
      </c>
      <c r="C159" s="19" t="s">
        <v>2113</v>
      </c>
      <c r="D159" s="19" t="s">
        <v>5148</v>
      </c>
      <c r="E159" s="19" t="s">
        <v>5149</v>
      </c>
      <c r="F159" s="19" t="s">
        <v>477</v>
      </c>
      <c r="G159" s="19" t="s">
        <v>5150</v>
      </c>
      <c r="H159" s="19" t="s">
        <v>477</v>
      </c>
      <c r="I159" s="19" t="s">
        <v>479</v>
      </c>
      <c r="J159" s="19" t="s">
        <v>5151</v>
      </c>
      <c r="K159" s="19" t="s">
        <v>5152</v>
      </c>
      <c r="L159" s="20">
        <v>45431.0</v>
      </c>
      <c r="M159" s="20">
        <v>45432.0</v>
      </c>
      <c r="N159" s="20">
        <v>45432.0</v>
      </c>
      <c r="O159" s="19" t="s">
        <v>478</v>
      </c>
      <c r="P159" s="19">
        <v>0.0</v>
      </c>
      <c r="Q159" s="19">
        <v>24.0</v>
      </c>
      <c r="R159" s="19">
        <v>8992.0</v>
      </c>
      <c r="S159" s="20" t="s">
        <v>5153</v>
      </c>
      <c r="T159" s="20">
        <v>45461.0</v>
      </c>
      <c r="U159" s="19" t="s">
        <v>477</v>
      </c>
      <c r="V159" s="19"/>
      <c r="W159" s="19"/>
      <c r="X159" s="21">
        <v>20.0</v>
      </c>
      <c r="Y159" s="21">
        <v>0.0</v>
      </c>
      <c r="Z159" s="21">
        <v>3.0</v>
      </c>
      <c r="AA159" s="21">
        <v>0.0</v>
      </c>
      <c r="AB159" s="5">
        <v>23.0</v>
      </c>
      <c r="AC159" s="19">
        <v>5.0</v>
      </c>
      <c r="AD159" s="19">
        <v>5.0</v>
      </c>
      <c r="AE159" s="19">
        <v>5.0</v>
      </c>
      <c r="AF159" s="19">
        <v>4.5</v>
      </c>
      <c r="AG159" s="19">
        <v>5.0</v>
      </c>
      <c r="AH159" s="19">
        <v>5.0</v>
      </c>
      <c r="AI159" s="22">
        <v>14.8125</v>
      </c>
      <c r="AJ159" s="19">
        <v>14.0</v>
      </c>
      <c r="AK159" s="19">
        <v>14.0</v>
      </c>
      <c r="AL159" s="19">
        <v>14.0</v>
      </c>
      <c r="AM159" s="19">
        <v>42.0</v>
      </c>
      <c r="AN159" s="19">
        <v>56.8</v>
      </c>
      <c r="AO159" s="19">
        <v>79.8</v>
      </c>
      <c r="AP159" s="19">
        <v>311.0</v>
      </c>
      <c r="AQ159" s="23">
        <v>155.0</v>
      </c>
      <c r="AR159" s="23">
        <v>11.0</v>
      </c>
      <c r="AS159" s="22"/>
      <c r="AT159" s="19" t="s">
        <v>2163</v>
      </c>
      <c r="AU159" s="19" t="s">
        <v>4072</v>
      </c>
      <c r="AV159" s="19" t="s">
        <v>4073</v>
      </c>
      <c r="AW159" s="19" t="s">
        <v>5154</v>
      </c>
      <c r="AX159" s="20">
        <v>36469.0</v>
      </c>
      <c r="AY159" s="19" t="s">
        <v>3826</v>
      </c>
      <c r="AZ159" s="19" t="s">
        <v>2445</v>
      </c>
      <c r="BA159" s="19" t="s">
        <v>5155</v>
      </c>
      <c r="BB159" s="19" t="s">
        <v>4076</v>
      </c>
      <c r="BC159" s="19" t="s">
        <v>5156</v>
      </c>
      <c r="BD159" s="19" t="s">
        <v>5157</v>
      </c>
      <c r="BE159" s="19" t="s">
        <v>5151</v>
      </c>
      <c r="BF159" s="19">
        <v>1.6981088806E10</v>
      </c>
      <c r="BG159" s="19" t="s">
        <v>4038</v>
      </c>
      <c r="BH159" s="19" t="s">
        <v>2128</v>
      </c>
      <c r="BI159" s="19" t="s">
        <v>2113</v>
      </c>
      <c r="BJ159" s="19" t="s">
        <v>2128</v>
      </c>
      <c r="BK159" s="19" t="s">
        <v>17</v>
      </c>
      <c r="BL159" s="19"/>
      <c r="BM159" s="19" t="s">
        <v>2130</v>
      </c>
      <c r="BN159" s="19" t="s">
        <v>17</v>
      </c>
      <c r="BO159" s="19" t="s">
        <v>2473</v>
      </c>
      <c r="BP159" s="19" t="s">
        <v>5158</v>
      </c>
      <c r="BQ159" s="19" t="s">
        <v>3832</v>
      </c>
      <c r="BR159" s="19" t="s">
        <v>3832</v>
      </c>
      <c r="BS159" s="19" t="s">
        <v>2134</v>
      </c>
      <c r="BT159" s="19" t="s">
        <v>268</v>
      </c>
      <c r="BU159" s="19"/>
      <c r="BV159" s="19" t="s">
        <v>5159</v>
      </c>
      <c r="BW159" s="19"/>
      <c r="BX159" s="19"/>
      <c r="BY159" s="19" t="s">
        <v>2113</v>
      </c>
      <c r="BZ159" s="19" t="s">
        <v>2113</v>
      </c>
      <c r="CA159" s="19"/>
      <c r="CB159" s="19" t="s">
        <v>2113</v>
      </c>
      <c r="CC159" s="19"/>
      <c r="CD159" s="19" t="s">
        <v>2137</v>
      </c>
      <c r="CE159" s="19" t="s">
        <v>16</v>
      </c>
      <c r="CF159" s="19"/>
      <c r="CG159" s="19"/>
      <c r="CH159" s="19" t="s">
        <v>16</v>
      </c>
      <c r="CI159" s="21">
        <v>0.0</v>
      </c>
      <c r="CJ159" s="19" t="s">
        <v>17</v>
      </c>
      <c r="CK159" s="19" t="s">
        <v>2113</v>
      </c>
      <c r="CL159" s="19"/>
      <c r="CM159" s="19" t="s">
        <v>2138</v>
      </c>
      <c r="CN159" s="19" t="s">
        <v>3835</v>
      </c>
      <c r="CO159" s="19"/>
      <c r="CP159" s="19" t="s">
        <v>2246</v>
      </c>
      <c r="CQ159" s="19"/>
      <c r="CR159" s="19"/>
      <c r="CS159" s="19"/>
      <c r="CT159" s="19" t="s">
        <v>2113</v>
      </c>
      <c r="CU159" s="19" t="s">
        <v>2113</v>
      </c>
      <c r="CV159" s="19" t="s">
        <v>2141</v>
      </c>
      <c r="CW159" s="19" t="s">
        <v>2113</v>
      </c>
      <c r="CX159" s="19" t="s">
        <v>2113</v>
      </c>
      <c r="CY159" s="19" t="s">
        <v>2113</v>
      </c>
      <c r="CZ159" s="19" t="s">
        <v>2113</v>
      </c>
      <c r="DA159" s="19" t="s">
        <v>16</v>
      </c>
      <c r="DB159" s="19" t="s">
        <v>17</v>
      </c>
      <c r="DC159" s="19" t="s">
        <v>5145</v>
      </c>
      <c r="DD159" s="19" t="s">
        <v>2113</v>
      </c>
      <c r="DE159" s="19" t="s">
        <v>2113</v>
      </c>
      <c r="DF159" s="19" t="s">
        <v>3836</v>
      </c>
      <c r="DG159" s="19" t="s">
        <v>3990</v>
      </c>
      <c r="DH159" s="19" t="s">
        <v>2144</v>
      </c>
      <c r="DI159" s="24">
        <v>45518.0</v>
      </c>
      <c r="DJ159" s="19" t="s">
        <v>3257</v>
      </c>
      <c r="DK159" s="19" t="s">
        <v>2271</v>
      </c>
      <c r="DL159" s="19" t="s">
        <v>2207</v>
      </c>
      <c r="DM159" s="22" t="s">
        <v>4602</v>
      </c>
      <c r="DN159" s="19">
        <v>1.0</v>
      </c>
      <c r="DO159" s="19">
        <v>1.0</v>
      </c>
      <c r="DP159" s="19" t="s">
        <v>5160</v>
      </c>
      <c r="DQ159" s="19" t="s">
        <v>5161</v>
      </c>
      <c r="DR159" s="19" t="s">
        <v>5162</v>
      </c>
      <c r="DS159" s="19" t="s">
        <v>2185</v>
      </c>
      <c r="DT159" s="19" t="s">
        <v>2350</v>
      </c>
      <c r="DU159" s="19"/>
      <c r="DV159" s="19"/>
      <c r="DW159" s="19" t="s">
        <v>2153</v>
      </c>
      <c r="DX159" s="19">
        <v>1.0</v>
      </c>
      <c r="DY159" s="19">
        <v>0.0</v>
      </c>
      <c r="DZ159" s="19">
        <v>0.0</v>
      </c>
      <c r="EA159" s="19">
        <v>0.0</v>
      </c>
      <c r="EB159" s="19">
        <v>0.0</v>
      </c>
      <c r="EC159" s="19">
        <v>20.0</v>
      </c>
      <c r="ED159" s="19" t="s">
        <v>3257</v>
      </c>
      <c r="EE159" s="24">
        <v>45518.0</v>
      </c>
      <c r="EF159" s="19" t="s">
        <v>3257</v>
      </c>
      <c r="EG159" s="19" t="s">
        <v>2271</v>
      </c>
      <c r="EH159" s="19" t="s">
        <v>2207</v>
      </c>
      <c r="EI159" s="22">
        <v>14.8125</v>
      </c>
      <c r="EJ159" s="19">
        <v>42.0</v>
      </c>
      <c r="EK159" s="19" t="s">
        <v>2113</v>
      </c>
      <c r="EL159" s="19" t="s">
        <v>2163</v>
      </c>
      <c r="EM159" s="19" t="s">
        <v>4072</v>
      </c>
      <c r="EN159" s="19" t="s">
        <v>479</v>
      </c>
      <c r="EO159" s="19" t="s">
        <v>3826</v>
      </c>
      <c r="EP159" s="19" t="s">
        <v>2445</v>
      </c>
      <c r="EQ159" s="19" t="s">
        <v>3835</v>
      </c>
      <c r="ER159" s="19"/>
      <c r="ES159" s="19" t="s">
        <v>479</v>
      </c>
      <c r="ET159" s="19" t="s">
        <v>479</v>
      </c>
      <c r="EU159" s="19" t="s">
        <v>5152</v>
      </c>
      <c r="EV159" s="19">
        <v>8992.0</v>
      </c>
      <c r="EW159" s="19" t="s">
        <v>16</v>
      </c>
      <c r="EX159" s="19">
        <v>3.0</v>
      </c>
      <c r="EY159" s="25" t="s">
        <v>478</v>
      </c>
      <c r="EZ159" s="19" t="s">
        <v>2154</v>
      </c>
      <c r="FA159" s="5" t="s">
        <v>5163</v>
      </c>
      <c r="FB159" s="26" t="s">
        <v>2156</v>
      </c>
      <c r="FC159" s="26"/>
    </row>
    <row r="160">
      <c r="A160" s="19" t="s">
        <v>2112</v>
      </c>
      <c r="B160" s="19" t="s">
        <v>2113</v>
      </c>
      <c r="C160" s="19" t="s">
        <v>2113</v>
      </c>
      <c r="D160" s="19" t="s">
        <v>480</v>
      </c>
      <c r="E160" s="19" t="s">
        <v>5164</v>
      </c>
      <c r="F160" s="19" t="s">
        <v>480</v>
      </c>
      <c r="G160" s="19"/>
      <c r="H160" s="19" t="s">
        <v>480</v>
      </c>
      <c r="I160" s="19" t="s">
        <v>482</v>
      </c>
      <c r="J160" s="19" t="s">
        <v>5165</v>
      </c>
      <c r="K160" s="19" t="s">
        <v>5166</v>
      </c>
      <c r="L160" s="20">
        <v>45411.0</v>
      </c>
      <c r="M160" s="20">
        <v>45411.0</v>
      </c>
      <c r="N160" s="20">
        <v>45411.0</v>
      </c>
      <c r="O160" s="19" t="s">
        <v>481</v>
      </c>
      <c r="P160" s="19">
        <v>0.0</v>
      </c>
      <c r="Q160" s="19">
        <v>20.0</v>
      </c>
      <c r="R160" s="19">
        <v>7364.0</v>
      </c>
      <c r="S160" s="20" t="s">
        <v>5167</v>
      </c>
      <c r="T160" s="20">
        <v>45461.0</v>
      </c>
      <c r="U160" s="19" t="s">
        <v>480</v>
      </c>
      <c r="V160" s="19"/>
      <c r="W160" s="19"/>
      <c r="X160" s="21">
        <v>20.0</v>
      </c>
      <c r="Y160" s="21">
        <v>0.0</v>
      </c>
      <c r="Z160" s="21">
        <v>2.0</v>
      </c>
      <c r="AA160" s="21">
        <v>0.0</v>
      </c>
      <c r="AB160" s="5">
        <v>22.0</v>
      </c>
      <c r="AC160" s="19">
        <v>4.2</v>
      </c>
      <c r="AD160" s="19">
        <v>4.2</v>
      </c>
      <c r="AE160" s="19">
        <v>4.6</v>
      </c>
      <c r="AF160" s="19">
        <v>4.4</v>
      </c>
      <c r="AG160" s="19">
        <v>3.6</v>
      </c>
      <c r="AH160" s="19">
        <v>4.2</v>
      </c>
      <c r="AI160" s="22">
        <v>12.75</v>
      </c>
      <c r="AJ160" s="19">
        <v>15.0</v>
      </c>
      <c r="AK160" s="19">
        <v>15.0</v>
      </c>
      <c r="AL160" s="19">
        <v>15.0</v>
      </c>
      <c r="AM160" s="19">
        <v>45.0</v>
      </c>
      <c r="AN160" s="19">
        <v>57.8</v>
      </c>
      <c r="AO160" s="19">
        <v>79.8</v>
      </c>
      <c r="AP160" s="19">
        <v>337.0</v>
      </c>
      <c r="AQ160" s="23">
        <v>156.0</v>
      </c>
      <c r="AR160" s="23">
        <v>11.0</v>
      </c>
      <c r="AS160" s="22"/>
      <c r="AT160" s="19" t="s">
        <v>2117</v>
      </c>
      <c r="AU160" s="19" t="s">
        <v>5168</v>
      </c>
      <c r="AV160" s="19" t="s">
        <v>5169</v>
      </c>
      <c r="AW160" s="19"/>
      <c r="AX160" s="20">
        <v>38097.0</v>
      </c>
      <c r="AY160" s="19" t="s">
        <v>4978</v>
      </c>
      <c r="AZ160" s="19" t="s">
        <v>2122</v>
      </c>
      <c r="BA160" s="19" t="s">
        <v>5170</v>
      </c>
      <c r="BB160" s="19" t="s">
        <v>5171</v>
      </c>
      <c r="BC160" s="19" t="s">
        <v>5172</v>
      </c>
      <c r="BD160" s="19" t="s">
        <v>5173</v>
      </c>
      <c r="BE160" s="19" t="s">
        <v>5174</v>
      </c>
      <c r="BF160" s="19">
        <v>1.1961427411E10</v>
      </c>
      <c r="BG160" s="19" t="s">
        <v>4038</v>
      </c>
      <c r="BH160" s="19" t="s">
        <v>2128</v>
      </c>
      <c r="BI160" s="19"/>
      <c r="BJ160" s="19" t="s">
        <v>2128</v>
      </c>
      <c r="BK160" s="19" t="s">
        <v>17</v>
      </c>
      <c r="BL160" s="19"/>
      <c r="BM160" s="19" t="s">
        <v>2130</v>
      </c>
      <c r="BN160" s="19" t="s">
        <v>4223</v>
      </c>
      <c r="BO160" s="19" t="s">
        <v>3199</v>
      </c>
      <c r="BP160" s="19"/>
      <c r="BQ160" s="19" t="s">
        <v>2318</v>
      </c>
      <c r="BR160" s="19" t="s">
        <v>2318</v>
      </c>
      <c r="BS160" s="19" t="s">
        <v>2243</v>
      </c>
      <c r="BT160" s="19" t="s">
        <v>42</v>
      </c>
      <c r="BU160" s="19" t="s">
        <v>5175</v>
      </c>
      <c r="BV160" s="19" t="s">
        <v>5176</v>
      </c>
      <c r="BW160" s="19" t="s">
        <v>2113</v>
      </c>
      <c r="BX160" s="19"/>
      <c r="BY160" s="19"/>
      <c r="BZ160" s="19"/>
      <c r="CA160" s="19"/>
      <c r="CB160" s="19" t="s">
        <v>2113</v>
      </c>
      <c r="CC160" s="19"/>
      <c r="CD160" s="19" t="s">
        <v>2137</v>
      </c>
      <c r="CE160" s="19" t="s">
        <v>16</v>
      </c>
      <c r="CF160" s="19"/>
      <c r="CG160" s="19"/>
      <c r="CH160" s="19" t="s">
        <v>16</v>
      </c>
      <c r="CI160" s="21">
        <v>0.0</v>
      </c>
      <c r="CJ160" s="19" t="s">
        <v>17</v>
      </c>
      <c r="CK160" s="19"/>
      <c r="CL160" s="19"/>
      <c r="CM160" s="19" t="s">
        <v>2138</v>
      </c>
      <c r="CN160" s="19" t="s">
        <v>4985</v>
      </c>
      <c r="CO160" s="19"/>
      <c r="CP160" s="19" t="s">
        <v>2246</v>
      </c>
      <c r="CQ160" s="19"/>
      <c r="CR160" s="19" t="s">
        <v>2113</v>
      </c>
      <c r="CS160" s="19" t="s">
        <v>2113</v>
      </c>
      <c r="CT160" s="19" t="s">
        <v>2113</v>
      </c>
      <c r="CU160" s="19" t="s">
        <v>2113</v>
      </c>
      <c r="CV160" s="19" t="s">
        <v>2141</v>
      </c>
      <c r="CW160" s="19"/>
      <c r="CX160" s="19"/>
      <c r="CY160" s="19" t="s">
        <v>2113</v>
      </c>
      <c r="CZ160" s="19" t="s">
        <v>2113</v>
      </c>
      <c r="DA160" s="19" t="s">
        <v>16</v>
      </c>
      <c r="DB160" s="19" t="s">
        <v>17</v>
      </c>
      <c r="DC160" s="19" t="s">
        <v>2982</v>
      </c>
      <c r="DD160" s="19" t="s">
        <v>2113</v>
      </c>
      <c r="DE160" s="19" t="s">
        <v>2113</v>
      </c>
      <c r="DF160" s="19" t="s">
        <v>2983</v>
      </c>
      <c r="DG160" s="19" t="s">
        <v>2712</v>
      </c>
      <c r="DH160" s="19" t="s">
        <v>2144</v>
      </c>
      <c r="DI160" s="24">
        <v>45525.0</v>
      </c>
      <c r="DJ160" s="19" t="s">
        <v>2325</v>
      </c>
      <c r="DK160" s="19" t="s">
        <v>2145</v>
      </c>
      <c r="DL160" s="19" t="s">
        <v>2326</v>
      </c>
      <c r="DM160" s="19"/>
      <c r="DN160" s="19">
        <v>9.0</v>
      </c>
      <c r="DO160" s="19">
        <v>9.0</v>
      </c>
      <c r="DP160" s="19" t="s">
        <v>5177</v>
      </c>
      <c r="DQ160" s="19" t="s">
        <v>5178</v>
      </c>
      <c r="DR160" s="19" t="s">
        <v>5179</v>
      </c>
      <c r="DS160" s="19" t="s">
        <v>2365</v>
      </c>
      <c r="DT160" s="19" t="s">
        <v>2209</v>
      </c>
      <c r="DU160" s="19"/>
      <c r="DV160" s="19"/>
      <c r="DW160" s="19" t="s">
        <v>2153</v>
      </c>
      <c r="DX160" s="19">
        <v>9.0</v>
      </c>
      <c r="DY160" s="19">
        <v>0.0</v>
      </c>
      <c r="DZ160" s="19">
        <v>0.0</v>
      </c>
      <c r="EA160" s="19">
        <v>0.0</v>
      </c>
      <c r="EB160" s="19">
        <v>0.0</v>
      </c>
      <c r="EC160" s="19">
        <v>20.0</v>
      </c>
      <c r="ED160" s="19" t="s">
        <v>2325</v>
      </c>
      <c r="EE160" s="24">
        <v>45525.0</v>
      </c>
      <c r="EF160" s="19" t="s">
        <v>2325</v>
      </c>
      <c r="EG160" s="19" t="s">
        <v>2145</v>
      </c>
      <c r="EH160" s="19" t="s">
        <v>2326</v>
      </c>
      <c r="EI160" s="22">
        <v>12.75</v>
      </c>
      <c r="EJ160" s="19">
        <v>45.0</v>
      </c>
      <c r="EK160" s="19" t="s">
        <v>2113</v>
      </c>
      <c r="EL160" s="19" t="s">
        <v>2117</v>
      </c>
      <c r="EM160" s="19" t="s">
        <v>5168</v>
      </c>
      <c r="EN160" s="19" t="s">
        <v>482</v>
      </c>
      <c r="EO160" s="19" t="s">
        <v>4978</v>
      </c>
      <c r="EP160" s="19" t="s">
        <v>2122</v>
      </c>
      <c r="EQ160" s="19" t="s">
        <v>4985</v>
      </c>
      <c r="ER160" s="19"/>
      <c r="ES160" s="19" t="s">
        <v>482</v>
      </c>
      <c r="ET160" s="19" t="s">
        <v>482</v>
      </c>
      <c r="EU160" s="19" t="s">
        <v>5166</v>
      </c>
      <c r="EV160" s="19">
        <v>7364.0</v>
      </c>
      <c r="EW160" s="19" t="s">
        <v>16</v>
      </c>
      <c r="EX160" s="19">
        <v>2.0</v>
      </c>
      <c r="EY160" s="25" t="s">
        <v>481</v>
      </c>
      <c r="EZ160" s="19" t="s">
        <v>2154</v>
      </c>
      <c r="FA160" s="5" t="s">
        <v>5180</v>
      </c>
      <c r="FB160" s="26" t="s">
        <v>2156</v>
      </c>
      <c r="FC160" s="26"/>
    </row>
    <row r="161">
      <c r="A161" s="19" t="s">
        <v>2112</v>
      </c>
      <c r="B161" s="19" t="s">
        <v>2113</v>
      </c>
      <c r="C161" s="19" t="s">
        <v>2113</v>
      </c>
      <c r="D161" s="19" t="s">
        <v>483</v>
      </c>
      <c r="E161" s="19" t="s">
        <v>5181</v>
      </c>
      <c r="F161" s="19" t="s">
        <v>483</v>
      </c>
      <c r="G161" s="19"/>
      <c r="H161" s="19" t="s">
        <v>483</v>
      </c>
      <c r="I161" s="19" t="s">
        <v>485</v>
      </c>
      <c r="J161" s="19" t="s">
        <v>5182</v>
      </c>
      <c r="K161" s="19" t="s">
        <v>5183</v>
      </c>
      <c r="L161" s="20">
        <v>45444.0</v>
      </c>
      <c r="M161" s="20">
        <v>45446.0</v>
      </c>
      <c r="N161" s="20">
        <v>45446.0</v>
      </c>
      <c r="O161" s="19" t="s">
        <v>484</v>
      </c>
      <c r="P161" s="19">
        <v>0.0</v>
      </c>
      <c r="Q161" s="19">
        <v>24.0</v>
      </c>
      <c r="R161" s="19">
        <v>8808.0</v>
      </c>
      <c r="S161" s="20" t="s">
        <v>5184</v>
      </c>
      <c r="T161" s="20">
        <v>45461.0</v>
      </c>
      <c r="U161" s="19" t="s">
        <v>483</v>
      </c>
      <c r="V161" s="19"/>
      <c r="W161" s="19" t="s">
        <v>2131</v>
      </c>
      <c r="X161" s="21">
        <v>20.0</v>
      </c>
      <c r="Y161" s="21">
        <v>0.0</v>
      </c>
      <c r="Z161" s="21">
        <v>1.0</v>
      </c>
      <c r="AA161" s="21">
        <v>0.0</v>
      </c>
      <c r="AB161" s="5">
        <v>21.0</v>
      </c>
      <c r="AC161" s="19">
        <v>4.6</v>
      </c>
      <c r="AD161" s="19">
        <v>4.4</v>
      </c>
      <c r="AE161" s="19">
        <v>4.8</v>
      </c>
      <c r="AF161" s="19">
        <v>4.6</v>
      </c>
      <c r="AG161" s="19">
        <v>4.2</v>
      </c>
      <c r="AH161" s="19">
        <v>4.4</v>
      </c>
      <c r="AI161" s="22">
        <v>13.59375</v>
      </c>
      <c r="AJ161" s="19">
        <v>15.0</v>
      </c>
      <c r="AK161" s="19">
        <v>15.0</v>
      </c>
      <c r="AL161" s="19">
        <v>15.0</v>
      </c>
      <c r="AM161" s="19">
        <v>45.0</v>
      </c>
      <c r="AN161" s="19">
        <v>58.6</v>
      </c>
      <c r="AO161" s="19">
        <v>79.6</v>
      </c>
      <c r="AP161" s="19">
        <v>343.0</v>
      </c>
      <c r="AQ161" s="23">
        <v>157.0</v>
      </c>
      <c r="AR161" s="23">
        <v>15.0</v>
      </c>
      <c r="AS161" s="22"/>
      <c r="AT161" s="19" t="s">
        <v>2282</v>
      </c>
      <c r="AU161" s="19" t="s">
        <v>5185</v>
      </c>
      <c r="AV161" s="19" t="s">
        <v>5186</v>
      </c>
      <c r="AW161" s="19" t="s">
        <v>2466</v>
      </c>
      <c r="AX161" s="20">
        <v>36653.0</v>
      </c>
      <c r="AY161" s="19" t="s">
        <v>5187</v>
      </c>
      <c r="AZ161" s="19" t="s">
        <v>2122</v>
      </c>
      <c r="BA161" s="19" t="s">
        <v>5188</v>
      </c>
      <c r="BB161" s="19" t="s">
        <v>5189</v>
      </c>
      <c r="BC161" s="19" t="s">
        <v>5190</v>
      </c>
      <c r="BD161" s="19" t="s">
        <v>5191</v>
      </c>
      <c r="BE161" s="19" t="s">
        <v>5182</v>
      </c>
      <c r="BF161" s="19">
        <v>1.599797951E10</v>
      </c>
      <c r="BG161" s="19" t="s">
        <v>4038</v>
      </c>
      <c r="BH161" s="19" t="s">
        <v>2128</v>
      </c>
      <c r="BI161" s="19"/>
      <c r="BJ161" s="19" t="s">
        <v>2128</v>
      </c>
      <c r="BK161" s="19" t="s">
        <v>17</v>
      </c>
      <c r="BL161" s="19"/>
      <c r="BM161" s="19" t="s">
        <v>2130</v>
      </c>
      <c r="BN161" s="19" t="s">
        <v>17</v>
      </c>
      <c r="BO161" s="19" t="s">
        <v>3082</v>
      </c>
      <c r="BP161" s="19" t="s">
        <v>5192</v>
      </c>
      <c r="BQ161" s="19" t="s">
        <v>2174</v>
      </c>
      <c r="BR161" s="19" t="s">
        <v>2174</v>
      </c>
      <c r="BS161" s="19" t="s">
        <v>2134</v>
      </c>
      <c r="BT161" s="19" t="s">
        <v>34</v>
      </c>
      <c r="BU161" s="19" t="s">
        <v>5193</v>
      </c>
      <c r="BV161" s="19" t="s">
        <v>5194</v>
      </c>
      <c r="BW161" s="19" t="s">
        <v>2113</v>
      </c>
      <c r="BX161" s="19"/>
      <c r="BY161" s="19"/>
      <c r="BZ161" s="19"/>
      <c r="CA161" s="19"/>
      <c r="CB161" s="19" t="s">
        <v>2113</v>
      </c>
      <c r="CC161" s="19"/>
      <c r="CD161" s="19" t="s">
        <v>2137</v>
      </c>
      <c r="CE161" s="19" t="s">
        <v>16</v>
      </c>
      <c r="CF161" s="19"/>
      <c r="CG161" s="19"/>
      <c r="CH161" s="19" t="s">
        <v>16</v>
      </c>
      <c r="CI161" s="21">
        <v>0.0</v>
      </c>
      <c r="CJ161" s="19" t="s">
        <v>16</v>
      </c>
      <c r="CK161" s="19"/>
      <c r="CL161" s="19"/>
      <c r="CM161" s="19" t="s">
        <v>2138</v>
      </c>
      <c r="CN161" s="19" t="s">
        <v>4925</v>
      </c>
      <c r="CO161" s="19"/>
      <c r="CP161" s="19" t="s">
        <v>2246</v>
      </c>
      <c r="CQ161" s="19"/>
      <c r="CR161" s="19" t="s">
        <v>2113</v>
      </c>
      <c r="CS161" s="19" t="s">
        <v>2113</v>
      </c>
      <c r="CT161" s="19" t="s">
        <v>2113</v>
      </c>
      <c r="CU161" s="19" t="s">
        <v>2113</v>
      </c>
      <c r="CV161" s="19" t="s">
        <v>2141</v>
      </c>
      <c r="CW161" s="19" t="s">
        <v>2113</v>
      </c>
      <c r="CX161" s="19" t="s">
        <v>2113</v>
      </c>
      <c r="CY161" s="19"/>
      <c r="CZ161" s="19"/>
      <c r="DA161" s="19" t="s">
        <v>16</v>
      </c>
      <c r="DB161" s="19" t="s">
        <v>16</v>
      </c>
      <c r="DC161" s="19" t="s">
        <v>3042</v>
      </c>
      <c r="DD161" s="19" t="s">
        <v>2113</v>
      </c>
      <c r="DE161" s="19" t="s">
        <v>2113</v>
      </c>
      <c r="DF161" s="19" t="s">
        <v>5195</v>
      </c>
      <c r="DG161" s="19" t="s">
        <v>2364</v>
      </c>
      <c r="DH161" s="19" t="s">
        <v>2144</v>
      </c>
      <c r="DI161" s="24">
        <v>45519.0</v>
      </c>
      <c r="DJ161" s="19" t="s">
        <v>2174</v>
      </c>
      <c r="DK161" s="19" t="s">
        <v>2145</v>
      </c>
      <c r="DL161" s="19" t="s">
        <v>2183</v>
      </c>
      <c r="DM161" s="19" t="s">
        <v>4885</v>
      </c>
      <c r="DN161" s="19">
        <v>5.0</v>
      </c>
      <c r="DO161" s="19">
        <v>5.0</v>
      </c>
      <c r="DP161" s="19" t="s">
        <v>5196</v>
      </c>
      <c r="DQ161" s="19" t="s">
        <v>5197</v>
      </c>
      <c r="DR161" s="19" t="s">
        <v>5198</v>
      </c>
      <c r="DS161" s="19" t="s">
        <v>2365</v>
      </c>
      <c r="DT161" s="19" t="s">
        <v>2152</v>
      </c>
      <c r="DU161" s="19"/>
      <c r="DV161" s="19"/>
      <c r="DW161" s="19" t="s">
        <v>2188</v>
      </c>
      <c r="DX161" s="19">
        <v>10.0</v>
      </c>
      <c r="DY161" s="19">
        <v>0.0</v>
      </c>
      <c r="DZ161" s="19">
        <v>0.0</v>
      </c>
      <c r="EA161" s="19">
        <v>0.0</v>
      </c>
      <c r="EB161" s="19">
        <v>0.0</v>
      </c>
      <c r="EC161" s="19">
        <v>20.0</v>
      </c>
      <c r="ED161" s="19" t="s">
        <v>2174</v>
      </c>
      <c r="EE161" s="24">
        <v>45519.0</v>
      </c>
      <c r="EF161" s="19" t="s">
        <v>2174</v>
      </c>
      <c r="EG161" s="19" t="s">
        <v>2145</v>
      </c>
      <c r="EH161" s="19" t="s">
        <v>2183</v>
      </c>
      <c r="EI161" s="22">
        <v>13.59375</v>
      </c>
      <c r="EJ161" s="19">
        <v>45.0</v>
      </c>
      <c r="EK161" s="19"/>
      <c r="EL161" s="19" t="s">
        <v>2282</v>
      </c>
      <c r="EM161" s="19" t="s">
        <v>5185</v>
      </c>
      <c r="EN161" s="19" t="s">
        <v>485</v>
      </c>
      <c r="EO161" s="19" t="s">
        <v>5187</v>
      </c>
      <c r="EP161" s="19" t="s">
        <v>2122</v>
      </c>
      <c r="EQ161" s="19" t="s">
        <v>4925</v>
      </c>
      <c r="ER161" s="19"/>
      <c r="ES161" s="19" t="s">
        <v>485</v>
      </c>
      <c r="ET161" s="19" t="s">
        <v>485</v>
      </c>
      <c r="EU161" s="19" t="s">
        <v>5183</v>
      </c>
      <c r="EV161" s="19">
        <v>8808.0</v>
      </c>
      <c r="EW161" s="19" t="s">
        <v>16</v>
      </c>
      <c r="EX161" s="19">
        <v>1.0</v>
      </c>
      <c r="EY161" s="25" t="s">
        <v>484</v>
      </c>
      <c r="EZ161" s="19" t="s">
        <v>2154</v>
      </c>
      <c r="FA161" s="5" t="s">
        <v>5199</v>
      </c>
      <c r="FB161" s="26" t="s">
        <v>2156</v>
      </c>
      <c r="FC161" s="26"/>
    </row>
    <row r="162">
      <c r="A162" s="19" t="s">
        <v>2112</v>
      </c>
      <c r="B162" s="19" t="s">
        <v>2113</v>
      </c>
      <c r="C162" s="19" t="s">
        <v>2113</v>
      </c>
      <c r="D162" s="19" t="s">
        <v>5200</v>
      </c>
      <c r="E162" s="19" t="s">
        <v>5201</v>
      </c>
      <c r="F162" s="19" t="s">
        <v>5200</v>
      </c>
      <c r="G162" s="19" t="s">
        <v>5201</v>
      </c>
      <c r="H162" s="19" t="s">
        <v>486</v>
      </c>
      <c r="I162" s="19" t="s">
        <v>488</v>
      </c>
      <c r="J162" s="19" t="s">
        <v>5202</v>
      </c>
      <c r="K162" s="19" t="s">
        <v>5203</v>
      </c>
      <c r="L162" s="20">
        <v>45450.0</v>
      </c>
      <c r="M162" s="20">
        <v>45453.0</v>
      </c>
      <c r="N162" s="20">
        <v>45453.0</v>
      </c>
      <c r="O162" s="19" t="s">
        <v>487</v>
      </c>
      <c r="P162" s="19">
        <v>0.0</v>
      </c>
      <c r="Q162" s="19">
        <v>18.0</v>
      </c>
      <c r="R162" s="19">
        <v>6660.0</v>
      </c>
      <c r="S162" s="20" t="s">
        <v>5204</v>
      </c>
      <c r="T162" s="20">
        <v>45461.0</v>
      </c>
      <c r="U162" s="19" t="s">
        <v>5200</v>
      </c>
      <c r="V162" s="19"/>
      <c r="W162" s="19"/>
      <c r="X162" s="21">
        <v>20.0</v>
      </c>
      <c r="Y162" s="21">
        <v>0.0</v>
      </c>
      <c r="Z162" s="21">
        <v>4.0</v>
      </c>
      <c r="AA162" s="21">
        <v>0.0</v>
      </c>
      <c r="AB162" s="5">
        <v>24.0</v>
      </c>
      <c r="AC162" s="19">
        <v>3.4</v>
      </c>
      <c r="AD162" s="19">
        <v>3.4</v>
      </c>
      <c r="AE162" s="19">
        <v>3.6</v>
      </c>
      <c r="AF162" s="19">
        <v>3.4</v>
      </c>
      <c r="AG162" s="19">
        <v>3.2</v>
      </c>
      <c r="AH162" s="19">
        <v>4.0</v>
      </c>
      <c r="AI162" s="22">
        <v>10.5</v>
      </c>
      <c r="AJ162" s="19">
        <v>15.0</v>
      </c>
      <c r="AK162" s="19">
        <v>15.0</v>
      </c>
      <c r="AL162" s="19">
        <v>15.0</v>
      </c>
      <c r="AM162" s="19">
        <v>45.0</v>
      </c>
      <c r="AN162" s="19">
        <v>55.5</v>
      </c>
      <c r="AO162" s="19">
        <v>79.5</v>
      </c>
      <c r="AP162" s="19">
        <v>296.0</v>
      </c>
      <c r="AQ162" s="23">
        <v>158.0</v>
      </c>
      <c r="AR162" s="23">
        <v>11.0</v>
      </c>
      <c r="AS162" s="22"/>
      <c r="AT162" s="19" t="s">
        <v>2117</v>
      </c>
      <c r="AU162" s="19" t="s">
        <v>5205</v>
      </c>
      <c r="AV162" s="19" t="s">
        <v>5206</v>
      </c>
      <c r="AW162" s="19" t="s">
        <v>5207</v>
      </c>
      <c r="AX162" s="20">
        <v>38801.0</v>
      </c>
      <c r="AY162" s="19" t="s">
        <v>4876</v>
      </c>
      <c r="AZ162" s="19" t="s">
        <v>2310</v>
      </c>
      <c r="BA162" s="19" t="s">
        <v>5208</v>
      </c>
      <c r="BB162" s="19" t="s">
        <v>5207</v>
      </c>
      <c r="BC162" s="19" t="s">
        <v>5209</v>
      </c>
      <c r="BD162" s="19" t="s">
        <v>5210</v>
      </c>
      <c r="BE162" s="19" t="s">
        <v>5202</v>
      </c>
      <c r="BF162" s="19">
        <v>1.191442909E10</v>
      </c>
      <c r="BG162" s="19" t="s">
        <v>4038</v>
      </c>
      <c r="BH162" s="19" t="s">
        <v>2128</v>
      </c>
      <c r="BI162" s="19"/>
      <c r="BJ162" s="19" t="s">
        <v>2128</v>
      </c>
      <c r="BK162" s="19" t="s">
        <v>17</v>
      </c>
      <c r="BL162" s="19"/>
      <c r="BM162" s="19" t="s">
        <v>2130</v>
      </c>
      <c r="BN162" s="19" t="s">
        <v>17</v>
      </c>
      <c r="BO162" s="19" t="s">
        <v>2317</v>
      </c>
      <c r="BP162" s="19"/>
      <c r="BQ162" s="19" t="s">
        <v>2174</v>
      </c>
      <c r="BR162" s="19" t="s">
        <v>2174</v>
      </c>
      <c r="BS162" s="19" t="s">
        <v>2134</v>
      </c>
      <c r="BT162" s="19" t="s">
        <v>75</v>
      </c>
      <c r="BU162" s="19" t="s">
        <v>5211</v>
      </c>
      <c r="BV162" s="19" t="s">
        <v>5212</v>
      </c>
      <c r="BW162" s="19"/>
      <c r="BX162" s="19"/>
      <c r="BY162" s="19"/>
      <c r="BZ162" s="19"/>
      <c r="CA162" s="19"/>
      <c r="CB162" s="19" t="s">
        <v>2113</v>
      </c>
      <c r="CC162" s="19" t="s">
        <v>2113</v>
      </c>
      <c r="CD162" s="19" t="s">
        <v>2137</v>
      </c>
      <c r="CE162" s="19" t="s">
        <v>16</v>
      </c>
      <c r="CF162" s="19"/>
      <c r="CG162" s="19"/>
      <c r="CH162" s="19" t="s">
        <v>16</v>
      </c>
      <c r="CI162" s="21">
        <v>0.0</v>
      </c>
      <c r="CJ162" s="19" t="s">
        <v>17</v>
      </c>
      <c r="CK162" s="19"/>
      <c r="CL162" s="19"/>
      <c r="CM162" s="19" t="s">
        <v>2344</v>
      </c>
      <c r="CN162" s="19" t="s">
        <v>4884</v>
      </c>
      <c r="CO162" s="19"/>
      <c r="CP162" s="19" t="s">
        <v>2246</v>
      </c>
      <c r="CQ162" s="19"/>
      <c r="CR162" s="19" t="s">
        <v>2113</v>
      </c>
      <c r="CS162" s="19" t="s">
        <v>2113</v>
      </c>
      <c r="CT162" s="19" t="s">
        <v>2113</v>
      </c>
      <c r="CU162" s="19" t="s">
        <v>2113</v>
      </c>
      <c r="CV162" s="19" t="s">
        <v>2141</v>
      </c>
      <c r="CW162" s="19"/>
      <c r="CX162" s="19"/>
      <c r="CY162" s="19" t="s">
        <v>2113</v>
      </c>
      <c r="CZ162" s="19" t="s">
        <v>2113</v>
      </c>
      <c r="DA162" s="19" t="s">
        <v>16</v>
      </c>
      <c r="DB162" s="19" t="s">
        <v>17</v>
      </c>
      <c r="DC162" s="19" t="s">
        <v>4791</v>
      </c>
      <c r="DD162" s="19"/>
      <c r="DE162" s="19"/>
      <c r="DF162" s="19" t="s">
        <v>2540</v>
      </c>
      <c r="DG162" s="19" t="s">
        <v>5213</v>
      </c>
      <c r="DH162" s="19" t="s">
        <v>2144</v>
      </c>
      <c r="DI162" s="24">
        <v>45526.0</v>
      </c>
      <c r="DJ162" s="19" t="s">
        <v>2174</v>
      </c>
      <c r="DK162" s="19" t="s">
        <v>2271</v>
      </c>
      <c r="DL162" s="19" t="s">
        <v>2183</v>
      </c>
      <c r="DM162" s="19"/>
      <c r="DN162" s="19">
        <v>12.0</v>
      </c>
      <c r="DO162" s="19">
        <v>12.0</v>
      </c>
      <c r="DP162" s="19" t="s">
        <v>5214</v>
      </c>
      <c r="DQ162" s="19" t="s">
        <v>5215</v>
      </c>
      <c r="DR162" s="19" t="s">
        <v>5216</v>
      </c>
      <c r="DS162" s="19" t="s">
        <v>2151</v>
      </c>
      <c r="DT162" s="19" t="s">
        <v>2186</v>
      </c>
      <c r="DU162" s="19"/>
      <c r="DV162" s="19"/>
      <c r="DW162" s="19" t="s">
        <v>2479</v>
      </c>
      <c r="DX162" s="19">
        <v>16.0</v>
      </c>
      <c r="DY162" s="19">
        <v>0.0</v>
      </c>
      <c r="DZ162" s="19">
        <v>0.0</v>
      </c>
      <c r="EA162" s="19">
        <v>0.0</v>
      </c>
      <c r="EB162" s="19">
        <v>0.0</v>
      </c>
      <c r="EC162" s="19">
        <v>20.0</v>
      </c>
      <c r="ED162" s="19" t="s">
        <v>2174</v>
      </c>
      <c r="EE162" s="24">
        <v>45526.0</v>
      </c>
      <c r="EF162" s="19" t="s">
        <v>2174</v>
      </c>
      <c r="EG162" s="19" t="s">
        <v>2271</v>
      </c>
      <c r="EH162" s="19" t="s">
        <v>2183</v>
      </c>
      <c r="EI162" s="22">
        <v>10.5</v>
      </c>
      <c r="EJ162" s="19">
        <v>45.0</v>
      </c>
      <c r="EK162" s="19" t="s">
        <v>2113</v>
      </c>
      <c r="EL162" s="19" t="s">
        <v>2117</v>
      </c>
      <c r="EM162" s="19" t="s">
        <v>5205</v>
      </c>
      <c r="EN162" s="19" t="s">
        <v>488</v>
      </c>
      <c r="EO162" s="19" t="s">
        <v>4876</v>
      </c>
      <c r="EP162" s="19" t="s">
        <v>2310</v>
      </c>
      <c r="EQ162" s="19" t="s">
        <v>4884</v>
      </c>
      <c r="ER162" s="19"/>
      <c r="ES162" s="19" t="s">
        <v>488</v>
      </c>
      <c r="ET162" s="19" t="s">
        <v>488</v>
      </c>
      <c r="EU162" s="19" t="s">
        <v>5203</v>
      </c>
      <c r="EV162" s="19">
        <v>6660.0</v>
      </c>
      <c r="EW162" s="19" t="s">
        <v>16</v>
      </c>
      <c r="EX162" s="19">
        <v>4.0</v>
      </c>
      <c r="EY162" s="25" t="s">
        <v>487</v>
      </c>
      <c r="EZ162" s="19" t="s">
        <v>2154</v>
      </c>
      <c r="FA162" s="5" t="s">
        <v>5217</v>
      </c>
      <c r="FB162" s="26" t="s">
        <v>2156</v>
      </c>
      <c r="FC162" s="26"/>
    </row>
    <row r="163">
      <c r="A163" s="19" t="s">
        <v>2112</v>
      </c>
      <c r="B163" s="19" t="s">
        <v>2113</v>
      </c>
      <c r="C163" s="19" t="s">
        <v>2113</v>
      </c>
      <c r="D163" s="19" t="s">
        <v>489</v>
      </c>
      <c r="E163" s="19" t="s">
        <v>5218</v>
      </c>
      <c r="F163" s="19" t="s">
        <v>489</v>
      </c>
      <c r="G163" s="19"/>
      <c r="H163" s="19" t="s">
        <v>489</v>
      </c>
      <c r="I163" s="19" t="s">
        <v>491</v>
      </c>
      <c r="J163" s="19" t="s">
        <v>5219</v>
      </c>
      <c r="K163" s="19" t="s">
        <v>5220</v>
      </c>
      <c r="L163" s="20">
        <v>45406.0</v>
      </c>
      <c r="M163" s="20">
        <v>45411.0</v>
      </c>
      <c r="N163" s="20">
        <v>45411.0</v>
      </c>
      <c r="O163" s="19" t="s">
        <v>490</v>
      </c>
      <c r="P163" s="19">
        <v>0.0</v>
      </c>
      <c r="Q163" s="19">
        <v>28.0</v>
      </c>
      <c r="R163" s="19">
        <v>10284.0</v>
      </c>
      <c r="S163" s="20" t="s">
        <v>5221</v>
      </c>
      <c r="T163" s="20">
        <v>45461.0</v>
      </c>
      <c r="U163" s="19" t="s">
        <v>489</v>
      </c>
      <c r="V163" s="19"/>
      <c r="W163" s="19"/>
      <c r="X163" s="21">
        <v>20.0</v>
      </c>
      <c r="Y163" s="21">
        <v>0.0</v>
      </c>
      <c r="Z163" s="21">
        <v>2.0</v>
      </c>
      <c r="AA163" s="21">
        <v>0.0</v>
      </c>
      <c r="AB163" s="5">
        <v>22.0</v>
      </c>
      <c r="AC163" s="19">
        <v>4.2</v>
      </c>
      <c r="AD163" s="19">
        <v>4.0</v>
      </c>
      <c r="AE163" s="19">
        <v>4.7</v>
      </c>
      <c r="AF163" s="19">
        <v>4.7</v>
      </c>
      <c r="AG163" s="19">
        <v>4.0</v>
      </c>
      <c r="AH163" s="19">
        <v>3.0</v>
      </c>
      <c r="AI163" s="22">
        <v>12.50625</v>
      </c>
      <c r="AJ163" s="19">
        <v>15.0</v>
      </c>
      <c r="AK163" s="19">
        <v>15.0</v>
      </c>
      <c r="AL163" s="19">
        <v>15.0</v>
      </c>
      <c r="AM163" s="19">
        <v>45.0</v>
      </c>
      <c r="AN163" s="19">
        <v>57.5</v>
      </c>
      <c r="AO163" s="19">
        <v>79.5</v>
      </c>
      <c r="AP163" s="19">
        <v>330.0</v>
      </c>
      <c r="AQ163" s="23">
        <v>159.0</v>
      </c>
      <c r="AR163" s="23">
        <v>12.0</v>
      </c>
      <c r="AS163" s="22"/>
      <c r="AT163" s="19" t="s">
        <v>2282</v>
      </c>
      <c r="AU163" s="19" t="s">
        <v>5222</v>
      </c>
      <c r="AV163" s="19" t="s">
        <v>5223</v>
      </c>
      <c r="AW163" s="19" t="s">
        <v>3923</v>
      </c>
      <c r="AX163" s="20">
        <v>35177.0</v>
      </c>
      <c r="AY163" s="19" t="s">
        <v>4978</v>
      </c>
      <c r="AZ163" s="19" t="s">
        <v>2122</v>
      </c>
      <c r="BA163" s="19" t="s">
        <v>5224</v>
      </c>
      <c r="BB163" s="19" t="s">
        <v>5225</v>
      </c>
      <c r="BC163" s="19" t="s">
        <v>5226</v>
      </c>
      <c r="BD163" s="19" t="s">
        <v>5227</v>
      </c>
      <c r="BE163" s="19" t="s">
        <v>5228</v>
      </c>
      <c r="BF163" s="19">
        <v>1.1992777729E10</v>
      </c>
      <c r="BG163" s="19" t="s">
        <v>2127</v>
      </c>
      <c r="BH163" s="19" t="s">
        <v>2128</v>
      </c>
      <c r="BI163" s="19"/>
      <c r="BJ163" s="19" t="s">
        <v>2128</v>
      </c>
      <c r="BK163" s="19" t="s">
        <v>17</v>
      </c>
      <c r="BL163" s="19"/>
      <c r="BM163" s="19" t="s">
        <v>2130</v>
      </c>
      <c r="BN163" s="19" t="s">
        <v>5229</v>
      </c>
      <c r="BO163" s="19" t="s">
        <v>3199</v>
      </c>
      <c r="BP163" s="19" t="s">
        <v>5230</v>
      </c>
      <c r="BQ163" s="19" t="s">
        <v>2318</v>
      </c>
      <c r="BR163" s="19" t="s">
        <v>2318</v>
      </c>
      <c r="BS163" s="19" t="s">
        <v>3521</v>
      </c>
      <c r="BT163" s="19" t="s">
        <v>42</v>
      </c>
      <c r="BU163" s="19" t="s">
        <v>5231</v>
      </c>
      <c r="BV163" s="19" t="s">
        <v>5232</v>
      </c>
      <c r="BW163" s="19" t="s">
        <v>2113</v>
      </c>
      <c r="BX163" s="19"/>
      <c r="BY163" s="19"/>
      <c r="BZ163" s="19"/>
      <c r="CA163" s="19"/>
      <c r="CB163" s="19" t="s">
        <v>2113</v>
      </c>
      <c r="CC163" s="19"/>
      <c r="CD163" s="19" t="s">
        <v>2137</v>
      </c>
      <c r="CE163" s="19" t="s">
        <v>16</v>
      </c>
      <c r="CF163" s="19"/>
      <c r="CG163" s="19"/>
      <c r="CH163" s="19" t="s">
        <v>16</v>
      </c>
      <c r="CI163" s="21">
        <v>0.0</v>
      </c>
      <c r="CJ163" s="19" t="s">
        <v>16</v>
      </c>
      <c r="CK163" s="19"/>
      <c r="CL163" s="19"/>
      <c r="CM163" s="19" t="s">
        <v>2138</v>
      </c>
      <c r="CN163" s="19" t="s">
        <v>4985</v>
      </c>
      <c r="CO163" s="19"/>
      <c r="CP163" s="19" t="s">
        <v>2140</v>
      </c>
      <c r="CQ163" s="19"/>
      <c r="CR163" s="19" t="s">
        <v>2113</v>
      </c>
      <c r="CS163" s="19" t="s">
        <v>2113</v>
      </c>
      <c r="CT163" s="19"/>
      <c r="CU163" s="19"/>
      <c r="CV163" s="19" t="s">
        <v>2141</v>
      </c>
      <c r="CW163" s="19"/>
      <c r="CX163" s="19"/>
      <c r="CY163" s="19"/>
      <c r="CZ163" s="19"/>
      <c r="DA163" s="19" t="s">
        <v>16</v>
      </c>
      <c r="DB163" s="19" t="s">
        <v>16</v>
      </c>
      <c r="DC163" s="19" t="s">
        <v>2983</v>
      </c>
      <c r="DD163" s="19" t="s">
        <v>2113</v>
      </c>
      <c r="DE163" s="19" t="s">
        <v>2113</v>
      </c>
      <c r="DF163" s="19" t="s">
        <v>2982</v>
      </c>
      <c r="DG163" s="19" t="s">
        <v>2804</v>
      </c>
      <c r="DH163" s="19" t="s">
        <v>2144</v>
      </c>
      <c r="DI163" s="24">
        <v>45524.0</v>
      </c>
      <c r="DJ163" s="19" t="s">
        <v>2325</v>
      </c>
      <c r="DK163" s="19" t="s">
        <v>2271</v>
      </c>
      <c r="DL163" s="19" t="s">
        <v>2326</v>
      </c>
      <c r="DM163" s="19"/>
      <c r="DN163" s="19">
        <v>8.0</v>
      </c>
      <c r="DO163" s="19">
        <v>8.0</v>
      </c>
      <c r="DP163" s="19" t="s">
        <v>5233</v>
      </c>
      <c r="DQ163" s="19" t="s">
        <v>5234</v>
      </c>
      <c r="DR163" s="19" t="s">
        <v>5235</v>
      </c>
      <c r="DS163" s="19" t="s">
        <v>2185</v>
      </c>
      <c r="DT163" s="19" t="s">
        <v>2350</v>
      </c>
      <c r="DU163" s="19"/>
      <c r="DV163" s="19"/>
      <c r="DW163" s="19" t="s">
        <v>2479</v>
      </c>
      <c r="DX163" s="19">
        <v>6.0</v>
      </c>
      <c r="DY163" s="19">
        <v>0.0</v>
      </c>
      <c r="DZ163" s="19">
        <v>0.0</v>
      </c>
      <c r="EA163" s="19">
        <v>0.0</v>
      </c>
      <c r="EB163" s="19">
        <v>0.0</v>
      </c>
      <c r="EC163" s="19">
        <v>20.0</v>
      </c>
      <c r="ED163" s="19" t="s">
        <v>2325</v>
      </c>
      <c r="EE163" s="24">
        <v>45524.0</v>
      </c>
      <c r="EF163" s="19" t="s">
        <v>2325</v>
      </c>
      <c r="EG163" s="19" t="s">
        <v>2271</v>
      </c>
      <c r="EH163" s="19" t="s">
        <v>2326</v>
      </c>
      <c r="EI163" s="22">
        <v>12.50625</v>
      </c>
      <c r="EJ163" s="19">
        <v>45.0</v>
      </c>
      <c r="EK163" s="19"/>
      <c r="EL163" s="19" t="s">
        <v>2282</v>
      </c>
      <c r="EM163" s="19" t="s">
        <v>5222</v>
      </c>
      <c r="EN163" s="19" t="s">
        <v>491</v>
      </c>
      <c r="EO163" s="19" t="s">
        <v>4978</v>
      </c>
      <c r="EP163" s="19" t="s">
        <v>2122</v>
      </c>
      <c r="EQ163" s="19" t="s">
        <v>4985</v>
      </c>
      <c r="ER163" s="19"/>
      <c r="ES163" s="19" t="s">
        <v>491</v>
      </c>
      <c r="ET163" s="19" t="s">
        <v>491</v>
      </c>
      <c r="EU163" s="19" t="s">
        <v>5220</v>
      </c>
      <c r="EV163" s="19">
        <v>10284.0</v>
      </c>
      <c r="EW163" s="19" t="s">
        <v>16</v>
      </c>
      <c r="EX163" s="19">
        <v>2.0</v>
      </c>
      <c r="EY163" s="25" t="s">
        <v>490</v>
      </c>
      <c r="EZ163" s="19" t="s">
        <v>2154</v>
      </c>
      <c r="FA163" s="5" t="s">
        <v>5236</v>
      </c>
      <c r="FB163" s="26" t="s">
        <v>2156</v>
      </c>
      <c r="FC163" s="26"/>
    </row>
    <row r="164">
      <c r="A164" s="19" t="s">
        <v>2112</v>
      </c>
      <c r="B164" s="19" t="s">
        <v>2113</v>
      </c>
      <c r="C164" s="19" t="s">
        <v>2113</v>
      </c>
      <c r="D164" s="19" t="s">
        <v>492</v>
      </c>
      <c r="E164" s="19" t="s">
        <v>5237</v>
      </c>
      <c r="F164" s="19" t="s">
        <v>492</v>
      </c>
      <c r="G164" s="19"/>
      <c r="H164" s="19" t="s">
        <v>492</v>
      </c>
      <c r="I164" s="19" t="s">
        <v>494</v>
      </c>
      <c r="J164" s="19" t="s">
        <v>5238</v>
      </c>
      <c r="K164" s="19" t="s">
        <v>5239</v>
      </c>
      <c r="L164" s="20">
        <v>45418.0</v>
      </c>
      <c r="M164" s="20">
        <v>45428.0</v>
      </c>
      <c r="N164" s="20">
        <v>45428.0</v>
      </c>
      <c r="O164" s="19" t="s">
        <v>493</v>
      </c>
      <c r="P164" s="19">
        <v>0.0</v>
      </c>
      <c r="Q164" s="19">
        <v>23.0</v>
      </c>
      <c r="R164" s="19">
        <v>8569.0</v>
      </c>
      <c r="S164" s="20" t="s">
        <v>5240</v>
      </c>
      <c r="T164" s="20">
        <v>45461.0</v>
      </c>
      <c r="U164" s="19" t="s">
        <v>492</v>
      </c>
      <c r="V164" s="19"/>
      <c r="W164" s="19"/>
      <c r="X164" s="21">
        <v>20.0</v>
      </c>
      <c r="Y164" s="21">
        <v>0.0</v>
      </c>
      <c r="Z164" s="21">
        <v>1.0</v>
      </c>
      <c r="AA164" s="21">
        <v>0.0</v>
      </c>
      <c r="AB164" s="5">
        <v>21.0</v>
      </c>
      <c r="AC164" s="19">
        <v>4.4</v>
      </c>
      <c r="AD164" s="19">
        <v>4.4</v>
      </c>
      <c r="AE164" s="19">
        <v>4.6</v>
      </c>
      <c r="AF164" s="19">
        <v>4.6</v>
      </c>
      <c r="AG164" s="19">
        <v>4.4</v>
      </c>
      <c r="AH164" s="19">
        <v>4.6</v>
      </c>
      <c r="AI164" s="22">
        <v>13.5</v>
      </c>
      <c r="AJ164" s="19">
        <v>15.0</v>
      </c>
      <c r="AK164" s="19">
        <v>15.0</v>
      </c>
      <c r="AL164" s="19">
        <v>15.0</v>
      </c>
      <c r="AM164" s="19">
        <v>45.0</v>
      </c>
      <c r="AN164" s="19">
        <v>58.5</v>
      </c>
      <c r="AO164" s="19">
        <v>79.5</v>
      </c>
      <c r="AP164" s="19">
        <v>344.0</v>
      </c>
      <c r="AQ164" s="23">
        <v>160.0</v>
      </c>
      <c r="AR164" s="23">
        <v>20.0</v>
      </c>
      <c r="AS164" s="22"/>
      <c r="AT164" s="19" t="s">
        <v>2117</v>
      </c>
      <c r="AU164" s="19" t="s">
        <v>5241</v>
      </c>
      <c r="AV164" s="19" t="s">
        <v>5242</v>
      </c>
      <c r="AW164" s="19" t="s">
        <v>4438</v>
      </c>
      <c r="AX164" s="20">
        <v>36892.0</v>
      </c>
      <c r="AY164" s="19" t="s">
        <v>3077</v>
      </c>
      <c r="AZ164" s="19" t="s">
        <v>2122</v>
      </c>
      <c r="BA164" s="19" t="s">
        <v>5243</v>
      </c>
      <c r="BB164" s="19" t="s">
        <v>5244</v>
      </c>
      <c r="BC164" s="19" t="s">
        <v>5245</v>
      </c>
      <c r="BD164" s="19" t="s">
        <v>5246</v>
      </c>
      <c r="BE164" s="19" t="s">
        <v>5247</v>
      </c>
      <c r="BF164" s="19">
        <v>1.1966156823E10</v>
      </c>
      <c r="BG164" s="19" t="s">
        <v>2127</v>
      </c>
      <c r="BH164" s="19" t="s">
        <v>2649</v>
      </c>
      <c r="BI164" s="19"/>
      <c r="BJ164" s="19" t="s">
        <v>2427</v>
      </c>
      <c r="BK164" s="19" t="s">
        <v>17</v>
      </c>
      <c r="BL164" s="19"/>
      <c r="BM164" s="19" t="s">
        <v>2130</v>
      </c>
      <c r="BN164" s="19" t="s">
        <v>17</v>
      </c>
      <c r="BO164" s="19" t="s">
        <v>3082</v>
      </c>
      <c r="BP164" s="19"/>
      <c r="BQ164" s="19" t="s">
        <v>2174</v>
      </c>
      <c r="BR164" s="19" t="s">
        <v>2174</v>
      </c>
      <c r="BS164" s="19" t="s">
        <v>3521</v>
      </c>
      <c r="BT164" s="19" t="s">
        <v>21</v>
      </c>
      <c r="BU164" s="19" t="s">
        <v>5248</v>
      </c>
      <c r="BV164" s="19" t="s">
        <v>5249</v>
      </c>
      <c r="BW164" s="19" t="s">
        <v>2113</v>
      </c>
      <c r="BX164" s="19"/>
      <c r="BY164" s="19"/>
      <c r="BZ164" s="19"/>
      <c r="CA164" s="19"/>
      <c r="CB164" s="19" t="s">
        <v>2113</v>
      </c>
      <c r="CC164" s="19"/>
      <c r="CD164" s="19" t="s">
        <v>2137</v>
      </c>
      <c r="CE164" s="19" t="s">
        <v>16</v>
      </c>
      <c r="CF164" s="19"/>
      <c r="CG164" s="19"/>
      <c r="CH164" s="19" t="s">
        <v>16</v>
      </c>
      <c r="CI164" s="21">
        <v>0.0</v>
      </c>
      <c r="CJ164" s="19" t="s">
        <v>17</v>
      </c>
      <c r="CK164" s="19"/>
      <c r="CL164" s="19"/>
      <c r="CM164" s="19" t="s">
        <v>2138</v>
      </c>
      <c r="CN164" s="19" t="s">
        <v>3085</v>
      </c>
      <c r="CO164" s="19"/>
      <c r="CP164" s="19" t="s">
        <v>2140</v>
      </c>
      <c r="CQ164" s="19"/>
      <c r="CR164" s="19" t="s">
        <v>2113</v>
      </c>
      <c r="CS164" s="19" t="s">
        <v>2113</v>
      </c>
      <c r="CT164" s="19" t="s">
        <v>2113</v>
      </c>
      <c r="CU164" s="19" t="s">
        <v>2113</v>
      </c>
      <c r="CV164" s="19" t="s">
        <v>2141</v>
      </c>
      <c r="CW164" s="19" t="s">
        <v>2113</v>
      </c>
      <c r="CX164" s="19" t="s">
        <v>2113</v>
      </c>
      <c r="CY164" s="19" t="s">
        <v>2113</v>
      </c>
      <c r="CZ164" s="19" t="s">
        <v>2113</v>
      </c>
      <c r="DA164" s="19" t="s">
        <v>16</v>
      </c>
      <c r="DB164" s="19" t="s">
        <v>17</v>
      </c>
      <c r="DC164" s="19" t="s">
        <v>2180</v>
      </c>
      <c r="DD164" s="19" t="s">
        <v>2113</v>
      </c>
      <c r="DE164" s="19" t="s">
        <v>2113</v>
      </c>
      <c r="DF164" s="19" t="s">
        <v>2539</v>
      </c>
      <c r="DG164" s="19" t="s">
        <v>2182</v>
      </c>
      <c r="DH164" s="19" t="s">
        <v>2144</v>
      </c>
      <c r="DI164" s="24">
        <v>45519.0</v>
      </c>
      <c r="DJ164" s="19" t="s">
        <v>2174</v>
      </c>
      <c r="DK164" s="19" t="s">
        <v>2271</v>
      </c>
      <c r="DL164" s="19" t="s">
        <v>2183</v>
      </c>
      <c r="DM164" s="19" t="s">
        <v>2272</v>
      </c>
      <c r="DN164" s="19">
        <v>6.0</v>
      </c>
      <c r="DO164" s="19">
        <v>6.0</v>
      </c>
      <c r="DP164" s="19" t="s">
        <v>5250</v>
      </c>
      <c r="DQ164" s="19" t="s">
        <v>5251</v>
      </c>
      <c r="DR164" s="19" t="s">
        <v>5252</v>
      </c>
      <c r="DS164" s="19" t="s">
        <v>2151</v>
      </c>
      <c r="DT164" s="19" t="s">
        <v>2301</v>
      </c>
      <c r="DU164" s="19"/>
      <c r="DV164" s="19"/>
      <c r="DW164" s="19" t="s">
        <v>2153</v>
      </c>
      <c r="DX164" s="19">
        <v>14.0</v>
      </c>
      <c r="DY164" s="19">
        <v>0.0</v>
      </c>
      <c r="DZ164" s="19">
        <v>0.0</v>
      </c>
      <c r="EA164" s="19">
        <v>0.0</v>
      </c>
      <c r="EB164" s="19">
        <v>0.0</v>
      </c>
      <c r="EC164" s="19">
        <v>20.0</v>
      </c>
      <c r="ED164" s="19" t="s">
        <v>2174</v>
      </c>
      <c r="EE164" s="24">
        <v>45519.0</v>
      </c>
      <c r="EF164" s="19" t="s">
        <v>2174</v>
      </c>
      <c r="EG164" s="19" t="s">
        <v>2271</v>
      </c>
      <c r="EH164" s="19" t="s">
        <v>2183</v>
      </c>
      <c r="EI164" s="22">
        <v>13.5</v>
      </c>
      <c r="EJ164" s="19">
        <v>45.0</v>
      </c>
      <c r="EK164" s="19" t="s">
        <v>2113</v>
      </c>
      <c r="EL164" s="19" t="s">
        <v>2117</v>
      </c>
      <c r="EM164" s="19" t="s">
        <v>5241</v>
      </c>
      <c r="EN164" s="19" t="s">
        <v>494</v>
      </c>
      <c r="EO164" s="19" t="s">
        <v>3077</v>
      </c>
      <c r="EP164" s="19" t="s">
        <v>2122</v>
      </c>
      <c r="EQ164" s="19" t="s">
        <v>3085</v>
      </c>
      <c r="ER164" s="19"/>
      <c r="ES164" s="19" t="s">
        <v>494</v>
      </c>
      <c r="ET164" s="19" t="s">
        <v>494</v>
      </c>
      <c r="EU164" s="19" t="s">
        <v>5239</v>
      </c>
      <c r="EV164" s="19">
        <v>8569.0</v>
      </c>
      <c r="EW164" s="19" t="s">
        <v>16</v>
      </c>
      <c r="EX164" s="19">
        <v>1.0</v>
      </c>
      <c r="EY164" s="25" t="s">
        <v>493</v>
      </c>
      <c r="EZ164" s="19" t="s">
        <v>2154</v>
      </c>
      <c r="FA164" s="5" t="s">
        <v>5253</v>
      </c>
      <c r="FB164" s="26" t="s">
        <v>2156</v>
      </c>
      <c r="FC164" s="26"/>
    </row>
    <row r="165">
      <c r="A165" s="19" t="s">
        <v>2112</v>
      </c>
      <c r="B165" s="19" t="s">
        <v>2113</v>
      </c>
      <c r="C165" s="19" t="s">
        <v>2113</v>
      </c>
      <c r="D165" s="19" t="s">
        <v>495</v>
      </c>
      <c r="E165" s="19" t="s">
        <v>5254</v>
      </c>
      <c r="F165" s="19" t="s">
        <v>5255</v>
      </c>
      <c r="G165" s="19" t="s">
        <v>5256</v>
      </c>
      <c r="H165" s="19" t="s">
        <v>495</v>
      </c>
      <c r="I165" s="19" t="s">
        <v>497</v>
      </c>
      <c r="J165" s="19" t="s">
        <v>5257</v>
      </c>
      <c r="K165" s="19" t="s">
        <v>5258</v>
      </c>
      <c r="L165" s="20">
        <v>45446.0</v>
      </c>
      <c r="M165" s="20">
        <v>45447.0</v>
      </c>
      <c r="N165" s="20">
        <v>45447.0</v>
      </c>
      <c r="O165" s="19" t="s">
        <v>496</v>
      </c>
      <c r="P165" s="19">
        <v>0.0</v>
      </c>
      <c r="Q165" s="19">
        <v>27.0</v>
      </c>
      <c r="R165" s="19">
        <v>9885.0</v>
      </c>
      <c r="S165" s="20" t="s">
        <v>5259</v>
      </c>
      <c r="T165" s="20">
        <v>45461.0</v>
      </c>
      <c r="U165" s="19" t="s">
        <v>5255</v>
      </c>
      <c r="V165" s="19"/>
      <c r="W165" s="19"/>
      <c r="X165" s="21">
        <v>20.0</v>
      </c>
      <c r="Y165" s="21">
        <v>0.0</v>
      </c>
      <c r="Z165" s="21">
        <v>2.0</v>
      </c>
      <c r="AA165" s="21">
        <v>0.0</v>
      </c>
      <c r="AB165" s="5">
        <v>22.0</v>
      </c>
      <c r="AC165" s="19">
        <v>3.0</v>
      </c>
      <c r="AD165" s="19">
        <v>5.0</v>
      </c>
      <c r="AE165" s="19">
        <v>4.0</v>
      </c>
      <c r="AF165" s="19">
        <v>4.0</v>
      </c>
      <c r="AG165" s="19">
        <v>3.0</v>
      </c>
      <c r="AH165" s="19">
        <v>5.0</v>
      </c>
      <c r="AI165" s="22">
        <v>12.1875</v>
      </c>
      <c r="AJ165" s="19">
        <v>15.0</v>
      </c>
      <c r="AK165" s="19">
        <v>15.0</v>
      </c>
      <c r="AL165" s="19">
        <v>15.0</v>
      </c>
      <c r="AM165" s="19">
        <v>45.0</v>
      </c>
      <c r="AN165" s="19">
        <v>57.2</v>
      </c>
      <c r="AO165" s="19">
        <v>79.2</v>
      </c>
      <c r="AP165" s="19">
        <v>332.0</v>
      </c>
      <c r="AQ165" s="23">
        <v>161.0</v>
      </c>
      <c r="AR165" s="23">
        <v>8.0</v>
      </c>
      <c r="AS165" s="22"/>
      <c r="AT165" s="19" t="s">
        <v>2282</v>
      </c>
      <c r="AU165" s="19" t="s">
        <v>4456</v>
      </c>
      <c r="AV165" s="19" t="s">
        <v>5260</v>
      </c>
      <c r="AW165" s="19" t="s">
        <v>5261</v>
      </c>
      <c r="AX165" s="20">
        <v>35576.0</v>
      </c>
      <c r="AY165" s="19" t="s">
        <v>4458</v>
      </c>
      <c r="AZ165" s="19" t="s">
        <v>2122</v>
      </c>
      <c r="BA165" s="19" t="s">
        <v>5262</v>
      </c>
      <c r="BB165" s="19" t="s">
        <v>5263</v>
      </c>
      <c r="BC165" s="19" t="s">
        <v>5264</v>
      </c>
      <c r="BD165" s="19" t="s">
        <v>5265</v>
      </c>
      <c r="BE165" s="19" t="s">
        <v>5266</v>
      </c>
      <c r="BF165" s="19">
        <v>1.1956286057E10</v>
      </c>
      <c r="BG165" s="19" t="s">
        <v>2127</v>
      </c>
      <c r="BH165" s="19" t="s">
        <v>2128</v>
      </c>
      <c r="BI165" s="19"/>
      <c r="BJ165" s="19"/>
      <c r="BK165" s="19" t="s">
        <v>16</v>
      </c>
      <c r="BL165" s="19" t="s">
        <v>2113</v>
      </c>
      <c r="BM165" s="19" t="s">
        <v>2130</v>
      </c>
      <c r="BN165" s="19" t="s">
        <v>17</v>
      </c>
      <c r="BO165" s="19" t="s">
        <v>3199</v>
      </c>
      <c r="BP165" s="19" t="s">
        <v>5267</v>
      </c>
      <c r="BQ165" s="19" t="s">
        <v>2133</v>
      </c>
      <c r="BR165" s="19" t="s">
        <v>2133</v>
      </c>
      <c r="BS165" s="19" t="s">
        <v>3521</v>
      </c>
      <c r="BT165" s="19" t="s">
        <v>222</v>
      </c>
      <c r="BU165" s="19" t="s">
        <v>5268</v>
      </c>
      <c r="BV165" s="19" t="s">
        <v>5269</v>
      </c>
      <c r="BW165" s="19"/>
      <c r="BX165" s="19"/>
      <c r="BY165" s="19"/>
      <c r="BZ165" s="19" t="s">
        <v>2113</v>
      </c>
      <c r="CA165" s="19"/>
      <c r="CB165" s="19" t="s">
        <v>2113</v>
      </c>
      <c r="CC165" s="19" t="s">
        <v>2113</v>
      </c>
      <c r="CD165" s="19" t="s">
        <v>2137</v>
      </c>
      <c r="CE165" s="19" t="s">
        <v>16</v>
      </c>
      <c r="CF165" s="19"/>
      <c r="CG165" s="19"/>
      <c r="CH165" s="19" t="s">
        <v>16</v>
      </c>
      <c r="CI165" s="21">
        <v>0.0</v>
      </c>
      <c r="CJ165" s="19" t="s">
        <v>16</v>
      </c>
      <c r="CK165" s="19"/>
      <c r="CL165" s="19"/>
      <c r="CM165" s="19" t="s">
        <v>2138</v>
      </c>
      <c r="CN165" s="19" t="s">
        <v>4465</v>
      </c>
      <c r="CO165" s="19"/>
      <c r="CP165" s="19"/>
      <c r="CQ165" s="19"/>
      <c r="CR165" s="19"/>
      <c r="CS165" s="19"/>
      <c r="CT165" s="19"/>
      <c r="CU165" s="19"/>
      <c r="CV165" s="19" t="s">
        <v>2141</v>
      </c>
      <c r="CW165" s="19" t="s">
        <v>2113</v>
      </c>
      <c r="CX165" s="19" t="s">
        <v>2113</v>
      </c>
      <c r="CY165" s="19" t="s">
        <v>2113</v>
      </c>
      <c r="CZ165" s="19" t="s">
        <v>2113</v>
      </c>
      <c r="DA165" s="19" t="s">
        <v>16</v>
      </c>
      <c r="DB165" s="19" t="s">
        <v>16</v>
      </c>
      <c r="DC165" s="19" t="s">
        <v>2146</v>
      </c>
      <c r="DD165" s="19" t="s">
        <v>2113</v>
      </c>
      <c r="DE165" s="19" t="s">
        <v>2113</v>
      </c>
      <c r="DF165" s="19" t="s">
        <v>2671</v>
      </c>
      <c r="DG165" s="19" t="s">
        <v>5270</v>
      </c>
      <c r="DH165" s="19" t="s">
        <v>2144</v>
      </c>
      <c r="DI165" s="24">
        <v>45533.0</v>
      </c>
      <c r="DJ165" s="19" t="s">
        <v>2133</v>
      </c>
      <c r="DK165" s="19" t="s">
        <v>2145</v>
      </c>
      <c r="DL165" s="19" t="s">
        <v>2146</v>
      </c>
      <c r="DM165" s="19" t="s">
        <v>2147</v>
      </c>
      <c r="DN165" s="19">
        <v>17.0</v>
      </c>
      <c r="DO165" s="19">
        <v>17.0</v>
      </c>
      <c r="DP165" s="19" t="s">
        <v>5271</v>
      </c>
      <c r="DQ165" s="19" t="s">
        <v>5272</v>
      </c>
      <c r="DR165" s="19" t="s">
        <v>5273</v>
      </c>
      <c r="DS165" s="19" t="s">
        <v>2151</v>
      </c>
      <c r="DT165" s="19" t="s">
        <v>2350</v>
      </c>
      <c r="DU165" s="19"/>
      <c r="DV165" s="19"/>
      <c r="DW165" s="19" t="s">
        <v>2153</v>
      </c>
      <c r="DX165" s="19">
        <v>12.0</v>
      </c>
      <c r="DY165" s="19">
        <v>0.0</v>
      </c>
      <c r="DZ165" s="19">
        <v>0.0</v>
      </c>
      <c r="EA165" s="19">
        <v>0.0</v>
      </c>
      <c r="EB165" s="19">
        <v>0.0</v>
      </c>
      <c r="EC165" s="19">
        <v>20.0</v>
      </c>
      <c r="ED165" s="19" t="s">
        <v>2133</v>
      </c>
      <c r="EE165" s="24">
        <v>45533.0</v>
      </c>
      <c r="EF165" s="19" t="s">
        <v>2133</v>
      </c>
      <c r="EG165" s="19" t="s">
        <v>2145</v>
      </c>
      <c r="EH165" s="19" t="s">
        <v>2146</v>
      </c>
      <c r="EI165" s="22">
        <v>12.1875</v>
      </c>
      <c r="EJ165" s="19">
        <v>45.0</v>
      </c>
      <c r="EK165" s="19"/>
      <c r="EL165" s="19" t="s">
        <v>2282</v>
      </c>
      <c r="EM165" s="19" t="s">
        <v>4456</v>
      </c>
      <c r="EN165" s="19" t="s">
        <v>497</v>
      </c>
      <c r="EO165" s="19" t="s">
        <v>4458</v>
      </c>
      <c r="EP165" s="19" t="s">
        <v>2122</v>
      </c>
      <c r="EQ165" s="19" t="s">
        <v>4465</v>
      </c>
      <c r="ER165" s="19"/>
      <c r="ES165" s="19" t="s">
        <v>497</v>
      </c>
      <c r="ET165" s="19" t="s">
        <v>497</v>
      </c>
      <c r="EU165" s="19" t="s">
        <v>5258</v>
      </c>
      <c r="EV165" s="19">
        <v>9885.0</v>
      </c>
      <c r="EW165" s="19" t="s">
        <v>16</v>
      </c>
      <c r="EX165" s="19">
        <v>2.0</v>
      </c>
      <c r="EY165" s="25" t="s">
        <v>496</v>
      </c>
      <c r="EZ165" s="19" t="s">
        <v>2154</v>
      </c>
      <c r="FA165" s="5" t="s">
        <v>5274</v>
      </c>
      <c r="FB165" s="26" t="s">
        <v>2156</v>
      </c>
      <c r="FC165" s="26"/>
    </row>
    <row r="166">
      <c r="A166" s="19" t="s">
        <v>2112</v>
      </c>
      <c r="B166" s="19" t="s">
        <v>2113</v>
      </c>
      <c r="C166" s="19" t="s">
        <v>2113</v>
      </c>
      <c r="D166" s="19" t="s">
        <v>5275</v>
      </c>
      <c r="E166" s="19" t="s">
        <v>5276</v>
      </c>
      <c r="F166" s="19" t="s">
        <v>5275</v>
      </c>
      <c r="G166" s="19" t="s">
        <v>5277</v>
      </c>
      <c r="H166" s="19" t="s">
        <v>498</v>
      </c>
      <c r="I166" s="19" t="s">
        <v>500</v>
      </c>
      <c r="J166" s="19" t="s">
        <v>5278</v>
      </c>
      <c r="K166" s="19" t="s">
        <v>5279</v>
      </c>
      <c r="L166" s="20">
        <v>45447.0</v>
      </c>
      <c r="M166" s="20">
        <v>45448.0</v>
      </c>
      <c r="N166" s="20">
        <v>45448.0</v>
      </c>
      <c r="O166" s="19" t="s">
        <v>499</v>
      </c>
      <c r="P166" s="19">
        <v>0.0</v>
      </c>
      <c r="Q166" s="19">
        <v>23.0</v>
      </c>
      <c r="R166" s="19">
        <v>8607.0</v>
      </c>
      <c r="S166" s="20" t="s">
        <v>5280</v>
      </c>
      <c r="T166" s="20">
        <v>45461.0</v>
      </c>
      <c r="U166" s="19" t="s">
        <v>498</v>
      </c>
      <c r="V166" s="19"/>
      <c r="W166" s="19"/>
      <c r="X166" s="21">
        <v>20.0</v>
      </c>
      <c r="Y166" s="21">
        <v>0.0</v>
      </c>
      <c r="Z166" s="21">
        <v>3.0</v>
      </c>
      <c r="AA166" s="21">
        <v>0.0</v>
      </c>
      <c r="AB166" s="5">
        <v>23.0</v>
      </c>
      <c r="AC166" s="19">
        <v>5.0</v>
      </c>
      <c r="AD166" s="19">
        <v>4.5</v>
      </c>
      <c r="AE166" s="19">
        <v>4.5</v>
      </c>
      <c r="AF166" s="19">
        <v>5.0</v>
      </c>
      <c r="AG166" s="19">
        <v>5.0</v>
      </c>
      <c r="AH166" s="19">
        <v>4.5</v>
      </c>
      <c r="AI166" s="22">
        <v>14.109375</v>
      </c>
      <c r="AJ166" s="19">
        <v>13.0</v>
      </c>
      <c r="AK166" s="19">
        <v>15.0</v>
      </c>
      <c r="AL166" s="19">
        <v>14.0</v>
      </c>
      <c r="AM166" s="19">
        <v>42.0</v>
      </c>
      <c r="AN166" s="19">
        <v>56.1</v>
      </c>
      <c r="AO166" s="19">
        <v>79.1</v>
      </c>
      <c r="AP166" s="19">
        <v>315.0</v>
      </c>
      <c r="AQ166" s="23">
        <v>162.0</v>
      </c>
      <c r="AR166" s="23">
        <v>12.0</v>
      </c>
      <c r="AS166" s="22"/>
      <c r="AT166" s="19" t="s">
        <v>5281</v>
      </c>
      <c r="AU166" s="19" t="s">
        <v>4072</v>
      </c>
      <c r="AV166" s="19" t="s">
        <v>4073</v>
      </c>
      <c r="AW166" s="19" t="s">
        <v>5154</v>
      </c>
      <c r="AX166" s="20">
        <v>36854.0</v>
      </c>
      <c r="AY166" s="19" t="s">
        <v>3826</v>
      </c>
      <c r="AZ166" s="19" t="s">
        <v>2445</v>
      </c>
      <c r="BA166" s="19" t="s">
        <v>4075</v>
      </c>
      <c r="BB166" s="19" t="s">
        <v>4076</v>
      </c>
      <c r="BC166" s="19" t="s">
        <v>5282</v>
      </c>
      <c r="BD166" s="19" t="s">
        <v>5283</v>
      </c>
      <c r="BE166" s="19" t="s">
        <v>5278</v>
      </c>
      <c r="BF166" s="19">
        <v>1.1983523193E10</v>
      </c>
      <c r="BG166" s="19" t="s">
        <v>4038</v>
      </c>
      <c r="BH166" s="19" t="s">
        <v>2128</v>
      </c>
      <c r="BI166" s="19"/>
      <c r="BJ166" s="19" t="s">
        <v>2128</v>
      </c>
      <c r="BK166" s="19" t="s">
        <v>17</v>
      </c>
      <c r="BL166" s="19"/>
      <c r="BM166" s="19" t="s">
        <v>2130</v>
      </c>
      <c r="BN166" s="19" t="s">
        <v>17</v>
      </c>
      <c r="BO166" s="19" t="s">
        <v>2473</v>
      </c>
      <c r="BP166" s="19"/>
      <c r="BQ166" s="19" t="s">
        <v>3832</v>
      </c>
      <c r="BR166" s="19" t="s">
        <v>3832</v>
      </c>
      <c r="BS166" s="19" t="s">
        <v>2134</v>
      </c>
      <c r="BT166" s="19" t="s">
        <v>268</v>
      </c>
      <c r="BU166" s="19" t="s">
        <v>5284</v>
      </c>
      <c r="BV166" s="19" t="s">
        <v>5285</v>
      </c>
      <c r="BW166" s="19" t="s">
        <v>2113</v>
      </c>
      <c r="BX166" s="19"/>
      <c r="BY166" s="19"/>
      <c r="BZ166" s="19"/>
      <c r="CA166" s="19"/>
      <c r="CB166" s="19" t="s">
        <v>2113</v>
      </c>
      <c r="CC166" s="19"/>
      <c r="CD166" s="19" t="s">
        <v>2137</v>
      </c>
      <c r="CE166" s="19" t="s">
        <v>16</v>
      </c>
      <c r="CF166" s="19"/>
      <c r="CG166" s="19"/>
      <c r="CH166" s="19" t="s">
        <v>16</v>
      </c>
      <c r="CI166" s="21">
        <v>0.0</v>
      </c>
      <c r="CJ166" s="19" t="s">
        <v>16</v>
      </c>
      <c r="CK166" s="19"/>
      <c r="CL166" s="19"/>
      <c r="CM166" s="19" t="s">
        <v>2926</v>
      </c>
      <c r="CN166" s="19" t="s">
        <v>3835</v>
      </c>
      <c r="CO166" s="19"/>
      <c r="CP166" s="19" t="s">
        <v>2246</v>
      </c>
      <c r="CQ166" s="19"/>
      <c r="CR166" s="19" t="s">
        <v>2113</v>
      </c>
      <c r="CS166" s="19" t="s">
        <v>2113</v>
      </c>
      <c r="CT166" s="19"/>
      <c r="CU166" s="19"/>
      <c r="CV166" s="19" t="s">
        <v>2179</v>
      </c>
      <c r="CW166" s="19" t="s">
        <v>2113</v>
      </c>
      <c r="CX166" s="19" t="s">
        <v>2113</v>
      </c>
      <c r="CY166" s="19" t="s">
        <v>2113</v>
      </c>
      <c r="CZ166" s="19" t="s">
        <v>2113</v>
      </c>
      <c r="DA166" s="19" t="s">
        <v>16</v>
      </c>
      <c r="DB166" s="19" t="s">
        <v>16</v>
      </c>
      <c r="DC166" s="19" t="s">
        <v>3836</v>
      </c>
      <c r="DD166" s="19" t="s">
        <v>2113</v>
      </c>
      <c r="DE166" s="19" t="s">
        <v>2113</v>
      </c>
      <c r="DF166" s="19" t="s">
        <v>3990</v>
      </c>
      <c r="DG166" s="19" t="s">
        <v>3991</v>
      </c>
      <c r="DH166" s="19" t="s">
        <v>2144</v>
      </c>
      <c r="DI166" s="24">
        <v>45519.0</v>
      </c>
      <c r="DJ166" s="19" t="s">
        <v>3257</v>
      </c>
      <c r="DK166" s="19" t="s">
        <v>2271</v>
      </c>
      <c r="DL166" s="19" t="s">
        <v>2207</v>
      </c>
      <c r="DM166" s="22" t="s">
        <v>5286</v>
      </c>
      <c r="DN166" s="19">
        <v>3.0</v>
      </c>
      <c r="DO166" s="19">
        <v>3.0</v>
      </c>
      <c r="DP166" s="19"/>
      <c r="DQ166" s="19"/>
      <c r="DR166" s="19"/>
      <c r="DS166" s="19" t="s">
        <v>2185</v>
      </c>
      <c r="DT166" s="19" t="s">
        <v>2350</v>
      </c>
      <c r="DU166" s="19" t="s">
        <v>5287</v>
      </c>
      <c r="DV166" s="19"/>
      <c r="DW166" s="19" t="s">
        <v>2153</v>
      </c>
      <c r="DX166" s="19">
        <v>2.0</v>
      </c>
      <c r="DY166" s="19">
        <v>0.0</v>
      </c>
      <c r="DZ166" s="19">
        <v>0.0</v>
      </c>
      <c r="EA166" s="19">
        <v>0.0</v>
      </c>
      <c r="EB166" s="19">
        <v>0.0</v>
      </c>
      <c r="EC166" s="19">
        <v>20.0</v>
      </c>
      <c r="ED166" s="19" t="s">
        <v>3257</v>
      </c>
      <c r="EE166" s="24">
        <v>45519.0</v>
      </c>
      <c r="EF166" s="19" t="s">
        <v>3257</v>
      </c>
      <c r="EG166" s="19" t="s">
        <v>2271</v>
      </c>
      <c r="EH166" s="19" t="s">
        <v>2207</v>
      </c>
      <c r="EI166" s="22">
        <v>14.109375</v>
      </c>
      <c r="EJ166" s="19">
        <v>42.0</v>
      </c>
      <c r="EK166" s="19"/>
      <c r="EL166" s="19" t="s">
        <v>5281</v>
      </c>
      <c r="EM166" s="19" t="s">
        <v>4072</v>
      </c>
      <c r="EN166" s="19" t="s">
        <v>500</v>
      </c>
      <c r="EO166" s="19" t="s">
        <v>3826</v>
      </c>
      <c r="EP166" s="19" t="s">
        <v>2445</v>
      </c>
      <c r="EQ166" s="19" t="s">
        <v>3835</v>
      </c>
      <c r="ER166" s="19"/>
      <c r="ES166" s="19" t="s">
        <v>500</v>
      </c>
      <c r="ET166" s="19" t="s">
        <v>500</v>
      </c>
      <c r="EU166" s="19" t="s">
        <v>5279</v>
      </c>
      <c r="EV166" s="19">
        <v>8607.0</v>
      </c>
      <c r="EW166" s="19" t="s">
        <v>16</v>
      </c>
      <c r="EX166" s="19">
        <v>3.0</v>
      </c>
      <c r="EY166" s="25" t="s">
        <v>499</v>
      </c>
      <c r="EZ166" s="19" t="s">
        <v>2154</v>
      </c>
      <c r="FA166" s="5" t="s">
        <v>5288</v>
      </c>
      <c r="FB166" s="26" t="s">
        <v>2156</v>
      </c>
      <c r="FC166" s="26"/>
    </row>
    <row r="167">
      <c r="A167" s="19" t="s">
        <v>2112</v>
      </c>
      <c r="B167" s="19" t="s">
        <v>2113</v>
      </c>
      <c r="C167" s="19" t="s">
        <v>2113</v>
      </c>
      <c r="D167" s="19" t="s">
        <v>501</v>
      </c>
      <c r="E167" s="19" t="s">
        <v>5289</v>
      </c>
      <c r="F167" s="19" t="s">
        <v>501</v>
      </c>
      <c r="G167" s="19"/>
      <c r="H167" s="19" t="s">
        <v>501</v>
      </c>
      <c r="I167" s="19" t="s">
        <v>503</v>
      </c>
      <c r="J167" s="19" t="s">
        <v>5290</v>
      </c>
      <c r="K167" s="19" t="s">
        <v>5291</v>
      </c>
      <c r="L167" s="20">
        <v>45436.0</v>
      </c>
      <c r="M167" s="20">
        <v>45439.0</v>
      </c>
      <c r="N167" s="20">
        <v>45439.0</v>
      </c>
      <c r="O167" s="19" t="s">
        <v>502</v>
      </c>
      <c r="P167" s="19">
        <v>1.0</v>
      </c>
      <c r="Q167" s="19">
        <v>20.0</v>
      </c>
      <c r="R167" s="19">
        <v>7438.0</v>
      </c>
      <c r="S167" s="20" t="s">
        <v>5292</v>
      </c>
      <c r="T167" s="20">
        <v>45461.0</v>
      </c>
      <c r="U167" s="19" t="s">
        <v>501</v>
      </c>
      <c r="V167" s="19"/>
      <c r="W167" s="19"/>
      <c r="X167" s="21">
        <v>20.0</v>
      </c>
      <c r="Y167" s="21">
        <v>0.0</v>
      </c>
      <c r="Z167" s="21">
        <v>4.0</v>
      </c>
      <c r="AA167" s="21">
        <v>0.0</v>
      </c>
      <c r="AB167" s="5">
        <v>24.0</v>
      </c>
      <c r="AC167" s="19">
        <v>3.6</v>
      </c>
      <c r="AD167" s="19">
        <v>4.1</v>
      </c>
      <c r="AE167" s="19">
        <v>4.1</v>
      </c>
      <c r="AF167" s="19">
        <v>3.6</v>
      </c>
      <c r="AG167" s="19">
        <v>3.8</v>
      </c>
      <c r="AH167" s="19">
        <v>4.1</v>
      </c>
      <c r="AI167" s="22">
        <v>11.765625</v>
      </c>
      <c r="AJ167" s="19">
        <v>13.0</v>
      </c>
      <c r="AK167" s="19">
        <v>15.0</v>
      </c>
      <c r="AL167" s="19">
        <v>15.0</v>
      </c>
      <c r="AM167" s="19">
        <v>43.0</v>
      </c>
      <c r="AN167" s="19">
        <v>54.8</v>
      </c>
      <c r="AO167" s="19">
        <v>78.8</v>
      </c>
      <c r="AP167" s="19">
        <v>291.0</v>
      </c>
      <c r="AQ167" s="23">
        <v>163.0</v>
      </c>
      <c r="AR167" s="23">
        <v>16.0</v>
      </c>
      <c r="AS167" s="22"/>
      <c r="AT167" s="19" t="s">
        <v>2163</v>
      </c>
      <c r="AU167" s="19" t="s">
        <v>5293</v>
      </c>
      <c r="AV167" s="19" t="s">
        <v>5294</v>
      </c>
      <c r="AW167" s="19" t="s">
        <v>5295</v>
      </c>
      <c r="AX167" s="20">
        <v>38023.0</v>
      </c>
      <c r="AY167" s="19" t="s">
        <v>3232</v>
      </c>
      <c r="AZ167" s="19" t="s">
        <v>2122</v>
      </c>
      <c r="BA167" s="19" t="s">
        <v>5296</v>
      </c>
      <c r="BB167" s="19" t="s">
        <v>5297</v>
      </c>
      <c r="BC167" s="19" t="s">
        <v>5298</v>
      </c>
      <c r="BD167" s="19" t="s">
        <v>5299</v>
      </c>
      <c r="BE167" s="19" t="s">
        <v>5300</v>
      </c>
      <c r="BF167" s="19">
        <v>1.1939312007E10</v>
      </c>
      <c r="BG167" s="19" t="s">
        <v>4038</v>
      </c>
      <c r="BH167" s="19" t="s">
        <v>2128</v>
      </c>
      <c r="BI167" s="19"/>
      <c r="BJ167" s="19" t="s">
        <v>2128</v>
      </c>
      <c r="BK167" s="19" t="s">
        <v>17</v>
      </c>
      <c r="BL167" s="19" t="s">
        <v>2113</v>
      </c>
      <c r="BM167" s="19" t="s">
        <v>2130</v>
      </c>
      <c r="BN167" s="19" t="s">
        <v>3888</v>
      </c>
      <c r="BO167" s="19" t="s">
        <v>2317</v>
      </c>
      <c r="BP167" s="19" t="s">
        <v>5301</v>
      </c>
      <c r="BQ167" s="19" t="s">
        <v>2325</v>
      </c>
      <c r="BR167" s="19" t="s">
        <v>2325</v>
      </c>
      <c r="BS167" s="19" t="s">
        <v>2134</v>
      </c>
      <c r="BT167" s="19" t="s">
        <v>118</v>
      </c>
      <c r="BU167" s="19" t="s">
        <v>5302</v>
      </c>
      <c r="BV167" s="19" t="s">
        <v>5303</v>
      </c>
      <c r="BW167" s="19"/>
      <c r="BX167" s="19"/>
      <c r="BY167" s="19"/>
      <c r="BZ167" s="19"/>
      <c r="CA167" s="19" t="s">
        <v>2113</v>
      </c>
      <c r="CB167" s="19" t="s">
        <v>2113</v>
      </c>
      <c r="CC167" s="19"/>
      <c r="CD167" s="19" t="s">
        <v>2137</v>
      </c>
      <c r="CE167" s="19" t="s">
        <v>16</v>
      </c>
      <c r="CF167" s="19"/>
      <c r="CG167" s="19"/>
      <c r="CH167" s="19" t="s">
        <v>16</v>
      </c>
      <c r="CI167" s="21">
        <v>0.0</v>
      </c>
      <c r="CJ167" s="19" t="s">
        <v>17</v>
      </c>
      <c r="CK167" s="19"/>
      <c r="CL167" s="19"/>
      <c r="CM167" s="19" t="s">
        <v>2138</v>
      </c>
      <c r="CN167" s="19" t="s">
        <v>2868</v>
      </c>
      <c r="CO167" s="19"/>
      <c r="CP167" s="19" t="s">
        <v>2246</v>
      </c>
      <c r="CQ167" s="19"/>
      <c r="CR167" s="19"/>
      <c r="CS167" s="19"/>
      <c r="CT167" s="19"/>
      <c r="CU167" s="19"/>
      <c r="CV167" s="19" t="s">
        <v>2179</v>
      </c>
      <c r="CW167" s="19"/>
      <c r="CX167" s="19"/>
      <c r="CY167" s="19" t="s">
        <v>2113</v>
      </c>
      <c r="CZ167" s="19" t="s">
        <v>2113</v>
      </c>
      <c r="DA167" s="19" t="s">
        <v>16</v>
      </c>
      <c r="DB167" s="19" t="s">
        <v>17</v>
      </c>
      <c r="DC167" s="19" t="s">
        <v>2496</v>
      </c>
      <c r="DD167" s="19" t="s">
        <v>2113</v>
      </c>
      <c r="DE167" s="19" t="s">
        <v>2113</v>
      </c>
      <c r="DF167" s="19" t="s">
        <v>2433</v>
      </c>
      <c r="DG167" s="19" t="s">
        <v>2207</v>
      </c>
      <c r="DH167" s="19" t="s">
        <v>2144</v>
      </c>
      <c r="DI167" s="24">
        <v>45525.0</v>
      </c>
      <c r="DJ167" s="19" t="s">
        <v>2325</v>
      </c>
      <c r="DK167" s="19" t="s">
        <v>2271</v>
      </c>
      <c r="DL167" s="19" t="s">
        <v>2326</v>
      </c>
      <c r="DM167" s="19"/>
      <c r="DN167" s="19">
        <v>10.0</v>
      </c>
      <c r="DO167" s="19">
        <v>10.0</v>
      </c>
      <c r="DP167" s="19"/>
      <c r="DQ167" s="19"/>
      <c r="DR167" s="19"/>
      <c r="DS167" s="19" t="s">
        <v>2365</v>
      </c>
      <c r="DT167" s="19" t="s">
        <v>2301</v>
      </c>
      <c r="DU167" s="19" t="s">
        <v>5304</v>
      </c>
      <c r="DV167" s="19"/>
      <c r="DW167" s="19" t="s">
        <v>2479</v>
      </c>
      <c r="DX167" s="19">
        <v>11.0</v>
      </c>
      <c r="DY167" s="19">
        <v>0.0</v>
      </c>
      <c r="DZ167" s="19">
        <v>0.0</v>
      </c>
      <c r="EA167" s="19">
        <v>0.0</v>
      </c>
      <c r="EB167" s="19">
        <v>0.0</v>
      </c>
      <c r="EC167" s="19">
        <v>20.0</v>
      </c>
      <c r="ED167" s="19" t="s">
        <v>2325</v>
      </c>
      <c r="EE167" s="24">
        <v>45525.0</v>
      </c>
      <c r="EF167" s="19" t="s">
        <v>2325</v>
      </c>
      <c r="EG167" s="19" t="s">
        <v>2271</v>
      </c>
      <c r="EH167" s="19" t="s">
        <v>2326</v>
      </c>
      <c r="EI167" s="22">
        <v>11.765625</v>
      </c>
      <c r="EJ167" s="19">
        <v>43.0</v>
      </c>
      <c r="EK167" s="19" t="s">
        <v>2113</v>
      </c>
      <c r="EL167" s="19" t="s">
        <v>2163</v>
      </c>
      <c r="EM167" s="19" t="s">
        <v>5293</v>
      </c>
      <c r="EN167" s="19" t="s">
        <v>503</v>
      </c>
      <c r="EO167" s="19" t="s">
        <v>3232</v>
      </c>
      <c r="EP167" s="19" t="s">
        <v>2122</v>
      </c>
      <c r="EQ167" s="19" t="s">
        <v>2868</v>
      </c>
      <c r="ER167" s="19"/>
      <c r="ES167" s="19" t="s">
        <v>503</v>
      </c>
      <c r="ET167" s="19" t="s">
        <v>503</v>
      </c>
      <c r="EU167" s="19" t="s">
        <v>5291</v>
      </c>
      <c r="EV167" s="19">
        <v>7438.0</v>
      </c>
      <c r="EW167" s="19" t="s">
        <v>16</v>
      </c>
      <c r="EX167" s="19">
        <v>4.0</v>
      </c>
      <c r="EY167" s="25" t="s">
        <v>502</v>
      </c>
      <c r="EZ167" s="19" t="s">
        <v>2154</v>
      </c>
      <c r="FA167" s="5" t="s">
        <v>5305</v>
      </c>
      <c r="FB167" s="26" t="s">
        <v>2156</v>
      </c>
      <c r="FC167" s="26"/>
    </row>
    <row r="168">
      <c r="A168" s="19" t="s">
        <v>2156</v>
      </c>
      <c r="B168" s="19" t="s">
        <v>2113</v>
      </c>
      <c r="C168" s="19" t="s">
        <v>2113</v>
      </c>
      <c r="D168" s="19" t="s">
        <v>504</v>
      </c>
      <c r="E168" s="19" t="s">
        <v>5306</v>
      </c>
      <c r="F168" s="19" t="s">
        <v>504</v>
      </c>
      <c r="G168" s="19"/>
      <c r="H168" s="19" t="s">
        <v>504</v>
      </c>
      <c r="I168" s="19" t="s">
        <v>506</v>
      </c>
      <c r="J168" s="19" t="s">
        <v>5307</v>
      </c>
      <c r="K168" s="19" t="s">
        <v>5308</v>
      </c>
      <c r="L168" s="20">
        <v>45442.0</v>
      </c>
      <c r="M168" s="20">
        <v>45446.0</v>
      </c>
      <c r="N168" s="20">
        <v>45446.0</v>
      </c>
      <c r="O168" s="19" t="s">
        <v>505</v>
      </c>
      <c r="P168" s="19">
        <v>0.0</v>
      </c>
      <c r="Q168" s="19">
        <v>28.0</v>
      </c>
      <c r="R168" s="19">
        <v>10572.0</v>
      </c>
      <c r="S168" s="20" t="s">
        <v>5309</v>
      </c>
      <c r="T168" s="20">
        <v>45461.0</v>
      </c>
      <c r="U168" s="19" t="s">
        <v>504</v>
      </c>
      <c r="V168" s="19"/>
      <c r="W168" s="19"/>
      <c r="X168" s="21">
        <v>20.0</v>
      </c>
      <c r="Y168" s="21">
        <v>0.0</v>
      </c>
      <c r="Z168" s="21">
        <v>2.0</v>
      </c>
      <c r="AA168" s="21">
        <v>0.0</v>
      </c>
      <c r="AB168" s="5">
        <v>22.0</v>
      </c>
      <c r="AC168" s="19">
        <v>5.0</v>
      </c>
      <c r="AD168" s="19">
        <v>5.0</v>
      </c>
      <c r="AE168" s="19">
        <v>5.0</v>
      </c>
      <c r="AF168" s="19">
        <v>5.0</v>
      </c>
      <c r="AG168" s="19">
        <v>5.0</v>
      </c>
      <c r="AH168" s="19">
        <v>5.0</v>
      </c>
      <c r="AI168" s="22">
        <v>15.0</v>
      </c>
      <c r="AJ168" s="19">
        <v>15.0</v>
      </c>
      <c r="AK168" s="19">
        <v>14.0</v>
      </c>
      <c r="AL168" s="19">
        <v>12.5</v>
      </c>
      <c r="AM168" s="19">
        <v>41.5</v>
      </c>
      <c r="AN168" s="19">
        <v>56.5</v>
      </c>
      <c r="AO168" s="19">
        <v>78.5</v>
      </c>
      <c r="AP168" s="19">
        <v>328.0</v>
      </c>
      <c r="AQ168" s="23">
        <v>164.0</v>
      </c>
      <c r="AR168" s="23">
        <v>16.0</v>
      </c>
      <c r="AS168" s="22"/>
      <c r="AT168" s="19" t="s">
        <v>2282</v>
      </c>
      <c r="AU168" s="19" t="s">
        <v>5310</v>
      </c>
      <c r="AV168" s="19" t="s">
        <v>5311</v>
      </c>
      <c r="AW168" s="19"/>
      <c r="AX168" s="20">
        <v>34889.0</v>
      </c>
      <c r="AY168" s="19" t="s">
        <v>5312</v>
      </c>
      <c r="AZ168" s="19" t="s">
        <v>2122</v>
      </c>
      <c r="BA168" s="19" t="s">
        <v>5313</v>
      </c>
      <c r="BB168" s="19" t="s">
        <v>5314</v>
      </c>
      <c r="BC168" s="19" t="s">
        <v>5315</v>
      </c>
      <c r="BD168" s="19" t="s">
        <v>5316</v>
      </c>
      <c r="BE168" s="19"/>
      <c r="BF168" s="19"/>
      <c r="BG168" s="19" t="s">
        <v>2127</v>
      </c>
      <c r="BH168" s="19" t="s">
        <v>2128</v>
      </c>
      <c r="BI168" s="19"/>
      <c r="BJ168" s="19" t="s">
        <v>2128</v>
      </c>
      <c r="BK168" s="19" t="s">
        <v>17</v>
      </c>
      <c r="BL168" s="19"/>
      <c r="BM168" s="19" t="s">
        <v>2130</v>
      </c>
      <c r="BN168" s="19" t="s">
        <v>3521</v>
      </c>
      <c r="BO168" s="19" t="s">
        <v>3199</v>
      </c>
      <c r="BP168" s="19" t="s">
        <v>5317</v>
      </c>
      <c r="BQ168" s="19" t="s">
        <v>2133</v>
      </c>
      <c r="BR168" s="19" t="s">
        <v>2133</v>
      </c>
      <c r="BS168" s="19" t="s">
        <v>5318</v>
      </c>
      <c r="BT168" s="19" t="s">
        <v>15</v>
      </c>
      <c r="BU168" s="19" t="s">
        <v>4629</v>
      </c>
      <c r="BV168" s="19" t="s">
        <v>5319</v>
      </c>
      <c r="BW168" s="19"/>
      <c r="BX168" s="19" t="s">
        <v>2113</v>
      </c>
      <c r="BY168" s="19"/>
      <c r="BZ168" s="19" t="s">
        <v>2113</v>
      </c>
      <c r="CA168" s="19"/>
      <c r="CB168" s="19" t="s">
        <v>2113</v>
      </c>
      <c r="CC168" s="19" t="s">
        <v>2113</v>
      </c>
      <c r="CD168" s="19" t="s">
        <v>2137</v>
      </c>
      <c r="CE168" s="19" t="s">
        <v>16</v>
      </c>
      <c r="CF168" s="19"/>
      <c r="CG168" s="19"/>
      <c r="CH168" s="19" t="s">
        <v>16</v>
      </c>
      <c r="CI168" s="21">
        <v>0.0</v>
      </c>
      <c r="CJ168" s="19" t="s">
        <v>16</v>
      </c>
      <c r="CK168" s="19"/>
      <c r="CL168" s="19"/>
      <c r="CM168" s="19" t="s">
        <v>2138</v>
      </c>
      <c r="CN168" s="19" t="s">
        <v>5128</v>
      </c>
      <c r="CO168" s="19"/>
      <c r="CP168" s="19" t="s">
        <v>2225</v>
      </c>
      <c r="CQ168" s="19"/>
      <c r="CR168" s="19" t="s">
        <v>2113</v>
      </c>
      <c r="CS168" s="19" t="s">
        <v>2113</v>
      </c>
      <c r="CT168" s="19" t="s">
        <v>2113</v>
      </c>
      <c r="CU168" s="19" t="s">
        <v>2113</v>
      </c>
      <c r="CV168" s="19" t="s">
        <v>2141</v>
      </c>
      <c r="CW168" s="19"/>
      <c r="CX168" s="19"/>
      <c r="CY168" s="19" t="s">
        <v>2113</v>
      </c>
      <c r="CZ168" s="19" t="s">
        <v>2113</v>
      </c>
      <c r="DA168" s="19" t="s">
        <v>16</v>
      </c>
      <c r="DB168" s="19" t="s">
        <v>16</v>
      </c>
      <c r="DC168" s="19" t="s">
        <v>5320</v>
      </c>
      <c r="DD168" s="19" t="s">
        <v>2113</v>
      </c>
      <c r="DE168" s="19" t="s">
        <v>2113</v>
      </c>
      <c r="DF168" s="19" t="s">
        <v>4707</v>
      </c>
      <c r="DG168" s="19" t="s">
        <v>3256</v>
      </c>
      <c r="DH168" s="19" t="s">
        <v>2580</v>
      </c>
      <c r="DI168" s="24">
        <v>45517.0</v>
      </c>
      <c r="DJ168" s="19" t="s">
        <v>2133</v>
      </c>
      <c r="DK168" s="19" t="s">
        <v>2271</v>
      </c>
      <c r="DL168" s="19" t="s">
        <v>2146</v>
      </c>
      <c r="DM168" s="19"/>
      <c r="DN168" s="19">
        <v>2.0</v>
      </c>
      <c r="DO168" s="19">
        <v>2.0</v>
      </c>
      <c r="DP168" s="19" t="s">
        <v>5321</v>
      </c>
      <c r="DQ168" s="19" t="s">
        <v>5322</v>
      </c>
      <c r="DR168" s="19" t="s">
        <v>5323</v>
      </c>
      <c r="DS168" s="19" t="s">
        <v>2365</v>
      </c>
      <c r="DT168" s="19" t="s">
        <v>2366</v>
      </c>
      <c r="DU168" s="19"/>
      <c r="DV168" s="19"/>
      <c r="DW168" s="19" t="s">
        <v>2153</v>
      </c>
      <c r="DX168" s="19">
        <v>7.0</v>
      </c>
      <c r="DY168" s="19">
        <v>0.0</v>
      </c>
      <c r="DZ168" s="19">
        <v>0.0</v>
      </c>
      <c r="EA168" s="19">
        <v>0.0</v>
      </c>
      <c r="EB168" s="19">
        <v>0.0</v>
      </c>
      <c r="EC168" s="19">
        <v>20.0</v>
      </c>
      <c r="ED168" s="19" t="s">
        <v>2133</v>
      </c>
      <c r="EE168" s="24">
        <v>45517.0</v>
      </c>
      <c r="EF168" s="19" t="s">
        <v>2133</v>
      </c>
      <c r="EG168" s="19" t="s">
        <v>2271</v>
      </c>
      <c r="EH168" s="19" t="s">
        <v>2146</v>
      </c>
      <c r="EI168" s="22">
        <v>15.0</v>
      </c>
      <c r="EJ168" s="19">
        <v>41.5</v>
      </c>
      <c r="EK168" s="19"/>
      <c r="EL168" s="19" t="s">
        <v>2282</v>
      </c>
      <c r="EM168" s="19" t="s">
        <v>5310</v>
      </c>
      <c r="EN168" s="19" t="s">
        <v>506</v>
      </c>
      <c r="EO168" s="19" t="s">
        <v>5312</v>
      </c>
      <c r="EP168" s="19" t="s">
        <v>2122</v>
      </c>
      <c r="EQ168" s="19" t="s">
        <v>5128</v>
      </c>
      <c r="ER168" s="19"/>
      <c r="ES168" s="19" t="s">
        <v>506</v>
      </c>
      <c r="ET168" s="19" t="s">
        <v>506</v>
      </c>
      <c r="EU168" s="19" t="s">
        <v>5308</v>
      </c>
      <c r="EV168" s="19">
        <v>10572.0</v>
      </c>
      <c r="EW168" s="19" t="s">
        <v>16</v>
      </c>
      <c r="EX168" s="19">
        <v>2.0</v>
      </c>
      <c r="EY168" s="25" t="s">
        <v>505</v>
      </c>
      <c r="EZ168" s="19" t="s">
        <v>2154</v>
      </c>
      <c r="FA168" s="5" t="s">
        <v>5324</v>
      </c>
      <c r="FB168" s="26" t="s">
        <v>2156</v>
      </c>
      <c r="FC168" s="26"/>
    </row>
    <row r="169">
      <c r="A169" s="19" t="s">
        <v>17</v>
      </c>
      <c r="B169" s="19" t="s">
        <v>2113</v>
      </c>
      <c r="C169" s="19" t="s">
        <v>2113</v>
      </c>
      <c r="D169" s="19" t="s">
        <v>507</v>
      </c>
      <c r="E169" s="19" t="s">
        <v>5325</v>
      </c>
      <c r="F169" s="19" t="s">
        <v>507</v>
      </c>
      <c r="G169" s="19"/>
      <c r="H169" s="19" t="s">
        <v>507</v>
      </c>
      <c r="I169" s="19" t="s">
        <v>509</v>
      </c>
      <c r="J169" s="19" t="s">
        <v>5326</v>
      </c>
      <c r="K169" s="19" t="s">
        <v>5327</v>
      </c>
      <c r="L169" s="20">
        <v>45400.0</v>
      </c>
      <c r="M169" s="20">
        <v>45411.0</v>
      </c>
      <c r="N169" s="20">
        <v>45411.0</v>
      </c>
      <c r="O169" s="19" t="s">
        <v>508</v>
      </c>
      <c r="P169" s="19">
        <v>0.0</v>
      </c>
      <c r="Q169" s="19">
        <v>28.0</v>
      </c>
      <c r="R169" s="19">
        <v>10504.0</v>
      </c>
      <c r="S169" s="20" t="s">
        <v>5328</v>
      </c>
      <c r="T169" s="20">
        <v>45461.0</v>
      </c>
      <c r="U169" s="19" t="s">
        <v>507</v>
      </c>
      <c r="V169" s="19"/>
      <c r="W169" s="19"/>
      <c r="X169" s="21">
        <v>20.0</v>
      </c>
      <c r="Y169" s="21">
        <v>0.0</v>
      </c>
      <c r="Z169" s="21">
        <v>3.0</v>
      </c>
      <c r="AA169" s="21">
        <v>0.0</v>
      </c>
      <c r="AB169" s="5">
        <v>23.0</v>
      </c>
      <c r="AC169" s="19">
        <v>4.5</v>
      </c>
      <c r="AD169" s="19">
        <v>4.0</v>
      </c>
      <c r="AE169" s="19">
        <v>5.0</v>
      </c>
      <c r="AF169" s="19">
        <v>3.5</v>
      </c>
      <c r="AG169" s="19">
        <v>4.5</v>
      </c>
      <c r="AH169" s="19">
        <v>3.5</v>
      </c>
      <c r="AI169" s="22">
        <v>12.796875</v>
      </c>
      <c r="AJ169" s="19">
        <v>15.0</v>
      </c>
      <c r="AK169" s="19">
        <v>14.0</v>
      </c>
      <c r="AL169" s="19">
        <v>13.0</v>
      </c>
      <c r="AM169" s="19">
        <v>42.0</v>
      </c>
      <c r="AN169" s="19">
        <v>54.8</v>
      </c>
      <c r="AO169" s="19">
        <v>77.8</v>
      </c>
      <c r="AP169" s="19">
        <v>302.0</v>
      </c>
      <c r="AQ169" s="23">
        <v>165.0</v>
      </c>
      <c r="AR169" s="23">
        <v>13.0</v>
      </c>
      <c r="AS169" s="22"/>
      <c r="AT169" s="19" t="s">
        <v>2117</v>
      </c>
      <c r="AU169" s="19" t="s">
        <v>4072</v>
      </c>
      <c r="AV169" s="19" t="s">
        <v>5329</v>
      </c>
      <c r="AW169" s="19"/>
      <c r="AX169" s="20">
        <v>34957.0</v>
      </c>
      <c r="AY169" s="19" t="s">
        <v>3826</v>
      </c>
      <c r="AZ169" s="19" t="s">
        <v>2310</v>
      </c>
      <c r="BA169" s="19" t="s">
        <v>5330</v>
      </c>
      <c r="BB169" s="19" t="s">
        <v>5331</v>
      </c>
      <c r="BC169" s="19" t="s">
        <v>5332</v>
      </c>
      <c r="BD169" s="19" t="s">
        <v>5333</v>
      </c>
      <c r="BE169" s="19" t="s">
        <v>5334</v>
      </c>
      <c r="BF169" s="19">
        <v>1.4996115308E10</v>
      </c>
      <c r="BG169" s="19" t="s">
        <v>2127</v>
      </c>
      <c r="BH169" s="19" t="s">
        <v>2128</v>
      </c>
      <c r="BI169" s="19"/>
      <c r="BJ169" s="19"/>
      <c r="BK169" s="19" t="s">
        <v>16</v>
      </c>
      <c r="BL169" s="19"/>
      <c r="BM169" s="19" t="s">
        <v>2130</v>
      </c>
      <c r="BN169" s="19" t="s">
        <v>5335</v>
      </c>
      <c r="BO169" s="19" t="s">
        <v>2473</v>
      </c>
      <c r="BP169" s="19"/>
      <c r="BQ169" s="19" t="s">
        <v>3832</v>
      </c>
      <c r="BR169" s="19" t="s">
        <v>3832</v>
      </c>
      <c r="BS169" s="19" t="s">
        <v>3521</v>
      </c>
      <c r="BT169" s="19" t="s">
        <v>268</v>
      </c>
      <c r="BU169" s="19" t="s">
        <v>5336</v>
      </c>
      <c r="BV169" s="19" t="s">
        <v>5337</v>
      </c>
      <c r="BW169" s="19" t="s">
        <v>2113</v>
      </c>
      <c r="BX169" s="19"/>
      <c r="BY169" s="19"/>
      <c r="BZ169" s="19"/>
      <c r="CA169" s="19"/>
      <c r="CB169" s="19"/>
      <c r="CC169" s="19"/>
      <c r="CD169" s="19" t="s">
        <v>2137</v>
      </c>
      <c r="CE169" s="19" t="s">
        <v>16</v>
      </c>
      <c r="CF169" s="19"/>
      <c r="CG169" s="19"/>
      <c r="CH169" s="19" t="s">
        <v>16</v>
      </c>
      <c r="CI169" s="21">
        <v>0.0</v>
      </c>
      <c r="CJ169" s="19" t="s">
        <v>17</v>
      </c>
      <c r="CK169" s="19"/>
      <c r="CL169" s="19"/>
      <c r="CM169" s="19" t="s">
        <v>2138</v>
      </c>
      <c r="CN169" s="19" t="s">
        <v>3835</v>
      </c>
      <c r="CO169" s="19"/>
      <c r="CP169" s="19" t="s">
        <v>2246</v>
      </c>
      <c r="CQ169" s="19"/>
      <c r="CR169" s="19" t="s">
        <v>2113</v>
      </c>
      <c r="CS169" s="19" t="s">
        <v>2113</v>
      </c>
      <c r="CT169" s="19" t="s">
        <v>2113</v>
      </c>
      <c r="CU169" s="19" t="s">
        <v>2113</v>
      </c>
      <c r="CV169" s="19" t="s">
        <v>2141</v>
      </c>
      <c r="CW169" s="19"/>
      <c r="CX169" s="19"/>
      <c r="CY169" s="19"/>
      <c r="CZ169" s="19"/>
      <c r="DA169" s="19" t="s">
        <v>16</v>
      </c>
      <c r="DB169" s="19" t="s">
        <v>17</v>
      </c>
      <c r="DC169" s="19" t="s">
        <v>3991</v>
      </c>
      <c r="DD169" s="19" t="s">
        <v>2113</v>
      </c>
      <c r="DE169" s="19" t="s">
        <v>2113</v>
      </c>
      <c r="DF169" s="19" t="s">
        <v>2804</v>
      </c>
      <c r="DG169" s="19" t="s">
        <v>2248</v>
      </c>
      <c r="DH169" s="19" t="s">
        <v>2144</v>
      </c>
      <c r="DI169" s="24">
        <v>45519.0</v>
      </c>
      <c r="DJ169" s="19" t="s">
        <v>3257</v>
      </c>
      <c r="DK169" s="19" t="s">
        <v>2271</v>
      </c>
      <c r="DL169" s="19" t="s">
        <v>2207</v>
      </c>
      <c r="DM169" s="22" t="s">
        <v>5338</v>
      </c>
      <c r="DN169" s="19">
        <v>3.0</v>
      </c>
      <c r="DO169" s="19">
        <v>3.0</v>
      </c>
      <c r="DP169" s="19" t="s">
        <v>5339</v>
      </c>
      <c r="DQ169" s="19" t="s">
        <v>5340</v>
      </c>
      <c r="DR169" s="19" t="s">
        <v>5341</v>
      </c>
      <c r="DS169" s="19" t="s">
        <v>2185</v>
      </c>
      <c r="DT169" s="19" t="s">
        <v>2350</v>
      </c>
      <c r="DU169" s="19"/>
      <c r="DV169" s="19"/>
      <c r="DW169" s="19" t="s">
        <v>2153</v>
      </c>
      <c r="DX169" s="19">
        <v>2.0</v>
      </c>
      <c r="DY169" s="19">
        <v>0.0</v>
      </c>
      <c r="DZ169" s="19">
        <v>0.0</v>
      </c>
      <c r="EA169" s="19">
        <v>0.0</v>
      </c>
      <c r="EB169" s="19">
        <v>0.0</v>
      </c>
      <c r="EC169" s="19">
        <v>20.0</v>
      </c>
      <c r="ED169" s="19" t="s">
        <v>3257</v>
      </c>
      <c r="EE169" s="24">
        <v>45519.0</v>
      </c>
      <c r="EF169" s="19" t="s">
        <v>3257</v>
      </c>
      <c r="EG169" s="19" t="s">
        <v>2271</v>
      </c>
      <c r="EH169" s="19" t="s">
        <v>2207</v>
      </c>
      <c r="EI169" s="22">
        <v>12.796875</v>
      </c>
      <c r="EJ169" s="19">
        <v>42.0</v>
      </c>
      <c r="EK169" s="19" t="s">
        <v>2113</v>
      </c>
      <c r="EL169" s="19" t="s">
        <v>2117</v>
      </c>
      <c r="EM169" s="19" t="s">
        <v>4072</v>
      </c>
      <c r="EN169" s="19" t="s">
        <v>509</v>
      </c>
      <c r="EO169" s="19" t="s">
        <v>3826</v>
      </c>
      <c r="EP169" s="19" t="s">
        <v>2310</v>
      </c>
      <c r="EQ169" s="19" t="s">
        <v>3835</v>
      </c>
      <c r="ER169" s="19"/>
      <c r="ES169" s="19" t="s">
        <v>509</v>
      </c>
      <c r="ET169" s="19" t="s">
        <v>509</v>
      </c>
      <c r="EU169" s="19" t="s">
        <v>5327</v>
      </c>
      <c r="EV169" s="19">
        <v>10504.0</v>
      </c>
      <c r="EW169" s="19" t="s">
        <v>16</v>
      </c>
      <c r="EX169" s="19">
        <v>3.0</v>
      </c>
      <c r="EY169" s="25" t="s">
        <v>508</v>
      </c>
      <c r="EZ169" s="19" t="s">
        <v>2154</v>
      </c>
      <c r="FA169" s="5" t="s">
        <v>5342</v>
      </c>
      <c r="FB169" s="26" t="s">
        <v>2156</v>
      </c>
      <c r="FC169" s="26"/>
    </row>
    <row r="170">
      <c r="A170" s="19" t="s">
        <v>17</v>
      </c>
      <c r="B170" s="19" t="s">
        <v>2113</v>
      </c>
      <c r="C170" s="19" t="s">
        <v>2113</v>
      </c>
      <c r="D170" s="23" t="s">
        <v>5343</v>
      </c>
      <c r="E170" s="19" t="s">
        <v>5344</v>
      </c>
      <c r="F170" s="19" t="s">
        <v>510</v>
      </c>
      <c r="G170" s="19"/>
      <c r="H170" s="19" t="s">
        <v>510</v>
      </c>
      <c r="I170" s="19" t="s">
        <v>512</v>
      </c>
      <c r="J170" s="19" t="s">
        <v>5345</v>
      </c>
      <c r="K170" s="19" t="s">
        <v>5346</v>
      </c>
      <c r="L170" s="20">
        <v>45446.0</v>
      </c>
      <c r="M170" s="20">
        <v>45447.0</v>
      </c>
      <c r="N170" s="20">
        <v>45447.0</v>
      </c>
      <c r="O170" s="19" t="s">
        <v>511</v>
      </c>
      <c r="P170" s="19">
        <v>0.0</v>
      </c>
      <c r="Q170" s="19">
        <v>25.0</v>
      </c>
      <c r="R170" s="19">
        <v>9286.0</v>
      </c>
      <c r="S170" s="20" t="s">
        <v>5347</v>
      </c>
      <c r="T170" s="20">
        <v>45461.0</v>
      </c>
      <c r="U170" s="19" t="s">
        <v>510</v>
      </c>
      <c r="V170" s="19"/>
      <c r="W170" s="19"/>
      <c r="X170" s="21">
        <v>20.0</v>
      </c>
      <c r="Y170" s="21">
        <v>0.0</v>
      </c>
      <c r="Z170" s="21">
        <v>3.0</v>
      </c>
      <c r="AA170" s="21">
        <v>0.0</v>
      </c>
      <c r="AB170" s="5">
        <v>23.0</v>
      </c>
      <c r="AC170" s="19">
        <v>4.0</v>
      </c>
      <c r="AD170" s="19">
        <v>3.5</v>
      </c>
      <c r="AE170" s="19">
        <v>3.0</v>
      </c>
      <c r="AF170" s="19">
        <v>3.0</v>
      </c>
      <c r="AG170" s="19">
        <v>2.5</v>
      </c>
      <c r="AH170" s="19">
        <v>3.0</v>
      </c>
      <c r="AI170" s="22">
        <v>9.609375</v>
      </c>
      <c r="AJ170" s="19">
        <v>15.0</v>
      </c>
      <c r="AK170" s="19">
        <v>15.0</v>
      </c>
      <c r="AL170" s="19">
        <v>15.0</v>
      </c>
      <c r="AM170" s="19">
        <v>45.0</v>
      </c>
      <c r="AN170" s="19">
        <v>54.6</v>
      </c>
      <c r="AO170" s="19">
        <v>77.6</v>
      </c>
      <c r="AP170" s="19">
        <v>309.0</v>
      </c>
      <c r="AQ170" s="23">
        <v>166.0</v>
      </c>
      <c r="AR170" s="23">
        <v>14.0</v>
      </c>
      <c r="AS170" s="22" t="s">
        <v>4071</v>
      </c>
      <c r="AT170" s="19" t="s">
        <v>2117</v>
      </c>
      <c r="AU170" s="19" t="s">
        <v>4072</v>
      </c>
      <c r="AV170" s="19" t="s">
        <v>4073</v>
      </c>
      <c r="AW170" s="19" t="s">
        <v>5348</v>
      </c>
      <c r="AX170" s="20">
        <v>36175.0</v>
      </c>
      <c r="AY170" s="19" t="s">
        <v>3826</v>
      </c>
      <c r="AZ170" s="19" t="s">
        <v>2995</v>
      </c>
      <c r="BA170" s="19" t="s">
        <v>5349</v>
      </c>
      <c r="BB170" s="19" t="s">
        <v>4076</v>
      </c>
      <c r="BC170" s="19" t="s">
        <v>5350</v>
      </c>
      <c r="BD170" s="19" t="s">
        <v>5351</v>
      </c>
      <c r="BE170" s="19" t="s">
        <v>5345</v>
      </c>
      <c r="BF170" s="19">
        <v>3.2988642554E10</v>
      </c>
      <c r="BG170" s="19" t="s">
        <v>4038</v>
      </c>
      <c r="BH170" s="19" t="s">
        <v>2128</v>
      </c>
      <c r="BI170" s="19"/>
      <c r="BJ170" s="19" t="s">
        <v>2128</v>
      </c>
      <c r="BK170" s="19" t="s">
        <v>17</v>
      </c>
      <c r="BL170" s="19"/>
      <c r="BM170" s="19" t="s">
        <v>2130</v>
      </c>
      <c r="BN170" s="19" t="s">
        <v>5335</v>
      </c>
      <c r="BO170" s="19" t="s">
        <v>2473</v>
      </c>
      <c r="BP170" s="19" t="s">
        <v>5352</v>
      </c>
      <c r="BQ170" s="19" t="s">
        <v>3832</v>
      </c>
      <c r="BR170" s="19" t="s">
        <v>3832</v>
      </c>
      <c r="BS170" s="19" t="s">
        <v>2134</v>
      </c>
      <c r="BT170" s="19" t="s">
        <v>268</v>
      </c>
      <c r="BU170" s="19" t="s">
        <v>5353</v>
      </c>
      <c r="BV170" s="19" t="s">
        <v>5354</v>
      </c>
      <c r="BW170" s="19"/>
      <c r="BX170" s="19"/>
      <c r="BY170" s="19" t="s">
        <v>2113</v>
      </c>
      <c r="BZ170" s="19" t="s">
        <v>2113</v>
      </c>
      <c r="CA170" s="19"/>
      <c r="CB170" s="19" t="s">
        <v>2113</v>
      </c>
      <c r="CC170" s="19"/>
      <c r="CD170" s="19" t="s">
        <v>2137</v>
      </c>
      <c r="CE170" s="27" t="s">
        <v>16</v>
      </c>
      <c r="CF170" s="19"/>
      <c r="CG170" s="19"/>
      <c r="CH170" s="19" t="s">
        <v>16</v>
      </c>
      <c r="CI170" s="21">
        <v>0.0</v>
      </c>
      <c r="CJ170" s="27" t="s">
        <v>17</v>
      </c>
      <c r="CK170" s="19"/>
      <c r="CL170" s="19"/>
      <c r="CM170" s="19" t="s">
        <v>2749</v>
      </c>
      <c r="CN170" s="19" t="s">
        <v>3835</v>
      </c>
      <c r="CO170" s="19" t="s">
        <v>4986</v>
      </c>
      <c r="CP170" s="19" t="s">
        <v>2246</v>
      </c>
      <c r="CQ170" s="19"/>
      <c r="CR170" s="19"/>
      <c r="CS170" s="19"/>
      <c r="CT170" s="19" t="s">
        <v>2113</v>
      </c>
      <c r="CU170" s="19" t="s">
        <v>2113</v>
      </c>
      <c r="CV170" s="19" t="s">
        <v>2141</v>
      </c>
      <c r="CW170" s="19"/>
      <c r="CX170" s="19"/>
      <c r="CY170" s="19" t="s">
        <v>2113</v>
      </c>
      <c r="CZ170" s="19" t="s">
        <v>2113</v>
      </c>
      <c r="DA170" s="27" t="s">
        <v>16</v>
      </c>
      <c r="DB170" s="19" t="s">
        <v>17</v>
      </c>
      <c r="DC170" s="19" t="s">
        <v>3836</v>
      </c>
      <c r="DD170" s="19" t="s">
        <v>2113</v>
      </c>
      <c r="DE170" s="19" t="s">
        <v>2113</v>
      </c>
      <c r="DF170" s="19" t="s">
        <v>2433</v>
      </c>
      <c r="DG170" s="19" t="s">
        <v>2323</v>
      </c>
      <c r="DH170" s="19" t="s">
        <v>2144</v>
      </c>
      <c r="DI170" s="24">
        <v>45519.0</v>
      </c>
      <c r="DJ170" s="19" t="s">
        <v>3257</v>
      </c>
      <c r="DK170" s="19" t="s">
        <v>2145</v>
      </c>
      <c r="DL170" s="19" t="s">
        <v>2207</v>
      </c>
      <c r="DM170" s="19" t="s">
        <v>4085</v>
      </c>
      <c r="DN170" s="19">
        <v>2.0</v>
      </c>
      <c r="DO170" s="19">
        <v>2.0</v>
      </c>
      <c r="DP170" s="19" t="s">
        <v>5355</v>
      </c>
      <c r="DQ170" s="19" t="s">
        <v>5356</v>
      </c>
      <c r="DR170" s="19" t="s">
        <v>5357</v>
      </c>
      <c r="DS170" s="19" t="s">
        <v>2185</v>
      </c>
      <c r="DT170" s="19" t="s">
        <v>2229</v>
      </c>
      <c r="DU170" s="19"/>
      <c r="DV170" s="19"/>
      <c r="DW170" s="19" t="s">
        <v>2153</v>
      </c>
      <c r="DX170" s="19">
        <v>2.0</v>
      </c>
      <c r="DY170" s="19">
        <v>0.0</v>
      </c>
      <c r="DZ170" s="19">
        <v>0.0</v>
      </c>
      <c r="EA170" s="19">
        <v>0.0</v>
      </c>
      <c r="EB170" s="19">
        <v>0.0</v>
      </c>
      <c r="EC170" s="19">
        <v>20.0</v>
      </c>
      <c r="ED170" s="19" t="s">
        <v>3257</v>
      </c>
      <c r="EE170" s="24">
        <v>45519.0</v>
      </c>
      <c r="EF170" s="19" t="s">
        <v>3257</v>
      </c>
      <c r="EG170" s="19" t="s">
        <v>2145</v>
      </c>
      <c r="EH170" s="19" t="s">
        <v>2207</v>
      </c>
      <c r="EI170" s="22">
        <v>9.609375</v>
      </c>
      <c r="EJ170" s="19">
        <v>45.0</v>
      </c>
      <c r="EK170" s="19" t="s">
        <v>2113</v>
      </c>
      <c r="EL170" s="19" t="s">
        <v>2117</v>
      </c>
      <c r="EM170" s="19" t="s">
        <v>4072</v>
      </c>
      <c r="EN170" s="19" t="s">
        <v>512</v>
      </c>
      <c r="EO170" s="19" t="s">
        <v>3826</v>
      </c>
      <c r="EP170" s="19" t="s">
        <v>2995</v>
      </c>
      <c r="EQ170" s="19" t="s">
        <v>3835</v>
      </c>
      <c r="ER170" s="19" t="s">
        <v>4986</v>
      </c>
      <c r="ES170" s="19" t="s">
        <v>512</v>
      </c>
      <c r="ET170" s="19" t="s">
        <v>512</v>
      </c>
      <c r="EU170" s="19" t="s">
        <v>5346</v>
      </c>
      <c r="EV170" s="19">
        <v>9286.0</v>
      </c>
      <c r="EW170" s="27" t="s">
        <v>16</v>
      </c>
      <c r="EX170" s="19">
        <v>3.0</v>
      </c>
      <c r="EY170" s="25" t="s">
        <v>511</v>
      </c>
      <c r="EZ170" s="19" t="s">
        <v>5358</v>
      </c>
      <c r="FA170" s="5" t="s">
        <v>5359</v>
      </c>
      <c r="FB170" s="26" t="s">
        <v>2156</v>
      </c>
      <c r="FC170" s="26" t="s">
        <v>5360</v>
      </c>
    </row>
    <row r="171">
      <c r="A171" s="19"/>
      <c r="B171" s="19" t="s">
        <v>2113</v>
      </c>
      <c r="C171" s="19" t="s">
        <v>2113</v>
      </c>
      <c r="D171" s="19" t="s">
        <v>5361</v>
      </c>
      <c r="E171" s="19" t="s">
        <v>5362</v>
      </c>
      <c r="F171" s="19" t="s">
        <v>5361</v>
      </c>
      <c r="G171" s="19"/>
      <c r="H171" s="19" t="s">
        <v>513</v>
      </c>
      <c r="I171" s="19" t="s">
        <v>515</v>
      </c>
      <c r="J171" s="19" t="s">
        <v>5363</v>
      </c>
      <c r="K171" s="19" t="s">
        <v>5364</v>
      </c>
      <c r="L171" s="20">
        <v>45394.0</v>
      </c>
      <c r="M171" s="20">
        <v>45404.0</v>
      </c>
      <c r="N171" s="20">
        <v>45404.0</v>
      </c>
      <c r="O171" s="19" t="s">
        <v>514</v>
      </c>
      <c r="P171" s="19">
        <v>0.0</v>
      </c>
      <c r="Q171" s="19">
        <v>18.0</v>
      </c>
      <c r="R171" s="19">
        <v>6850.0</v>
      </c>
      <c r="S171" s="20" t="s">
        <v>5365</v>
      </c>
      <c r="T171" s="20">
        <v>45461.0</v>
      </c>
      <c r="U171" s="19" t="s">
        <v>5361</v>
      </c>
      <c r="V171" s="19"/>
      <c r="W171" s="19"/>
      <c r="X171" s="21">
        <v>20.0</v>
      </c>
      <c r="Y171" s="21">
        <v>0.0</v>
      </c>
      <c r="Z171" s="21">
        <v>2.0</v>
      </c>
      <c r="AA171" s="21">
        <v>0.0</v>
      </c>
      <c r="AB171" s="5">
        <v>22.0</v>
      </c>
      <c r="AC171" s="19">
        <v>5.0</v>
      </c>
      <c r="AD171" s="19">
        <v>4.0</v>
      </c>
      <c r="AE171" s="19">
        <v>4.0</v>
      </c>
      <c r="AF171" s="19">
        <v>4.0</v>
      </c>
      <c r="AG171" s="19">
        <v>4.0</v>
      </c>
      <c r="AH171" s="19">
        <v>4.0</v>
      </c>
      <c r="AI171" s="22">
        <v>12.46875</v>
      </c>
      <c r="AJ171" s="19">
        <v>13.0</v>
      </c>
      <c r="AK171" s="19">
        <v>15.0</v>
      </c>
      <c r="AL171" s="19">
        <v>15.0</v>
      </c>
      <c r="AM171" s="19">
        <v>43.0</v>
      </c>
      <c r="AN171" s="19">
        <v>55.5</v>
      </c>
      <c r="AO171" s="19">
        <v>77.5</v>
      </c>
      <c r="AP171" s="19">
        <v>339.0</v>
      </c>
      <c r="AQ171" s="23">
        <v>167.0</v>
      </c>
      <c r="AR171" s="23">
        <v>17.0</v>
      </c>
      <c r="AS171" s="22"/>
      <c r="AT171" s="19" t="s">
        <v>2282</v>
      </c>
      <c r="AU171" s="19" t="s">
        <v>5366</v>
      </c>
      <c r="AV171" s="19" t="s">
        <v>5367</v>
      </c>
      <c r="AW171" s="19"/>
      <c r="AX171" s="20">
        <v>38611.0</v>
      </c>
      <c r="AY171" s="19" t="s">
        <v>5121</v>
      </c>
      <c r="AZ171" s="19" t="s">
        <v>2122</v>
      </c>
      <c r="BA171" s="19" t="s">
        <v>5368</v>
      </c>
      <c r="BB171" s="19" t="s">
        <v>3248</v>
      </c>
      <c r="BC171" s="19" t="s">
        <v>5369</v>
      </c>
      <c r="BD171" s="19" t="s">
        <v>5370</v>
      </c>
      <c r="BE171" s="19" t="s">
        <v>5371</v>
      </c>
      <c r="BF171" s="19">
        <v>1.1977854037E10</v>
      </c>
      <c r="BG171" s="19" t="s">
        <v>4038</v>
      </c>
      <c r="BH171" s="19" t="s">
        <v>2128</v>
      </c>
      <c r="BI171" s="19"/>
      <c r="BJ171" s="19" t="s">
        <v>2129</v>
      </c>
      <c r="BK171" s="19" t="s">
        <v>17</v>
      </c>
      <c r="BL171" s="19"/>
      <c r="BM171" s="19" t="s">
        <v>2130</v>
      </c>
      <c r="BN171" s="19" t="s">
        <v>5372</v>
      </c>
      <c r="BO171" s="19" t="s">
        <v>3199</v>
      </c>
      <c r="BP171" s="19"/>
      <c r="BQ171" s="19" t="s">
        <v>2133</v>
      </c>
      <c r="BR171" s="19" t="s">
        <v>2133</v>
      </c>
      <c r="BS171" s="19" t="s">
        <v>2134</v>
      </c>
      <c r="BT171" s="19" t="s">
        <v>15</v>
      </c>
      <c r="BU171" s="19" t="s">
        <v>5373</v>
      </c>
      <c r="BV171" s="19" t="s">
        <v>5374</v>
      </c>
      <c r="BW171" s="19" t="s">
        <v>2113</v>
      </c>
      <c r="BX171" s="19"/>
      <c r="BY171" s="19"/>
      <c r="BZ171" s="19"/>
      <c r="CA171" s="19"/>
      <c r="CB171" s="19" t="s">
        <v>2113</v>
      </c>
      <c r="CC171" s="19"/>
      <c r="CD171" s="19" t="s">
        <v>2137</v>
      </c>
      <c r="CE171" s="19" t="s">
        <v>16</v>
      </c>
      <c r="CF171" s="19"/>
      <c r="CG171" s="19"/>
      <c r="CH171" s="19" t="s">
        <v>16</v>
      </c>
      <c r="CI171" s="21">
        <v>0.0</v>
      </c>
      <c r="CJ171" s="19" t="s">
        <v>16</v>
      </c>
      <c r="CK171" s="19"/>
      <c r="CL171" s="19"/>
      <c r="CM171" s="19" t="s">
        <v>2926</v>
      </c>
      <c r="CN171" s="19" t="s">
        <v>5128</v>
      </c>
      <c r="CO171" s="19"/>
      <c r="CP171" s="19" t="s">
        <v>2140</v>
      </c>
      <c r="CQ171" s="19"/>
      <c r="CR171" s="19" t="s">
        <v>2113</v>
      </c>
      <c r="CS171" s="19" t="s">
        <v>2113</v>
      </c>
      <c r="CT171" s="19"/>
      <c r="CU171" s="19"/>
      <c r="CV171" s="19" t="s">
        <v>2179</v>
      </c>
      <c r="CW171" s="19"/>
      <c r="CX171" s="19"/>
      <c r="CY171" s="19" t="s">
        <v>2113</v>
      </c>
      <c r="CZ171" s="19" t="s">
        <v>2113</v>
      </c>
      <c r="DA171" s="19" t="s">
        <v>16</v>
      </c>
      <c r="DB171" s="19" t="s">
        <v>16</v>
      </c>
      <c r="DC171" s="19" t="s">
        <v>2578</v>
      </c>
      <c r="DD171" s="19" t="s">
        <v>2113</v>
      </c>
      <c r="DE171" s="19" t="s">
        <v>2113</v>
      </c>
      <c r="DF171" s="19" t="s">
        <v>2406</v>
      </c>
      <c r="DG171" s="19" t="s">
        <v>2407</v>
      </c>
      <c r="DH171" s="19" t="s">
        <v>2144</v>
      </c>
      <c r="DI171" s="24">
        <v>45533.0</v>
      </c>
      <c r="DJ171" s="19" t="s">
        <v>2133</v>
      </c>
      <c r="DK171" s="19" t="s">
        <v>2271</v>
      </c>
      <c r="DL171" s="19" t="s">
        <v>2146</v>
      </c>
      <c r="DM171" s="19" t="s">
        <v>2906</v>
      </c>
      <c r="DN171" s="19">
        <v>18.0</v>
      </c>
      <c r="DO171" s="19">
        <v>18.0</v>
      </c>
      <c r="DP171" s="19"/>
      <c r="DQ171" s="19"/>
      <c r="DR171" s="19"/>
      <c r="DS171" s="19" t="s">
        <v>2151</v>
      </c>
      <c r="DT171" s="19" t="s">
        <v>2152</v>
      </c>
      <c r="DU171" s="19" t="s">
        <v>5375</v>
      </c>
      <c r="DV171" s="19"/>
      <c r="DW171" s="19" t="s">
        <v>2153</v>
      </c>
      <c r="DX171" s="19">
        <v>12.0</v>
      </c>
      <c r="DY171" s="19">
        <v>0.0</v>
      </c>
      <c r="DZ171" s="19">
        <v>0.0</v>
      </c>
      <c r="EA171" s="19">
        <v>0.0</v>
      </c>
      <c r="EB171" s="19">
        <v>0.0</v>
      </c>
      <c r="EC171" s="19">
        <v>20.0</v>
      </c>
      <c r="ED171" s="19" t="s">
        <v>2133</v>
      </c>
      <c r="EE171" s="24">
        <v>45533.0</v>
      </c>
      <c r="EF171" s="19" t="s">
        <v>2133</v>
      </c>
      <c r="EG171" s="19" t="s">
        <v>2271</v>
      </c>
      <c r="EH171" s="19" t="s">
        <v>2146</v>
      </c>
      <c r="EI171" s="22">
        <v>12.46875</v>
      </c>
      <c r="EJ171" s="19">
        <v>43.0</v>
      </c>
      <c r="EK171" s="19"/>
      <c r="EL171" s="19" t="s">
        <v>2282</v>
      </c>
      <c r="EM171" s="19" t="s">
        <v>5366</v>
      </c>
      <c r="EN171" s="19" t="s">
        <v>515</v>
      </c>
      <c r="EO171" s="19" t="s">
        <v>5121</v>
      </c>
      <c r="EP171" s="19" t="s">
        <v>2122</v>
      </c>
      <c r="EQ171" s="19" t="s">
        <v>5128</v>
      </c>
      <c r="ER171" s="19"/>
      <c r="ES171" s="19" t="s">
        <v>515</v>
      </c>
      <c r="ET171" s="19" t="s">
        <v>515</v>
      </c>
      <c r="EU171" s="19" t="s">
        <v>5364</v>
      </c>
      <c r="EV171" s="19">
        <v>6850.0</v>
      </c>
      <c r="EW171" s="19" t="s">
        <v>16</v>
      </c>
      <c r="EX171" s="19">
        <v>2.0</v>
      </c>
      <c r="EY171" s="25" t="s">
        <v>514</v>
      </c>
      <c r="EZ171" s="19" t="s">
        <v>2154</v>
      </c>
      <c r="FA171" s="5" t="s">
        <v>5376</v>
      </c>
      <c r="FB171" s="26" t="s">
        <v>2156</v>
      </c>
      <c r="FC171" s="26"/>
    </row>
    <row r="172" hidden="1">
      <c r="A172" s="19" t="s">
        <v>2112</v>
      </c>
      <c r="B172" s="19" t="s">
        <v>2113</v>
      </c>
      <c r="C172" s="19" t="s">
        <v>2113</v>
      </c>
      <c r="D172" s="27" t="s">
        <v>5377</v>
      </c>
      <c r="E172" s="19" t="s">
        <v>5378</v>
      </c>
      <c r="F172" s="19" t="s">
        <v>5377</v>
      </c>
      <c r="G172" s="19"/>
      <c r="H172" s="27" t="s">
        <v>5377</v>
      </c>
      <c r="I172" s="19" t="s">
        <v>5379</v>
      </c>
      <c r="J172" s="19" t="s">
        <v>5380</v>
      </c>
      <c r="K172" s="19" t="s">
        <v>5381</v>
      </c>
      <c r="L172" s="20">
        <v>45446.0</v>
      </c>
      <c r="M172" s="20">
        <v>45446.0</v>
      </c>
      <c r="N172" s="20">
        <v>45446.0</v>
      </c>
      <c r="O172" s="19" t="s">
        <v>5382</v>
      </c>
      <c r="P172" s="19">
        <v>0.0</v>
      </c>
      <c r="Q172" s="19">
        <v>20.0</v>
      </c>
      <c r="R172" s="19">
        <v>7470.0</v>
      </c>
      <c r="S172" s="20" t="s">
        <v>5383</v>
      </c>
      <c r="T172" s="20">
        <v>45461.0</v>
      </c>
      <c r="U172" s="19" t="s">
        <v>5377</v>
      </c>
      <c r="V172" s="19"/>
      <c r="W172" s="19" t="s">
        <v>2131</v>
      </c>
      <c r="X172" s="21">
        <v>20.0</v>
      </c>
      <c r="Y172" s="21">
        <v>10.0</v>
      </c>
      <c r="Z172" s="21">
        <v>5.0</v>
      </c>
      <c r="AA172" s="21">
        <v>2.0</v>
      </c>
      <c r="AB172" s="5">
        <v>37.0</v>
      </c>
      <c r="AC172" s="19">
        <v>5.0</v>
      </c>
      <c r="AD172" s="19">
        <v>5.0</v>
      </c>
      <c r="AE172" s="19">
        <v>5.0</v>
      </c>
      <c r="AF172" s="19">
        <v>5.0</v>
      </c>
      <c r="AG172" s="19">
        <v>5.0</v>
      </c>
      <c r="AH172" s="19">
        <v>5.0</v>
      </c>
      <c r="AI172" s="22">
        <v>15.0</v>
      </c>
      <c r="AJ172" s="19">
        <v>5.0</v>
      </c>
      <c r="AK172" s="19">
        <v>5.0</v>
      </c>
      <c r="AL172" s="19">
        <v>15.0</v>
      </c>
      <c r="AM172" s="19">
        <v>25.0</v>
      </c>
      <c r="AN172" s="19">
        <v>40.0</v>
      </c>
      <c r="AO172" s="19">
        <v>77.0</v>
      </c>
      <c r="AP172" s="19">
        <v>18.0</v>
      </c>
      <c r="AQ172" s="19">
        <v>171.0</v>
      </c>
      <c r="AR172" s="19">
        <v>17.0</v>
      </c>
      <c r="AS172" s="22"/>
      <c r="AT172" s="19" t="s">
        <v>2282</v>
      </c>
      <c r="AU172" s="19" t="s">
        <v>5384</v>
      </c>
      <c r="AV172" s="19" t="s">
        <v>5385</v>
      </c>
      <c r="AW172" s="19"/>
      <c r="AX172" s="20">
        <v>37991.0</v>
      </c>
      <c r="AY172" s="19" t="s">
        <v>2358</v>
      </c>
      <c r="AZ172" s="19" t="s">
        <v>2422</v>
      </c>
      <c r="BA172" s="19" t="s">
        <v>5386</v>
      </c>
      <c r="BB172" s="19" t="s">
        <v>5387</v>
      </c>
      <c r="BC172" s="19" t="s">
        <v>5388</v>
      </c>
      <c r="BD172" s="19" t="s">
        <v>5389</v>
      </c>
      <c r="BE172" s="19" t="s">
        <v>5380</v>
      </c>
      <c r="BF172" s="19">
        <v>1.1994237512E10</v>
      </c>
      <c r="BG172" s="19" t="s">
        <v>2127</v>
      </c>
      <c r="BH172" s="19" t="s">
        <v>4080</v>
      </c>
      <c r="BI172" s="19"/>
      <c r="BJ172" s="19"/>
      <c r="BK172" s="19" t="s">
        <v>17</v>
      </c>
      <c r="BL172" s="19" t="s">
        <v>2113</v>
      </c>
      <c r="BM172" s="19" t="s">
        <v>2130</v>
      </c>
      <c r="BN172" s="19" t="s">
        <v>17</v>
      </c>
      <c r="BO172" s="19" t="s">
        <v>2132</v>
      </c>
      <c r="BP172" s="19" t="s">
        <v>5390</v>
      </c>
      <c r="BQ172" s="19" t="s">
        <v>2174</v>
      </c>
      <c r="BR172" s="19" t="s">
        <v>2174</v>
      </c>
      <c r="BS172" s="19" t="s">
        <v>2134</v>
      </c>
      <c r="BT172" s="19" t="s">
        <v>34</v>
      </c>
      <c r="BU172" s="19" t="s">
        <v>5391</v>
      </c>
      <c r="BV172" s="19" t="s">
        <v>5392</v>
      </c>
      <c r="BW172" s="19"/>
      <c r="BX172" s="19" t="s">
        <v>2113</v>
      </c>
      <c r="BY172" s="19"/>
      <c r="BZ172" s="19" t="s">
        <v>2113</v>
      </c>
      <c r="CA172" s="19" t="s">
        <v>2113</v>
      </c>
      <c r="CB172" s="19" t="s">
        <v>2113</v>
      </c>
      <c r="CC172" s="19"/>
      <c r="CD172" s="19" t="s">
        <v>2137</v>
      </c>
      <c r="CE172" s="19" t="s">
        <v>16</v>
      </c>
      <c r="CF172" s="19"/>
      <c r="CG172" s="19"/>
      <c r="CH172" s="19" t="s">
        <v>16</v>
      </c>
      <c r="CI172" s="21">
        <v>0.0</v>
      </c>
      <c r="CJ172" s="19" t="s">
        <v>16</v>
      </c>
      <c r="CK172" s="19"/>
      <c r="CL172" s="19"/>
      <c r="CM172" s="19" t="s">
        <v>2138</v>
      </c>
      <c r="CN172" s="19" t="s">
        <v>2266</v>
      </c>
      <c r="CO172" s="19"/>
      <c r="CP172" s="19" t="s">
        <v>2140</v>
      </c>
      <c r="CQ172" s="19"/>
      <c r="CR172" s="19"/>
      <c r="CS172" s="19"/>
      <c r="CT172" s="19"/>
      <c r="CU172" s="19"/>
      <c r="CV172" s="19" t="s">
        <v>2141</v>
      </c>
      <c r="CW172" s="19"/>
      <c r="CX172" s="19"/>
      <c r="CY172" s="19" t="s">
        <v>2113</v>
      </c>
      <c r="CZ172" s="19" t="s">
        <v>2113</v>
      </c>
      <c r="DA172" s="19" t="s">
        <v>16</v>
      </c>
      <c r="DB172" s="19" t="s">
        <v>16</v>
      </c>
      <c r="DC172" s="19" t="s">
        <v>2268</v>
      </c>
      <c r="DD172" s="19" t="s">
        <v>2113</v>
      </c>
      <c r="DE172" s="19" t="s">
        <v>2113</v>
      </c>
      <c r="DF172" s="19" t="s">
        <v>2345</v>
      </c>
      <c r="DG172" s="19" t="s">
        <v>2181</v>
      </c>
      <c r="DH172" s="19" t="s">
        <v>2144</v>
      </c>
      <c r="DI172" s="24">
        <v>45525.0</v>
      </c>
      <c r="DJ172" s="19" t="s">
        <v>2174</v>
      </c>
      <c r="DK172" s="19" t="s">
        <v>2271</v>
      </c>
      <c r="DL172" s="19" t="s">
        <v>2183</v>
      </c>
      <c r="DM172" s="19" t="s">
        <v>2249</v>
      </c>
      <c r="DN172" s="19">
        <v>10.0</v>
      </c>
      <c r="DO172" s="19">
        <v>10.0</v>
      </c>
      <c r="DP172" s="19" t="s">
        <v>5393</v>
      </c>
      <c r="DQ172" s="19" t="s">
        <v>5394</v>
      </c>
      <c r="DR172" s="19" t="s">
        <v>5395</v>
      </c>
      <c r="DS172" s="19" t="s">
        <v>2151</v>
      </c>
      <c r="DT172" s="19" t="s">
        <v>2350</v>
      </c>
      <c r="DU172" s="19"/>
      <c r="DV172" s="19"/>
      <c r="DW172" s="19" t="s">
        <v>2479</v>
      </c>
      <c r="DX172" s="19">
        <v>16.0</v>
      </c>
      <c r="DY172" s="19">
        <v>10.0</v>
      </c>
      <c r="DZ172" s="19">
        <v>2.0</v>
      </c>
      <c r="EA172" s="19">
        <v>10.0</v>
      </c>
      <c r="EB172" s="19">
        <v>0.0</v>
      </c>
      <c r="EC172" s="19">
        <v>20.0</v>
      </c>
      <c r="ED172" s="19" t="s">
        <v>2174</v>
      </c>
      <c r="EE172" s="24">
        <v>45525.0</v>
      </c>
      <c r="EF172" s="19" t="s">
        <v>2174</v>
      </c>
      <c r="EG172" s="19" t="s">
        <v>2271</v>
      </c>
      <c r="EH172" s="19" t="s">
        <v>2183</v>
      </c>
      <c r="EI172" s="22">
        <v>15.0</v>
      </c>
      <c r="EJ172" s="19">
        <v>25.0</v>
      </c>
      <c r="EK172" s="19"/>
      <c r="EL172" s="19" t="s">
        <v>2282</v>
      </c>
      <c r="EM172" s="19" t="s">
        <v>5384</v>
      </c>
      <c r="EN172" s="19" t="s">
        <v>5379</v>
      </c>
      <c r="EO172" s="19" t="s">
        <v>2358</v>
      </c>
      <c r="EP172" s="19" t="s">
        <v>2422</v>
      </c>
      <c r="EQ172" s="19" t="s">
        <v>2266</v>
      </c>
      <c r="ER172" s="19"/>
      <c r="ES172" s="19" t="s">
        <v>5379</v>
      </c>
      <c r="ET172" s="19" t="s">
        <v>5379</v>
      </c>
      <c r="EU172" s="19" t="s">
        <v>5381</v>
      </c>
      <c r="EV172" s="19">
        <v>7470.0</v>
      </c>
      <c r="EW172" s="19" t="s">
        <v>16</v>
      </c>
      <c r="EX172" s="19">
        <v>5.0</v>
      </c>
      <c r="EY172" s="25" t="s">
        <v>5382</v>
      </c>
      <c r="EZ172" s="19" t="s">
        <v>2154</v>
      </c>
      <c r="FA172" s="5" t="s">
        <v>5396</v>
      </c>
      <c r="FB172" s="26" t="s">
        <v>2633</v>
      </c>
      <c r="FC172" s="26" t="s">
        <v>2634</v>
      </c>
    </row>
    <row r="173">
      <c r="A173" s="19" t="s">
        <v>2112</v>
      </c>
      <c r="B173" s="19"/>
      <c r="C173" s="19" t="s">
        <v>2113</v>
      </c>
      <c r="D173" s="19" t="s">
        <v>5397</v>
      </c>
      <c r="E173" s="19" t="s">
        <v>5398</v>
      </c>
      <c r="F173" s="19" t="s">
        <v>516</v>
      </c>
      <c r="G173" s="19" t="s">
        <v>5399</v>
      </c>
      <c r="H173" s="19" t="s">
        <v>516</v>
      </c>
      <c r="I173" s="19" t="s">
        <v>518</v>
      </c>
      <c r="J173" s="19" t="s">
        <v>5400</v>
      </c>
      <c r="K173" s="19" t="s">
        <v>5401</v>
      </c>
      <c r="L173" s="20">
        <v>45420.0</v>
      </c>
      <c r="M173" s="20">
        <v>45428.0</v>
      </c>
      <c r="N173" s="20">
        <v>45428.0</v>
      </c>
      <c r="O173" s="19" t="s">
        <v>517</v>
      </c>
      <c r="P173" s="19">
        <v>0.0</v>
      </c>
      <c r="Q173" s="19">
        <v>28.0</v>
      </c>
      <c r="R173" s="19">
        <v>10432.0</v>
      </c>
      <c r="S173" s="20" t="s">
        <v>5402</v>
      </c>
      <c r="T173" s="20">
        <v>45461.0</v>
      </c>
      <c r="U173" s="19" t="s">
        <v>516</v>
      </c>
      <c r="V173" s="19"/>
      <c r="W173" s="19"/>
      <c r="X173" s="21">
        <v>0.0</v>
      </c>
      <c r="Y173" s="21">
        <v>10.0</v>
      </c>
      <c r="Z173" s="21">
        <v>5.0</v>
      </c>
      <c r="AA173" s="21">
        <v>2.0</v>
      </c>
      <c r="AB173" s="5">
        <v>17.0</v>
      </c>
      <c r="AC173" s="19">
        <v>5.0</v>
      </c>
      <c r="AD173" s="19">
        <v>5.0</v>
      </c>
      <c r="AE173" s="19">
        <v>5.0</v>
      </c>
      <c r="AF173" s="19">
        <v>5.0</v>
      </c>
      <c r="AG173" s="19">
        <v>5.0</v>
      </c>
      <c r="AH173" s="19">
        <v>5.0</v>
      </c>
      <c r="AI173" s="22">
        <v>15.0</v>
      </c>
      <c r="AJ173" s="19">
        <v>15.0</v>
      </c>
      <c r="AK173" s="19">
        <v>15.0</v>
      </c>
      <c r="AL173" s="19">
        <v>15.0</v>
      </c>
      <c r="AM173" s="19">
        <v>45.0</v>
      </c>
      <c r="AN173" s="19">
        <v>60.0</v>
      </c>
      <c r="AO173" s="19">
        <v>77.0</v>
      </c>
      <c r="AP173" s="19">
        <v>360.0</v>
      </c>
      <c r="AQ173" s="23">
        <v>168.0</v>
      </c>
      <c r="AR173" s="23">
        <v>18.0</v>
      </c>
      <c r="AS173" s="22"/>
      <c r="AT173" s="19" t="s">
        <v>2163</v>
      </c>
      <c r="AU173" s="19" t="s">
        <v>5403</v>
      </c>
      <c r="AV173" s="19" t="s">
        <v>5404</v>
      </c>
      <c r="AW173" s="19" t="s">
        <v>3923</v>
      </c>
      <c r="AX173" s="20">
        <v>35029.0</v>
      </c>
      <c r="AY173" s="19" t="s">
        <v>5405</v>
      </c>
      <c r="AZ173" s="19" t="s">
        <v>3849</v>
      </c>
      <c r="BA173" s="19" t="s">
        <v>5406</v>
      </c>
      <c r="BB173" s="19" t="s">
        <v>5407</v>
      </c>
      <c r="BC173" s="19" t="s">
        <v>5408</v>
      </c>
      <c r="BD173" s="19" t="s">
        <v>5409</v>
      </c>
      <c r="BE173" s="19" t="s">
        <v>5410</v>
      </c>
      <c r="BF173" s="19">
        <v>1.1914796046E10</v>
      </c>
      <c r="BG173" s="19" t="s">
        <v>2127</v>
      </c>
      <c r="BH173" s="19" t="s">
        <v>2128</v>
      </c>
      <c r="BI173" s="19"/>
      <c r="BJ173" s="19"/>
      <c r="BK173" s="19" t="s">
        <v>16</v>
      </c>
      <c r="BL173" s="19" t="s">
        <v>2113</v>
      </c>
      <c r="BM173" s="19" t="s">
        <v>5411</v>
      </c>
      <c r="BN173" s="19" t="s">
        <v>2401</v>
      </c>
      <c r="BO173" s="19" t="s">
        <v>2132</v>
      </c>
      <c r="BP173" s="19" t="s">
        <v>5412</v>
      </c>
      <c r="BQ173" s="19" t="s">
        <v>2133</v>
      </c>
      <c r="BR173" s="19" t="s">
        <v>2133</v>
      </c>
      <c r="BS173" s="19" t="s">
        <v>2243</v>
      </c>
      <c r="BT173" s="19" t="s">
        <v>15</v>
      </c>
      <c r="BU173" s="19" t="s">
        <v>5413</v>
      </c>
      <c r="BV173" s="19"/>
      <c r="BW173" s="19"/>
      <c r="BX173" s="19"/>
      <c r="BY173" s="19" t="s">
        <v>2113</v>
      </c>
      <c r="BZ173" s="19"/>
      <c r="CA173" s="19" t="s">
        <v>2113</v>
      </c>
      <c r="CB173" s="19" t="s">
        <v>2113</v>
      </c>
      <c r="CC173" s="19"/>
      <c r="CD173" s="19" t="s">
        <v>2137</v>
      </c>
      <c r="CE173" s="19" t="s">
        <v>16</v>
      </c>
      <c r="CF173" s="19"/>
      <c r="CG173" s="19"/>
      <c r="CH173" s="19" t="s">
        <v>16</v>
      </c>
      <c r="CI173" s="21">
        <v>0.0</v>
      </c>
      <c r="CJ173" s="19" t="s">
        <v>17</v>
      </c>
      <c r="CK173" s="19"/>
      <c r="CL173" s="19"/>
      <c r="CM173" s="19" t="s">
        <v>2138</v>
      </c>
      <c r="CN173" s="19" t="s">
        <v>2139</v>
      </c>
      <c r="CO173" s="19"/>
      <c r="CP173" s="19"/>
      <c r="CQ173" s="19" t="s">
        <v>2113</v>
      </c>
      <c r="CR173" s="19"/>
      <c r="CS173" s="19"/>
      <c r="CT173" s="19" t="s">
        <v>2113</v>
      </c>
      <c r="CU173" s="19" t="s">
        <v>2113</v>
      </c>
      <c r="CV173" s="19" t="s">
        <v>2141</v>
      </c>
      <c r="CW173" s="19" t="s">
        <v>2113</v>
      </c>
      <c r="CX173" s="19" t="s">
        <v>2113</v>
      </c>
      <c r="CY173" s="19"/>
      <c r="CZ173" s="19"/>
      <c r="DA173" s="19" t="s">
        <v>16</v>
      </c>
      <c r="DB173" s="19" t="s">
        <v>17</v>
      </c>
      <c r="DC173" s="19" t="s">
        <v>2627</v>
      </c>
      <c r="DD173" s="19" t="s">
        <v>2113</v>
      </c>
      <c r="DE173" s="19" t="s">
        <v>2113</v>
      </c>
      <c r="DF173" s="19" t="s">
        <v>2297</v>
      </c>
      <c r="DG173" s="19" t="s">
        <v>2578</v>
      </c>
      <c r="DH173" s="19" t="s">
        <v>2144</v>
      </c>
      <c r="DI173" s="24">
        <v>45531.0</v>
      </c>
      <c r="DJ173" s="19" t="s">
        <v>2133</v>
      </c>
      <c r="DK173" s="19" t="s">
        <v>2145</v>
      </c>
      <c r="DL173" s="19" t="s">
        <v>2146</v>
      </c>
      <c r="DM173" s="19" t="s">
        <v>3183</v>
      </c>
      <c r="DN173" s="19">
        <v>13.0</v>
      </c>
      <c r="DO173" s="19">
        <v>13.0</v>
      </c>
      <c r="DP173" s="19" t="s">
        <v>5414</v>
      </c>
      <c r="DQ173" s="19" t="s">
        <v>5415</v>
      </c>
      <c r="DR173" s="19" t="s">
        <v>5416</v>
      </c>
      <c r="DS173" s="19" t="s">
        <v>2365</v>
      </c>
      <c r="DT173" s="19" t="s">
        <v>2209</v>
      </c>
      <c r="DU173" s="19"/>
      <c r="DV173" s="19"/>
      <c r="DW173" s="19" t="s">
        <v>2479</v>
      </c>
      <c r="DX173" s="19">
        <v>11.0</v>
      </c>
      <c r="DY173" s="19">
        <v>10.0</v>
      </c>
      <c r="DZ173" s="19">
        <v>2.0</v>
      </c>
      <c r="EA173" s="19">
        <v>10.0</v>
      </c>
      <c r="EB173" s="19">
        <v>0.0</v>
      </c>
      <c r="EC173" s="19">
        <v>0.0</v>
      </c>
      <c r="ED173" s="19" t="s">
        <v>2133</v>
      </c>
      <c r="EE173" s="24">
        <v>45531.0</v>
      </c>
      <c r="EF173" s="19" t="s">
        <v>2133</v>
      </c>
      <c r="EG173" s="19" t="s">
        <v>2145</v>
      </c>
      <c r="EH173" s="19" t="s">
        <v>2146</v>
      </c>
      <c r="EI173" s="22">
        <v>15.0</v>
      </c>
      <c r="EJ173" s="19">
        <v>45.0</v>
      </c>
      <c r="EK173" s="19" t="s">
        <v>2113</v>
      </c>
      <c r="EL173" s="19" t="s">
        <v>2163</v>
      </c>
      <c r="EM173" s="19" t="s">
        <v>5403</v>
      </c>
      <c r="EN173" s="19" t="s">
        <v>518</v>
      </c>
      <c r="EO173" s="19" t="s">
        <v>5405</v>
      </c>
      <c r="EP173" s="19" t="s">
        <v>3849</v>
      </c>
      <c r="EQ173" s="19" t="s">
        <v>2139</v>
      </c>
      <c r="ER173" s="19"/>
      <c r="ES173" s="19" t="s">
        <v>518</v>
      </c>
      <c r="ET173" s="19" t="s">
        <v>518</v>
      </c>
      <c r="EU173" s="19" t="s">
        <v>5401</v>
      </c>
      <c r="EV173" s="19">
        <v>10432.0</v>
      </c>
      <c r="EW173" s="19" t="s">
        <v>16</v>
      </c>
      <c r="EX173" s="19">
        <v>5.0</v>
      </c>
      <c r="EY173" s="25" t="s">
        <v>517</v>
      </c>
      <c r="EZ173" s="19" t="s">
        <v>2154</v>
      </c>
      <c r="FA173" s="5" t="s">
        <v>5417</v>
      </c>
      <c r="FB173" s="26" t="s">
        <v>2156</v>
      </c>
      <c r="FC173" s="26"/>
    </row>
    <row r="174">
      <c r="A174" s="19" t="s">
        <v>2112</v>
      </c>
      <c r="B174" s="19" t="s">
        <v>2113</v>
      </c>
      <c r="C174" s="19" t="s">
        <v>2113</v>
      </c>
      <c r="D174" s="19" t="s">
        <v>5418</v>
      </c>
      <c r="E174" s="19" t="s">
        <v>5419</v>
      </c>
      <c r="F174" s="19" t="s">
        <v>519</v>
      </c>
      <c r="G174" s="19"/>
      <c r="H174" s="19" t="s">
        <v>519</v>
      </c>
      <c r="I174" s="19" t="s">
        <v>521</v>
      </c>
      <c r="J174" s="19" t="s">
        <v>5420</v>
      </c>
      <c r="K174" s="19" t="s">
        <v>5421</v>
      </c>
      <c r="L174" s="20">
        <v>45460.0</v>
      </c>
      <c r="M174" s="20">
        <v>45462.0</v>
      </c>
      <c r="N174" s="20">
        <v>45462.0</v>
      </c>
      <c r="O174" s="19" t="s">
        <v>520</v>
      </c>
      <c r="P174" s="19">
        <v>0.0</v>
      </c>
      <c r="Q174" s="19">
        <v>22.0</v>
      </c>
      <c r="R174" s="19">
        <v>8235.0</v>
      </c>
      <c r="S174" s="20" t="s">
        <v>5422</v>
      </c>
      <c r="T174" s="20">
        <v>45461.0</v>
      </c>
      <c r="U174" s="19" t="s">
        <v>519</v>
      </c>
      <c r="V174" s="19"/>
      <c r="W174" s="19"/>
      <c r="X174" s="21">
        <v>20.0</v>
      </c>
      <c r="Y174" s="21">
        <v>0.0</v>
      </c>
      <c r="Z174" s="21">
        <v>2.0</v>
      </c>
      <c r="AA174" s="21">
        <v>0.0</v>
      </c>
      <c r="AB174" s="5">
        <v>22.0</v>
      </c>
      <c r="AC174" s="19">
        <v>4.5</v>
      </c>
      <c r="AD174" s="19">
        <v>5.0</v>
      </c>
      <c r="AE174" s="19">
        <v>4.3</v>
      </c>
      <c r="AF174" s="19">
        <v>5.0</v>
      </c>
      <c r="AG174" s="19">
        <v>4.6</v>
      </c>
      <c r="AH174" s="19">
        <v>4.5</v>
      </c>
      <c r="AI174" s="22">
        <v>13.903125000000001</v>
      </c>
      <c r="AJ174" s="19">
        <v>14.0</v>
      </c>
      <c r="AK174" s="19">
        <v>14.0</v>
      </c>
      <c r="AL174" s="19">
        <v>13.0</v>
      </c>
      <c r="AM174" s="19">
        <v>41.0</v>
      </c>
      <c r="AN174" s="19">
        <v>54.9</v>
      </c>
      <c r="AO174" s="19">
        <v>76.9</v>
      </c>
      <c r="AP174" s="19">
        <v>335.0</v>
      </c>
      <c r="AQ174" s="23">
        <v>169.0</v>
      </c>
      <c r="AR174" s="23">
        <v>13.0</v>
      </c>
      <c r="AS174" s="22"/>
      <c r="AT174" s="19" t="s">
        <v>2163</v>
      </c>
      <c r="AU174" s="19" t="s">
        <v>5423</v>
      </c>
      <c r="AV174" s="19" t="s">
        <v>5424</v>
      </c>
      <c r="AW174" s="19" t="s">
        <v>3923</v>
      </c>
      <c r="AX174" s="20">
        <v>37226.0</v>
      </c>
      <c r="AY174" s="19" t="s">
        <v>4978</v>
      </c>
      <c r="AZ174" s="19" t="s">
        <v>2310</v>
      </c>
      <c r="BA174" s="19" t="s">
        <v>5425</v>
      </c>
      <c r="BB174" s="19" t="s">
        <v>4980</v>
      </c>
      <c r="BC174" s="19" t="s">
        <v>5426</v>
      </c>
      <c r="BD174" s="19" t="s">
        <v>5427</v>
      </c>
      <c r="BE174" s="19" t="s">
        <v>5428</v>
      </c>
      <c r="BF174" s="19">
        <v>1.1978459442E10</v>
      </c>
      <c r="BG174" s="19" t="s">
        <v>4038</v>
      </c>
      <c r="BH174" s="19" t="s">
        <v>2128</v>
      </c>
      <c r="BI174" s="19"/>
      <c r="BJ174" s="19" t="s">
        <v>2427</v>
      </c>
      <c r="BK174" s="19" t="s">
        <v>17</v>
      </c>
      <c r="BL174" s="19"/>
      <c r="BM174" s="19" t="s">
        <v>2130</v>
      </c>
      <c r="BN174" s="19" t="s">
        <v>5429</v>
      </c>
      <c r="BO174" s="19" t="s">
        <v>3199</v>
      </c>
      <c r="BP174" s="19"/>
      <c r="BQ174" s="19" t="s">
        <v>2318</v>
      </c>
      <c r="BR174" s="19" t="s">
        <v>2318</v>
      </c>
      <c r="BS174" s="19" t="s">
        <v>2243</v>
      </c>
      <c r="BT174" s="19" t="s">
        <v>42</v>
      </c>
      <c r="BU174" s="19" t="s">
        <v>5430</v>
      </c>
      <c r="BV174" s="19" t="s">
        <v>5431</v>
      </c>
      <c r="BW174" s="19"/>
      <c r="BX174" s="19"/>
      <c r="BY174" s="19"/>
      <c r="BZ174" s="19" t="s">
        <v>2113</v>
      </c>
      <c r="CA174" s="19" t="s">
        <v>2113</v>
      </c>
      <c r="CB174" s="19" t="s">
        <v>2113</v>
      </c>
      <c r="CC174" s="19"/>
      <c r="CD174" s="19" t="s">
        <v>2137</v>
      </c>
      <c r="CE174" s="19" t="s">
        <v>16</v>
      </c>
      <c r="CF174" s="19"/>
      <c r="CG174" s="19"/>
      <c r="CH174" s="19" t="s">
        <v>16</v>
      </c>
      <c r="CI174" s="21">
        <v>0.0</v>
      </c>
      <c r="CJ174" s="19" t="s">
        <v>17</v>
      </c>
      <c r="CK174" s="19"/>
      <c r="CL174" s="19"/>
      <c r="CM174" s="19" t="s">
        <v>2138</v>
      </c>
      <c r="CN174" s="19" t="s">
        <v>4985</v>
      </c>
      <c r="CO174" s="19"/>
      <c r="CP174" s="19" t="s">
        <v>2246</v>
      </c>
      <c r="CQ174" s="19"/>
      <c r="CR174" s="19" t="s">
        <v>2113</v>
      </c>
      <c r="CS174" s="19" t="s">
        <v>2113</v>
      </c>
      <c r="CT174" s="19"/>
      <c r="CU174" s="19"/>
      <c r="CV174" s="19" t="s">
        <v>2141</v>
      </c>
      <c r="CW174" s="19"/>
      <c r="CX174" s="19"/>
      <c r="CY174" s="19"/>
      <c r="CZ174" s="19"/>
      <c r="DA174" s="19" t="s">
        <v>16</v>
      </c>
      <c r="DB174" s="19" t="s">
        <v>17</v>
      </c>
      <c r="DC174" s="19" t="s">
        <v>2983</v>
      </c>
      <c r="DD174" s="19" t="s">
        <v>2113</v>
      </c>
      <c r="DE174" s="19" t="s">
        <v>2113</v>
      </c>
      <c r="DF174" s="19" t="s">
        <v>2433</v>
      </c>
      <c r="DG174" s="19" t="s">
        <v>3280</v>
      </c>
      <c r="DH174" s="19" t="s">
        <v>2144</v>
      </c>
      <c r="DI174" s="24">
        <v>45525.0</v>
      </c>
      <c r="DJ174" s="19" t="s">
        <v>2325</v>
      </c>
      <c r="DK174" s="19" t="s">
        <v>2271</v>
      </c>
      <c r="DL174" s="19" t="s">
        <v>2326</v>
      </c>
      <c r="DM174" s="19"/>
      <c r="DN174" s="19">
        <v>10.0</v>
      </c>
      <c r="DO174" s="19">
        <v>10.0</v>
      </c>
      <c r="DP174" s="19" t="s">
        <v>5432</v>
      </c>
      <c r="DQ174" s="19" t="s">
        <v>5433</v>
      </c>
      <c r="DR174" s="19" t="s">
        <v>5434</v>
      </c>
      <c r="DS174" s="19" t="s">
        <v>2365</v>
      </c>
      <c r="DT174" s="19" t="s">
        <v>2209</v>
      </c>
      <c r="DU174" s="19"/>
      <c r="DV174" s="19"/>
      <c r="DW174" s="19" t="s">
        <v>2153</v>
      </c>
      <c r="DX174" s="19">
        <v>9.0</v>
      </c>
      <c r="DY174" s="19">
        <v>0.0</v>
      </c>
      <c r="DZ174" s="19">
        <v>0.0</v>
      </c>
      <c r="EA174" s="19">
        <v>0.0</v>
      </c>
      <c r="EB174" s="19">
        <v>0.0</v>
      </c>
      <c r="EC174" s="19">
        <v>20.0</v>
      </c>
      <c r="ED174" s="19" t="s">
        <v>2325</v>
      </c>
      <c r="EE174" s="24">
        <v>45525.0</v>
      </c>
      <c r="EF174" s="19" t="s">
        <v>2325</v>
      </c>
      <c r="EG174" s="19" t="s">
        <v>2271</v>
      </c>
      <c r="EH174" s="19" t="s">
        <v>2326</v>
      </c>
      <c r="EI174" s="22">
        <v>13.903125000000001</v>
      </c>
      <c r="EJ174" s="19">
        <v>41.0</v>
      </c>
      <c r="EK174" s="19" t="s">
        <v>2113</v>
      </c>
      <c r="EL174" s="19" t="s">
        <v>2163</v>
      </c>
      <c r="EM174" s="19" t="s">
        <v>5423</v>
      </c>
      <c r="EN174" s="19" t="s">
        <v>521</v>
      </c>
      <c r="EO174" s="19" t="s">
        <v>4978</v>
      </c>
      <c r="EP174" s="19" t="s">
        <v>2310</v>
      </c>
      <c r="EQ174" s="19" t="s">
        <v>4985</v>
      </c>
      <c r="ER174" s="19"/>
      <c r="ES174" s="19" t="s">
        <v>521</v>
      </c>
      <c r="ET174" s="19" t="s">
        <v>521</v>
      </c>
      <c r="EU174" s="19" t="s">
        <v>5421</v>
      </c>
      <c r="EV174" s="19">
        <v>8235.0</v>
      </c>
      <c r="EW174" s="19" t="s">
        <v>16</v>
      </c>
      <c r="EX174" s="19">
        <v>2.0</v>
      </c>
      <c r="EY174" s="25" t="s">
        <v>520</v>
      </c>
      <c r="EZ174" s="19" t="s">
        <v>2154</v>
      </c>
      <c r="FA174" s="5" t="s">
        <v>5435</v>
      </c>
      <c r="FB174" s="26" t="s">
        <v>2156</v>
      </c>
      <c r="FC174" s="26"/>
    </row>
    <row r="175">
      <c r="A175" s="19" t="s">
        <v>2112</v>
      </c>
      <c r="B175" s="19" t="s">
        <v>2113</v>
      </c>
      <c r="C175" s="19" t="s">
        <v>2113</v>
      </c>
      <c r="D175" s="19" t="s">
        <v>522</v>
      </c>
      <c r="E175" s="19" t="s">
        <v>5436</v>
      </c>
      <c r="F175" s="19" t="s">
        <v>5437</v>
      </c>
      <c r="G175" s="19" t="s">
        <v>5438</v>
      </c>
      <c r="H175" s="19" t="s">
        <v>522</v>
      </c>
      <c r="I175" s="19" t="s">
        <v>524</v>
      </c>
      <c r="J175" s="19" t="s">
        <v>5439</v>
      </c>
      <c r="K175" s="19" t="s">
        <v>5440</v>
      </c>
      <c r="L175" s="20">
        <v>45456.0</v>
      </c>
      <c r="M175" s="20">
        <v>45457.0</v>
      </c>
      <c r="N175" s="20">
        <v>45457.0</v>
      </c>
      <c r="O175" s="19" t="s">
        <v>523</v>
      </c>
      <c r="P175" s="19">
        <v>0.0</v>
      </c>
      <c r="Q175" s="19">
        <v>26.0</v>
      </c>
      <c r="R175" s="19">
        <v>9701.0</v>
      </c>
      <c r="S175" s="20" t="s">
        <v>4070</v>
      </c>
      <c r="T175" s="20">
        <v>45461.0</v>
      </c>
      <c r="U175" s="19" t="s">
        <v>5437</v>
      </c>
      <c r="V175" s="19"/>
      <c r="W175" s="19" t="s">
        <v>5441</v>
      </c>
      <c r="X175" s="21">
        <v>20.0</v>
      </c>
      <c r="Y175" s="21">
        <v>0.0</v>
      </c>
      <c r="Z175" s="21">
        <v>1.0</v>
      </c>
      <c r="AA175" s="21">
        <v>0.0</v>
      </c>
      <c r="AB175" s="5">
        <v>21.0</v>
      </c>
      <c r="AC175" s="19">
        <v>3.6</v>
      </c>
      <c r="AD175" s="19">
        <v>3.0</v>
      </c>
      <c r="AE175" s="19">
        <v>4.0</v>
      </c>
      <c r="AF175" s="19">
        <v>3.3</v>
      </c>
      <c r="AG175" s="19">
        <v>4.0</v>
      </c>
      <c r="AH175" s="19">
        <v>4.0</v>
      </c>
      <c r="AI175" s="22">
        <v>10.89375</v>
      </c>
      <c r="AJ175" s="19">
        <v>15.0</v>
      </c>
      <c r="AK175" s="19">
        <v>15.0</v>
      </c>
      <c r="AL175" s="19">
        <v>15.0</v>
      </c>
      <c r="AM175" s="19">
        <v>45.0</v>
      </c>
      <c r="AN175" s="19">
        <v>55.9</v>
      </c>
      <c r="AO175" s="19">
        <v>76.9</v>
      </c>
      <c r="AP175" s="19">
        <v>341.0</v>
      </c>
      <c r="AQ175" s="23">
        <v>170.0</v>
      </c>
      <c r="AR175" s="23">
        <v>16.0</v>
      </c>
      <c r="AS175" s="22"/>
      <c r="AT175" s="19" t="s">
        <v>2163</v>
      </c>
      <c r="AU175" s="19" t="s">
        <v>5442</v>
      </c>
      <c r="AV175" s="19" t="s">
        <v>5443</v>
      </c>
      <c r="AW175" s="19"/>
      <c r="AX175" s="20">
        <v>35760.0</v>
      </c>
      <c r="AY175" s="19" t="s">
        <v>4917</v>
      </c>
      <c r="AZ175" s="19" t="s">
        <v>2122</v>
      </c>
      <c r="BA175" s="19" t="s">
        <v>5444</v>
      </c>
      <c r="BB175" s="19" t="s">
        <v>5445</v>
      </c>
      <c r="BC175" s="19" t="s">
        <v>5446</v>
      </c>
      <c r="BD175" s="19" t="s">
        <v>5447</v>
      </c>
      <c r="BE175" s="19" t="s">
        <v>5439</v>
      </c>
      <c r="BF175" s="19" t="s">
        <v>2177</v>
      </c>
      <c r="BG175" s="19" t="s">
        <v>2127</v>
      </c>
      <c r="BH175" s="19" t="s">
        <v>2128</v>
      </c>
      <c r="BI175" s="19"/>
      <c r="BJ175" s="19"/>
      <c r="BK175" s="19" t="s">
        <v>16</v>
      </c>
      <c r="BL175" s="19" t="s">
        <v>2113</v>
      </c>
      <c r="BM175" s="19" t="s">
        <v>2130</v>
      </c>
      <c r="BN175" s="19" t="s">
        <v>17</v>
      </c>
      <c r="BO175" s="19" t="s">
        <v>3082</v>
      </c>
      <c r="BP175" s="19"/>
      <c r="BQ175" s="19" t="s">
        <v>2174</v>
      </c>
      <c r="BR175" s="19" t="s">
        <v>2174</v>
      </c>
      <c r="BS175" s="19" t="s">
        <v>3521</v>
      </c>
      <c r="BT175" s="19" t="s">
        <v>34</v>
      </c>
      <c r="BU175" s="19" t="s">
        <v>5448</v>
      </c>
      <c r="BV175" s="19" t="s">
        <v>5449</v>
      </c>
      <c r="BW175" s="19"/>
      <c r="BX175" s="19"/>
      <c r="BY175" s="19" t="s">
        <v>2113</v>
      </c>
      <c r="BZ175" s="19" t="s">
        <v>2113</v>
      </c>
      <c r="CA175" s="19" t="s">
        <v>2113</v>
      </c>
      <c r="CB175" s="19" t="s">
        <v>2113</v>
      </c>
      <c r="CC175" s="19"/>
      <c r="CD175" s="19" t="s">
        <v>2137</v>
      </c>
      <c r="CE175" s="19" t="s">
        <v>16</v>
      </c>
      <c r="CF175" s="19"/>
      <c r="CG175" s="19"/>
      <c r="CH175" s="19" t="s">
        <v>16</v>
      </c>
      <c r="CI175" s="21">
        <v>0.0</v>
      </c>
      <c r="CJ175" s="19" t="s">
        <v>17</v>
      </c>
      <c r="CK175" s="19"/>
      <c r="CL175" s="19"/>
      <c r="CM175" s="19" t="s">
        <v>2138</v>
      </c>
      <c r="CN175" s="19" t="s">
        <v>4925</v>
      </c>
      <c r="CO175" s="19"/>
      <c r="CP175" s="19"/>
      <c r="CQ175" s="19"/>
      <c r="CR175" s="19"/>
      <c r="CS175" s="19"/>
      <c r="CT175" s="19" t="s">
        <v>2113</v>
      </c>
      <c r="CU175" s="19" t="s">
        <v>2113</v>
      </c>
      <c r="CV175" s="19" t="s">
        <v>2141</v>
      </c>
      <c r="CW175" s="19" t="s">
        <v>2113</v>
      </c>
      <c r="CX175" s="19" t="s">
        <v>2113</v>
      </c>
      <c r="CY175" s="19"/>
      <c r="CZ175" s="19"/>
      <c r="DA175" s="19" t="s">
        <v>16</v>
      </c>
      <c r="DB175" s="19" t="s">
        <v>17</v>
      </c>
      <c r="DC175" s="19" t="s">
        <v>2364</v>
      </c>
      <c r="DD175" s="19" t="s">
        <v>2113</v>
      </c>
      <c r="DE175" s="19" t="s">
        <v>2113</v>
      </c>
      <c r="DF175" s="19" t="s">
        <v>5450</v>
      </c>
      <c r="DG175" s="19" t="s">
        <v>2181</v>
      </c>
      <c r="DH175" s="19" t="s">
        <v>2144</v>
      </c>
      <c r="DI175" s="24">
        <v>45525.0</v>
      </c>
      <c r="DJ175" s="19" t="s">
        <v>2174</v>
      </c>
      <c r="DK175" s="19" t="s">
        <v>2145</v>
      </c>
      <c r="DL175" s="19" t="s">
        <v>2183</v>
      </c>
      <c r="DM175" s="19" t="s">
        <v>2249</v>
      </c>
      <c r="DN175" s="19">
        <v>9.0</v>
      </c>
      <c r="DO175" s="19">
        <v>9.0</v>
      </c>
      <c r="DP175" s="19" t="s">
        <v>5451</v>
      </c>
      <c r="DQ175" s="19" t="s">
        <v>5452</v>
      </c>
      <c r="DR175" s="19" t="s">
        <v>5453</v>
      </c>
      <c r="DS175" s="19" t="s">
        <v>2151</v>
      </c>
      <c r="DT175" s="19" t="s">
        <v>2152</v>
      </c>
      <c r="DU175" s="19"/>
      <c r="DV175" s="19"/>
      <c r="DW175" s="19" t="s">
        <v>2153</v>
      </c>
      <c r="DX175" s="19">
        <v>14.0</v>
      </c>
      <c r="DY175" s="19">
        <v>0.0</v>
      </c>
      <c r="DZ175" s="19">
        <v>0.0</v>
      </c>
      <c r="EA175" s="19">
        <v>0.0</v>
      </c>
      <c r="EB175" s="19">
        <v>0.0</v>
      </c>
      <c r="EC175" s="19">
        <v>20.0</v>
      </c>
      <c r="ED175" s="19" t="s">
        <v>2174</v>
      </c>
      <c r="EE175" s="24">
        <v>45525.0</v>
      </c>
      <c r="EF175" s="19" t="s">
        <v>2174</v>
      </c>
      <c r="EG175" s="19" t="s">
        <v>2145</v>
      </c>
      <c r="EH175" s="19" t="s">
        <v>2183</v>
      </c>
      <c r="EI175" s="22">
        <v>10.89375</v>
      </c>
      <c r="EJ175" s="19">
        <v>45.0</v>
      </c>
      <c r="EK175" s="19" t="s">
        <v>2113</v>
      </c>
      <c r="EL175" s="19" t="s">
        <v>2163</v>
      </c>
      <c r="EM175" s="19" t="s">
        <v>5442</v>
      </c>
      <c r="EN175" s="19" t="s">
        <v>524</v>
      </c>
      <c r="EO175" s="19" t="s">
        <v>4917</v>
      </c>
      <c r="EP175" s="19" t="s">
        <v>2122</v>
      </c>
      <c r="EQ175" s="19" t="s">
        <v>4925</v>
      </c>
      <c r="ER175" s="19"/>
      <c r="ES175" s="19" t="s">
        <v>524</v>
      </c>
      <c r="ET175" s="19" t="s">
        <v>524</v>
      </c>
      <c r="EU175" s="19" t="s">
        <v>5440</v>
      </c>
      <c r="EV175" s="19">
        <v>9701.0</v>
      </c>
      <c r="EW175" s="19" t="s">
        <v>16</v>
      </c>
      <c r="EX175" s="19">
        <v>1.0</v>
      </c>
      <c r="EY175" s="25" t="s">
        <v>523</v>
      </c>
      <c r="EZ175" s="19" t="s">
        <v>2154</v>
      </c>
      <c r="FA175" s="5" t="s">
        <v>5454</v>
      </c>
      <c r="FB175" s="26" t="s">
        <v>2156</v>
      </c>
      <c r="FC175" s="26"/>
    </row>
    <row r="176">
      <c r="A176" s="19" t="s">
        <v>2112</v>
      </c>
      <c r="B176" s="19" t="s">
        <v>2113</v>
      </c>
      <c r="C176" s="19" t="s">
        <v>2113</v>
      </c>
      <c r="D176" s="19" t="s">
        <v>5455</v>
      </c>
      <c r="E176" s="19" t="s">
        <v>5456</v>
      </c>
      <c r="F176" s="19" t="s">
        <v>5455</v>
      </c>
      <c r="G176" s="19"/>
      <c r="H176" s="19" t="s">
        <v>525</v>
      </c>
      <c r="I176" s="19" t="s">
        <v>527</v>
      </c>
      <c r="J176" s="19" t="s">
        <v>5457</v>
      </c>
      <c r="K176" s="19" t="s">
        <v>5458</v>
      </c>
      <c r="L176" s="20">
        <v>45460.0</v>
      </c>
      <c r="M176" s="20">
        <v>45462.0</v>
      </c>
      <c r="N176" s="20">
        <v>45462.0</v>
      </c>
      <c r="O176" s="19" t="s">
        <v>526</v>
      </c>
      <c r="P176" s="19">
        <v>0.0</v>
      </c>
      <c r="Q176" s="19">
        <v>25.0</v>
      </c>
      <c r="R176" s="19">
        <v>9460.0</v>
      </c>
      <c r="S176" s="20" t="s">
        <v>5459</v>
      </c>
      <c r="T176" s="20">
        <v>45461.0</v>
      </c>
      <c r="U176" s="19" t="s">
        <v>5455</v>
      </c>
      <c r="V176" s="19"/>
      <c r="W176" s="19" t="s">
        <v>5460</v>
      </c>
      <c r="X176" s="21">
        <v>20.0</v>
      </c>
      <c r="Y176" s="21">
        <v>0.0</v>
      </c>
      <c r="Z176" s="21">
        <v>2.0</v>
      </c>
      <c r="AA176" s="21">
        <v>0.0</v>
      </c>
      <c r="AB176" s="5">
        <v>22.0</v>
      </c>
      <c r="AC176" s="19">
        <v>5.0</v>
      </c>
      <c r="AD176" s="19">
        <v>4.0</v>
      </c>
      <c r="AE176" s="19">
        <v>4.0</v>
      </c>
      <c r="AF176" s="19">
        <v>4.0</v>
      </c>
      <c r="AG176" s="19">
        <v>5.0</v>
      </c>
      <c r="AH176" s="19">
        <v>4.0</v>
      </c>
      <c r="AI176" s="22">
        <v>12.84375</v>
      </c>
      <c r="AJ176" s="19">
        <v>12.0</v>
      </c>
      <c r="AK176" s="19">
        <v>15.0</v>
      </c>
      <c r="AL176" s="19">
        <v>15.0</v>
      </c>
      <c r="AM176" s="19">
        <v>42.0</v>
      </c>
      <c r="AN176" s="19">
        <v>54.8</v>
      </c>
      <c r="AO176" s="19">
        <v>76.8</v>
      </c>
      <c r="AP176" s="19">
        <v>334.0</v>
      </c>
      <c r="AQ176" s="23">
        <v>171.0</v>
      </c>
      <c r="AR176" s="23">
        <v>9.0</v>
      </c>
      <c r="AS176" s="22"/>
      <c r="AT176" s="19" t="s">
        <v>2163</v>
      </c>
      <c r="AU176" s="19" t="s">
        <v>5461</v>
      </c>
      <c r="AV176" s="19" t="s">
        <v>5462</v>
      </c>
      <c r="AW176" s="19" t="s">
        <v>2166</v>
      </c>
      <c r="AX176" s="20">
        <v>36001.0</v>
      </c>
      <c r="AY176" s="19" t="s">
        <v>5463</v>
      </c>
      <c r="AZ176" s="19" t="s">
        <v>2122</v>
      </c>
      <c r="BA176" s="19" t="s">
        <v>5464</v>
      </c>
      <c r="BB176" s="19" t="s">
        <v>5465</v>
      </c>
      <c r="BC176" s="19" t="s">
        <v>5466</v>
      </c>
      <c r="BD176" s="19" t="s">
        <v>5467</v>
      </c>
      <c r="BE176" s="19" t="s">
        <v>5468</v>
      </c>
      <c r="BF176" s="19">
        <v>1.1945035967E10</v>
      </c>
      <c r="BG176" s="19" t="s">
        <v>4038</v>
      </c>
      <c r="BH176" s="19" t="s">
        <v>2128</v>
      </c>
      <c r="BI176" s="19"/>
      <c r="BJ176" s="19" t="s">
        <v>2129</v>
      </c>
      <c r="BK176" s="19" t="s">
        <v>17</v>
      </c>
      <c r="BL176" s="19"/>
      <c r="BM176" s="19" t="s">
        <v>2130</v>
      </c>
      <c r="BN176" s="19" t="s">
        <v>5469</v>
      </c>
      <c r="BO176" s="19" t="s">
        <v>3199</v>
      </c>
      <c r="BP176" s="19" t="s">
        <v>5470</v>
      </c>
      <c r="BQ176" s="19" t="s">
        <v>2133</v>
      </c>
      <c r="BR176" s="19" t="s">
        <v>2133</v>
      </c>
      <c r="BS176" s="19" t="s">
        <v>3521</v>
      </c>
      <c r="BT176" s="19" t="s">
        <v>222</v>
      </c>
      <c r="BU176" s="19" t="s">
        <v>5471</v>
      </c>
      <c r="BV176" s="19" t="s">
        <v>5472</v>
      </c>
      <c r="BW176" s="19"/>
      <c r="BX176" s="19"/>
      <c r="BY176" s="19"/>
      <c r="BZ176" s="19"/>
      <c r="CA176" s="19"/>
      <c r="CB176" s="19" t="s">
        <v>2113</v>
      </c>
      <c r="CC176" s="19"/>
      <c r="CD176" s="19" t="s">
        <v>2137</v>
      </c>
      <c r="CE176" s="19" t="s">
        <v>16</v>
      </c>
      <c r="CF176" s="19"/>
      <c r="CG176" s="19"/>
      <c r="CH176" s="19" t="s">
        <v>16</v>
      </c>
      <c r="CI176" s="21">
        <v>0.0</v>
      </c>
      <c r="CJ176" s="19" t="s">
        <v>17</v>
      </c>
      <c r="CK176" s="19"/>
      <c r="CL176" s="19" t="s">
        <v>2113</v>
      </c>
      <c r="CM176" s="19" t="s">
        <v>2138</v>
      </c>
      <c r="CN176" s="19" t="s">
        <v>4465</v>
      </c>
      <c r="CO176" s="19"/>
      <c r="CP176" s="19" t="s">
        <v>2267</v>
      </c>
      <c r="CQ176" s="19"/>
      <c r="CR176" s="19"/>
      <c r="CS176" s="19"/>
      <c r="CT176" s="19" t="s">
        <v>2113</v>
      </c>
      <c r="CU176" s="19" t="s">
        <v>2113</v>
      </c>
      <c r="CV176" s="19" t="s">
        <v>2141</v>
      </c>
      <c r="CW176" s="19" t="s">
        <v>2113</v>
      </c>
      <c r="CX176" s="19" t="s">
        <v>2113</v>
      </c>
      <c r="CY176" s="19"/>
      <c r="CZ176" s="19"/>
      <c r="DA176" s="19" t="s">
        <v>16</v>
      </c>
      <c r="DB176" s="19" t="s">
        <v>17</v>
      </c>
      <c r="DC176" s="19" t="s">
        <v>2579</v>
      </c>
      <c r="DD176" s="19" t="s">
        <v>2113</v>
      </c>
      <c r="DE176" s="19" t="s">
        <v>2113</v>
      </c>
      <c r="DF176" s="19" t="s">
        <v>2433</v>
      </c>
      <c r="DG176" s="19" t="s">
        <v>2602</v>
      </c>
      <c r="DH176" s="19" t="s">
        <v>2144</v>
      </c>
      <c r="DI176" s="24">
        <v>45533.0</v>
      </c>
      <c r="DJ176" s="19" t="s">
        <v>2133</v>
      </c>
      <c r="DK176" s="19" t="s">
        <v>2145</v>
      </c>
      <c r="DL176" s="19" t="s">
        <v>2146</v>
      </c>
      <c r="DM176" s="19" t="s">
        <v>2147</v>
      </c>
      <c r="DN176" s="19">
        <v>17.0</v>
      </c>
      <c r="DO176" s="19">
        <v>17.0</v>
      </c>
      <c r="DP176" s="19" t="s">
        <v>5473</v>
      </c>
      <c r="DQ176" s="19" t="s">
        <v>5474</v>
      </c>
      <c r="DR176" s="19" t="s">
        <v>5475</v>
      </c>
      <c r="DS176" s="19" t="s">
        <v>2151</v>
      </c>
      <c r="DT176" s="19" t="s">
        <v>2350</v>
      </c>
      <c r="DU176" s="19"/>
      <c r="DV176" s="19"/>
      <c r="DW176" s="19" t="s">
        <v>2153</v>
      </c>
      <c r="DX176" s="19">
        <v>12.0</v>
      </c>
      <c r="DY176" s="19">
        <v>0.0</v>
      </c>
      <c r="DZ176" s="19">
        <v>0.0</v>
      </c>
      <c r="EA176" s="19">
        <v>0.0</v>
      </c>
      <c r="EB176" s="19">
        <v>0.0</v>
      </c>
      <c r="EC176" s="19">
        <v>20.0</v>
      </c>
      <c r="ED176" s="19" t="s">
        <v>2133</v>
      </c>
      <c r="EE176" s="24">
        <v>45533.0</v>
      </c>
      <c r="EF176" s="19" t="s">
        <v>2133</v>
      </c>
      <c r="EG176" s="19" t="s">
        <v>2145</v>
      </c>
      <c r="EH176" s="19" t="s">
        <v>2146</v>
      </c>
      <c r="EI176" s="22">
        <v>12.84375</v>
      </c>
      <c r="EJ176" s="19">
        <v>42.0</v>
      </c>
      <c r="EK176" s="19" t="s">
        <v>2113</v>
      </c>
      <c r="EL176" s="19" t="s">
        <v>2163</v>
      </c>
      <c r="EM176" s="19" t="s">
        <v>5461</v>
      </c>
      <c r="EN176" s="19" t="s">
        <v>527</v>
      </c>
      <c r="EO176" s="19" t="s">
        <v>5463</v>
      </c>
      <c r="EP176" s="19" t="s">
        <v>2122</v>
      </c>
      <c r="EQ176" s="19" t="s">
        <v>4465</v>
      </c>
      <c r="ER176" s="19"/>
      <c r="ES176" s="19" t="s">
        <v>527</v>
      </c>
      <c r="ET176" s="19" t="s">
        <v>527</v>
      </c>
      <c r="EU176" s="19" t="s">
        <v>5458</v>
      </c>
      <c r="EV176" s="19">
        <v>9460.0</v>
      </c>
      <c r="EW176" s="19" t="s">
        <v>16</v>
      </c>
      <c r="EX176" s="19">
        <v>2.0</v>
      </c>
      <c r="EY176" s="25" t="s">
        <v>526</v>
      </c>
      <c r="EZ176" s="19" t="s">
        <v>2154</v>
      </c>
      <c r="FA176" s="5" t="s">
        <v>5476</v>
      </c>
      <c r="FB176" s="26" t="s">
        <v>2156</v>
      </c>
      <c r="FC176" s="26"/>
    </row>
    <row r="177">
      <c r="A177" s="19" t="s">
        <v>2112</v>
      </c>
      <c r="B177" s="19"/>
      <c r="C177" s="19" t="s">
        <v>2113</v>
      </c>
      <c r="D177" s="19" t="s">
        <v>5477</v>
      </c>
      <c r="E177" s="19" t="s">
        <v>5478</v>
      </c>
      <c r="F177" s="19" t="s">
        <v>528</v>
      </c>
      <c r="G177" s="19" t="s">
        <v>5479</v>
      </c>
      <c r="H177" s="19" t="s">
        <v>528</v>
      </c>
      <c r="I177" s="19" t="s">
        <v>530</v>
      </c>
      <c r="J177" s="19" t="s">
        <v>5480</v>
      </c>
      <c r="K177" s="19" t="s">
        <v>5481</v>
      </c>
      <c r="L177" s="20">
        <v>45443.0</v>
      </c>
      <c r="M177" s="20">
        <v>45446.0</v>
      </c>
      <c r="N177" s="20">
        <v>45446.0</v>
      </c>
      <c r="O177" s="19" t="s">
        <v>529</v>
      </c>
      <c r="P177" s="19">
        <v>0.0</v>
      </c>
      <c r="Q177" s="19">
        <v>22.0</v>
      </c>
      <c r="R177" s="19">
        <v>8378.0</v>
      </c>
      <c r="S177" s="20" t="s">
        <v>5482</v>
      </c>
      <c r="T177" s="20">
        <v>45461.0</v>
      </c>
      <c r="U177" s="19" t="s">
        <v>528</v>
      </c>
      <c r="V177" s="19"/>
      <c r="W177" s="19" t="s">
        <v>5483</v>
      </c>
      <c r="X177" s="21">
        <v>0.0</v>
      </c>
      <c r="Y177" s="21">
        <v>10.0</v>
      </c>
      <c r="Z177" s="21">
        <v>5.0</v>
      </c>
      <c r="AA177" s="21">
        <v>3.0</v>
      </c>
      <c r="AB177" s="5">
        <v>18.0</v>
      </c>
      <c r="AC177" s="19">
        <v>4.4</v>
      </c>
      <c r="AD177" s="19">
        <v>5.0</v>
      </c>
      <c r="AE177" s="19">
        <v>4.4</v>
      </c>
      <c r="AF177" s="19">
        <v>4.4</v>
      </c>
      <c r="AG177" s="19">
        <v>4.8</v>
      </c>
      <c r="AH177" s="19">
        <v>4.2</v>
      </c>
      <c r="AI177" s="22">
        <v>13.668750000000001</v>
      </c>
      <c r="AJ177" s="19">
        <v>15.0</v>
      </c>
      <c r="AK177" s="19">
        <v>15.0</v>
      </c>
      <c r="AL177" s="19">
        <v>15.0</v>
      </c>
      <c r="AM177" s="19">
        <v>45.0</v>
      </c>
      <c r="AN177" s="19">
        <v>58.7</v>
      </c>
      <c r="AO177" s="19">
        <v>76.7</v>
      </c>
      <c r="AP177" s="19">
        <v>352.0</v>
      </c>
      <c r="AQ177" s="23">
        <v>172.0</v>
      </c>
      <c r="AR177" s="23">
        <v>12.0</v>
      </c>
      <c r="AS177" s="22"/>
      <c r="AT177" s="19" t="s">
        <v>2282</v>
      </c>
      <c r="AU177" s="19" t="s">
        <v>5484</v>
      </c>
      <c r="AV177" s="19" t="s">
        <v>5485</v>
      </c>
      <c r="AW177" s="19" t="s">
        <v>2166</v>
      </c>
      <c r="AX177" s="20">
        <v>37083.0</v>
      </c>
      <c r="AY177" s="19" t="s">
        <v>2529</v>
      </c>
      <c r="AZ177" s="19" t="s">
        <v>2310</v>
      </c>
      <c r="BA177" s="19" t="s">
        <v>5486</v>
      </c>
      <c r="BB177" s="19" t="s">
        <v>5487</v>
      </c>
      <c r="BC177" s="19" t="s">
        <v>5488</v>
      </c>
      <c r="BD177" s="19" t="s">
        <v>5489</v>
      </c>
      <c r="BE177" s="19" t="s">
        <v>5480</v>
      </c>
      <c r="BF177" s="19">
        <v>1.1910432171E10</v>
      </c>
      <c r="BG177" s="19" t="s">
        <v>2127</v>
      </c>
      <c r="BH177" s="19" t="s">
        <v>2128</v>
      </c>
      <c r="BI177" s="19"/>
      <c r="BJ177" s="19"/>
      <c r="BK177" s="19" t="s">
        <v>16</v>
      </c>
      <c r="BL177" s="19"/>
      <c r="BM177" s="19" t="s">
        <v>5411</v>
      </c>
      <c r="BN177" s="19" t="s">
        <v>2172</v>
      </c>
      <c r="BO177" s="19" t="s">
        <v>2132</v>
      </c>
      <c r="BP177" s="19" t="s">
        <v>5490</v>
      </c>
      <c r="BQ177" s="19" t="s">
        <v>2174</v>
      </c>
      <c r="BR177" s="19" t="s">
        <v>2174</v>
      </c>
      <c r="BS177" s="19" t="s">
        <v>2134</v>
      </c>
      <c r="BT177" s="19" t="s">
        <v>75</v>
      </c>
      <c r="BU177" s="19"/>
      <c r="BV177" s="19"/>
      <c r="BW177" s="19"/>
      <c r="BX177" s="19"/>
      <c r="BY177" s="19"/>
      <c r="BZ177" s="19"/>
      <c r="CA177" s="19"/>
      <c r="CB177" s="19" t="s">
        <v>2113</v>
      </c>
      <c r="CC177" s="19" t="s">
        <v>2113</v>
      </c>
      <c r="CD177" s="19" t="s">
        <v>2137</v>
      </c>
      <c r="CE177" s="19" t="s">
        <v>16</v>
      </c>
      <c r="CF177" s="19"/>
      <c r="CG177" s="19"/>
      <c r="CH177" s="19" t="s">
        <v>17</v>
      </c>
      <c r="CI177" s="21">
        <v>3.0</v>
      </c>
      <c r="CJ177" s="19" t="s">
        <v>16</v>
      </c>
      <c r="CK177" s="19"/>
      <c r="CL177" s="19"/>
      <c r="CM177" s="19" t="s">
        <v>2138</v>
      </c>
      <c r="CN177" s="19" t="s">
        <v>2537</v>
      </c>
      <c r="CO177" s="19"/>
      <c r="CP177" s="19"/>
      <c r="CQ177" s="19"/>
      <c r="CR177" s="19" t="s">
        <v>2113</v>
      </c>
      <c r="CS177" s="19" t="s">
        <v>2113</v>
      </c>
      <c r="CT177" s="19" t="s">
        <v>2113</v>
      </c>
      <c r="CU177" s="19" t="s">
        <v>2113</v>
      </c>
      <c r="CV177" s="19" t="s">
        <v>2179</v>
      </c>
      <c r="CW177" s="19" t="s">
        <v>2113</v>
      </c>
      <c r="CX177" s="19" t="s">
        <v>2113</v>
      </c>
      <c r="CY177" s="19" t="s">
        <v>2113</v>
      </c>
      <c r="CZ177" s="19" t="s">
        <v>2113</v>
      </c>
      <c r="DA177" s="19" t="s">
        <v>16</v>
      </c>
      <c r="DB177" s="19" t="s">
        <v>16</v>
      </c>
      <c r="DC177" s="19" t="s">
        <v>4042</v>
      </c>
      <c r="DD177" s="19" t="s">
        <v>2113</v>
      </c>
      <c r="DE177" s="19" t="s">
        <v>2113</v>
      </c>
      <c r="DF177" s="19" t="s">
        <v>3222</v>
      </c>
      <c r="DG177" s="19" t="s">
        <v>2538</v>
      </c>
      <c r="DH177" s="19" t="s">
        <v>2144</v>
      </c>
      <c r="DI177" s="24">
        <v>45519.0</v>
      </c>
      <c r="DJ177" s="19" t="s">
        <v>2174</v>
      </c>
      <c r="DK177" s="19" t="s">
        <v>2145</v>
      </c>
      <c r="DL177" s="19" t="s">
        <v>2183</v>
      </c>
      <c r="DM177" s="19" t="s">
        <v>4885</v>
      </c>
      <c r="DN177" s="19">
        <v>5.0</v>
      </c>
      <c r="DO177" s="19">
        <v>5.0</v>
      </c>
      <c r="DP177" s="19"/>
      <c r="DQ177" s="19"/>
      <c r="DR177" s="19"/>
      <c r="DS177" s="19" t="s">
        <v>2151</v>
      </c>
      <c r="DT177" s="19" t="s">
        <v>2350</v>
      </c>
      <c r="DU177" s="19" t="s">
        <v>5491</v>
      </c>
      <c r="DV177" s="19"/>
      <c r="DW177" s="19" t="s">
        <v>2153</v>
      </c>
      <c r="DX177" s="19">
        <v>14.0</v>
      </c>
      <c r="DY177" s="19">
        <v>10.0</v>
      </c>
      <c r="DZ177" s="19">
        <v>0.0</v>
      </c>
      <c r="EA177" s="19">
        <v>10.0</v>
      </c>
      <c r="EB177" s="19">
        <v>3.0</v>
      </c>
      <c r="EC177" s="19">
        <v>0.0</v>
      </c>
      <c r="ED177" s="19" t="s">
        <v>2174</v>
      </c>
      <c r="EE177" s="24">
        <v>45519.0</v>
      </c>
      <c r="EF177" s="19" t="s">
        <v>2174</v>
      </c>
      <c r="EG177" s="19" t="s">
        <v>2145</v>
      </c>
      <c r="EH177" s="19" t="s">
        <v>2183</v>
      </c>
      <c r="EI177" s="22">
        <v>13.668750000000001</v>
      </c>
      <c r="EJ177" s="19">
        <v>45.0</v>
      </c>
      <c r="EK177" s="19"/>
      <c r="EL177" s="19" t="s">
        <v>2282</v>
      </c>
      <c r="EM177" s="19" t="s">
        <v>5484</v>
      </c>
      <c r="EN177" s="19" t="s">
        <v>530</v>
      </c>
      <c r="EO177" s="19" t="s">
        <v>2529</v>
      </c>
      <c r="EP177" s="19" t="s">
        <v>2310</v>
      </c>
      <c r="EQ177" s="19" t="s">
        <v>2537</v>
      </c>
      <c r="ER177" s="19"/>
      <c r="ES177" s="19" t="s">
        <v>530</v>
      </c>
      <c r="ET177" s="19" t="s">
        <v>530</v>
      </c>
      <c r="EU177" s="19" t="s">
        <v>5481</v>
      </c>
      <c r="EV177" s="19">
        <v>8378.0</v>
      </c>
      <c r="EW177" s="19" t="s">
        <v>16</v>
      </c>
      <c r="EX177" s="19">
        <v>5.0</v>
      </c>
      <c r="EY177" s="25" t="s">
        <v>529</v>
      </c>
      <c r="EZ177" s="19" t="s">
        <v>2154</v>
      </c>
      <c r="FA177" s="5" t="s">
        <v>5492</v>
      </c>
      <c r="FB177" s="26" t="s">
        <v>2156</v>
      </c>
      <c r="FC177" s="26"/>
    </row>
    <row r="178">
      <c r="A178" s="19" t="s">
        <v>2156</v>
      </c>
      <c r="B178" s="19" t="s">
        <v>2113</v>
      </c>
      <c r="C178" s="19" t="s">
        <v>2113</v>
      </c>
      <c r="D178" s="19" t="s">
        <v>531</v>
      </c>
      <c r="E178" s="19" t="s">
        <v>5493</v>
      </c>
      <c r="F178" s="19" t="s">
        <v>531</v>
      </c>
      <c r="G178" s="19"/>
      <c r="H178" s="19" t="s">
        <v>531</v>
      </c>
      <c r="I178" s="19" t="s">
        <v>533</v>
      </c>
      <c r="J178" s="19" t="s">
        <v>5494</v>
      </c>
      <c r="K178" s="19" t="s">
        <v>5495</v>
      </c>
      <c r="L178" s="20">
        <v>45397.0</v>
      </c>
      <c r="M178" s="20">
        <v>45411.0</v>
      </c>
      <c r="N178" s="20">
        <v>45411.0</v>
      </c>
      <c r="O178" s="19" t="s">
        <v>532</v>
      </c>
      <c r="P178" s="19">
        <v>0.0</v>
      </c>
      <c r="Q178" s="19">
        <v>24.0</v>
      </c>
      <c r="R178" s="19">
        <v>9001.0</v>
      </c>
      <c r="S178" s="20" t="s">
        <v>5496</v>
      </c>
      <c r="T178" s="20">
        <v>45461.0</v>
      </c>
      <c r="U178" s="19" t="s">
        <v>531</v>
      </c>
      <c r="V178" s="19"/>
      <c r="W178" s="19"/>
      <c r="X178" s="21">
        <v>20.0</v>
      </c>
      <c r="Y178" s="21">
        <v>0.0</v>
      </c>
      <c r="Z178" s="21">
        <v>3.0</v>
      </c>
      <c r="AA178" s="21">
        <v>0.0</v>
      </c>
      <c r="AB178" s="5">
        <v>23.0</v>
      </c>
      <c r="AC178" s="19">
        <v>5.0</v>
      </c>
      <c r="AD178" s="19">
        <v>5.0</v>
      </c>
      <c r="AE178" s="19">
        <v>4.0</v>
      </c>
      <c r="AF178" s="19">
        <v>5.0</v>
      </c>
      <c r="AG178" s="19">
        <v>4.0</v>
      </c>
      <c r="AH178" s="19">
        <v>4.0</v>
      </c>
      <c r="AI178" s="22">
        <v>13.5</v>
      </c>
      <c r="AJ178" s="19">
        <v>13.0</v>
      </c>
      <c r="AK178" s="19">
        <v>14.0</v>
      </c>
      <c r="AL178" s="19">
        <v>13.0</v>
      </c>
      <c r="AM178" s="19">
        <v>40.0</v>
      </c>
      <c r="AN178" s="19">
        <v>53.5</v>
      </c>
      <c r="AO178" s="19">
        <v>76.5</v>
      </c>
      <c r="AP178" s="19">
        <v>310.0</v>
      </c>
      <c r="AQ178" s="23">
        <v>173.0</v>
      </c>
      <c r="AR178" s="23">
        <v>10.0</v>
      </c>
      <c r="AS178" s="22"/>
      <c r="AT178" s="19" t="s">
        <v>2282</v>
      </c>
      <c r="AU178" s="19" t="s">
        <v>5497</v>
      </c>
      <c r="AV178" s="19" t="s">
        <v>5498</v>
      </c>
      <c r="AW178" s="19" t="s">
        <v>4438</v>
      </c>
      <c r="AX178" s="20">
        <v>36460.0</v>
      </c>
      <c r="AY178" s="19" t="s">
        <v>3537</v>
      </c>
      <c r="AZ178" s="19" t="s">
        <v>2122</v>
      </c>
      <c r="BA178" s="19" t="s">
        <v>5499</v>
      </c>
      <c r="BB178" s="19" t="s">
        <v>5500</v>
      </c>
      <c r="BC178" s="19" t="s">
        <v>5501</v>
      </c>
      <c r="BD178" s="19" t="s">
        <v>5502</v>
      </c>
      <c r="BE178" s="19" t="s">
        <v>5503</v>
      </c>
      <c r="BF178" s="19">
        <v>1.1989624158E10</v>
      </c>
      <c r="BG178" s="19" t="s">
        <v>2127</v>
      </c>
      <c r="BH178" s="19" t="s">
        <v>2649</v>
      </c>
      <c r="BI178" s="19"/>
      <c r="BJ178" s="19" t="s">
        <v>2128</v>
      </c>
      <c r="BK178" s="19" t="s">
        <v>17</v>
      </c>
      <c r="BL178" s="19" t="s">
        <v>2113</v>
      </c>
      <c r="BM178" s="19" t="s">
        <v>2130</v>
      </c>
      <c r="BN178" s="19" t="s">
        <v>17</v>
      </c>
      <c r="BO178" s="19" t="s">
        <v>2473</v>
      </c>
      <c r="BP178" s="19" t="s">
        <v>5504</v>
      </c>
      <c r="BQ178" s="19" t="s">
        <v>2133</v>
      </c>
      <c r="BR178" s="19" t="s">
        <v>2133</v>
      </c>
      <c r="BS178" s="19" t="s">
        <v>3521</v>
      </c>
      <c r="BT178" s="19" t="s">
        <v>222</v>
      </c>
      <c r="BU178" s="19" t="s">
        <v>5505</v>
      </c>
      <c r="BV178" s="19" t="s">
        <v>5506</v>
      </c>
      <c r="BW178" s="19"/>
      <c r="BX178" s="19"/>
      <c r="BY178" s="19" t="s">
        <v>2113</v>
      </c>
      <c r="BZ178" s="19" t="s">
        <v>2113</v>
      </c>
      <c r="CA178" s="19"/>
      <c r="CB178" s="19" t="s">
        <v>2113</v>
      </c>
      <c r="CC178" s="19"/>
      <c r="CD178" s="19" t="s">
        <v>2137</v>
      </c>
      <c r="CE178" s="19" t="s">
        <v>16</v>
      </c>
      <c r="CF178" s="19"/>
      <c r="CG178" s="19"/>
      <c r="CH178" s="19" t="s">
        <v>16</v>
      </c>
      <c r="CI178" s="21">
        <v>0.0</v>
      </c>
      <c r="CJ178" s="19" t="s">
        <v>16</v>
      </c>
      <c r="CK178" s="19"/>
      <c r="CL178" s="19"/>
      <c r="CM178" s="19" t="s">
        <v>2926</v>
      </c>
      <c r="CN178" s="19" t="s">
        <v>3544</v>
      </c>
      <c r="CO178" s="19"/>
      <c r="CP178" s="19" t="s">
        <v>2178</v>
      </c>
      <c r="CQ178" s="19"/>
      <c r="CR178" s="19" t="s">
        <v>2113</v>
      </c>
      <c r="CS178" s="19" t="s">
        <v>2113</v>
      </c>
      <c r="CT178" s="19" t="s">
        <v>2113</v>
      </c>
      <c r="CU178" s="19" t="s">
        <v>2113</v>
      </c>
      <c r="CV178" s="19" t="s">
        <v>2141</v>
      </c>
      <c r="CW178" s="19" t="s">
        <v>2113</v>
      </c>
      <c r="CX178" s="19" t="s">
        <v>2113</v>
      </c>
      <c r="CY178" s="19" t="s">
        <v>2113</v>
      </c>
      <c r="CZ178" s="19" t="s">
        <v>2113</v>
      </c>
      <c r="DA178" s="19" t="s">
        <v>16</v>
      </c>
      <c r="DB178" s="19" t="s">
        <v>16</v>
      </c>
      <c r="DC178" s="19" t="s">
        <v>2146</v>
      </c>
      <c r="DD178" s="19" t="s">
        <v>2113</v>
      </c>
      <c r="DE178" s="19" t="s">
        <v>2113</v>
      </c>
      <c r="DF178" s="19" t="s">
        <v>2602</v>
      </c>
      <c r="DG178" s="19" t="s">
        <v>2323</v>
      </c>
      <c r="DH178" s="19" t="s">
        <v>2144</v>
      </c>
      <c r="DI178" s="24">
        <v>45519.0</v>
      </c>
      <c r="DJ178" s="19" t="s">
        <v>2133</v>
      </c>
      <c r="DK178" s="19" t="s">
        <v>2145</v>
      </c>
      <c r="DL178" s="19" t="s">
        <v>2146</v>
      </c>
      <c r="DM178" s="19"/>
      <c r="DN178" s="19">
        <v>5.0</v>
      </c>
      <c r="DO178" s="19">
        <v>5.0</v>
      </c>
      <c r="DP178" s="19" t="s">
        <v>5507</v>
      </c>
      <c r="DQ178" s="19" t="s">
        <v>5508</v>
      </c>
      <c r="DR178" s="19" t="s">
        <v>5509</v>
      </c>
      <c r="DS178" s="19" t="s">
        <v>2185</v>
      </c>
      <c r="DT178" s="19" t="s">
        <v>2350</v>
      </c>
      <c r="DU178" s="19"/>
      <c r="DV178" s="19"/>
      <c r="DW178" s="19" t="s">
        <v>2188</v>
      </c>
      <c r="DX178" s="19">
        <v>5.0</v>
      </c>
      <c r="DY178" s="19">
        <v>0.0</v>
      </c>
      <c r="DZ178" s="19">
        <v>0.0</v>
      </c>
      <c r="EA178" s="19">
        <v>0.0</v>
      </c>
      <c r="EB178" s="19">
        <v>0.0</v>
      </c>
      <c r="EC178" s="19">
        <v>20.0</v>
      </c>
      <c r="ED178" s="19" t="s">
        <v>2133</v>
      </c>
      <c r="EE178" s="24">
        <v>45519.0</v>
      </c>
      <c r="EF178" s="19" t="s">
        <v>2133</v>
      </c>
      <c r="EG178" s="19" t="s">
        <v>2145</v>
      </c>
      <c r="EH178" s="19" t="s">
        <v>2146</v>
      </c>
      <c r="EI178" s="22">
        <v>13.5</v>
      </c>
      <c r="EJ178" s="19">
        <v>40.0</v>
      </c>
      <c r="EK178" s="19"/>
      <c r="EL178" s="19" t="s">
        <v>2282</v>
      </c>
      <c r="EM178" s="19" t="s">
        <v>5497</v>
      </c>
      <c r="EN178" s="19" t="s">
        <v>533</v>
      </c>
      <c r="EO178" s="19" t="s">
        <v>3537</v>
      </c>
      <c r="EP178" s="19" t="s">
        <v>2122</v>
      </c>
      <c r="EQ178" s="19" t="s">
        <v>3544</v>
      </c>
      <c r="ER178" s="19"/>
      <c r="ES178" s="19" t="s">
        <v>533</v>
      </c>
      <c r="ET178" s="19" t="s">
        <v>533</v>
      </c>
      <c r="EU178" s="19" t="s">
        <v>5495</v>
      </c>
      <c r="EV178" s="19">
        <v>9001.0</v>
      </c>
      <c r="EW178" s="19" t="s">
        <v>16</v>
      </c>
      <c r="EX178" s="19">
        <v>3.0</v>
      </c>
      <c r="EY178" s="25" t="s">
        <v>532</v>
      </c>
      <c r="EZ178" s="19" t="s">
        <v>2154</v>
      </c>
      <c r="FA178" s="5" t="s">
        <v>5510</v>
      </c>
      <c r="FB178" s="26" t="s">
        <v>2156</v>
      </c>
      <c r="FC178" s="26"/>
    </row>
    <row r="179">
      <c r="A179" s="19" t="s">
        <v>2112</v>
      </c>
      <c r="B179" s="19"/>
      <c r="C179" s="19" t="s">
        <v>2113</v>
      </c>
      <c r="D179" s="19" t="s">
        <v>534</v>
      </c>
      <c r="E179" s="19" t="s">
        <v>5511</v>
      </c>
      <c r="F179" s="19" t="s">
        <v>534</v>
      </c>
      <c r="G179" s="19"/>
      <c r="H179" s="19" t="s">
        <v>534</v>
      </c>
      <c r="I179" s="19" t="s">
        <v>536</v>
      </c>
      <c r="J179" s="19" t="s">
        <v>5512</v>
      </c>
      <c r="K179" s="19" t="s">
        <v>5513</v>
      </c>
      <c r="L179" s="20">
        <v>45445.0</v>
      </c>
      <c r="M179" s="20">
        <v>45446.0</v>
      </c>
      <c r="N179" s="20">
        <v>45446.0</v>
      </c>
      <c r="O179" s="19" t="s">
        <v>535</v>
      </c>
      <c r="P179" s="19">
        <v>0.0</v>
      </c>
      <c r="Q179" s="19">
        <v>23.0</v>
      </c>
      <c r="R179" s="19">
        <v>8705.0</v>
      </c>
      <c r="S179" s="20" t="s">
        <v>5514</v>
      </c>
      <c r="T179" s="20">
        <v>45461.0</v>
      </c>
      <c r="U179" s="19" t="s">
        <v>534</v>
      </c>
      <c r="V179" s="19"/>
      <c r="W179" s="19"/>
      <c r="X179" s="21">
        <v>0.0</v>
      </c>
      <c r="Y179" s="21">
        <v>10.0</v>
      </c>
      <c r="Z179" s="21">
        <v>5.0</v>
      </c>
      <c r="AA179" s="21">
        <v>3.0</v>
      </c>
      <c r="AB179" s="5">
        <v>18.0</v>
      </c>
      <c r="AC179" s="19">
        <v>4.8</v>
      </c>
      <c r="AD179" s="19">
        <v>4.0</v>
      </c>
      <c r="AE179" s="19">
        <v>4.6</v>
      </c>
      <c r="AF179" s="19">
        <v>4.6</v>
      </c>
      <c r="AG179" s="19">
        <v>4.6</v>
      </c>
      <c r="AH179" s="19">
        <v>4.4</v>
      </c>
      <c r="AI179" s="22">
        <v>13.424999999999999</v>
      </c>
      <c r="AJ179" s="19">
        <v>15.0</v>
      </c>
      <c r="AK179" s="19">
        <v>15.0</v>
      </c>
      <c r="AL179" s="19">
        <v>15.0</v>
      </c>
      <c r="AM179" s="19">
        <v>45.0</v>
      </c>
      <c r="AN179" s="19">
        <v>58.4</v>
      </c>
      <c r="AO179" s="19">
        <v>76.4</v>
      </c>
      <c r="AP179" s="19">
        <v>351.0</v>
      </c>
      <c r="AQ179" s="23">
        <v>174.0</v>
      </c>
      <c r="AR179" s="23">
        <v>21.0</v>
      </c>
      <c r="AS179" s="22"/>
      <c r="AT179" s="19" t="s">
        <v>2163</v>
      </c>
      <c r="AU179" s="19" t="s">
        <v>2164</v>
      </c>
      <c r="AV179" s="19" t="s">
        <v>5515</v>
      </c>
      <c r="AW179" s="19" t="s">
        <v>3269</v>
      </c>
      <c r="AX179" s="20">
        <v>36756.0</v>
      </c>
      <c r="AY179" s="19" t="s">
        <v>5516</v>
      </c>
      <c r="AZ179" s="19" t="s">
        <v>2310</v>
      </c>
      <c r="BA179" s="19" t="s">
        <v>5517</v>
      </c>
      <c r="BB179" s="19" t="s">
        <v>2685</v>
      </c>
      <c r="BC179" s="19" t="s">
        <v>5518</v>
      </c>
      <c r="BD179" s="19" t="s">
        <v>5519</v>
      </c>
      <c r="BE179" s="19" t="s">
        <v>5512</v>
      </c>
      <c r="BF179" s="19">
        <v>1.1954239261E10</v>
      </c>
      <c r="BG179" s="19" t="s">
        <v>2127</v>
      </c>
      <c r="BH179" s="19" t="s">
        <v>2128</v>
      </c>
      <c r="BI179" s="19"/>
      <c r="BJ179" s="19" t="s">
        <v>2128</v>
      </c>
      <c r="BK179" s="19" t="s">
        <v>16</v>
      </c>
      <c r="BL179" s="19" t="s">
        <v>2113</v>
      </c>
      <c r="BM179" s="19" t="s">
        <v>5411</v>
      </c>
      <c r="BN179" s="19" t="s">
        <v>17</v>
      </c>
      <c r="BO179" s="19" t="s">
        <v>2132</v>
      </c>
      <c r="BP179" s="19" t="s">
        <v>5520</v>
      </c>
      <c r="BQ179" s="19" t="s">
        <v>2174</v>
      </c>
      <c r="BR179" s="19" t="s">
        <v>2174</v>
      </c>
      <c r="BS179" s="19" t="s">
        <v>2134</v>
      </c>
      <c r="BT179" s="19" t="s">
        <v>21</v>
      </c>
      <c r="BU179" s="19" t="s">
        <v>5521</v>
      </c>
      <c r="BV179" s="19"/>
      <c r="BW179" s="19"/>
      <c r="BX179" s="19" t="s">
        <v>2113</v>
      </c>
      <c r="BY179" s="19" t="s">
        <v>2113</v>
      </c>
      <c r="BZ179" s="19" t="s">
        <v>2113</v>
      </c>
      <c r="CA179" s="19" t="s">
        <v>2113</v>
      </c>
      <c r="CB179" s="19" t="s">
        <v>2113</v>
      </c>
      <c r="CC179" s="19"/>
      <c r="CD179" s="19" t="s">
        <v>2137</v>
      </c>
      <c r="CE179" s="19" t="s">
        <v>16</v>
      </c>
      <c r="CF179" s="19"/>
      <c r="CG179" s="19"/>
      <c r="CH179" s="19" t="s">
        <v>17</v>
      </c>
      <c r="CI179" s="21">
        <v>3.0</v>
      </c>
      <c r="CJ179" s="19" t="s">
        <v>17</v>
      </c>
      <c r="CK179" s="19"/>
      <c r="CL179" s="19"/>
      <c r="CM179" s="19" t="s">
        <v>2138</v>
      </c>
      <c r="CN179" s="19" t="s">
        <v>2176</v>
      </c>
      <c r="CO179" s="19"/>
      <c r="CP179" s="19" t="s">
        <v>2134</v>
      </c>
      <c r="CQ179" s="19"/>
      <c r="CR179" s="19" t="s">
        <v>2113</v>
      </c>
      <c r="CS179" s="19" t="s">
        <v>2113</v>
      </c>
      <c r="CT179" s="19" t="s">
        <v>2113</v>
      </c>
      <c r="CU179" s="19" t="s">
        <v>2113</v>
      </c>
      <c r="CV179" s="19" t="s">
        <v>2179</v>
      </c>
      <c r="CW179" s="19" t="s">
        <v>2113</v>
      </c>
      <c r="CX179" s="19" t="s">
        <v>2113</v>
      </c>
      <c r="CY179" s="19" t="s">
        <v>2113</v>
      </c>
      <c r="CZ179" s="19" t="s">
        <v>2113</v>
      </c>
      <c r="DA179" s="19" t="s">
        <v>16</v>
      </c>
      <c r="DB179" s="19" t="s">
        <v>17</v>
      </c>
      <c r="DC179" s="19" t="s">
        <v>2180</v>
      </c>
      <c r="DD179" s="19" t="s">
        <v>2113</v>
      </c>
      <c r="DE179" s="19" t="s">
        <v>2113</v>
      </c>
      <c r="DF179" s="19" t="s">
        <v>2207</v>
      </c>
      <c r="DG179" s="19" t="s">
        <v>2248</v>
      </c>
      <c r="DH179" s="19" t="s">
        <v>2144</v>
      </c>
      <c r="DI179" s="24">
        <v>45519.0</v>
      </c>
      <c r="DJ179" s="19" t="s">
        <v>2174</v>
      </c>
      <c r="DK179" s="19" t="s">
        <v>2145</v>
      </c>
      <c r="DL179" s="19" t="s">
        <v>2183</v>
      </c>
      <c r="DM179" s="19" t="s">
        <v>4885</v>
      </c>
      <c r="DN179" s="19">
        <v>5.0</v>
      </c>
      <c r="DO179" s="19">
        <v>5.0</v>
      </c>
      <c r="DP179" s="19"/>
      <c r="DQ179" s="19"/>
      <c r="DR179" s="19"/>
      <c r="DS179" s="19" t="s">
        <v>2151</v>
      </c>
      <c r="DT179" s="19" t="s">
        <v>2209</v>
      </c>
      <c r="DU179" s="19" t="s">
        <v>5522</v>
      </c>
      <c r="DV179" s="19"/>
      <c r="DW179" s="19" t="s">
        <v>2153</v>
      </c>
      <c r="DX179" s="19">
        <v>13.0</v>
      </c>
      <c r="DY179" s="19">
        <v>10.0</v>
      </c>
      <c r="DZ179" s="19">
        <v>0.0</v>
      </c>
      <c r="EA179" s="19">
        <v>10.0</v>
      </c>
      <c r="EB179" s="19">
        <v>3.0</v>
      </c>
      <c r="EC179" s="19">
        <v>0.0</v>
      </c>
      <c r="ED179" s="19" t="s">
        <v>2174</v>
      </c>
      <c r="EE179" s="24">
        <v>45519.0</v>
      </c>
      <c r="EF179" s="19" t="s">
        <v>2174</v>
      </c>
      <c r="EG179" s="19" t="s">
        <v>2145</v>
      </c>
      <c r="EH179" s="19" t="s">
        <v>2183</v>
      </c>
      <c r="EI179" s="22">
        <v>13.424999999999999</v>
      </c>
      <c r="EJ179" s="19">
        <v>45.0</v>
      </c>
      <c r="EK179" s="19" t="s">
        <v>2113</v>
      </c>
      <c r="EL179" s="19" t="s">
        <v>2163</v>
      </c>
      <c r="EM179" s="19" t="s">
        <v>2164</v>
      </c>
      <c r="EN179" s="19" t="s">
        <v>536</v>
      </c>
      <c r="EO179" s="19" t="s">
        <v>5516</v>
      </c>
      <c r="EP179" s="19" t="s">
        <v>2310</v>
      </c>
      <c r="EQ179" s="19" t="s">
        <v>2176</v>
      </c>
      <c r="ER179" s="19"/>
      <c r="ES179" s="19" t="s">
        <v>536</v>
      </c>
      <c r="ET179" s="19" t="s">
        <v>536</v>
      </c>
      <c r="EU179" s="19" t="s">
        <v>5513</v>
      </c>
      <c r="EV179" s="19">
        <v>8705.0</v>
      </c>
      <c r="EW179" s="19" t="s">
        <v>16</v>
      </c>
      <c r="EX179" s="19">
        <v>5.0</v>
      </c>
      <c r="EY179" s="25" t="s">
        <v>535</v>
      </c>
      <c r="EZ179" s="19" t="s">
        <v>2154</v>
      </c>
      <c r="FA179" s="5" t="s">
        <v>5523</v>
      </c>
      <c r="FB179" s="26" t="s">
        <v>2156</v>
      </c>
      <c r="FC179" s="26"/>
    </row>
    <row r="180">
      <c r="A180" s="19" t="s">
        <v>2156</v>
      </c>
      <c r="B180" s="19" t="s">
        <v>2113</v>
      </c>
      <c r="C180" s="19" t="s">
        <v>2113</v>
      </c>
      <c r="D180" s="19" t="s">
        <v>537</v>
      </c>
      <c r="E180" s="19" t="s">
        <v>5524</v>
      </c>
      <c r="F180" s="19" t="s">
        <v>537</v>
      </c>
      <c r="G180" s="19"/>
      <c r="H180" s="19" t="s">
        <v>537</v>
      </c>
      <c r="I180" s="19" t="s">
        <v>539</v>
      </c>
      <c r="J180" s="19" t="s">
        <v>5525</v>
      </c>
      <c r="K180" s="19" t="s">
        <v>5526</v>
      </c>
      <c r="L180" s="20">
        <v>45394.0</v>
      </c>
      <c r="M180" s="20">
        <v>45404.0</v>
      </c>
      <c r="N180" s="20">
        <v>45404.0</v>
      </c>
      <c r="O180" s="19" t="s">
        <v>538</v>
      </c>
      <c r="P180" s="19">
        <v>0.0</v>
      </c>
      <c r="Q180" s="19">
        <v>26.0</v>
      </c>
      <c r="R180" s="19">
        <v>9832.0</v>
      </c>
      <c r="S180" s="20" t="s">
        <v>5527</v>
      </c>
      <c r="T180" s="20">
        <v>45461.0</v>
      </c>
      <c r="U180" s="19" t="s">
        <v>537</v>
      </c>
      <c r="V180" s="19"/>
      <c r="W180" s="19"/>
      <c r="X180" s="21">
        <v>20.0</v>
      </c>
      <c r="Y180" s="21">
        <v>0.0</v>
      </c>
      <c r="Z180" s="21">
        <v>1.0</v>
      </c>
      <c r="AA180" s="21">
        <v>0.0</v>
      </c>
      <c r="AB180" s="5">
        <v>21.0</v>
      </c>
      <c r="AC180" s="19">
        <v>5.0</v>
      </c>
      <c r="AD180" s="19">
        <v>4.5</v>
      </c>
      <c r="AE180" s="19">
        <v>4.0</v>
      </c>
      <c r="AF180" s="19">
        <v>4.5</v>
      </c>
      <c r="AG180" s="19">
        <v>3.5</v>
      </c>
      <c r="AH180" s="19">
        <v>4.5</v>
      </c>
      <c r="AI180" s="22">
        <v>12.984375</v>
      </c>
      <c r="AJ180" s="19">
        <v>13.0</v>
      </c>
      <c r="AK180" s="19">
        <v>14.3</v>
      </c>
      <c r="AL180" s="19">
        <v>14.7</v>
      </c>
      <c r="AM180" s="19">
        <v>42.0</v>
      </c>
      <c r="AN180" s="19">
        <v>55.0</v>
      </c>
      <c r="AO180" s="19">
        <v>76.0</v>
      </c>
      <c r="AP180" s="19">
        <v>340.0</v>
      </c>
      <c r="AQ180" s="23">
        <v>175.0</v>
      </c>
      <c r="AR180" s="23">
        <v>17.0</v>
      </c>
      <c r="AS180" s="22"/>
      <c r="AT180" s="19" t="s">
        <v>2282</v>
      </c>
      <c r="AU180" s="19" t="s">
        <v>4767</v>
      </c>
      <c r="AV180" s="19" t="s">
        <v>5528</v>
      </c>
      <c r="AW180" s="19"/>
      <c r="AX180" s="20">
        <v>35629.0</v>
      </c>
      <c r="AY180" s="19" t="s">
        <v>3632</v>
      </c>
      <c r="AZ180" s="19" t="s">
        <v>2122</v>
      </c>
      <c r="BA180" s="19" t="s">
        <v>5529</v>
      </c>
      <c r="BB180" s="19" t="s">
        <v>4363</v>
      </c>
      <c r="BC180" s="19" t="s">
        <v>5530</v>
      </c>
      <c r="BD180" s="19" t="s">
        <v>5531</v>
      </c>
      <c r="BE180" s="19" t="s">
        <v>5525</v>
      </c>
      <c r="BF180" s="19">
        <v>1.1986521074E10</v>
      </c>
      <c r="BG180" s="19" t="s">
        <v>4038</v>
      </c>
      <c r="BH180" s="19" t="s">
        <v>2128</v>
      </c>
      <c r="BI180" s="19"/>
      <c r="BJ180" s="19" t="s">
        <v>2128</v>
      </c>
      <c r="BK180" s="19" t="s">
        <v>17</v>
      </c>
      <c r="BL180" s="19"/>
      <c r="BM180" s="19" t="s">
        <v>2130</v>
      </c>
      <c r="BN180" s="19" t="s">
        <v>17</v>
      </c>
      <c r="BO180" s="19" t="s">
        <v>3082</v>
      </c>
      <c r="BP180" s="19"/>
      <c r="BQ180" s="19" t="s">
        <v>2325</v>
      </c>
      <c r="BR180" s="19" t="s">
        <v>2325</v>
      </c>
      <c r="BS180" s="19" t="s">
        <v>2134</v>
      </c>
      <c r="BT180" s="19" t="s">
        <v>118</v>
      </c>
      <c r="BU180" s="19" t="s">
        <v>5532</v>
      </c>
      <c r="BV180" s="19" t="s">
        <v>5533</v>
      </c>
      <c r="BW180" s="19" t="s">
        <v>2113</v>
      </c>
      <c r="BX180" s="19"/>
      <c r="BY180" s="19"/>
      <c r="BZ180" s="19"/>
      <c r="CA180" s="19"/>
      <c r="CB180" s="19" t="s">
        <v>2113</v>
      </c>
      <c r="CC180" s="19"/>
      <c r="CD180" s="19" t="s">
        <v>2137</v>
      </c>
      <c r="CE180" s="19" t="s">
        <v>16</v>
      </c>
      <c r="CF180" s="19"/>
      <c r="CG180" s="19"/>
      <c r="CH180" s="19" t="s">
        <v>16</v>
      </c>
      <c r="CI180" s="21">
        <v>0.0</v>
      </c>
      <c r="CJ180" s="19" t="s">
        <v>16</v>
      </c>
      <c r="CK180" s="19"/>
      <c r="CL180" s="19"/>
      <c r="CM180" s="19" t="s">
        <v>2138</v>
      </c>
      <c r="CN180" s="19" t="s">
        <v>3503</v>
      </c>
      <c r="CO180" s="19"/>
      <c r="CP180" s="19" t="s">
        <v>2140</v>
      </c>
      <c r="CQ180" s="19"/>
      <c r="CR180" s="19" t="s">
        <v>2113</v>
      </c>
      <c r="CS180" s="19" t="s">
        <v>2113</v>
      </c>
      <c r="CT180" s="19" t="s">
        <v>2113</v>
      </c>
      <c r="CU180" s="19" t="s">
        <v>2113</v>
      </c>
      <c r="CV180" s="19" t="s">
        <v>2141</v>
      </c>
      <c r="CW180" s="19" t="s">
        <v>2113</v>
      </c>
      <c r="CX180" s="19" t="s">
        <v>2113</v>
      </c>
      <c r="CY180" s="19" t="s">
        <v>2113</v>
      </c>
      <c r="CZ180" s="19" t="s">
        <v>2113</v>
      </c>
      <c r="DA180" s="19" t="s">
        <v>16</v>
      </c>
      <c r="DB180" s="19" t="s">
        <v>16</v>
      </c>
      <c r="DC180" s="19" t="s">
        <v>2870</v>
      </c>
      <c r="DD180" s="19" t="s">
        <v>2113</v>
      </c>
      <c r="DE180" s="19" t="s">
        <v>2113</v>
      </c>
      <c r="DF180" s="19" t="s">
        <v>3255</v>
      </c>
      <c r="DG180" s="19" t="s">
        <v>2804</v>
      </c>
      <c r="DH180" s="19" t="s">
        <v>2144</v>
      </c>
      <c r="DI180" s="24">
        <v>45519.0</v>
      </c>
      <c r="DJ180" s="19" t="s">
        <v>2325</v>
      </c>
      <c r="DK180" s="19" t="s">
        <v>2271</v>
      </c>
      <c r="DL180" s="19" t="s">
        <v>2326</v>
      </c>
      <c r="DM180" s="19"/>
      <c r="DN180" s="19">
        <v>6.0</v>
      </c>
      <c r="DO180" s="19">
        <v>6.0</v>
      </c>
      <c r="DP180" s="19" t="s">
        <v>5534</v>
      </c>
      <c r="DQ180" s="19" t="s">
        <v>5535</v>
      </c>
      <c r="DR180" s="19" t="s">
        <v>5536</v>
      </c>
      <c r="DS180" s="19" t="s">
        <v>2185</v>
      </c>
      <c r="DT180" s="19" t="s">
        <v>2350</v>
      </c>
      <c r="DU180" s="19"/>
      <c r="DV180" s="19"/>
      <c r="DW180" s="19" t="s">
        <v>3306</v>
      </c>
      <c r="DX180" s="19">
        <v>4.0</v>
      </c>
      <c r="DY180" s="19">
        <v>0.0</v>
      </c>
      <c r="DZ180" s="19">
        <v>0.0</v>
      </c>
      <c r="EA180" s="19">
        <v>0.0</v>
      </c>
      <c r="EB180" s="19">
        <v>0.0</v>
      </c>
      <c r="EC180" s="19">
        <v>20.0</v>
      </c>
      <c r="ED180" s="19" t="s">
        <v>2325</v>
      </c>
      <c r="EE180" s="24">
        <v>45519.0</v>
      </c>
      <c r="EF180" s="19" t="s">
        <v>2325</v>
      </c>
      <c r="EG180" s="19" t="s">
        <v>2271</v>
      </c>
      <c r="EH180" s="19" t="s">
        <v>2326</v>
      </c>
      <c r="EI180" s="22">
        <v>12.984375</v>
      </c>
      <c r="EJ180" s="19">
        <v>42.0</v>
      </c>
      <c r="EK180" s="19"/>
      <c r="EL180" s="19" t="s">
        <v>2282</v>
      </c>
      <c r="EM180" s="19" t="s">
        <v>4767</v>
      </c>
      <c r="EN180" s="19" t="s">
        <v>539</v>
      </c>
      <c r="EO180" s="19" t="s">
        <v>3632</v>
      </c>
      <c r="EP180" s="19" t="s">
        <v>2122</v>
      </c>
      <c r="EQ180" s="19" t="s">
        <v>3503</v>
      </c>
      <c r="ER180" s="19"/>
      <c r="ES180" s="19" t="s">
        <v>539</v>
      </c>
      <c r="ET180" s="19" t="s">
        <v>539</v>
      </c>
      <c r="EU180" s="19" t="s">
        <v>5526</v>
      </c>
      <c r="EV180" s="19">
        <v>9832.0</v>
      </c>
      <c r="EW180" s="19" t="s">
        <v>16</v>
      </c>
      <c r="EX180" s="19">
        <v>1.0</v>
      </c>
      <c r="EY180" s="25" t="s">
        <v>538</v>
      </c>
      <c r="EZ180" s="19" t="s">
        <v>2154</v>
      </c>
      <c r="FA180" s="5" t="s">
        <v>5537</v>
      </c>
      <c r="FB180" s="26" t="s">
        <v>2156</v>
      </c>
      <c r="FC180" s="26"/>
    </row>
    <row r="181">
      <c r="A181" s="19" t="s">
        <v>2112</v>
      </c>
      <c r="B181" s="19"/>
      <c r="C181" s="19" t="s">
        <v>2113</v>
      </c>
      <c r="D181" s="19" t="s">
        <v>540</v>
      </c>
      <c r="E181" s="19" t="s">
        <v>540</v>
      </c>
      <c r="F181" s="19" t="s">
        <v>540</v>
      </c>
      <c r="G181" s="19" t="s">
        <v>540</v>
      </c>
      <c r="H181" s="19" t="s">
        <v>540</v>
      </c>
      <c r="I181" s="19" t="s">
        <v>542</v>
      </c>
      <c r="J181" s="19" t="s">
        <v>5538</v>
      </c>
      <c r="K181" s="19" t="s">
        <v>5539</v>
      </c>
      <c r="L181" s="20">
        <v>45453.0</v>
      </c>
      <c r="M181" s="20">
        <v>45455.0</v>
      </c>
      <c r="N181" s="20">
        <v>45455.0</v>
      </c>
      <c r="O181" s="19" t="s">
        <v>541</v>
      </c>
      <c r="P181" s="19">
        <v>0.0</v>
      </c>
      <c r="Q181" s="19">
        <v>22.0</v>
      </c>
      <c r="R181" s="19">
        <v>8216.0</v>
      </c>
      <c r="S181" s="20" t="s">
        <v>5540</v>
      </c>
      <c r="T181" s="20">
        <v>45461.0</v>
      </c>
      <c r="U181" s="19" t="s">
        <v>540</v>
      </c>
      <c r="V181" s="19"/>
      <c r="W181" s="19"/>
      <c r="X181" s="21">
        <v>0.0</v>
      </c>
      <c r="Y181" s="21">
        <v>10.0</v>
      </c>
      <c r="Z181" s="21">
        <v>5.0</v>
      </c>
      <c r="AA181" s="21">
        <v>3.0</v>
      </c>
      <c r="AB181" s="5">
        <v>18.0</v>
      </c>
      <c r="AC181" s="19">
        <v>5.0</v>
      </c>
      <c r="AD181" s="19">
        <v>5.0</v>
      </c>
      <c r="AE181" s="19">
        <v>4.0</v>
      </c>
      <c r="AF181" s="19">
        <v>5.0</v>
      </c>
      <c r="AG181" s="19">
        <v>4.0</v>
      </c>
      <c r="AH181" s="19">
        <v>5.0</v>
      </c>
      <c r="AI181" s="22">
        <v>13.875</v>
      </c>
      <c r="AJ181" s="19">
        <v>14.0</v>
      </c>
      <c r="AK181" s="19">
        <v>15.0</v>
      </c>
      <c r="AL181" s="19">
        <v>15.0</v>
      </c>
      <c r="AM181" s="19">
        <v>44.0</v>
      </c>
      <c r="AN181" s="19">
        <v>57.9</v>
      </c>
      <c r="AO181" s="19">
        <v>75.9</v>
      </c>
      <c r="AP181" s="19">
        <v>353.0</v>
      </c>
      <c r="AQ181" s="23">
        <v>176.0</v>
      </c>
      <c r="AR181" s="23">
        <v>13.0</v>
      </c>
      <c r="AS181" s="22"/>
      <c r="AT181" s="19" t="s">
        <v>2163</v>
      </c>
      <c r="AU181" s="19" t="s">
        <v>5541</v>
      </c>
      <c r="AV181" s="19" t="s">
        <v>5542</v>
      </c>
      <c r="AW181" s="19"/>
      <c r="AX181" s="20">
        <v>37245.0</v>
      </c>
      <c r="AY181" s="19" t="s">
        <v>2529</v>
      </c>
      <c r="AZ181" s="19" t="s">
        <v>2310</v>
      </c>
      <c r="BA181" s="19" t="s">
        <v>5543</v>
      </c>
      <c r="BB181" s="19" t="s">
        <v>3036</v>
      </c>
      <c r="BC181" s="19" t="s">
        <v>5544</v>
      </c>
      <c r="BD181" s="19" t="s">
        <v>5545</v>
      </c>
      <c r="BE181" s="19" t="s">
        <v>5538</v>
      </c>
      <c r="BF181" s="19">
        <v>1.1963434359E10</v>
      </c>
      <c r="BG181" s="19" t="s">
        <v>2127</v>
      </c>
      <c r="BH181" s="19" t="s">
        <v>2128</v>
      </c>
      <c r="BI181" s="19"/>
      <c r="BJ181" s="19"/>
      <c r="BK181" s="19" t="s">
        <v>16</v>
      </c>
      <c r="BL181" s="19" t="s">
        <v>2113</v>
      </c>
      <c r="BM181" s="19" t="s">
        <v>5411</v>
      </c>
      <c r="BN181" s="19" t="s">
        <v>17</v>
      </c>
      <c r="BO181" s="19" t="s">
        <v>2132</v>
      </c>
      <c r="BP181" s="19" t="s">
        <v>5546</v>
      </c>
      <c r="BQ181" s="19" t="s">
        <v>2174</v>
      </c>
      <c r="BR181" s="19" t="s">
        <v>2174</v>
      </c>
      <c r="BS181" s="19" t="s">
        <v>2243</v>
      </c>
      <c r="BT181" s="19" t="s">
        <v>75</v>
      </c>
      <c r="BU181" s="19" t="s">
        <v>5547</v>
      </c>
      <c r="BV181" s="19"/>
      <c r="BW181" s="19"/>
      <c r="BX181" s="19" t="s">
        <v>2113</v>
      </c>
      <c r="BY181" s="19" t="s">
        <v>2113</v>
      </c>
      <c r="BZ181" s="19" t="s">
        <v>2113</v>
      </c>
      <c r="CA181" s="19" t="s">
        <v>2113</v>
      </c>
      <c r="CB181" s="19" t="s">
        <v>2113</v>
      </c>
      <c r="CC181" s="19" t="s">
        <v>2113</v>
      </c>
      <c r="CD181" s="19" t="s">
        <v>2137</v>
      </c>
      <c r="CE181" s="19" t="s">
        <v>16</v>
      </c>
      <c r="CF181" s="19"/>
      <c r="CG181" s="19"/>
      <c r="CH181" s="19" t="s">
        <v>17</v>
      </c>
      <c r="CI181" s="21">
        <v>3.0</v>
      </c>
      <c r="CJ181" s="19" t="s">
        <v>17</v>
      </c>
      <c r="CK181" s="19"/>
      <c r="CL181" s="19"/>
      <c r="CM181" s="19" t="s">
        <v>2344</v>
      </c>
      <c r="CN181" s="19" t="s">
        <v>2537</v>
      </c>
      <c r="CO181" s="19"/>
      <c r="CP181" s="19"/>
      <c r="CQ181" s="19" t="s">
        <v>2113</v>
      </c>
      <c r="CR181" s="19"/>
      <c r="CS181" s="19"/>
      <c r="CT181" s="19" t="s">
        <v>2113</v>
      </c>
      <c r="CU181" s="19" t="s">
        <v>2113</v>
      </c>
      <c r="CV181" s="19" t="s">
        <v>2141</v>
      </c>
      <c r="CW181" s="19"/>
      <c r="CX181" s="19"/>
      <c r="CY181" s="19"/>
      <c r="CZ181" s="19"/>
      <c r="DA181" s="19" t="s">
        <v>16</v>
      </c>
      <c r="DB181" s="19" t="s">
        <v>17</v>
      </c>
      <c r="DC181" s="19" t="s">
        <v>2538</v>
      </c>
      <c r="DD181" s="19" t="s">
        <v>2113</v>
      </c>
      <c r="DE181" s="19" t="s">
        <v>2113</v>
      </c>
      <c r="DF181" s="19" t="s">
        <v>2539</v>
      </c>
      <c r="DG181" s="19" t="s">
        <v>2540</v>
      </c>
      <c r="DH181" s="19" t="s">
        <v>2144</v>
      </c>
      <c r="DI181" s="24">
        <v>45525.0</v>
      </c>
      <c r="DJ181" s="19" t="s">
        <v>2174</v>
      </c>
      <c r="DK181" s="19" t="s">
        <v>2271</v>
      </c>
      <c r="DL181" s="19" t="s">
        <v>2183</v>
      </c>
      <c r="DM181" s="19" t="s">
        <v>2249</v>
      </c>
      <c r="DN181" s="19">
        <v>10.0</v>
      </c>
      <c r="DO181" s="19">
        <v>10.0</v>
      </c>
      <c r="DP181" s="19" t="s">
        <v>5548</v>
      </c>
      <c r="DQ181" s="19" t="s">
        <v>5549</v>
      </c>
      <c r="DR181" s="19" t="s">
        <v>5550</v>
      </c>
      <c r="DS181" s="19" t="s">
        <v>2151</v>
      </c>
      <c r="DT181" s="19" t="s">
        <v>2301</v>
      </c>
      <c r="DU181" s="19"/>
      <c r="DV181" s="19"/>
      <c r="DW181" s="19" t="s">
        <v>2479</v>
      </c>
      <c r="DX181" s="19">
        <v>16.0</v>
      </c>
      <c r="DY181" s="19">
        <v>10.0</v>
      </c>
      <c r="DZ181" s="19">
        <v>0.0</v>
      </c>
      <c r="EA181" s="19">
        <v>10.0</v>
      </c>
      <c r="EB181" s="19">
        <v>3.0</v>
      </c>
      <c r="EC181" s="19">
        <v>0.0</v>
      </c>
      <c r="ED181" s="19" t="s">
        <v>2174</v>
      </c>
      <c r="EE181" s="24">
        <v>45525.0</v>
      </c>
      <c r="EF181" s="19" t="s">
        <v>2174</v>
      </c>
      <c r="EG181" s="19" t="s">
        <v>2271</v>
      </c>
      <c r="EH181" s="19" t="s">
        <v>2183</v>
      </c>
      <c r="EI181" s="22">
        <v>13.875</v>
      </c>
      <c r="EJ181" s="19">
        <v>44.0</v>
      </c>
      <c r="EK181" s="19" t="s">
        <v>2113</v>
      </c>
      <c r="EL181" s="19" t="s">
        <v>2163</v>
      </c>
      <c r="EM181" s="19" t="s">
        <v>5541</v>
      </c>
      <c r="EN181" s="19" t="s">
        <v>542</v>
      </c>
      <c r="EO181" s="19" t="s">
        <v>2529</v>
      </c>
      <c r="EP181" s="19" t="s">
        <v>2310</v>
      </c>
      <c r="EQ181" s="19" t="s">
        <v>2537</v>
      </c>
      <c r="ER181" s="19"/>
      <c r="ES181" s="19" t="s">
        <v>542</v>
      </c>
      <c r="ET181" s="19" t="s">
        <v>542</v>
      </c>
      <c r="EU181" s="19" t="s">
        <v>5539</v>
      </c>
      <c r="EV181" s="19">
        <v>8216.0</v>
      </c>
      <c r="EW181" s="19" t="s">
        <v>16</v>
      </c>
      <c r="EX181" s="19">
        <v>5.0</v>
      </c>
      <c r="EY181" s="25" t="s">
        <v>541</v>
      </c>
      <c r="EZ181" s="19" t="s">
        <v>2154</v>
      </c>
      <c r="FA181" s="5" t="s">
        <v>5551</v>
      </c>
      <c r="FB181" s="26" t="s">
        <v>2156</v>
      </c>
      <c r="FC181" s="26"/>
    </row>
    <row r="182">
      <c r="A182" s="19" t="s">
        <v>2112</v>
      </c>
      <c r="B182" s="19"/>
      <c r="C182" s="19" t="s">
        <v>2113</v>
      </c>
      <c r="D182" s="19" t="s">
        <v>543</v>
      </c>
      <c r="E182" s="19" t="s">
        <v>5552</v>
      </c>
      <c r="F182" s="19" t="s">
        <v>5553</v>
      </c>
      <c r="G182" s="19" t="s">
        <v>5554</v>
      </c>
      <c r="H182" s="19" t="s">
        <v>543</v>
      </c>
      <c r="I182" s="19" t="s">
        <v>545</v>
      </c>
      <c r="J182" s="19" t="s">
        <v>5555</v>
      </c>
      <c r="K182" s="19" t="s">
        <v>5556</v>
      </c>
      <c r="L182" s="20">
        <v>45415.0</v>
      </c>
      <c r="M182" s="20">
        <v>45428.0</v>
      </c>
      <c r="N182" s="20">
        <v>45428.0</v>
      </c>
      <c r="O182" s="19" t="s">
        <v>544</v>
      </c>
      <c r="P182" s="19">
        <v>0.0</v>
      </c>
      <c r="Q182" s="19">
        <v>23.0</v>
      </c>
      <c r="R182" s="19">
        <v>8724.0</v>
      </c>
      <c r="S182" s="20" t="s">
        <v>5557</v>
      </c>
      <c r="T182" s="20">
        <v>45461.0</v>
      </c>
      <c r="U182" s="19" t="s">
        <v>5553</v>
      </c>
      <c r="V182" s="19"/>
      <c r="W182" s="19"/>
      <c r="X182" s="21">
        <v>0.0</v>
      </c>
      <c r="Y182" s="21">
        <v>10.0</v>
      </c>
      <c r="Z182" s="21">
        <v>4.0</v>
      </c>
      <c r="AA182" s="21">
        <v>3.0</v>
      </c>
      <c r="AB182" s="5">
        <v>17.0</v>
      </c>
      <c r="AC182" s="19">
        <v>4.5</v>
      </c>
      <c r="AD182" s="19">
        <v>4.5</v>
      </c>
      <c r="AE182" s="19">
        <v>5.0</v>
      </c>
      <c r="AF182" s="19">
        <v>4.7</v>
      </c>
      <c r="AG182" s="19">
        <v>4.2</v>
      </c>
      <c r="AH182" s="19">
        <v>4.7</v>
      </c>
      <c r="AI182" s="22">
        <v>13.9125</v>
      </c>
      <c r="AJ182" s="19">
        <v>15.0</v>
      </c>
      <c r="AK182" s="19">
        <v>15.0</v>
      </c>
      <c r="AL182" s="19">
        <v>15.0</v>
      </c>
      <c r="AM182" s="19">
        <v>45.0</v>
      </c>
      <c r="AN182" s="19">
        <v>58.9</v>
      </c>
      <c r="AO182" s="19">
        <v>75.9</v>
      </c>
      <c r="AP182" s="19">
        <v>376.0</v>
      </c>
      <c r="AQ182" s="23">
        <v>177.0</v>
      </c>
      <c r="AR182" s="23">
        <v>18.0</v>
      </c>
      <c r="AS182" s="22"/>
      <c r="AT182" s="19" t="s">
        <v>2282</v>
      </c>
      <c r="AU182" s="19" t="s">
        <v>4201</v>
      </c>
      <c r="AV182" s="19" t="s">
        <v>5558</v>
      </c>
      <c r="AW182" s="19"/>
      <c r="AX182" s="20">
        <v>36737.0</v>
      </c>
      <c r="AY182" s="19" t="s">
        <v>3232</v>
      </c>
      <c r="AZ182" s="19" t="s">
        <v>2122</v>
      </c>
      <c r="BA182" s="19" t="s">
        <v>5559</v>
      </c>
      <c r="BB182" s="19" t="s">
        <v>4460</v>
      </c>
      <c r="BC182" s="19" t="s">
        <v>5560</v>
      </c>
      <c r="BD182" s="19" t="s">
        <v>5561</v>
      </c>
      <c r="BE182" s="19" t="s">
        <v>5562</v>
      </c>
      <c r="BF182" s="19">
        <v>1.1930234875E10</v>
      </c>
      <c r="BG182" s="19" t="s">
        <v>2127</v>
      </c>
      <c r="BH182" s="19" t="s">
        <v>2128</v>
      </c>
      <c r="BI182" s="19"/>
      <c r="BJ182" s="19" t="s">
        <v>2427</v>
      </c>
      <c r="BK182" s="19" t="s">
        <v>17</v>
      </c>
      <c r="BL182" s="19" t="s">
        <v>2113</v>
      </c>
      <c r="BM182" s="19" t="s">
        <v>5563</v>
      </c>
      <c r="BN182" s="19" t="s">
        <v>2708</v>
      </c>
      <c r="BO182" s="19" t="s">
        <v>2317</v>
      </c>
      <c r="BP182" s="19" t="s">
        <v>5564</v>
      </c>
      <c r="BQ182" s="19" t="s">
        <v>2325</v>
      </c>
      <c r="BR182" s="19" t="s">
        <v>2325</v>
      </c>
      <c r="BS182" s="19" t="s">
        <v>2243</v>
      </c>
      <c r="BT182" s="19" t="s">
        <v>118</v>
      </c>
      <c r="BU182" s="19" t="s">
        <v>5565</v>
      </c>
      <c r="BV182" s="19"/>
      <c r="BW182" s="19"/>
      <c r="BX182" s="19" t="s">
        <v>2113</v>
      </c>
      <c r="BY182" s="19" t="s">
        <v>2113</v>
      </c>
      <c r="BZ182" s="19" t="s">
        <v>2113</v>
      </c>
      <c r="CA182" s="19" t="s">
        <v>2113</v>
      </c>
      <c r="CB182" s="19" t="s">
        <v>2113</v>
      </c>
      <c r="CC182" s="19"/>
      <c r="CD182" s="19" t="s">
        <v>2137</v>
      </c>
      <c r="CE182" s="19" t="s">
        <v>16</v>
      </c>
      <c r="CF182" s="19"/>
      <c r="CG182" s="19"/>
      <c r="CH182" s="19" t="s">
        <v>17</v>
      </c>
      <c r="CI182" s="21">
        <v>3.0</v>
      </c>
      <c r="CJ182" s="19" t="s">
        <v>16</v>
      </c>
      <c r="CK182" s="19"/>
      <c r="CL182" s="19"/>
      <c r="CM182" s="19" t="s">
        <v>2138</v>
      </c>
      <c r="CN182" s="19" t="s">
        <v>2868</v>
      </c>
      <c r="CO182" s="19"/>
      <c r="CP182" s="19" t="s">
        <v>2140</v>
      </c>
      <c r="CQ182" s="19"/>
      <c r="CR182" s="19" t="s">
        <v>2113</v>
      </c>
      <c r="CS182" s="19" t="s">
        <v>2113</v>
      </c>
      <c r="CT182" s="19"/>
      <c r="CU182" s="19"/>
      <c r="CV182" s="19" t="s">
        <v>2179</v>
      </c>
      <c r="CW182" s="19"/>
      <c r="CX182" s="19"/>
      <c r="CY182" s="19"/>
      <c r="CZ182" s="19"/>
      <c r="DA182" s="19" t="s">
        <v>16</v>
      </c>
      <c r="DB182" s="19" t="s">
        <v>16</v>
      </c>
      <c r="DC182" s="19" t="s">
        <v>2498</v>
      </c>
      <c r="DD182" s="19" t="s">
        <v>2113</v>
      </c>
      <c r="DE182" s="19" t="s">
        <v>2113</v>
      </c>
      <c r="DF182" s="19" t="s">
        <v>2869</v>
      </c>
      <c r="DG182" s="19" t="s">
        <v>2602</v>
      </c>
      <c r="DH182" s="19" t="s">
        <v>2144</v>
      </c>
      <c r="DI182" s="24">
        <v>45524.0</v>
      </c>
      <c r="DJ182" s="19" t="s">
        <v>2325</v>
      </c>
      <c r="DK182" s="19" t="s">
        <v>2271</v>
      </c>
      <c r="DL182" s="19" t="s">
        <v>2326</v>
      </c>
      <c r="DM182" s="19"/>
      <c r="DN182" s="19">
        <v>8.0</v>
      </c>
      <c r="DO182" s="19">
        <v>8.0</v>
      </c>
      <c r="DP182" s="19"/>
      <c r="DQ182" s="19"/>
      <c r="DR182" s="19"/>
      <c r="DS182" s="19" t="s">
        <v>2365</v>
      </c>
      <c r="DT182" s="19" t="s">
        <v>2366</v>
      </c>
      <c r="DU182" s="19" t="s">
        <v>5566</v>
      </c>
      <c r="DV182" s="19"/>
      <c r="DW182" s="19" t="s">
        <v>2153</v>
      </c>
      <c r="DX182" s="19">
        <v>8.0</v>
      </c>
      <c r="DY182" s="19">
        <v>10.0</v>
      </c>
      <c r="DZ182" s="19">
        <v>0.0</v>
      </c>
      <c r="EA182" s="19">
        <v>10.0</v>
      </c>
      <c r="EB182" s="19">
        <v>3.0</v>
      </c>
      <c r="EC182" s="19">
        <v>0.0</v>
      </c>
      <c r="ED182" s="19" t="s">
        <v>2325</v>
      </c>
      <c r="EE182" s="24">
        <v>45524.0</v>
      </c>
      <c r="EF182" s="19" t="s">
        <v>2325</v>
      </c>
      <c r="EG182" s="19" t="s">
        <v>2271</v>
      </c>
      <c r="EH182" s="19" t="s">
        <v>2326</v>
      </c>
      <c r="EI182" s="22">
        <v>13.9125</v>
      </c>
      <c r="EJ182" s="19">
        <v>45.0</v>
      </c>
      <c r="EK182" s="19"/>
      <c r="EL182" s="19" t="s">
        <v>2282</v>
      </c>
      <c r="EM182" s="19" t="s">
        <v>4201</v>
      </c>
      <c r="EN182" s="19" t="s">
        <v>545</v>
      </c>
      <c r="EO182" s="19" t="s">
        <v>3232</v>
      </c>
      <c r="EP182" s="19" t="s">
        <v>2122</v>
      </c>
      <c r="EQ182" s="19" t="s">
        <v>2868</v>
      </c>
      <c r="ER182" s="19"/>
      <c r="ES182" s="19" t="s">
        <v>545</v>
      </c>
      <c r="ET182" s="19" t="s">
        <v>545</v>
      </c>
      <c r="EU182" s="19" t="s">
        <v>5556</v>
      </c>
      <c r="EV182" s="19">
        <v>8724.0</v>
      </c>
      <c r="EW182" s="19" t="s">
        <v>16</v>
      </c>
      <c r="EX182" s="19">
        <v>4.0</v>
      </c>
      <c r="EY182" s="25" t="s">
        <v>544</v>
      </c>
      <c r="EZ182" s="19" t="s">
        <v>2154</v>
      </c>
      <c r="FA182" s="5" t="s">
        <v>5567</v>
      </c>
      <c r="FB182" s="26" t="s">
        <v>2156</v>
      </c>
      <c r="FC182" s="26"/>
    </row>
    <row r="183">
      <c r="A183" s="19" t="s">
        <v>2112</v>
      </c>
      <c r="B183" s="19"/>
      <c r="C183" s="19" t="s">
        <v>2113</v>
      </c>
      <c r="D183" s="19" t="s">
        <v>546</v>
      </c>
      <c r="E183" s="19" t="s">
        <v>5568</v>
      </c>
      <c r="F183" s="19" t="s">
        <v>546</v>
      </c>
      <c r="G183" s="19" t="s">
        <v>5568</v>
      </c>
      <c r="H183" s="19" t="s">
        <v>546</v>
      </c>
      <c r="I183" s="19" t="s">
        <v>548</v>
      </c>
      <c r="J183" s="19" t="s">
        <v>5569</v>
      </c>
      <c r="K183" s="19" t="s">
        <v>5570</v>
      </c>
      <c r="L183" s="20">
        <v>45446.0</v>
      </c>
      <c r="M183" s="20">
        <v>45446.0</v>
      </c>
      <c r="N183" s="20">
        <v>45446.0</v>
      </c>
      <c r="O183" s="19" t="s">
        <v>547</v>
      </c>
      <c r="P183" s="19">
        <v>0.0</v>
      </c>
      <c r="Q183" s="19">
        <v>23.0</v>
      </c>
      <c r="R183" s="19">
        <v>8510.0</v>
      </c>
      <c r="S183" s="20" t="s">
        <v>4492</v>
      </c>
      <c r="T183" s="20">
        <v>45461.0</v>
      </c>
      <c r="U183" s="19" t="s">
        <v>546</v>
      </c>
      <c r="V183" s="19"/>
      <c r="W183" s="19"/>
      <c r="X183" s="21">
        <v>0.0</v>
      </c>
      <c r="Y183" s="21">
        <v>10.0</v>
      </c>
      <c r="Z183" s="21">
        <v>3.0</v>
      </c>
      <c r="AA183" s="21">
        <v>3.0</v>
      </c>
      <c r="AB183" s="5">
        <v>16.0</v>
      </c>
      <c r="AC183" s="19">
        <v>5.0</v>
      </c>
      <c r="AD183" s="19">
        <v>5.0</v>
      </c>
      <c r="AE183" s="19">
        <v>5.0</v>
      </c>
      <c r="AF183" s="19">
        <v>5.0</v>
      </c>
      <c r="AG183" s="19">
        <v>5.0</v>
      </c>
      <c r="AH183" s="19">
        <v>4.8</v>
      </c>
      <c r="AI183" s="22">
        <v>14.924999999999999</v>
      </c>
      <c r="AJ183" s="19">
        <v>15.0</v>
      </c>
      <c r="AK183" s="19">
        <v>15.0</v>
      </c>
      <c r="AL183" s="19">
        <v>15.0</v>
      </c>
      <c r="AM183" s="19">
        <v>45.0</v>
      </c>
      <c r="AN183" s="19">
        <v>59.9</v>
      </c>
      <c r="AO183" s="19">
        <v>75.9</v>
      </c>
      <c r="AP183" s="19">
        <v>390.0</v>
      </c>
      <c r="AQ183" s="23">
        <v>178.0</v>
      </c>
      <c r="AR183" s="23">
        <v>17.0</v>
      </c>
      <c r="AS183" s="22"/>
      <c r="AT183" s="19" t="s">
        <v>2117</v>
      </c>
      <c r="AU183" s="19" t="s">
        <v>5571</v>
      </c>
      <c r="AV183" s="19" t="s">
        <v>5572</v>
      </c>
      <c r="AW183" s="19" t="s">
        <v>2166</v>
      </c>
      <c r="AX183" s="20">
        <v>36951.0</v>
      </c>
      <c r="AY183" s="19" t="s">
        <v>5573</v>
      </c>
      <c r="AZ183" s="19" t="s">
        <v>2122</v>
      </c>
      <c r="BA183" s="19" t="s">
        <v>5574</v>
      </c>
      <c r="BB183" s="19" t="s">
        <v>5575</v>
      </c>
      <c r="BC183" s="19" t="s">
        <v>5576</v>
      </c>
      <c r="BD183" s="19" t="s">
        <v>5577</v>
      </c>
      <c r="BE183" s="19" t="s">
        <v>5569</v>
      </c>
      <c r="BF183" s="19">
        <v>1.1966556324E10</v>
      </c>
      <c r="BG183" s="19" t="s">
        <v>2127</v>
      </c>
      <c r="BH183" s="19" t="s">
        <v>2128</v>
      </c>
      <c r="BI183" s="19"/>
      <c r="BJ183" s="19" t="s">
        <v>2128</v>
      </c>
      <c r="BK183" s="19" t="s">
        <v>17</v>
      </c>
      <c r="BL183" s="19"/>
      <c r="BM183" s="19" t="s">
        <v>5411</v>
      </c>
      <c r="BN183" s="19" t="s">
        <v>2172</v>
      </c>
      <c r="BO183" s="19" t="s">
        <v>2473</v>
      </c>
      <c r="BP183" s="19" t="s">
        <v>5578</v>
      </c>
      <c r="BQ183" s="19" t="s">
        <v>2174</v>
      </c>
      <c r="BR183" s="19" t="s">
        <v>2174</v>
      </c>
      <c r="BS183" s="19" t="s">
        <v>2134</v>
      </c>
      <c r="BT183" s="19" t="s">
        <v>34</v>
      </c>
      <c r="BU183" s="19"/>
      <c r="BV183" s="19"/>
      <c r="BW183" s="19" t="s">
        <v>2113</v>
      </c>
      <c r="BX183" s="19"/>
      <c r="BY183" s="19"/>
      <c r="BZ183" s="19"/>
      <c r="CA183" s="19"/>
      <c r="CB183" s="19"/>
      <c r="CC183" s="19"/>
      <c r="CD183" s="19" t="s">
        <v>2137</v>
      </c>
      <c r="CE183" s="19" t="s">
        <v>16</v>
      </c>
      <c r="CF183" s="19"/>
      <c r="CG183" s="19"/>
      <c r="CH183" s="19" t="s">
        <v>17</v>
      </c>
      <c r="CI183" s="21">
        <v>3.0</v>
      </c>
      <c r="CJ183" s="19" t="s">
        <v>17</v>
      </c>
      <c r="CK183" s="19"/>
      <c r="CL183" s="19"/>
      <c r="CM183" s="19" t="s">
        <v>2138</v>
      </c>
      <c r="CN183" s="19" t="s">
        <v>3041</v>
      </c>
      <c r="CO183" s="19"/>
      <c r="CP183" s="19" t="s">
        <v>2178</v>
      </c>
      <c r="CQ183" s="19"/>
      <c r="CR183" s="19"/>
      <c r="CS183" s="19"/>
      <c r="CT183" s="19"/>
      <c r="CU183" s="19"/>
      <c r="CV183" s="19" t="s">
        <v>2141</v>
      </c>
      <c r="CW183" s="19"/>
      <c r="CX183" s="19"/>
      <c r="CY183" s="19"/>
      <c r="CZ183" s="19"/>
      <c r="DA183" s="19" t="s">
        <v>16</v>
      </c>
      <c r="DB183" s="19" t="s">
        <v>17</v>
      </c>
      <c r="DC183" s="19" t="s">
        <v>3042</v>
      </c>
      <c r="DD183" s="19" t="s">
        <v>2113</v>
      </c>
      <c r="DE183" s="19" t="s">
        <v>2113</v>
      </c>
      <c r="DF183" s="19" t="s">
        <v>2433</v>
      </c>
      <c r="DG183" s="19" t="s">
        <v>2270</v>
      </c>
      <c r="DH183" s="19" t="s">
        <v>2144</v>
      </c>
      <c r="DI183" s="24">
        <v>45518.0</v>
      </c>
      <c r="DJ183" s="19" t="s">
        <v>2174</v>
      </c>
      <c r="DK183" s="19" t="s">
        <v>2271</v>
      </c>
      <c r="DL183" s="19" t="s">
        <v>2183</v>
      </c>
      <c r="DM183" s="19" t="s">
        <v>2346</v>
      </c>
      <c r="DN183" s="19">
        <v>4.0</v>
      </c>
      <c r="DO183" s="19">
        <v>4.0</v>
      </c>
      <c r="DP183" s="19" t="s">
        <v>5579</v>
      </c>
      <c r="DQ183" s="19" t="s">
        <v>5580</v>
      </c>
      <c r="DR183" s="19" t="s">
        <v>5581</v>
      </c>
      <c r="DS183" s="19" t="s">
        <v>2365</v>
      </c>
      <c r="DT183" s="19" t="s">
        <v>2152</v>
      </c>
      <c r="DU183" s="19"/>
      <c r="DV183" s="19"/>
      <c r="DW183" s="19" t="s">
        <v>2188</v>
      </c>
      <c r="DX183" s="19">
        <v>10.0</v>
      </c>
      <c r="DY183" s="19">
        <v>10.0</v>
      </c>
      <c r="DZ183" s="19">
        <v>0.0</v>
      </c>
      <c r="EA183" s="19">
        <v>10.0</v>
      </c>
      <c r="EB183" s="19">
        <v>3.0</v>
      </c>
      <c r="EC183" s="19">
        <v>0.0</v>
      </c>
      <c r="ED183" s="19" t="s">
        <v>2174</v>
      </c>
      <c r="EE183" s="24">
        <v>45518.0</v>
      </c>
      <c r="EF183" s="19" t="s">
        <v>2174</v>
      </c>
      <c r="EG183" s="19" t="s">
        <v>2271</v>
      </c>
      <c r="EH183" s="19" t="s">
        <v>2183</v>
      </c>
      <c r="EI183" s="22">
        <v>14.924999999999999</v>
      </c>
      <c r="EJ183" s="19">
        <v>45.0</v>
      </c>
      <c r="EK183" s="19" t="s">
        <v>2113</v>
      </c>
      <c r="EL183" s="19" t="s">
        <v>2117</v>
      </c>
      <c r="EM183" s="19" t="s">
        <v>5571</v>
      </c>
      <c r="EN183" s="19" t="s">
        <v>548</v>
      </c>
      <c r="EO183" s="19" t="s">
        <v>5573</v>
      </c>
      <c r="EP183" s="19" t="s">
        <v>2122</v>
      </c>
      <c r="EQ183" s="19" t="s">
        <v>3041</v>
      </c>
      <c r="ER183" s="19"/>
      <c r="ES183" s="19" t="s">
        <v>548</v>
      </c>
      <c r="ET183" s="19" t="s">
        <v>548</v>
      </c>
      <c r="EU183" s="19" t="s">
        <v>5570</v>
      </c>
      <c r="EV183" s="19">
        <v>8510.0</v>
      </c>
      <c r="EW183" s="19" t="s">
        <v>16</v>
      </c>
      <c r="EX183" s="19">
        <v>3.0</v>
      </c>
      <c r="EY183" s="25" t="s">
        <v>547</v>
      </c>
      <c r="EZ183" s="19" t="s">
        <v>2154</v>
      </c>
      <c r="FA183" s="5" t="s">
        <v>5582</v>
      </c>
      <c r="FB183" s="26" t="s">
        <v>2156</v>
      </c>
      <c r="FC183" s="26"/>
    </row>
    <row r="184" hidden="1">
      <c r="A184" s="27" t="s">
        <v>2112</v>
      </c>
      <c r="B184" s="27"/>
      <c r="C184" s="27" t="s">
        <v>2113</v>
      </c>
      <c r="D184" s="27" t="s">
        <v>5583</v>
      </c>
      <c r="E184" s="27" t="s">
        <v>5584</v>
      </c>
      <c r="F184" s="27" t="s">
        <v>5585</v>
      </c>
      <c r="G184" s="27" t="s">
        <v>5586</v>
      </c>
      <c r="H184" s="27" t="s">
        <v>5583</v>
      </c>
      <c r="I184" s="27" t="s">
        <v>5587</v>
      </c>
      <c r="J184" s="27" t="s">
        <v>5588</v>
      </c>
      <c r="K184" s="27" t="s">
        <v>5589</v>
      </c>
      <c r="L184" s="28">
        <v>45433.0</v>
      </c>
      <c r="M184" s="28">
        <v>45434.0</v>
      </c>
      <c r="N184" s="28">
        <v>45434.0</v>
      </c>
      <c r="O184" s="27" t="s">
        <v>5590</v>
      </c>
      <c r="P184" s="27">
        <v>0.0</v>
      </c>
      <c r="Q184" s="27">
        <v>19.0</v>
      </c>
      <c r="R184" s="27">
        <v>7119.0</v>
      </c>
      <c r="S184" s="28" t="s">
        <v>5591</v>
      </c>
      <c r="T184" s="28">
        <v>45461.0</v>
      </c>
      <c r="U184" s="27" t="s">
        <v>5585</v>
      </c>
      <c r="V184" s="27"/>
      <c r="W184" s="27"/>
      <c r="X184" s="29">
        <v>0.0</v>
      </c>
      <c r="Y184" s="29">
        <v>10.0</v>
      </c>
      <c r="Z184" s="29">
        <v>3.0</v>
      </c>
      <c r="AA184" s="29">
        <v>3.0</v>
      </c>
      <c r="AB184" s="30">
        <v>16.0</v>
      </c>
      <c r="AC184" s="27">
        <v>5.0</v>
      </c>
      <c r="AD184" s="27">
        <v>5.0</v>
      </c>
      <c r="AE184" s="27">
        <v>5.0</v>
      </c>
      <c r="AF184" s="27">
        <v>4.5</v>
      </c>
      <c r="AG184" s="27">
        <v>5.0</v>
      </c>
      <c r="AH184" s="27">
        <v>5.0</v>
      </c>
      <c r="AI184" s="31">
        <v>14.8125</v>
      </c>
      <c r="AJ184" s="32">
        <v>15.0</v>
      </c>
      <c r="AK184" s="32">
        <v>15.0</v>
      </c>
      <c r="AL184" s="32">
        <v>15.0</v>
      </c>
      <c r="AM184" s="33">
        <v>45.0</v>
      </c>
      <c r="AN184" s="34">
        <f>AM184+AI184</f>
        <v>59.8125</v>
      </c>
      <c r="AO184" s="34">
        <f>AN184+AB184</f>
        <v>75.8125</v>
      </c>
      <c r="AP184" s="35">
        <v>396.0</v>
      </c>
      <c r="AQ184" s="19">
        <v>183.0</v>
      </c>
      <c r="AR184" s="27"/>
      <c r="AS184" s="31"/>
      <c r="AT184" s="27" t="s">
        <v>2117</v>
      </c>
      <c r="AU184" s="27" t="s">
        <v>5592</v>
      </c>
      <c r="AV184" s="27" t="s">
        <v>5593</v>
      </c>
      <c r="AW184" s="27" t="s">
        <v>2257</v>
      </c>
      <c r="AX184" s="28">
        <v>38342.0</v>
      </c>
      <c r="AY184" s="27" t="s">
        <v>3826</v>
      </c>
      <c r="AZ184" s="27" t="s">
        <v>2122</v>
      </c>
      <c r="BA184" s="27" t="s">
        <v>5594</v>
      </c>
      <c r="BB184" s="27" t="s">
        <v>4020</v>
      </c>
      <c r="BC184" s="27" t="s">
        <v>5595</v>
      </c>
      <c r="BD184" s="27" t="s">
        <v>5596</v>
      </c>
      <c r="BE184" s="27" t="s">
        <v>5588</v>
      </c>
      <c r="BF184" s="27">
        <v>1.1993923705E10</v>
      </c>
      <c r="BG184" s="27" t="s">
        <v>2127</v>
      </c>
      <c r="BH184" s="27" t="s">
        <v>2128</v>
      </c>
      <c r="BI184" s="27"/>
      <c r="BJ184" s="27" t="s">
        <v>2128</v>
      </c>
      <c r="BK184" s="27" t="s">
        <v>17</v>
      </c>
      <c r="BL184" s="27" t="s">
        <v>2113</v>
      </c>
      <c r="BM184" s="27" t="s">
        <v>5411</v>
      </c>
      <c r="BN184" s="27" t="s">
        <v>17</v>
      </c>
      <c r="BO184" s="27" t="s">
        <v>2473</v>
      </c>
      <c r="BP184" s="27" t="s">
        <v>5597</v>
      </c>
      <c r="BQ184" s="27" t="s">
        <v>3832</v>
      </c>
      <c r="BR184" s="27" t="s">
        <v>3832</v>
      </c>
      <c r="BS184" s="27" t="s">
        <v>2134</v>
      </c>
      <c r="BT184" s="27" t="s">
        <v>268</v>
      </c>
      <c r="BU184" s="27" t="s">
        <v>5598</v>
      </c>
      <c r="BV184" s="27"/>
      <c r="BW184" s="27"/>
      <c r="BX184" s="27"/>
      <c r="BY184" s="27"/>
      <c r="BZ184" s="27"/>
      <c r="CA184" s="27" t="s">
        <v>2113</v>
      </c>
      <c r="CB184" s="27" t="s">
        <v>2113</v>
      </c>
      <c r="CC184" s="27" t="s">
        <v>2113</v>
      </c>
      <c r="CD184" s="27" t="s">
        <v>2137</v>
      </c>
      <c r="CE184" s="27" t="s">
        <v>16</v>
      </c>
      <c r="CF184" s="27"/>
      <c r="CG184" s="27"/>
      <c r="CH184" s="27" t="s">
        <v>17</v>
      </c>
      <c r="CI184" s="29">
        <v>3.0</v>
      </c>
      <c r="CJ184" s="27" t="s">
        <v>17</v>
      </c>
      <c r="CK184" s="27"/>
      <c r="CL184" s="27"/>
      <c r="CM184" s="27" t="s">
        <v>2749</v>
      </c>
      <c r="CN184" s="27" t="s">
        <v>3835</v>
      </c>
      <c r="CO184" s="27"/>
      <c r="CP184" s="27" t="s">
        <v>2225</v>
      </c>
      <c r="CQ184" s="27"/>
      <c r="CR184" s="27"/>
      <c r="CS184" s="27"/>
      <c r="CT184" s="27" t="s">
        <v>2113</v>
      </c>
      <c r="CU184" s="27" t="s">
        <v>2113</v>
      </c>
      <c r="CV184" s="27" t="s">
        <v>2179</v>
      </c>
      <c r="CW184" s="27"/>
      <c r="CX184" s="27"/>
      <c r="CY184" s="27" t="s">
        <v>2113</v>
      </c>
      <c r="CZ184" s="27" t="s">
        <v>2113</v>
      </c>
      <c r="DA184" s="27" t="s">
        <v>16</v>
      </c>
      <c r="DB184" s="27" t="s">
        <v>17</v>
      </c>
      <c r="DC184" s="27" t="s">
        <v>5145</v>
      </c>
      <c r="DD184" s="27" t="s">
        <v>2113</v>
      </c>
      <c r="DE184" s="27" t="s">
        <v>2113</v>
      </c>
      <c r="DF184" s="27" t="s">
        <v>3836</v>
      </c>
      <c r="DG184" s="27" t="s">
        <v>4083</v>
      </c>
      <c r="DH184" s="27" t="s">
        <v>2144</v>
      </c>
      <c r="DI184" s="36">
        <v>45518.0</v>
      </c>
      <c r="DJ184" s="27" t="s">
        <v>3257</v>
      </c>
      <c r="DK184" s="27" t="s">
        <v>2271</v>
      </c>
      <c r="DL184" s="27" t="s">
        <v>2207</v>
      </c>
      <c r="DM184" s="31" t="s">
        <v>5599</v>
      </c>
      <c r="DN184" s="27">
        <v>1.0</v>
      </c>
      <c r="DO184" s="27">
        <v>1.0</v>
      </c>
      <c r="DP184" s="27"/>
      <c r="DQ184" s="27"/>
      <c r="DR184" s="27"/>
      <c r="DS184" s="27" t="s">
        <v>2185</v>
      </c>
      <c r="DT184" s="27" t="s">
        <v>2186</v>
      </c>
      <c r="DU184" s="27" t="s">
        <v>5600</v>
      </c>
      <c r="DV184" s="27"/>
      <c r="DW184" s="27" t="s">
        <v>2153</v>
      </c>
      <c r="DX184" s="27">
        <v>1.0</v>
      </c>
      <c r="DY184" s="27">
        <v>10.0</v>
      </c>
      <c r="DZ184" s="27">
        <v>0.0</v>
      </c>
      <c r="EA184" s="27">
        <v>10.0</v>
      </c>
      <c r="EB184" s="27">
        <v>3.0</v>
      </c>
      <c r="EC184" s="27">
        <v>0.0</v>
      </c>
      <c r="ED184" s="27" t="s">
        <v>3257</v>
      </c>
      <c r="EE184" s="36">
        <v>45518.0</v>
      </c>
      <c r="EF184" s="27" t="s">
        <v>3257</v>
      </c>
      <c r="EG184" s="27" t="s">
        <v>2271</v>
      </c>
      <c r="EH184" s="27" t="s">
        <v>2207</v>
      </c>
      <c r="EI184" s="31">
        <v>14.8125</v>
      </c>
      <c r="EJ184" s="27">
        <v>0.0</v>
      </c>
      <c r="EK184" s="27" t="s">
        <v>2113</v>
      </c>
      <c r="EL184" s="27" t="s">
        <v>2117</v>
      </c>
      <c r="EM184" s="27" t="s">
        <v>5592</v>
      </c>
      <c r="EN184" s="27" t="s">
        <v>5587</v>
      </c>
      <c r="EO184" s="27" t="s">
        <v>3826</v>
      </c>
      <c r="EP184" s="27" t="s">
        <v>2122</v>
      </c>
      <c r="EQ184" s="27" t="s">
        <v>3835</v>
      </c>
      <c r="ER184" s="27"/>
      <c r="ES184" s="27" t="s">
        <v>5587</v>
      </c>
      <c r="ET184" s="27" t="s">
        <v>5587</v>
      </c>
      <c r="EU184" s="27" t="s">
        <v>5589</v>
      </c>
      <c r="EV184" s="27">
        <v>7119.0</v>
      </c>
      <c r="EW184" s="27" t="s">
        <v>16</v>
      </c>
      <c r="EX184" s="27">
        <v>3.0</v>
      </c>
      <c r="EY184" s="37" t="s">
        <v>5590</v>
      </c>
      <c r="EZ184" s="27" t="s">
        <v>2154</v>
      </c>
      <c r="FA184" s="30" t="s">
        <v>5601</v>
      </c>
      <c r="FB184" s="38" t="s">
        <v>2633</v>
      </c>
      <c r="FC184" s="38" t="s">
        <v>5602</v>
      </c>
    </row>
    <row r="185">
      <c r="A185" s="19" t="s">
        <v>2156</v>
      </c>
      <c r="B185" s="19" t="s">
        <v>2113</v>
      </c>
      <c r="C185" s="19" t="s">
        <v>2113</v>
      </c>
      <c r="D185" s="19" t="s">
        <v>549</v>
      </c>
      <c r="E185" s="19" t="s">
        <v>5603</v>
      </c>
      <c r="F185" s="19" t="s">
        <v>549</v>
      </c>
      <c r="G185" s="19"/>
      <c r="H185" s="19" t="s">
        <v>549</v>
      </c>
      <c r="I185" s="19" t="s">
        <v>551</v>
      </c>
      <c r="J185" s="19" t="s">
        <v>5604</v>
      </c>
      <c r="K185" s="19" t="s">
        <v>5605</v>
      </c>
      <c r="L185" s="20">
        <v>45425.0</v>
      </c>
      <c r="M185" s="20">
        <v>45428.0</v>
      </c>
      <c r="N185" s="20">
        <v>45428.0</v>
      </c>
      <c r="O185" s="19" t="s">
        <v>550</v>
      </c>
      <c r="P185" s="19">
        <v>0.0</v>
      </c>
      <c r="Q185" s="19">
        <v>21.0</v>
      </c>
      <c r="R185" s="19">
        <v>7961.0</v>
      </c>
      <c r="S185" s="20" t="s">
        <v>5606</v>
      </c>
      <c r="T185" s="20">
        <v>45461.0</v>
      </c>
      <c r="U185" s="19" t="s">
        <v>549</v>
      </c>
      <c r="V185" s="19"/>
      <c r="W185" s="19"/>
      <c r="X185" s="21">
        <v>20.0</v>
      </c>
      <c r="Y185" s="21">
        <v>0.0</v>
      </c>
      <c r="Z185" s="21">
        <v>1.0</v>
      </c>
      <c r="AA185" s="21">
        <v>3.0</v>
      </c>
      <c r="AB185" s="5">
        <v>24.0</v>
      </c>
      <c r="AC185" s="19">
        <v>5.0</v>
      </c>
      <c r="AD185" s="19">
        <v>5.0</v>
      </c>
      <c r="AE185" s="19">
        <v>5.0</v>
      </c>
      <c r="AF185" s="19">
        <v>5.0</v>
      </c>
      <c r="AG185" s="19">
        <v>5.0</v>
      </c>
      <c r="AH185" s="19">
        <v>5.0</v>
      </c>
      <c r="AI185" s="22">
        <v>15.0</v>
      </c>
      <c r="AJ185" s="19">
        <v>14.0</v>
      </c>
      <c r="AK185" s="19">
        <v>12.7</v>
      </c>
      <c r="AL185" s="19">
        <v>10.0</v>
      </c>
      <c r="AM185" s="19">
        <v>36.7</v>
      </c>
      <c r="AN185" s="19">
        <v>51.7</v>
      </c>
      <c r="AO185" s="19">
        <v>75.7</v>
      </c>
      <c r="AP185" s="19">
        <v>300.0</v>
      </c>
      <c r="AQ185" s="23">
        <v>179.0</v>
      </c>
      <c r="AR185" s="23">
        <v>19.0</v>
      </c>
      <c r="AS185" s="22"/>
      <c r="AT185" s="19" t="s">
        <v>2117</v>
      </c>
      <c r="AU185" s="19" t="s">
        <v>5607</v>
      </c>
      <c r="AV185" s="19" t="s">
        <v>5608</v>
      </c>
      <c r="AW185" s="19"/>
      <c r="AX185" s="20">
        <v>37500.0</v>
      </c>
      <c r="AY185" s="19" t="s">
        <v>3632</v>
      </c>
      <c r="AZ185" s="19" t="s">
        <v>2122</v>
      </c>
      <c r="BA185" s="19" t="s">
        <v>5609</v>
      </c>
      <c r="BB185" s="19" t="s">
        <v>4020</v>
      </c>
      <c r="BC185" s="19" t="s">
        <v>5610</v>
      </c>
      <c r="BD185" s="19" t="s">
        <v>5611</v>
      </c>
      <c r="BE185" s="19" t="s">
        <v>5612</v>
      </c>
      <c r="BF185" s="19" t="s">
        <v>5613</v>
      </c>
      <c r="BG185" s="19" t="s">
        <v>4038</v>
      </c>
      <c r="BH185" s="19" t="s">
        <v>2128</v>
      </c>
      <c r="BI185" s="19"/>
      <c r="BJ185" s="19" t="s">
        <v>2128</v>
      </c>
      <c r="BK185" s="19" t="s">
        <v>17</v>
      </c>
      <c r="BL185" s="19"/>
      <c r="BM185" s="19" t="s">
        <v>2130</v>
      </c>
      <c r="BN185" s="19" t="s">
        <v>17</v>
      </c>
      <c r="BO185" s="19" t="s">
        <v>3082</v>
      </c>
      <c r="BP185" s="19" t="s">
        <v>5614</v>
      </c>
      <c r="BQ185" s="19" t="s">
        <v>2325</v>
      </c>
      <c r="BR185" s="19" t="s">
        <v>2325</v>
      </c>
      <c r="BS185" s="19" t="s">
        <v>2243</v>
      </c>
      <c r="BT185" s="19" t="s">
        <v>118</v>
      </c>
      <c r="BU185" s="19" t="s">
        <v>5615</v>
      </c>
      <c r="BV185" s="19" t="s">
        <v>5616</v>
      </c>
      <c r="BW185" s="19" t="s">
        <v>2113</v>
      </c>
      <c r="BX185" s="19"/>
      <c r="BY185" s="19"/>
      <c r="BZ185" s="19"/>
      <c r="CA185" s="19"/>
      <c r="CB185" s="19" t="s">
        <v>2113</v>
      </c>
      <c r="CC185" s="19"/>
      <c r="CD185" s="19" t="s">
        <v>2137</v>
      </c>
      <c r="CE185" s="19" t="s">
        <v>16</v>
      </c>
      <c r="CF185" s="19"/>
      <c r="CG185" s="19"/>
      <c r="CH185" s="19" t="s">
        <v>17</v>
      </c>
      <c r="CI185" s="21">
        <v>3.0</v>
      </c>
      <c r="CJ185" s="19" t="s">
        <v>17</v>
      </c>
      <c r="CK185" s="19"/>
      <c r="CL185" s="19"/>
      <c r="CM185" s="19" t="s">
        <v>2138</v>
      </c>
      <c r="CN185" s="19" t="s">
        <v>3503</v>
      </c>
      <c r="CO185" s="19"/>
      <c r="CP185" s="19" t="s">
        <v>2140</v>
      </c>
      <c r="CQ185" s="19"/>
      <c r="CR185" s="19" t="s">
        <v>2113</v>
      </c>
      <c r="CS185" s="19" t="s">
        <v>2113</v>
      </c>
      <c r="CT185" s="19" t="s">
        <v>2113</v>
      </c>
      <c r="CU185" s="19" t="s">
        <v>2113</v>
      </c>
      <c r="CV185" s="19" t="s">
        <v>2179</v>
      </c>
      <c r="CW185" s="19" t="s">
        <v>2113</v>
      </c>
      <c r="CX185" s="19" t="s">
        <v>2113</v>
      </c>
      <c r="CY185" s="19" t="s">
        <v>2113</v>
      </c>
      <c r="CZ185" s="19" t="s">
        <v>2113</v>
      </c>
      <c r="DA185" s="19" t="s">
        <v>16</v>
      </c>
      <c r="DB185" s="19" t="s">
        <v>17</v>
      </c>
      <c r="DC185" s="19" t="s">
        <v>2869</v>
      </c>
      <c r="DD185" s="19" t="s">
        <v>2113</v>
      </c>
      <c r="DE185" s="19" t="s">
        <v>2113</v>
      </c>
      <c r="DF185" s="19" t="s">
        <v>2804</v>
      </c>
      <c r="DG185" s="19" t="s">
        <v>3223</v>
      </c>
      <c r="DH185" s="19" t="s">
        <v>2144</v>
      </c>
      <c r="DI185" s="24">
        <v>45519.0</v>
      </c>
      <c r="DJ185" s="19" t="s">
        <v>2325</v>
      </c>
      <c r="DK185" s="19" t="s">
        <v>2145</v>
      </c>
      <c r="DL185" s="19" t="s">
        <v>2326</v>
      </c>
      <c r="DM185" s="19"/>
      <c r="DN185" s="19">
        <v>5.0</v>
      </c>
      <c r="DO185" s="19">
        <v>5.0</v>
      </c>
      <c r="DP185" s="19"/>
      <c r="DQ185" s="19"/>
      <c r="DR185" s="19"/>
      <c r="DS185" s="19" t="s">
        <v>2185</v>
      </c>
      <c r="DT185" s="19" t="s">
        <v>2186</v>
      </c>
      <c r="DU185" s="19" t="s">
        <v>5617</v>
      </c>
      <c r="DV185" s="19"/>
      <c r="DW185" s="19" t="s">
        <v>3306</v>
      </c>
      <c r="DX185" s="19">
        <v>4.0</v>
      </c>
      <c r="DY185" s="19">
        <v>0.0</v>
      </c>
      <c r="DZ185" s="19">
        <v>0.0</v>
      </c>
      <c r="EA185" s="19">
        <v>0.0</v>
      </c>
      <c r="EB185" s="19">
        <v>3.0</v>
      </c>
      <c r="EC185" s="19">
        <v>20.0</v>
      </c>
      <c r="ED185" s="19" t="s">
        <v>2325</v>
      </c>
      <c r="EE185" s="24">
        <v>45519.0</v>
      </c>
      <c r="EF185" s="19" t="s">
        <v>2325</v>
      </c>
      <c r="EG185" s="19" t="s">
        <v>2145</v>
      </c>
      <c r="EH185" s="19" t="s">
        <v>2326</v>
      </c>
      <c r="EI185" s="22">
        <v>15.0</v>
      </c>
      <c r="EJ185" s="19">
        <v>36.66666667</v>
      </c>
      <c r="EK185" s="19" t="s">
        <v>2113</v>
      </c>
      <c r="EL185" s="19" t="s">
        <v>2117</v>
      </c>
      <c r="EM185" s="19" t="s">
        <v>5607</v>
      </c>
      <c r="EN185" s="19" t="s">
        <v>551</v>
      </c>
      <c r="EO185" s="19" t="s">
        <v>3632</v>
      </c>
      <c r="EP185" s="19" t="s">
        <v>2122</v>
      </c>
      <c r="EQ185" s="19" t="s">
        <v>3503</v>
      </c>
      <c r="ER185" s="19"/>
      <c r="ES185" s="19" t="s">
        <v>551</v>
      </c>
      <c r="ET185" s="19" t="s">
        <v>551</v>
      </c>
      <c r="EU185" s="19" t="s">
        <v>5605</v>
      </c>
      <c r="EV185" s="19">
        <v>7961.0</v>
      </c>
      <c r="EW185" s="19" t="s">
        <v>16</v>
      </c>
      <c r="EX185" s="19">
        <v>1.0</v>
      </c>
      <c r="EY185" s="25" t="s">
        <v>550</v>
      </c>
      <c r="EZ185" s="19" t="s">
        <v>2154</v>
      </c>
      <c r="FA185" s="5" t="s">
        <v>5618</v>
      </c>
      <c r="FB185" s="26" t="s">
        <v>2156</v>
      </c>
      <c r="FC185" s="26"/>
    </row>
    <row r="186">
      <c r="A186" s="19" t="s">
        <v>2112</v>
      </c>
      <c r="B186" s="19" t="s">
        <v>2113</v>
      </c>
      <c r="C186" s="19" t="s">
        <v>2113</v>
      </c>
      <c r="D186" s="19" t="s">
        <v>552</v>
      </c>
      <c r="E186" s="19" t="s">
        <v>552</v>
      </c>
      <c r="F186" s="19" t="s">
        <v>552</v>
      </c>
      <c r="G186" s="19"/>
      <c r="H186" s="19" t="s">
        <v>552</v>
      </c>
      <c r="I186" s="19" t="s">
        <v>554</v>
      </c>
      <c r="J186" s="19" t="s">
        <v>5619</v>
      </c>
      <c r="K186" s="19" t="s">
        <v>5620</v>
      </c>
      <c r="L186" s="20">
        <v>45399.0</v>
      </c>
      <c r="M186" s="20">
        <v>45411.0</v>
      </c>
      <c r="N186" s="20">
        <v>45411.0</v>
      </c>
      <c r="O186" s="19" t="s">
        <v>553</v>
      </c>
      <c r="P186" s="19">
        <v>0.0</v>
      </c>
      <c r="Q186" s="19">
        <v>19.0</v>
      </c>
      <c r="R186" s="19">
        <v>7302.0</v>
      </c>
      <c r="S186" s="20" t="s">
        <v>5621</v>
      </c>
      <c r="T186" s="20">
        <v>45461.0</v>
      </c>
      <c r="U186" s="19" t="s">
        <v>552</v>
      </c>
      <c r="V186" s="19"/>
      <c r="W186" s="19"/>
      <c r="X186" s="21">
        <v>20.0</v>
      </c>
      <c r="Y186" s="21">
        <v>10.0</v>
      </c>
      <c r="Z186" s="21">
        <v>2.0</v>
      </c>
      <c r="AA186" s="21">
        <v>0.0</v>
      </c>
      <c r="AB186" s="5">
        <v>32.0</v>
      </c>
      <c r="AC186" s="19">
        <v>4.0</v>
      </c>
      <c r="AD186" s="19">
        <v>4.0</v>
      </c>
      <c r="AE186" s="19">
        <v>4.0</v>
      </c>
      <c r="AF186" s="19">
        <v>4.0</v>
      </c>
      <c r="AG186" s="19">
        <v>4.0</v>
      </c>
      <c r="AH186" s="19">
        <v>3.0</v>
      </c>
      <c r="AI186" s="22">
        <v>11.625</v>
      </c>
      <c r="AJ186" s="19">
        <v>11.0</v>
      </c>
      <c r="AK186" s="19">
        <v>11.0</v>
      </c>
      <c r="AL186" s="19">
        <v>10.0</v>
      </c>
      <c r="AM186" s="19">
        <v>32.0</v>
      </c>
      <c r="AN186" s="19">
        <v>43.6</v>
      </c>
      <c r="AO186" s="19">
        <v>75.6</v>
      </c>
      <c r="AP186" s="19">
        <v>198.0</v>
      </c>
      <c r="AQ186" s="23">
        <v>180.0</v>
      </c>
      <c r="AR186" s="23">
        <v>19.0</v>
      </c>
      <c r="AS186" s="22"/>
      <c r="AT186" s="19" t="s">
        <v>2282</v>
      </c>
      <c r="AU186" s="19" t="s">
        <v>5310</v>
      </c>
      <c r="AV186" s="19" t="s">
        <v>5622</v>
      </c>
      <c r="AW186" s="19"/>
      <c r="AX186" s="20">
        <v>38159.0</v>
      </c>
      <c r="AY186" s="19" t="s">
        <v>5121</v>
      </c>
      <c r="AZ186" s="19" t="s">
        <v>2445</v>
      </c>
      <c r="BA186" s="19" t="s">
        <v>5623</v>
      </c>
      <c r="BB186" s="19" t="s">
        <v>5624</v>
      </c>
      <c r="BC186" s="19" t="s">
        <v>5625</v>
      </c>
      <c r="BD186" s="19" t="s">
        <v>5626</v>
      </c>
      <c r="BE186" s="19" t="s">
        <v>5627</v>
      </c>
      <c r="BF186" s="19">
        <v>1.1991601155E10</v>
      </c>
      <c r="BG186" s="19" t="s">
        <v>2127</v>
      </c>
      <c r="BH186" s="19" t="s">
        <v>2128</v>
      </c>
      <c r="BI186" s="19"/>
      <c r="BJ186" s="19"/>
      <c r="BK186" s="19" t="s">
        <v>16</v>
      </c>
      <c r="BL186" s="19"/>
      <c r="BM186" s="19" t="s">
        <v>2130</v>
      </c>
      <c r="BN186" s="19" t="s">
        <v>2172</v>
      </c>
      <c r="BO186" s="19" t="s">
        <v>3199</v>
      </c>
      <c r="BP186" s="19"/>
      <c r="BQ186" s="19" t="s">
        <v>2133</v>
      </c>
      <c r="BR186" s="19" t="s">
        <v>2133</v>
      </c>
      <c r="BS186" s="19" t="s">
        <v>2134</v>
      </c>
      <c r="BT186" s="19" t="s">
        <v>15</v>
      </c>
      <c r="BU186" s="19"/>
      <c r="BV186" s="19" t="s">
        <v>5628</v>
      </c>
      <c r="BW186" s="19" t="s">
        <v>2113</v>
      </c>
      <c r="BX186" s="19"/>
      <c r="BY186" s="19"/>
      <c r="BZ186" s="19"/>
      <c r="CA186" s="19"/>
      <c r="CB186" s="19" t="s">
        <v>2113</v>
      </c>
      <c r="CC186" s="19"/>
      <c r="CD186" s="19" t="s">
        <v>2137</v>
      </c>
      <c r="CE186" s="19" t="s">
        <v>16</v>
      </c>
      <c r="CF186" s="19"/>
      <c r="CG186" s="19"/>
      <c r="CH186" s="19" t="s">
        <v>16</v>
      </c>
      <c r="CI186" s="21">
        <v>0.0</v>
      </c>
      <c r="CJ186" s="19" t="s">
        <v>16</v>
      </c>
      <c r="CK186" s="19"/>
      <c r="CL186" s="19"/>
      <c r="CM186" s="19" t="s">
        <v>2138</v>
      </c>
      <c r="CN186" s="19" t="s">
        <v>5128</v>
      </c>
      <c r="CO186" s="19"/>
      <c r="CP186" s="19"/>
      <c r="CQ186" s="19"/>
      <c r="CR186" s="19" t="s">
        <v>2113</v>
      </c>
      <c r="CS186" s="19" t="s">
        <v>2113</v>
      </c>
      <c r="CT186" s="19" t="s">
        <v>2113</v>
      </c>
      <c r="CU186" s="19" t="s">
        <v>2113</v>
      </c>
      <c r="CV186" s="19" t="s">
        <v>2141</v>
      </c>
      <c r="CW186" s="19" t="s">
        <v>2113</v>
      </c>
      <c r="CX186" s="19" t="s">
        <v>2113</v>
      </c>
      <c r="CY186" s="19" t="s">
        <v>2113</v>
      </c>
      <c r="CZ186" s="19" t="s">
        <v>2113</v>
      </c>
      <c r="DA186" s="19" t="s">
        <v>16</v>
      </c>
      <c r="DB186" s="19" t="s">
        <v>16</v>
      </c>
      <c r="DC186" s="19" t="s">
        <v>5320</v>
      </c>
      <c r="DD186" s="19" t="s">
        <v>2113</v>
      </c>
      <c r="DE186" s="19" t="s">
        <v>2113</v>
      </c>
      <c r="DF186" s="19" t="s">
        <v>2407</v>
      </c>
      <c r="DG186" s="19" t="s">
        <v>2826</v>
      </c>
      <c r="DH186" s="19" t="s">
        <v>2144</v>
      </c>
      <c r="DI186" s="24">
        <v>45526.0</v>
      </c>
      <c r="DJ186" s="19" t="s">
        <v>2133</v>
      </c>
      <c r="DK186" s="19" t="s">
        <v>2145</v>
      </c>
      <c r="DL186" s="19" t="s">
        <v>2146</v>
      </c>
      <c r="DM186" s="19" t="s">
        <v>3338</v>
      </c>
      <c r="DN186" s="19">
        <v>11.0</v>
      </c>
      <c r="DO186" s="19">
        <v>11.0</v>
      </c>
      <c r="DP186" s="19" t="s">
        <v>5629</v>
      </c>
      <c r="DQ186" s="19" t="s">
        <v>5630</v>
      </c>
      <c r="DR186" s="19" t="s">
        <v>5631</v>
      </c>
      <c r="DS186" s="19" t="s">
        <v>2365</v>
      </c>
      <c r="DT186" s="19" t="s">
        <v>2152</v>
      </c>
      <c r="DU186" s="19"/>
      <c r="DV186" s="19"/>
      <c r="DW186" s="19" t="s">
        <v>2153</v>
      </c>
      <c r="DX186" s="19">
        <v>8.0</v>
      </c>
      <c r="DY186" s="19">
        <v>10.0</v>
      </c>
      <c r="DZ186" s="19">
        <v>0.0</v>
      </c>
      <c r="EA186" s="19">
        <v>10.0</v>
      </c>
      <c r="EB186" s="19">
        <v>0.0</v>
      </c>
      <c r="EC186" s="19">
        <v>20.0</v>
      </c>
      <c r="ED186" s="19" t="s">
        <v>2133</v>
      </c>
      <c r="EE186" s="24">
        <v>45526.0</v>
      </c>
      <c r="EF186" s="19" t="s">
        <v>2133</v>
      </c>
      <c r="EG186" s="19" t="s">
        <v>2145</v>
      </c>
      <c r="EH186" s="19" t="s">
        <v>2146</v>
      </c>
      <c r="EI186" s="22">
        <v>11.625</v>
      </c>
      <c r="EJ186" s="19">
        <v>32.0</v>
      </c>
      <c r="EK186" s="19"/>
      <c r="EL186" s="19" t="s">
        <v>2282</v>
      </c>
      <c r="EM186" s="19" t="s">
        <v>5310</v>
      </c>
      <c r="EN186" s="19" t="s">
        <v>554</v>
      </c>
      <c r="EO186" s="19" t="s">
        <v>5121</v>
      </c>
      <c r="EP186" s="19" t="s">
        <v>2445</v>
      </c>
      <c r="EQ186" s="19" t="s">
        <v>5128</v>
      </c>
      <c r="ER186" s="19"/>
      <c r="ES186" s="19" t="s">
        <v>554</v>
      </c>
      <c r="ET186" s="19" t="s">
        <v>554</v>
      </c>
      <c r="EU186" s="19" t="s">
        <v>5620</v>
      </c>
      <c r="EV186" s="19">
        <v>7302.0</v>
      </c>
      <c r="EW186" s="19" t="s">
        <v>16</v>
      </c>
      <c r="EX186" s="19">
        <v>2.0</v>
      </c>
      <c r="EY186" s="25" t="s">
        <v>553</v>
      </c>
      <c r="EZ186" s="19" t="s">
        <v>2154</v>
      </c>
      <c r="FA186" s="5" t="s">
        <v>5632</v>
      </c>
      <c r="FB186" s="26" t="s">
        <v>2156</v>
      </c>
      <c r="FC186" s="26"/>
    </row>
    <row r="187">
      <c r="A187" s="19" t="s">
        <v>2112</v>
      </c>
      <c r="B187" s="19"/>
      <c r="C187" s="19" t="s">
        <v>2113</v>
      </c>
      <c r="D187" s="19" t="s">
        <v>555</v>
      </c>
      <c r="E187" s="19" t="s">
        <v>5633</v>
      </c>
      <c r="F187" s="19" t="s">
        <v>5634</v>
      </c>
      <c r="G187" s="19" t="s">
        <v>5635</v>
      </c>
      <c r="H187" s="19" t="s">
        <v>555</v>
      </c>
      <c r="I187" s="19" t="s">
        <v>557</v>
      </c>
      <c r="J187" s="19" t="s">
        <v>5636</v>
      </c>
      <c r="K187" s="19" t="s">
        <v>5637</v>
      </c>
      <c r="L187" s="20">
        <v>45460.0</v>
      </c>
      <c r="M187" s="20">
        <v>45462.0</v>
      </c>
      <c r="N187" s="20">
        <v>45462.0</v>
      </c>
      <c r="O187" s="19" t="s">
        <v>556</v>
      </c>
      <c r="P187" s="19">
        <v>0.0</v>
      </c>
      <c r="Q187" s="19">
        <v>20.0</v>
      </c>
      <c r="R187" s="19">
        <v>7664.0</v>
      </c>
      <c r="S187" s="20" t="s">
        <v>5638</v>
      </c>
      <c r="T187" s="20">
        <v>45461.0</v>
      </c>
      <c r="U187" s="19" t="s">
        <v>5634</v>
      </c>
      <c r="V187" s="19"/>
      <c r="W187" s="19"/>
      <c r="X187" s="21">
        <v>0.0</v>
      </c>
      <c r="Y187" s="21">
        <v>10.0</v>
      </c>
      <c r="Z187" s="21">
        <v>3.0</v>
      </c>
      <c r="AA187" s="21">
        <v>3.0</v>
      </c>
      <c r="AB187" s="5">
        <v>16.0</v>
      </c>
      <c r="AC187" s="19">
        <v>5.0</v>
      </c>
      <c r="AD187" s="19">
        <v>5.0</v>
      </c>
      <c r="AE187" s="19">
        <v>5.0</v>
      </c>
      <c r="AF187" s="19">
        <v>5.0</v>
      </c>
      <c r="AG187" s="19">
        <v>5.0</v>
      </c>
      <c r="AH187" s="19">
        <v>5.0</v>
      </c>
      <c r="AI187" s="22">
        <v>15.0</v>
      </c>
      <c r="AJ187" s="19">
        <v>14.5</v>
      </c>
      <c r="AK187" s="19">
        <v>15.0</v>
      </c>
      <c r="AL187" s="19">
        <v>15.0</v>
      </c>
      <c r="AM187" s="19">
        <v>44.5</v>
      </c>
      <c r="AN187" s="19">
        <v>59.5</v>
      </c>
      <c r="AO187" s="19">
        <v>75.5</v>
      </c>
      <c r="AP187" s="19">
        <v>394.0</v>
      </c>
      <c r="AQ187" s="23">
        <v>181.0</v>
      </c>
      <c r="AR187" s="23">
        <v>11.0</v>
      </c>
      <c r="AS187" s="22"/>
      <c r="AT187" s="19" t="s">
        <v>2163</v>
      </c>
      <c r="AU187" s="19" t="s">
        <v>5639</v>
      </c>
      <c r="AV187" s="19" t="s">
        <v>5640</v>
      </c>
      <c r="AW187" s="19" t="s">
        <v>5641</v>
      </c>
      <c r="AX187" s="20">
        <v>37797.0</v>
      </c>
      <c r="AY187" s="19" t="s">
        <v>3905</v>
      </c>
      <c r="AZ187" s="19" t="s">
        <v>2122</v>
      </c>
      <c r="BA187" s="19" t="s">
        <v>5642</v>
      </c>
      <c r="BB187" s="19" t="s">
        <v>3592</v>
      </c>
      <c r="BC187" s="19" t="s">
        <v>5643</v>
      </c>
      <c r="BD187" s="19" t="s">
        <v>5644</v>
      </c>
      <c r="BE187" s="19" t="s">
        <v>5645</v>
      </c>
      <c r="BF187" s="19">
        <v>1.1986293765E10</v>
      </c>
      <c r="BG187" s="19" t="s">
        <v>2127</v>
      </c>
      <c r="BH187" s="19" t="s">
        <v>2128</v>
      </c>
      <c r="BI187" s="19"/>
      <c r="BJ187" s="19" t="s">
        <v>2128</v>
      </c>
      <c r="BK187" s="19" t="s">
        <v>17</v>
      </c>
      <c r="BL187" s="19" t="s">
        <v>2113</v>
      </c>
      <c r="BM187" s="19" t="s">
        <v>5411</v>
      </c>
      <c r="BN187" s="19" t="s">
        <v>5646</v>
      </c>
      <c r="BO187" s="19" t="s">
        <v>2473</v>
      </c>
      <c r="BP187" s="19" t="s">
        <v>5647</v>
      </c>
      <c r="BQ187" s="19" t="s">
        <v>2133</v>
      </c>
      <c r="BR187" s="19" t="s">
        <v>2133</v>
      </c>
      <c r="BS187" s="19" t="s">
        <v>2243</v>
      </c>
      <c r="BT187" s="19" t="s">
        <v>222</v>
      </c>
      <c r="BU187" s="19" t="s">
        <v>5648</v>
      </c>
      <c r="BV187" s="19"/>
      <c r="BW187" s="19"/>
      <c r="BX187" s="19" t="s">
        <v>2113</v>
      </c>
      <c r="BY187" s="19" t="s">
        <v>2113</v>
      </c>
      <c r="BZ187" s="19" t="s">
        <v>2113</v>
      </c>
      <c r="CA187" s="19" t="s">
        <v>2113</v>
      </c>
      <c r="CB187" s="19" t="s">
        <v>2113</v>
      </c>
      <c r="CC187" s="19" t="s">
        <v>2113</v>
      </c>
      <c r="CD187" s="19" t="s">
        <v>2137</v>
      </c>
      <c r="CE187" s="19" t="s">
        <v>16</v>
      </c>
      <c r="CF187" s="19"/>
      <c r="CG187" s="19"/>
      <c r="CH187" s="19" t="s">
        <v>17</v>
      </c>
      <c r="CI187" s="21">
        <v>3.0</v>
      </c>
      <c r="CJ187" s="19" t="s">
        <v>17</v>
      </c>
      <c r="CK187" s="19" t="s">
        <v>2113</v>
      </c>
      <c r="CL187" s="19"/>
      <c r="CM187" s="19" t="s">
        <v>2344</v>
      </c>
      <c r="CN187" s="19" t="s">
        <v>3544</v>
      </c>
      <c r="CO187" s="19"/>
      <c r="CP187" s="19" t="s">
        <v>2140</v>
      </c>
      <c r="CQ187" s="19"/>
      <c r="CR187" s="19"/>
      <c r="CS187" s="19"/>
      <c r="CT187" s="19" t="s">
        <v>2113</v>
      </c>
      <c r="CU187" s="19" t="s">
        <v>2113</v>
      </c>
      <c r="CV187" s="19" t="s">
        <v>2179</v>
      </c>
      <c r="CW187" s="19" t="s">
        <v>2113</v>
      </c>
      <c r="CX187" s="19" t="s">
        <v>2113</v>
      </c>
      <c r="CY187" s="19" t="s">
        <v>2113</v>
      </c>
      <c r="CZ187" s="19" t="s">
        <v>2113</v>
      </c>
      <c r="DA187" s="19" t="s">
        <v>16</v>
      </c>
      <c r="DB187" s="19" t="s">
        <v>17</v>
      </c>
      <c r="DC187" s="19" t="s">
        <v>4541</v>
      </c>
      <c r="DD187" s="19" t="s">
        <v>2113</v>
      </c>
      <c r="DE187" s="19" t="s">
        <v>2113</v>
      </c>
      <c r="DF187" s="19" t="s">
        <v>2146</v>
      </c>
      <c r="DG187" s="19" t="s">
        <v>2142</v>
      </c>
      <c r="DH187" s="19" t="s">
        <v>2144</v>
      </c>
      <c r="DI187" s="24">
        <v>45524.0</v>
      </c>
      <c r="DJ187" s="19" t="s">
        <v>2133</v>
      </c>
      <c r="DK187" s="19" t="s">
        <v>2271</v>
      </c>
      <c r="DL187" s="19" t="s">
        <v>2146</v>
      </c>
      <c r="DM187" s="19" t="s">
        <v>2628</v>
      </c>
      <c r="DN187" s="19">
        <v>8.0</v>
      </c>
      <c r="DO187" s="19">
        <v>8.0</v>
      </c>
      <c r="DP187" s="19"/>
      <c r="DQ187" s="19"/>
      <c r="DR187" s="19"/>
      <c r="DS187" s="19" t="s">
        <v>2365</v>
      </c>
      <c r="DT187" s="19" t="s">
        <v>2209</v>
      </c>
      <c r="DU187" s="19" t="s">
        <v>5649</v>
      </c>
      <c r="DV187" s="19"/>
      <c r="DW187" s="19" t="s">
        <v>2153</v>
      </c>
      <c r="DX187" s="19">
        <v>7.0</v>
      </c>
      <c r="DY187" s="19">
        <v>10.0</v>
      </c>
      <c r="DZ187" s="19">
        <v>0.0</v>
      </c>
      <c r="EA187" s="19">
        <v>10.0</v>
      </c>
      <c r="EB187" s="19">
        <v>3.0</v>
      </c>
      <c r="EC187" s="19">
        <v>0.0</v>
      </c>
      <c r="ED187" s="19" t="s">
        <v>2133</v>
      </c>
      <c r="EE187" s="24">
        <v>45524.0</v>
      </c>
      <c r="EF187" s="19" t="s">
        <v>2133</v>
      </c>
      <c r="EG187" s="19" t="s">
        <v>2271</v>
      </c>
      <c r="EH187" s="19" t="s">
        <v>2146</v>
      </c>
      <c r="EI187" s="22">
        <v>15.0</v>
      </c>
      <c r="EJ187" s="19">
        <v>44.5</v>
      </c>
      <c r="EK187" s="19" t="s">
        <v>2113</v>
      </c>
      <c r="EL187" s="19" t="s">
        <v>2163</v>
      </c>
      <c r="EM187" s="19" t="s">
        <v>5639</v>
      </c>
      <c r="EN187" s="19" t="s">
        <v>557</v>
      </c>
      <c r="EO187" s="19" t="s">
        <v>3905</v>
      </c>
      <c r="EP187" s="19" t="s">
        <v>2122</v>
      </c>
      <c r="EQ187" s="19" t="s">
        <v>3544</v>
      </c>
      <c r="ER187" s="19"/>
      <c r="ES187" s="19" t="s">
        <v>557</v>
      </c>
      <c r="ET187" s="19" t="s">
        <v>557</v>
      </c>
      <c r="EU187" s="19" t="s">
        <v>5637</v>
      </c>
      <c r="EV187" s="19">
        <v>7664.0</v>
      </c>
      <c r="EW187" s="19" t="s">
        <v>16</v>
      </c>
      <c r="EX187" s="19">
        <v>3.0</v>
      </c>
      <c r="EY187" s="25" t="s">
        <v>556</v>
      </c>
      <c r="EZ187" s="19" t="s">
        <v>2154</v>
      </c>
      <c r="FA187" s="5" t="s">
        <v>5650</v>
      </c>
      <c r="FB187" s="26" t="s">
        <v>2156</v>
      </c>
      <c r="FC187" s="26"/>
    </row>
    <row r="188">
      <c r="A188" s="19" t="s">
        <v>2112</v>
      </c>
      <c r="B188" s="19"/>
      <c r="C188" s="19" t="s">
        <v>2113</v>
      </c>
      <c r="D188" s="19" t="s">
        <v>558</v>
      </c>
      <c r="E188" s="19" t="s">
        <v>5651</v>
      </c>
      <c r="F188" s="19" t="s">
        <v>5652</v>
      </c>
      <c r="G188" s="19" t="s">
        <v>5653</v>
      </c>
      <c r="H188" s="19" t="s">
        <v>558</v>
      </c>
      <c r="I188" s="19" t="s">
        <v>560</v>
      </c>
      <c r="J188" s="19" t="s">
        <v>5654</v>
      </c>
      <c r="K188" s="19" t="s">
        <v>5655</v>
      </c>
      <c r="L188" s="20">
        <v>45446.0</v>
      </c>
      <c r="M188" s="20">
        <v>45446.0</v>
      </c>
      <c r="N188" s="20">
        <v>45446.0</v>
      </c>
      <c r="O188" s="19" t="s">
        <v>559</v>
      </c>
      <c r="P188" s="19">
        <v>1.0</v>
      </c>
      <c r="Q188" s="19">
        <v>21.0</v>
      </c>
      <c r="R188" s="19">
        <v>7752.0</v>
      </c>
      <c r="S188" s="20" t="s">
        <v>5656</v>
      </c>
      <c r="T188" s="20">
        <v>45461.0</v>
      </c>
      <c r="U188" s="19" t="s">
        <v>5652</v>
      </c>
      <c r="V188" s="19"/>
      <c r="W188" s="19"/>
      <c r="X188" s="21">
        <v>0.0</v>
      </c>
      <c r="Y188" s="21">
        <v>10.0</v>
      </c>
      <c r="Z188" s="21">
        <v>5.0</v>
      </c>
      <c r="AA188" s="21">
        <v>3.0</v>
      </c>
      <c r="AB188" s="5">
        <v>18.0</v>
      </c>
      <c r="AC188" s="19">
        <v>4.25</v>
      </c>
      <c r="AD188" s="19">
        <v>3.75</v>
      </c>
      <c r="AE188" s="19">
        <v>4.25</v>
      </c>
      <c r="AF188" s="19">
        <v>4.25</v>
      </c>
      <c r="AG188" s="19">
        <v>3.75</v>
      </c>
      <c r="AH188" s="19">
        <v>4.75</v>
      </c>
      <c r="AI188" s="22">
        <v>12.421875</v>
      </c>
      <c r="AJ188" s="19">
        <v>15.0</v>
      </c>
      <c r="AK188" s="19">
        <v>15.0</v>
      </c>
      <c r="AL188" s="19">
        <v>15.0</v>
      </c>
      <c r="AM188" s="19">
        <v>45.0</v>
      </c>
      <c r="AN188" s="19">
        <v>57.4</v>
      </c>
      <c r="AO188" s="19">
        <v>75.4</v>
      </c>
      <c r="AP188" s="19">
        <v>356.0</v>
      </c>
      <c r="AQ188" s="23">
        <v>182.0</v>
      </c>
      <c r="AR188" s="23">
        <v>14.0</v>
      </c>
      <c r="AS188" s="22"/>
      <c r="AT188" s="19" t="s">
        <v>2282</v>
      </c>
      <c r="AU188" s="19" t="s">
        <v>5657</v>
      </c>
      <c r="AV188" s="19" t="s">
        <v>5658</v>
      </c>
      <c r="AW188" s="19"/>
      <c r="AX188" s="20">
        <v>37709.0</v>
      </c>
      <c r="AY188" s="19" t="s">
        <v>2529</v>
      </c>
      <c r="AZ188" s="19" t="s">
        <v>2122</v>
      </c>
      <c r="BA188" s="19" t="s">
        <v>5659</v>
      </c>
      <c r="BB188" s="19" t="s">
        <v>5660</v>
      </c>
      <c r="BC188" s="19" t="s">
        <v>5661</v>
      </c>
      <c r="BD188" s="19" t="s">
        <v>5662</v>
      </c>
      <c r="BE188" s="19"/>
      <c r="BF188" s="19"/>
      <c r="BG188" s="19" t="s">
        <v>2127</v>
      </c>
      <c r="BH188" s="19" t="s">
        <v>2128</v>
      </c>
      <c r="BI188" s="19"/>
      <c r="BJ188" s="19"/>
      <c r="BK188" s="19" t="s">
        <v>16</v>
      </c>
      <c r="BL188" s="19"/>
      <c r="BM188" s="19" t="s">
        <v>5411</v>
      </c>
      <c r="BN188" s="19" t="s">
        <v>2172</v>
      </c>
      <c r="BO188" s="19" t="s">
        <v>2132</v>
      </c>
      <c r="BP188" s="19" t="s">
        <v>5663</v>
      </c>
      <c r="BQ188" s="19" t="s">
        <v>2174</v>
      </c>
      <c r="BR188" s="19" t="s">
        <v>2174</v>
      </c>
      <c r="BS188" s="19" t="s">
        <v>2134</v>
      </c>
      <c r="BT188" s="19" t="s">
        <v>75</v>
      </c>
      <c r="BU188" s="19"/>
      <c r="BV188" s="19"/>
      <c r="BW188" s="19"/>
      <c r="BX188" s="19"/>
      <c r="BY188" s="19"/>
      <c r="BZ188" s="19"/>
      <c r="CA188" s="19" t="s">
        <v>2113</v>
      </c>
      <c r="CB188" s="19" t="s">
        <v>2113</v>
      </c>
      <c r="CC188" s="19" t="s">
        <v>2113</v>
      </c>
      <c r="CD188" s="19" t="s">
        <v>2137</v>
      </c>
      <c r="CE188" s="19" t="s">
        <v>16</v>
      </c>
      <c r="CF188" s="19"/>
      <c r="CG188" s="19"/>
      <c r="CH188" s="19" t="s">
        <v>17</v>
      </c>
      <c r="CI188" s="21">
        <v>3.0</v>
      </c>
      <c r="CJ188" s="19" t="s">
        <v>16</v>
      </c>
      <c r="CK188" s="19" t="s">
        <v>2113</v>
      </c>
      <c r="CL188" s="19"/>
      <c r="CM188" s="19" t="s">
        <v>2138</v>
      </c>
      <c r="CN188" s="19" t="s">
        <v>2537</v>
      </c>
      <c r="CO188" s="19" t="s">
        <v>2177</v>
      </c>
      <c r="CP188" s="19"/>
      <c r="CQ188" s="19"/>
      <c r="CR188" s="19" t="s">
        <v>2113</v>
      </c>
      <c r="CS188" s="19" t="s">
        <v>2113</v>
      </c>
      <c r="CT188" s="19" t="s">
        <v>2113</v>
      </c>
      <c r="CU188" s="19" t="s">
        <v>2113</v>
      </c>
      <c r="CV188" s="19" t="s">
        <v>2179</v>
      </c>
      <c r="CW188" s="19" t="s">
        <v>2113</v>
      </c>
      <c r="CX188" s="19" t="s">
        <v>2113</v>
      </c>
      <c r="CY188" s="19" t="s">
        <v>2113</v>
      </c>
      <c r="CZ188" s="19" t="s">
        <v>2113</v>
      </c>
      <c r="DA188" s="19" t="s">
        <v>16</v>
      </c>
      <c r="DB188" s="19" t="s">
        <v>16</v>
      </c>
      <c r="DC188" s="19" t="s">
        <v>2538</v>
      </c>
      <c r="DD188" s="19" t="s">
        <v>2113</v>
      </c>
      <c r="DE188" s="19" t="s">
        <v>2113</v>
      </c>
      <c r="DF188" s="19" t="s">
        <v>3684</v>
      </c>
      <c r="DG188" s="19" t="s">
        <v>4042</v>
      </c>
      <c r="DH188" s="19" t="s">
        <v>2144</v>
      </c>
      <c r="DI188" s="24">
        <v>45517.0</v>
      </c>
      <c r="DJ188" s="19" t="s">
        <v>2174</v>
      </c>
      <c r="DK188" s="19" t="s">
        <v>2271</v>
      </c>
      <c r="DL188" s="19" t="s">
        <v>2183</v>
      </c>
      <c r="DM188" s="19" t="s">
        <v>2515</v>
      </c>
      <c r="DN188" s="19">
        <v>2.0</v>
      </c>
      <c r="DO188" s="19">
        <v>2.0</v>
      </c>
      <c r="DP188" s="19"/>
      <c r="DQ188" s="19"/>
      <c r="DR188" s="19"/>
      <c r="DS188" s="19" t="s">
        <v>2365</v>
      </c>
      <c r="DT188" s="19" t="s">
        <v>2366</v>
      </c>
      <c r="DU188" s="19" t="s">
        <v>5664</v>
      </c>
      <c r="DV188" s="19"/>
      <c r="DW188" s="19" t="s">
        <v>2479</v>
      </c>
      <c r="DX188" s="19">
        <v>11.0</v>
      </c>
      <c r="DY188" s="19">
        <v>10.0</v>
      </c>
      <c r="DZ188" s="19">
        <v>0.0</v>
      </c>
      <c r="EA188" s="19">
        <v>10.0</v>
      </c>
      <c r="EB188" s="19">
        <v>3.0</v>
      </c>
      <c r="EC188" s="19">
        <v>0.0</v>
      </c>
      <c r="ED188" s="19" t="s">
        <v>2174</v>
      </c>
      <c r="EE188" s="24">
        <v>45517.0</v>
      </c>
      <c r="EF188" s="19" t="s">
        <v>2174</v>
      </c>
      <c r="EG188" s="19" t="s">
        <v>2271</v>
      </c>
      <c r="EH188" s="19" t="s">
        <v>2183</v>
      </c>
      <c r="EI188" s="22">
        <v>12.421875</v>
      </c>
      <c r="EJ188" s="19">
        <v>45.0</v>
      </c>
      <c r="EK188" s="19"/>
      <c r="EL188" s="19" t="s">
        <v>2282</v>
      </c>
      <c r="EM188" s="19" t="s">
        <v>5657</v>
      </c>
      <c r="EN188" s="19" t="s">
        <v>560</v>
      </c>
      <c r="EO188" s="19" t="s">
        <v>2529</v>
      </c>
      <c r="EP188" s="19" t="s">
        <v>2122</v>
      </c>
      <c r="EQ188" s="19" t="s">
        <v>2537</v>
      </c>
      <c r="ER188" s="19" t="s">
        <v>2177</v>
      </c>
      <c r="ES188" s="19" t="s">
        <v>560</v>
      </c>
      <c r="ET188" s="19" t="s">
        <v>560</v>
      </c>
      <c r="EU188" s="19" t="s">
        <v>5655</v>
      </c>
      <c r="EV188" s="19">
        <v>7752.0</v>
      </c>
      <c r="EW188" s="19" t="s">
        <v>16</v>
      </c>
      <c r="EX188" s="19">
        <v>5.0</v>
      </c>
      <c r="EY188" s="25" t="s">
        <v>559</v>
      </c>
      <c r="EZ188" s="19" t="s">
        <v>2154</v>
      </c>
      <c r="FA188" s="5" t="s">
        <v>5665</v>
      </c>
      <c r="FB188" s="26" t="s">
        <v>2156</v>
      </c>
      <c r="FC188" s="26"/>
    </row>
    <row r="189">
      <c r="A189" s="19" t="s">
        <v>2156</v>
      </c>
      <c r="B189" s="19"/>
      <c r="C189" s="19" t="s">
        <v>2113</v>
      </c>
      <c r="D189" s="19" t="s">
        <v>561</v>
      </c>
      <c r="E189" s="19" t="s">
        <v>5666</v>
      </c>
      <c r="F189" s="19" t="s">
        <v>5667</v>
      </c>
      <c r="G189" s="19" t="s">
        <v>5668</v>
      </c>
      <c r="H189" s="19" t="s">
        <v>561</v>
      </c>
      <c r="I189" s="19" t="s">
        <v>563</v>
      </c>
      <c r="J189" s="19" t="s">
        <v>5669</v>
      </c>
      <c r="K189" s="19" t="s">
        <v>5670</v>
      </c>
      <c r="L189" s="20">
        <v>45446.0</v>
      </c>
      <c r="M189" s="20">
        <v>45447.0</v>
      </c>
      <c r="N189" s="20">
        <v>45447.0</v>
      </c>
      <c r="O189" s="19" t="s">
        <v>562</v>
      </c>
      <c r="P189" s="19">
        <v>0.0</v>
      </c>
      <c r="Q189" s="19">
        <v>27.0</v>
      </c>
      <c r="R189" s="19">
        <v>10011.0</v>
      </c>
      <c r="S189" s="20" t="s">
        <v>5671</v>
      </c>
      <c r="T189" s="20">
        <v>45461.0</v>
      </c>
      <c r="U189" s="19" t="s">
        <v>5667</v>
      </c>
      <c r="V189" s="19"/>
      <c r="W189" s="19" t="s">
        <v>5672</v>
      </c>
      <c r="X189" s="21">
        <v>0.0</v>
      </c>
      <c r="Y189" s="21">
        <v>10.0</v>
      </c>
      <c r="Z189" s="21">
        <v>5.0</v>
      </c>
      <c r="AA189" s="21">
        <v>3.0</v>
      </c>
      <c r="AB189" s="5">
        <v>18.0</v>
      </c>
      <c r="AC189" s="19">
        <v>5.0</v>
      </c>
      <c r="AD189" s="19">
        <v>5.0</v>
      </c>
      <c r="AE189" s="19">
        <v>5.0</v>
      </c>
      <c r="AF189" s="19">
        <v>4.0</v>
      </c>
      <c r="AG189" s="19">
        <v>4.0</v>
      </c>
      <c r="AH189" s="19">
        <v>5.0</v>
      </c>
      <c r="AI189" s="22">
        <v>14.25</v>
      </c>
      <c r="AJ189" s="19">
        <v>13.0</v>
      </c>
      <c r="AK189" s="19">
        <v>15.0</v>
      </c>
      <c r="AL189" s="19">
        <v>15.0</v>
      </c>
      <c r="AM189" s="19">
        <v>43.0</v>
      </c>
      <c r="AN189" s="19">
        <v>57.3</v>
      </c>
      <c r="AO189" s="19">
        <v>75.3</v>
      </c>
      <c r="AP189" s="19">
        <v>346.0</v>
      </c>
      <c r="AQ189" s="23">
        <v>183.0</v>
      </c>
      <c r="AR189" s="23">
        <v>20.0</v>
      </c>
      <c r="AS189" s="22"/>
      <c r="AT189" s="19" t="s">
        <v>2282</v>
      </c>
      <c r="AU189" s="19" t="s">
        <v>5673</v>
      </c>
      <c r="AV189" s="19" t="s">
        <v>5674</v>
      </c>
      <c r="AW189" s="19"/>
      <c r="AX189" s="20">
        <v>35450.0</v>
      </c>
      <c r="AY189" s="19" t="s">
        <v>2121</v>
      </c>
      <c r="AZ189" s="19" t="s">
        <v>2310</v>
      </c>
      <c r="BA189" s="19" t="s">
        <v>5675</v>
      </c>
      <c r="BB189" s="19" t="s">
        <v>2312</v>
      </c>
      <c r="BC189" s="19" t="s">
        <v>5676</v>
      </c>
      <c r="BD189" s="19" t="s">
        <v>5677</v>
      </c>
      <c r="BE189" s="19" t="s">
        <v>5669</v>
      </c>
      <c r="BF189" s="19">
        <v>1.1981996886E10</v>
      </c>
      <c r="BG189" s="19" t="s">
        <v>2127</v>
      </c>
      <c r="BH189" s="19" t="s">
        <v>2128</v>
      </c>
      <c r="BI189" s="19"/>
      <c r="BJ189" s="19" t="s">
        <v>2128</v>
      </c>
      <c r="BK189" s="19" t="s">
        <v>16</v>
      </c>
      <c r="BL189" s="19"/>
      <c r="BM189" s="19" t="s">
        <v>5411</v>
      </c>
      <c r="BN189" s="19" t="s">
        <v>2291</v>
      </c>
      <c r="BO189" s="19" t="s">
        <v>2132</v>
      </c>
      <c r="BP189" s="19" t="s">
        <v>5678</v>
      </c>
      <c r="BQ189" s="19" t="s">
        <v>2133</v>
      </c>
      <c r="BR189" s="19" t="s">
        <v>2133</v>
      </c>
      <c r="BS189" s="19" t="s">
        <v>2134</v>
      </c>
      <c r="BT189" s="19" t="s">
        <v>15</v>
      </c>
      <c r="BU189" s="19" t="s">
        <v>5679</v>
      </c>
      <c r="BV189" s="19"/>
      <c r="BW189" s="19" t="s">
        <v>2113</v>
      </c>
      <c r="BX189" s="19"/>
      <c r="BY189" s="19"/>
      <c r="BZ189" s="19"/>
      <c r="CA189" s="19"/>
      <c r="CB189" s="19" t="s">
        <v>2113</v>
      </c>
      <c r="CC189" s="19"/>
      <c r="CD189" s="19" t="s">
        <v>2137</v>
      </c>
      <c r="CE189" s="19" t="s">
        <v>16</v>
      </c>
      <c r="CF189" s="19"/>
      <c r="CG189" s="19"/>
      <c r="CH189" s="19" t="s">
        <v>17</v>
      </c>
      <c r="CI189" s="21">
        <v>3.0</v>
      </c>
      <c r="CJ189" s="19" t="s">
        <v>16</v>
      </c>
      <c r="CK189" s="19"/>
      <c r="CL189" s="19"/>
      <c r="CM189" s="19" t="s">
        <v>2344</v>
      </c>
      <c r="CN189" s="19" t="s">
        <v>2139</v>
      </c>
      <c r="CO189" s="19"/>
      <c r="CP189" s="19" t="s">
        <v>2134</v>
      </c>
      <c r="CQ189" s="19"/>
      <c r="CR189" s="19"/>
      <c r="CS189" s="19"/>
      <c r="CT189" s="19" t="s">
        <v>2113</v>
      </c>
      <c r="CU189" s="19" t="s">
        <v>2113</v>
      </c>
      <c r="CV189" s="19" t="s">
        <v>2141</v>
      </c>
      <c r="CW189" s="19"/>
      <c r="CX189" s="19"/>
      <c r="CY189" s="19"/>
      <c r="CZ189" s="19"/>
      <c r="DA189" s="19" t="s">
        <v>16</v>
      </c>
      <c r="DB189" s="19" t="s">
        <v>16</v>
      </c>
      <c r="DC189" s="19" t="s">
        <v>2142</v>
      </c>
      <c r="DD189" s="19" t="s">
        <v>2113</v>
      </c>
      <c r="DE189" s="19" t="s">
        <v>2113</v>
      </c>
      <c r="DF189" s="19" t="s">
        <v>2143</v>
      </c>
      <c r="DG189" s="19" t="s">
        <v>2406</v>
      </c>
      <c r="DH189" s="19" t="s">
        <v>2144</v>
      </c>
      <c r="DI189" s="24">
        <v>45518.0</v>
      </c>
      <c r="DJ189" s="19" t="s">
        <v>2133</v>
      </c>
      <c r="DK189" s="19" t="s">
        <v>2271</v>
      </c>
      <c r="DL189" s="19" t="s">
        <v>2146</v>
      </c>
      <c r="DM189" s="19"/>
      <c r="DN189" s="19">
        <v>4.0</v>
      </c>
      <c r="DO189" s="19">
        <v>4.0</v>
      </c>
      <c r="DP189" s="19" t="s">
        <v>5680</v>
      </c>
      <c r="DQ189" s="19" t="s">
        <v>5681</v>
      </c>
      <c r="DR189" s="19" t="s">
        <v>5682</v>
      </c>
      <c r="DS189" s="19" t="s">
        <v>2365</v>
      </c>
      <c r="DT189" s="19" t="s">
        <v>2229</v>
      </c>
      <c r="DU189" s="19"/>
      <c r="DV189" s="19"/>
      <c r="DW189" s="19" t="s">
        <v>2153</v>
      </c>
      <c r="DX189" s="19">
        <v>7.0</v>
      </c>
      <c r="DY189" s="19">
        <v>10.0</v>
      </c>
      <c r="DZ189" s="19">
        <v>0.0</v>
      </c>
      <c r="EA189" s="19">
        <v>10.0</v>
      </c>
      <c r="EB189" s="19">
        <v>3.0</v>
      </c>
      <c r="EC189" s="19">
        <v>0.0</v>
      </c>
      <c r="ED189" s="19" t="s">
        <v>2133</v>
      </c>
      <c r="EE189" s="24">
        <v>45518.0</v>
      </c>
      <c r="EF189" s="19" t="s">
        <v>2133</v>
      </c>
      <c r="EG189" s="19" t="s">
        <v>2271</v>
      </c>
      <c r="EH189" s="19" t="s">
        <v>2146</v>
      </c>
      <c r="EI189" s="22">
        <v>14.25</v>
      </c>
      <c r="EJ189" s="19">
        <v>43.0</v>
      </c>
      <c r="EK189" s="19"/>
      <c r="EL189" s="19" t="s">
        <v>2282</v>
      </c>
      <c r="EM189" s="19" t="s">
        <v>5673</v>
      </c>
      <c r="EN189" s="19" t="s">
        <v>563</v>
      </c>
      <c r="EO189" s="19" t="s">
        <v>2121</v>
      </c>
      <c r="EP189" s="19" t="s">
        <v>2310</v>
      </c>
      <c r="EQ189" s="19" t="s">
        <v>2139</v>
      </c>
      <c r="ER189" s="19"/>
      <c r="ES189" s="19" t="s">
        <v>563</v>
      </c>
      <c r="ET189" s="19" t="s">
        <v>563</v>
      </c>
      <c r="EU189" s="19" t="s">
        <v>5670</v>
      </c>
      <c r="EV189" s="19">
        <v>10011.0</v>
      </c>
      <c r="EW189" s="19" t="s">
        <v>16</v>
      </c>
      <c r="EX189" s="19">
        <v>5.0</v>
      </c>
      <c r="EY189" s="25" t="s">
        <v>562</v>
      </c>
      <c r="EZ189" s="19" t="s">
        <v>2154</v>
      </c>
      <c r="FA189" s="5" t="s">
        <v>5683</v>
      </c>
      <c r="FB189" s="26" t="s">
        <v>2156</v>
      </c>
      <c r="FC189" s="26"/>
    </row>
    <row r="190">
      <c r="A190" s="19" t="s">
        <v>2156</v>
      </c>
      <c r="B190" s="19" t="s">
        <v>2113</v>
      </c>
      <c r="C190" s="19" t="s">
        <v>2113</v>
      </c>
      <c r="D190" s="19" t="s">
        <v>5684</v>
      </c>
      <c r="E190" s="19" t="s">
        <v>5685</v>
      </c>
      <c r="F190" s="19" t="s">
        <v>564</v>
      </c>
      <c r="G190" s="19" t="s">
        <v>5686</v>
      </c>
      <c r="H190" s="19" t="s">
        <v>564</v>
      </c>
      <c r="I190" s="19" t="s">
        <v>566</v>
      </c>
      <c r="J190" s="19" t="s">
        <v>5687</v>
      </c>
      <c r="K190" s="19" t="s">
        <v>5688</v>
      </c>
      <c r="L190" s="20">
        <v>45446.0</v>
      </c>
      <c r="M190" s="20">
        <v>45447.0</v>
      </c>
      <c r="N190" s="20">
        <v>45447.0</v>
      </c>
      <c r="O190" s="19" t="s">
        <v>565</v>
      </c>
      <c r="P190" s="19">
        <v>0.0</v>
      </c>
      <c r="Q190" s="19">
        <v>22.0</v>
      </c>
      <c r="R190" s="19">
        <v>8071.0</v>
      </c>
      <c r="S190" s="20" t="s">
        <v>5689</v>
      </c>
      <c r="T190" s="20">
        <v>45461.0</v>
      </c>
      <c r="U190" s="19" t="s">
        <v>564</v>
      </c>
      <c r="V190" s="19"/>
      <c r="W190" s="19"/>
      <c r="X190" s="21">
        <v>20.0</v>
      </c>
      <c r="Y190" s="21">
        <v>0.0</v>
      </c>
      <c r="Z190" s="21">
        <v>2.0</v>
      </c>
      <c r="AA190" s="21">
        <v>0.0</v>
      </c>
      <c r="AB190" s="5">
        <v>22.0</v>
      </c>
      <c r="AC190" s="19">
        <v>4.5</v>
      </c>
      <c r="AD190" s="19">
        <v>4.5</v>
      </c>
      <c r="AE190" s="19">
        <v>3.5</v>
      </c>
      <c r="AF190" s="19">
        <v>4.0</v>
      </c>
      <c r="AG190" s="19">
        <v>3.0</v>
      </c>
      <c r="AH190" s="19">
        <v>5.0</v>
      </c>
      <c r="AI190" s="22">
        <v>12.1875</v>
      </c>
      <c r="AJ190" s="19">
        <v>12.0</v>
      </c>
      <c r="AK190" s="19">
        <v>14.0</v>
      </c>
      <c r="AL190" s="19">
        <v>15.0</v>
      </c>
      <c r="AM190" s="19">
        <v>41.0</v>
      </c>
      <c r="AN190" s="19">
        <v>53.2</v>
      </c>
      <c r="AO190" s="19">
        <v>75.2</v>
      </c>
      <c r="AP190" s="19">
        <v>336.0</v>
      </c>
      <c r="AQ190" s="23">
        <v>184.0</v>
      </c>
      <c r="AR190" s="23">
        <v>14.0</v>
      </c>
      <c r="AS190" s="22" t="s">
        <v>2642</v>
      </c>
      <c r="AT190" s="19" t="s">
        <v>2117</v>
      </c>
      <c r="AU190" s="19" t="s">
        <v>5690</v>
      </c>
      <c r="AV190" s="19" t="s">
        <v>5691</v>
      </c>
      <c r="AW190" s="19" t="s">
        <v>5692</v>
      </c>
      <c r="AX190" s="20">
        <v>37390.0</v>
      </c>
      <c r="AY190" s="19" t="s">
        <v>4978</v>
      </c>
      <c r="AZ190" s="19" t="s">
        <v>2122</v>
      </c>
      <c r="BA190" s="19" t="s">
        <v>5693</v>
      </c>
      <c r="BB190" s="19" t="s">
        <v>3385</v>
      </c>
      <c r="BC190" s="19" t="s">
        <v>5694</v>
      </c>
      <c r="BD190" s="19" t="s">
        <v>5695</v>
      </c>
      <c r="BE190" s="19"/>
      <c r="BF190" s="19"/>
      <c r="BG190" s="19" t="s">
        <v>4038</v>
      </c>
      <c r="BH190" s="19" t="s">
        <v>2128</v>
      </c>
      <c r="BI190" s="19"/>
      <c r="BJ190" s="19" t="s">
        <v>2128</v>
      </c>
      <c r="BK190" s="19" t="s">
        <v>17</v>
      </c>
      <c r="BL190" s="19"/>
      <c r="BM190" s="19" t="s">
        <v>2130</v>
      </c>
      <c r="BN190" s="19" t="s">
        <v>2172</v>
      </c>
      <c r="BO190" s="19" t="s">
        <v>3199</v>
      </c>
      <c r="BP190" s="19" t="s">
        <v>5696</v>
      </c>
      <c r="BQ190" s="19" t="s">
        <v>2318</v>
      </c>
      <c r="BR190" s="19" t="s">
        <v>2318</v>
      </c>
      <c r="BS190" s="19" t="s">
        <v>2134</v>
      </c>
      <c r="BT190" s="19" t="s">
        <v>42</v>
      </c>
      <c r="BU190" s="19" t="s">
        <v>2651</v>
      </c>
      <c r="BV190" s="19" t="s">
        <v>5697</v>
      </c>
      <c r="BW190" s="19"/>
      <c r="BX190" s="19"/>
      <c r="BY190" s="19"/>
      <c r="BZ190" s="19" t="s">
        <v>2113</v>
      </c>
      <c r="CA190" s="19"/>
      <c r="CB190" s="19" t="s">
        <v>2113</v>
      </c>
      <c r="CC190" s="19"/>
      <c r="CD190" s="19" t="s">
        <v>2137</v>
      </c>
      <c r="CE190" s="19" t="s">
        <v>16</v>
      </c>
      <c r="CF190" s="19"/>
      <c r="CG190" s="19"/>
      <c r="CH190" s="19" t="s">
        <v>16</v>
      </c>
      <c r="CI190" s="21">
        <v>0.0</v>
      </c>
      <c r="CJ190" s="19" t="s">
        <v>16</v>
      </c>
      <c r="CK190" s="19"/>
      <c r="CL190" s="19"/>
      <c r="CM190" s="19" t="s">
        <v>2138</v>
      </c>
      <c r="CN190" s="19" t="s">
        <v>4985</v>
      </c>
      <c r="CO190" s="19"/>
      <c r="CP190" s="19" t="s">
        <v>2246</v>
      </c>
      <c r="CQ190" s="19"/>
      <c r="CR190" s="19"/>
      <c r="CS190" s="19"/>
      <c r="CT190" s="19" t="s">
        <v>2113</v>
      </c>
      <c r="CU190" s="19" t="s">
        <v>2113</v>
      </c>
      <c r="CV190" s="19" t="s">
        <v>2141</v>
      </c>
      <c r="CW190" s="19" t="s">
        <v>2113</v>
      </c>
      <c r="CX190" s="19" t="s">
        <v>2113</v>
      </c>
      <c r="CY190" s="19" t="s">
        <v>2113</v>
      </c>
      <c r="CZ190" s="19" t="s">
        <v>2113</v>
      </c>
      <c r="DA190" s="19" t="s">
        <v>16</v>
      </c>
      <c r="DB190" s="19" t="s">
        <v>16</v>
      </c>
      <c r="DC190" s="19" t="s">
        <v>2324</v>
      </c>
      <c r="DD190" s="19" t="s">
        <v>2113</v>
      </c>
      <c r="DE190" s="19" t="s">
        <v>2113</v>
      </c>
      <c r="DF190" s="19" t="s">
        <v>4987</v>
      </c>
      <c r="DG190" s="19" t="s">
        <v>3280</v>
      </c>
      <c r="DH190" s="19" t="s">
        <v>2144</v>
      </c>
      <c r="DI190" s="24">
        <v>45517.0</v>
      </c>
      <c r="DJ190" s="19" t="s">
        <v>2325</v>
      </c>
      <c r="DK190" s="19" t="s">
        <v>2145</v>
      </c>
      <c r="DL190" s="19" t="s">
        <v>2326</v>
      </c>
      <c r="DM190" s="19"/>
      <c r="DN190" s="19">
        <v>1.0</v>
      </c>
      <c r="DO190" s="19">
        <v>1.0</v>
      </c>
      <c r="DP190" s="19" t="s">
        <v>5698</v>
      </c>
      <c r="DQ190" s="19" t="s">
        <v>5699</v>
      </c>
      <c r="DR190" s="19" t="s">
        <v>5700</v>
      </c>
      <c r="DS190" s="19" t="s">
        <v>2185</v>
      </c>
      <c r="DT190" s="19" t="s">
        <v>2229</v>
      </c>
      <c r="DU190" s="19"/>
      <c r="DV190" s="19"/>
      <c r="DW190" s="19" t="s">
        <v>3306</v>
      </c>
      <c r="DX190" s="19">
        <v>4.0</v>
      </c>
      <c r="DY190" s="19">
        <v>0.0</v>
      </c>
      <c r="DZ190" s="19">
        <v>0.0</v>
      </c>
      <c r="EA190" s="19">
        <v>0.0</v>
      </c>
      <c r="EB190" s="19">
        <v>0.0</v>
      </c>
      <c r="EC190" s="19">
        <v>20.0</v>
      </c>
      <c r="ED190" s="19" t="s">
        <v>2325</v>
      </c>
      <c r="EE190" s="24">
        <v>45517.0</v>
      </c>
      <c r="EF190" s="19" t="s">
        <v>2325</v>
      </c>
      <c r="EG190" s="19" t="s">
        <v>2145</v>
      </c>
      <c r="EH190" s="19" t="s">
        <v>2326</v>
      </c>
      <c r="EI190" s="22">
        <v>12.1875</v>
      </c>
      <c r="EJ190" s="19">
        <v>41.0</v>
      </c>
      <c r="EK190" s="19"/>
      <c r="EL190" s="19" t="s">
        <v>2117</v>
      </c>
      <c r="EM190" s="19" t="s">
        <v>5690</v>
      </c>
      <c r="EN190" s="19" t="s">
        <v>566</v>
      </c>
      <c r="EO190" s="19" t="s">
        <v>4978</v>
      </c>
      <c r="EP190" s="19" t="s">
        <v>2122</v>
      </c>
      <c r="EQ190" s="19" t="s">
        <v>4985</v>
      </c>
      <c r="ER190" s="19"/>
      <c r="ES190" s="19" t="s">
        <v>566</v>
      </c>
      <c r="ET190" s="19" t="s">
        <v>566</v>
      </c>
      <c r="EU190" s="19" t="s">
        <v>5688</v>
      </c>
      <c r="EV190" s="19">
        <v>8071.0</v>
      </c>
      <c r="EW190" s="19" t="s">
        <v>16</v>
      </c>
      <c r="EX190" s="19">
        <v>2.0</v>
      </c>
      <c r="EY190" s="25" t="s">
        <v>565</v>
      </c>
      <c r="EZ190" s="19" t="s">
        <v>2154</v>
      </c>
      <c r="FA190" s="5" t="s">
        <v>5701</v>
      </c>
      <c r="FB190" s="26" t="s">
        <v>2156</v>
      </c>
      <c r="FC190" s="26"/>
    </row>
    <row r="191">
      <c r="A191" s="19" t="s">
        <v>2112</v>
      </c>
      <c r="B191" s="19"/>
      <c r="C191" s="19" t="s">
        <v>2113</v>
      </c>
      <c r="D191" s="19" t="s">
        <v>5702</v>
      </c>
      <c r="E191" s="19" t="s">
        <v>5703</v>
      </c>
      <c r="F191" s="19" t="s">
        <v>5704</v>
      </c>
      <c r="G191" s="19" t="s">
        <v>5705</v>
      </c>
      <c r="H191" s="19" t="s">
        <v>567</v>
      </c>
      <c r="I191" s="19" t="s">
        <v>569</v>
      </c>
      <c r="J191" s="19" t="s">
        <v>5706</v>
      </c>
      <c r="K191" s="19" t="s">
        <v>5707</v>
      </c>
      <c r="L191" s="20">
        <v>45399.0</v>
      </c>
      <c r="M191" s="20">
        <v>45411.0</v>
      </c>
      <c r="N191" s="20">
        <v>45411.0</v>
      </c>
      <c r="O191" s="19" t="s">
        <v>568</v>
      </c>
      <c r="P191" s="19">
        <v>0.0</v>
      </c>
      <c r="Q191" s="19">
        <v>26.0</v>
      </c>
      <c r="R191" s="19">
        <v>9528.0</v>
      </c>
      <c r="S191" s="20" t="s">
        <v>5708</v>
      </c>
      <c r="T191" s="20">
        <v>45461.0</v>
      </c>
      <c r="U191" s="19" t="s">
        <v>5704</v>
      </c>
      <c r="V191" s="19"/>
      <c r="W191" s="19"/>
      <c r="X191" s="21">
        <v>0.0</v>
      </c>
      <c r="Y191" s="21">
        <v>10.0</v>
      </c>
      <c r="Z191" s="21">
        <v>5.0</v>
      </c>
      <c r="AA191" s="21">
        <v>3.0</v>
      </c>
      <c r="AB191" s="5">
        <v>18.0</v>
      </c>
      <c r="AC191" s="19">
        <v>4.5</v>
      </c>
      <c r="AD191" s="19">
        <v>4.0</v>
      </c>
      <c r="AE191" s="19">
        <v>4.0</v>
      </c>
      <c r="AF191" s="19">
        <v>3.5</v>
      </c>
      <c r="AG191" s="19">
        <v>4.0</v>
      </c>
      <c r="AH191" s="19">
        <v>4.5</v>
      </c>
      <c r="AI191" s="22">
        <v>12.234375</v>
      </c>
      <c r="AJ191" s="19">
        <v>15.0</v>
      </c>
      <c r="AK191" s="19">
        <v>15.0</v>
      </c>
      <c r="AL191" s="19">
        <v>15.0</v>
      </c>
      <c r="AM191" s="19">
        <v>45.0</v>
      </c>
      <c r="AN191" s="19">
        <v>57.2</v>
      </c>
      <c r="AO191" s="19">
        <v>75.2</v>
      </c>
      <c r="AP191" s="19">
        <v>349.0</v>
      </c>
      <c r="AQ191" s="23">
        <v>185.0</v>
      </c>
      <c r="AR191" s="23">
        <v>14.0</v>
      </c>
      <c r="AS191" s="22"/>
      <c r="AT191" s="19" t="s">
        <v>2163</v>
      </c>
      <c r="AU191" s="19" t="s">
        <v>5709</v>
      </c>
      <c r="AV191" s="19" t="s">
        <v>5710</v>
      </c>
      <c r="AW191" s="19" t="s">
        <v>2166</v>
      </c>
      <c r="AX191" s="20">
        <v>35933.0</v>
      </c>
      <c r="AY191" s="19" t="s">
        <v>2421</v>
      </c>
      <c r="AZ191" s="19" t="s">
        <v>2310</v>
      </c>
      <c r="BA191" s="19" t="s">
        <v>5711</v>
      </c>
      <c r="BB191" s="19" t="s">
        <v>5712</v>
      </c>
      <c r="BC191" s="19" t="s">
        <v>5713</v>
      </c>
      <c r="BD191" s="19" t="s">
        <v>5714</v>
      </c>
      <c r="BE191" s="19" t="s">
        <v>5715</v>
      </c>
      <c r="BF191" s="19">
        <v>1.1983882484E10</v>
      </c>
      <c r="BG191" s="19" t="s">
        <v>2127</v>
      </c>
      <c r="BH191" s="19" t="s">
        <v>2128</v>
      </c>
      <c r="BI191" s="19"/>
      <c r="BJ191" s="19" t="s">
        <v>2128</v>
      </c>
      <c r="BK191" s="19" t="s">
        <v>17</v>
      </c>
      <c r="BL191" s="19"/>
      <c r="BM191" s="19" t="s">
        <v>5411</v>
      </c>
      <c r="BN191" s="19" t="s">
        <v>4223</v>
      </c>
      <c r="BO191" s="19" t="s">
        <v>2132</v>
      </c>
      <c r="BP191" s="19" t="s">
        <v>5716</v>
      </c>
      <c r="BQ191" s="19" t="s">
        <v>2325</v>
      </c>
      <c r="BR191" s="19" t="s">
        <v>2325</v>
      </c>
      <c r="BS191" s="19" t="s">
        <v>2134</v>
      </c>
      <c r="BT191" s="19" t="s">
        <v>59</v>
      </c>
      <c r="BU191" s="19" t="s">
        <v>5717</v>
      </c>
      <c r="BV191" s="19"/>
      <c r="BW191" s="19"/>
      <c r="BX191" s="19" t="s">
        <v>2113</v>
      </c>
      <c r="BY191" s="19" t="s">
        <v>2113</v>
      </c>
      <c r="BZ191" s="19" t="s">
        <v>2113</v>
      </c>
      <c r="CA191" s="19"/>
      <c r="CB191" s="19" t="s">
        <v>2113</v>
      </c>
      <c r="CC191" s="19" t="s">
        <v>2113</v>
      </c>
      <c r="CD191" s="19" t="s">
        <v>2137</v>
      </c>
      <c r="CE191" s="19" t="s">
        <v>16</v>
      </c>
      <c r="CF191" s="19"/>
      <c r="CG191" s="19"/>
      <c r="CH191" s="19" t="s">
        <v>17</v>
      </c>
      <c r="CI191" s="21">
        <v>3.0</v>
      </c>
      <c r="CJ191" s="19" t="s">
        <v>17</v>
      </c>
      <c r="CK191" s="19"/>
      <c r="CL191" s="19"/>
      <c r="CM191" s="19" t="s">
        <v>2344</v>
      </c>
      <c r="CN191" s="19" t="s">
        <v>2431</v>
      </c>
      <c r="CO191" s="19"/>
      <c r="CP191" s="19" t="s">
        <v>2140</v>
      </c>
      <c r="CQ191" s="19"/>
      <c r="CR191" s="19" t="s">
        <v>2113</v>
      </c>
      <c r="CS191" s="19" t="s">
        <v>2113</v>
      </c>
      <c r="CT191" s="19" t="s">
        <v>2113</v>
      </c>
      <c r="CU191" s="19" t="s">
        <v>2113</v>
      </c>
      <c r="CV191" s="19" t="s">
        <v>2141</v>
      </c>
      <c r="CW191" s="19"/>
      <c r="CX191" s="19"/>
      <c r="CY191" s="19"/>
      <c r="CZ191" s="19"/>
      <c r="DA191" s="19" t="s">
        <v>16</v>
      </c>
      <c r="DB191" s="19" t="s">
        <v>17</v>
      </c>
      <c r="DC191" s="19" t="s">
        <v>2432</v>
      </c>
      <c r="DD191" s="19" t="s">
        <v>2113</v>
      </c>
      <c r="DE191" s="19" t="s">
        <v>2113</v>
      </c>
      <c r="DF191" s="19" t="s">
        <v>2804</v>
      </c>
      <c r="DG191" s="19" t="s">
        <v>3163</v>
      </c>
      <c r="DH191" s="19" t="s">
        <v>2144</v>
      </c>
      <c r="DI191" s="24">
        <v>45524.0</v>
      </c>
      <c r="DJ191" s="19" t="s">
        <v>2325</v>
      </c>
      <c r="DK191" s="19" t="s">
        <v>2145</v>
      </c>
      <c r="DL191" s="19" t="s">
        <v>2326</v>
      </c>
      <c r="DM191" s="19"/>
      <c r="DN191" s="19">
        <v>7.0</v>
      </c>
      <c r="DO191" s="19">
        <v>7.0</v>
      </c>
      <c r="DP191" s="19" t="s">
        <v>5718</v>
      </c>
      <c r="DQ191" s="19" t="s">
        <v>5719</v>
      </c>
      <c r="DR191" s="19" t="s">
        <v>5720</v>
      </c>
      <c r="DS191" s="19" t="s">
        <v>2185</v>
      </c>
      <c r="DT191" s="19" t="s">
        <v>2152</v>
      </c>
      <c r="DU191" s="19"/>
      <c r="DV191" s="19"/>
      <c r="DW191" s="19" t="s">
        <v>2188</v>
      </c>
      <c r="DX191" s="19">
        <v>5.0</v>
      </c>
      <c r="DY191" s="19">
        <v>10.0</v>
      </c>
      <c r="DZ191" s="19">
        <v>0.0</v>
      </c>
      <c r="EA191" s="19">
        <v>10.0</v>
      </c>
      <c r="EB191" s="19">
        <v>3.0</v>
      </c>
      <c r="EC191" s="19">
        <v>0.0</v>
      </c>
      <c r="ED191" s="19" t="s">
        <v>2325</v>
      </c>
      <c r="EE191" s="24">
        <v>45524.0</v>
      </c>
      <c r="EF191" s="19" t="s">
        <v>2325</v>
      </c>
      <c r="EG191" s="19" t="s">
        <v>2145</v>
      </c>
      <c r="EH191" s="19" t="s">
        <v>2326</v>
      </c>
      <c r="EI191" s="22">
        <v>12.234375</v>
      </c>
      <c r="EJ191" s="19">
        <v>45.0</v>
      </c>
      <c r="EK191" s="19" t="s">
        <v>2113</v>
      </c>
      <c r="EL191" s="19" t="s">
        <v>2163</v>
      </c>
      <c r="EM191" s="19" t="s">
        <v>5709</v>
      </c>
      <c r="EN191" s="19" t="s">
        <v>569</v>
      </c>
      <c r="EO191" s="19" t="s">
        <v>2421</v>
      </c>
      <c r="EP191" s="19" t="s">
        <v>2310</v>
      </c>
      <c r="EQ191" s="19" t="s">
        <v>2431</v>
      </c>
      <c r="ER191" s="19"/>
      <c r="ES191" s="19" t="s">
        <v>569</v>
      </c>
      <c r="ET191" s="19" t="s">
        <v>569</v>
      </c>
      <c r="EU191" s="19" t="s">
        <v>5707</v>
      </c>
      <c r="EV191" s="19">
        <v>9528.0</v>
      </c>
      <c r="EW191" s="19" t="s">
        <v>16</v>
      </c>
      <c r="EX191" s="19">
        <v>5.0</v>
      </c>
      <c r="EY191" s="25" t="s">
        <v>568</v>
      </c>
      <c r="EZ191" s="19" t="s">
        <v>2154</v>
      </c>
      <c r="FA191" s="5" t="s">
        <v>5721</v>
      </c>
      <c r="FB191" s="26" t="s">
        <v>2156</v>
      </c>
      <c r="FC191" s="26"/>
    </row>
    <row r="192">
      <c r="A192" s="19" t="s">
        <v>2156</v>
      </c>
      <c r="B192" s="19" t="s">
        <v>2113</v>
      </c>
      <c r="C192" s="19" t="s">
        <v>2113</v>
      </c>
      <c r="D192" s="19" t="s">
        <v>570</v>
      </c>
      <c r="E192" s="19" t="s">
        <v>5722</v>
      </c>
      <c r="F192" s="19" t="s">
        <v>570</v>
      </c>
      <c r="G192" s="19"/>
      <c r="H192" s="19" t="s">
        <v>570</v>
      </c>
      <c r="I192" s="19" t="s">
        <v>571</v>
      </c>
      <c r="J192" s="19" t="s">
        <v>5723</v>
      </c>
      <c r="K192" s="19" t="s">
        <v>5724</v>
      </c>
      <c r="L192" s="20">
        <v>45456.0</v>
      </c>
      <c r="M192" s="20">
        <v>45457.0</v>
      </c>
      <c r="N192" s="20">
        <v>45457.0</v>
      </c>
      <c r="O192" s="19">
        <v>3.2896339E7</v>
      </c>
      <c r="P192" s="19">
        <v>0.0</v>
      </c>
      <c r="Q192" s="19">
        <v>23.0</v>
      </c>
      <c r="R192" s="19">
        <v>8537.0</v>
      </c>
      <c r="S192" s="20" t="s">
        <v>5725</v>
      </c>
      <c r="T192" s="20">
        <v>45461.0</v>
      </c>
      <c r="U192" s="19" t="s">
        <v>570</v>
      </c>
      <c r="V192" s="19"/>
      <c r="W192" s="19" t="s">
        <v>5726</v>
      </c>
      <c r="X192" s="21">
        <v>20.0</v>
      </c>
      <c r="Y192" s="21">
        <v>0.0</v>
      </c>
      <c r="Z192" s="21">
        <v>3.0</v>
      </c>
      <c r="AA192" s="21">
        <v>0.0</v>
      </c>
      <c r="AB192" s="5">
        <v>23.0</v>
      </c>
      <c r="AC192" s="19">
        <v>5.0</v>
      </c>
      <c r="AD192" s="19">
        <v>3.0</v>
      </c>
      <c r="AE192" s="19">
        <v>4.0</v>
      </c>
      <c r="AF192" s="19">
        <v>3.0</v>
      </c>
      <c r="AG192" s="19">
        <v>3.0</v>
      </c>
      <c r="AH192" s="19">
        <v>4.0</v>
      </c>
      <c r="AI192" s="22">
        <v>11.0625</v>
      </c>
      <c r="AJ192" s="19">
        <v>13.0</v>
      </c>
      <c r="AK192" s="19">
        <v>15.0</v>
      </c>
      <c r="AL192" s="19">
        <v>13.0</v>
      </c>
      <c r="AM192" s="19">
        <v>41.0</v>
      </c>
      <c r="AN192" s="19">
        <v>52.1</v>
      </c>
      <c r="AO192" s="19">
        <v>75.1</v>
      </c>
      <c r="AP192" s="19">
        <v>316.0</v>
      </c>
      <c r="AQ192" s="23">
        <v>186.0</v>
      </c>
      <c r="AR192" s="23">
        <v>24.0</v>
      </c>
      <c r="AS192" s="22"/>
      <c r="AT192" s="19" t="s">
        <v>2163</v>
      </c>
      <c r="AU192" s="19" t="s">
        <v>5727</v>
      </c>
      <c r="AV192" s="19" t="s">
        <v>5728</v>
      </c>
      <c r="AW192" s="19"/>
      <c r="AX192" s="20">
        <v>36924.0</v>
      </c>
      <c r="AY192" s="19" t="s">
        <v>5729</v>
      </c>
      <c r="AZ192" s="19" t="s">
        <v>2122</v>
      </c>
      <c r="BA192" s="19" t="s">
        <v>5730</v>
      </c>
      <c r="BB192" s="19">
        <v>7.0</v>
      </c>
      <c r="BC192" s="19">
        <v>3.8342827E8</v>
      </c>
      <c r="BD192" s="19" t="s">
        <v>5731</v>
      </c>
      <c r="BE192" s="19"/>
      <c r="BF192" s="19"/>
      <c r="BG192" s="19" t="s">
        <v>4038</v>
      </c>
      <c r="BH192" s="19" t="s">
        <v>2128</v>
      </c>
      <c r="BI192" s="19"/>
      <c r="BJ192" s="19" t="s">
        <v>2128</v>
      </c>
      <c r="BK192" s="19" t="s">
        <v>17</v>
      </c>
      <c r="BL192" s="19"/>
      <c r="BM192" s="19" t="s">
        <v>2130</v>
      </c>
      <c r="BN192" s="19" t="s">
        <v>17</v>
      </c>
      <c r="BO192" s="19">
        <v>3.0</v>
      </c>
      <c r="BP192" s="19"/>
      <c r="BQ192" s="19" t="s">
        <v>2133</v>
      </c>
      <c r="BR192" s="19" t="s">
        <v>2133</v>
      </c>
      <c r="BS192" s="19" t="s">
        <v>2243</v>
      </c>
      <c r="BT192" s="19" t="s">
        <v>38</v>
      </c>
      <c r="BU192" s="19" t="s">
        <v>5732</v>
      </c>
      <c r="BV192" s="19" t="s">
        <v>5733</v>
      </c>
      <c r="BW192" s="19" t="s">
        <v>2113</v>
      </c>
      <c r="BX192" s="19"/>
      <c r="BY192" s="19"/>
      <c r="BZ192" s="19"/>
      <c r="CA192" s="19"/>
      <c r="CB192" s="19" t="s">
        <v>2113</v>
      </c>
      <c r="CC192" s="19"/>
      <c r="CD192" s="19" t="s">
        <v>2137</v>
      </c>
      <c r="CE192" s="19" t="s">
        <v>16</v>
      </c>
      <c r="CF192" s="19"/>
      <c r="CG192" s="19"/>
      <c r="CH192" s="19" t="s">
        <v>16</v>
      </c>
      <c r="CI192" s="21">
        <v>0.0</v>
      </c>
      <c r="CJ192" s="19" t="s">
        <v>17</v>
      </c>
      <c r="CK192" s="19"/>
      <c r="CL192" s="19"/>
      <c r="CM192" s="19" t="s">
        <v>2138</v>
      </c>
      <c r="CN192" s="19" t="s">
        <v>3020</v>
      </c>
      <c r="CO192" s="19"/>
      <c r="CP192" s="19" t="s">
        <v>2140</v>
      </c>
      <c r="CQ192" s="19"/>
      <c r="CR192" s="19" t="s">
        <v>2113</v>
      </c>
      <c r="CS192" s="19" t="s">
        <v>2113</v>
      </c>
      <c r="CT192" s="19"/>
      <c r="CU192" s="19"/>
      <c r="CV192" s="19" t="s">
        <v>2141</v>
      </c>
      <c r="CW192" s="19"/>
      <c r="CX192" s="19"/>
      <c r="CY192" s="19"/>
      <c r="CZ192" s="19"/>
      <c r="DA192" s="19" t="s">
        <v>16</v>
      </c>
      <c r="DB192" s="19" t="s">
        <v>17</v>
      </c>
      <c r="DC192" s="19" t="s">
        <v>2143</v>
      </c>
      <c r="DD192" s="19" t="s">
        <v>2113</v>
      </c>
      <c r="DE192" s="19" t="s">
        <v>2113</v>
      </c>
      <c r="DF192" s="19" t="s">
        <v>2601</v>
      </c>
      <c r="DG192" s="19" t="s">
        <v>2433</v>
      </c>
      <c r="DH192" s="19" t="s">
        <v>2144</v>
      </c>
      <c r="DI192" s="24">
        <v>45517.0</v>
      </c>
      <c r="DJ192" s="19" t="s">
        <v>2133</v>
      </c>
      <c r="DK192" s="19" t="s">
        <v>2271</v>
      </c>
      <c r="DL192" s="19" t="s">
        <v>2146</v>
      </c>
      <c r="DM192" s="19"/>
      <c r="DN192" s="19">
        <v>2.0</v>
      </c>
      <c r="DO192" s="19">
        <v>2.0</v>
      </c>
      <c r="DP192" s="19" t="s">
        <v>5734</v>
      </c>
      <c r="DQ192" s="19" t="s">
        <v>5735</v>
      </c>
      <c r="DR192" s="19" t="s">
        <v>5736</v>
      </c>
      <c r="DS192" s="19" t="s">
        <v>2185</v>
      </c>
      <c r="DT192" s="19" t="s">
        <v>2229</v>
      </c>
      <c r="DU192" s="19"/>
      <c r="DV192" s="19"/>
      <c r="DW192" s="19" t="s">
        <v>2153</v>
      </c>
      <c r="DX192" s="19">
        <v>1.0</v>
      </c>
      <c r="DY192" s="19">
        <v>0.0</v>
      </c>
      <c r="DZ192" s="19">
        <v>0.0</v>
      </c>
      <c r="EA192" s="19">
        <v>0.0</v>
      </c>
      <c r="EB192" s="19">
        <v>0.0</v>
      </c>
      <c r="EC192" s="19">
        <v>20.0</v>
      </c>
      <c r="ED192" s="19" t="s">
        <v>2133</v>
      </c>
      <c r="EE192" s="24">
        <v>45517.0</v>
      </c>
      <c r="EF192" s="19" t="s">
        <v>2133</v>
      </c>
      <c r="EG192" s="19" t="s">
        <v>2271</v>
      </c>
      <c r="EH192" s="19" t="s">
        <v>2146</v>
      </c>
      <c r="EI192" s="22">
        <v>11.0625</v>
      </c>
      <c r="EJ192" s="19">
        <v>41.0</v>
      </c>
      <c r="EK192" s="19" t="s">
        <v>2113</v>
      </c>
      <c r="EL192" s="19" t="s">
        <v>2163</v>
      </c>
      <c r="EM192" s="19" t="s">
        <v>5727</v>
      </c>
      <c r="EN192" s="19" t="s">
        <v>571</v>
      </c>
      <c r="EO192" s="19" t="s">
        <v>5729</v>
      </c>
      <c r="EP192" s="19" t="s">
        <v>2122</v>
      </c>
      <c r="EQ192" s="19" t="s">
        <v>3020</v>
      </c>
      <c r="ER192" s="19"/>
      <c r="ES192" s="19" t="s">
        <v>571</v>
      </c>
      <c r="ET192" s="19" t="s">
        <v>571</v>
      </c>
      <c r="EU192" s="19" t="s">
        <v>5724</v>
      </c>
      <c r="EV192" s="19">
        <v>8537.0</v>
      </c>
      <c r="EW192" s="19" t="s">
        <v>16</v>
      </c>
      <c r="EX192" s="19">
        <v>3.0</v>
      </c>
      <c r="EY192" s="25" t="s">
        <v>5737</v>
      </c>
      <c r="EZ192" s="19" t="s">
        <v>2154</v>
      </c>
      <c r="FA192" s="5" t="s">
        <v>5738</v>
      </c>
      <c r="FB192" s="26" t="s">
        <v>2156</v>
      </c>
      <c r="FC192" s="26"/>
    </row>
    <row r="193">
      <c r="A193" s="19" t="s">
        <v>2112</v>
      </c>
      <c r="B193" s="19"/>
      <c r="C193" s="19" t="s">
        <v>2113</v>
      </c>
      <c r="D193" s="19" t="s">
        <v>572</v>
      </c>
      <c r="E193" s="19" t="s">
        <v>5739</v>
      </c>
      <c r="F193" s="19" t="s">
        <v>572</v>
      </c>
      <c r="G193" s="19"/>
      <c r="H193" s="19" t="s">
        <v>572</v>
      </c>
      <c r="I193" s="19" t="s">
        <v>574</v>
      </c>
      <c r="J193" s="19" t="s">
        <v>5740</v>
      </c>
      <c r="K193" s="19" t="s">
        <v>5741</v>
      </c>
      <c r="L193" s="20">
        <v>45460.0</v>
      </c>
      <c r="M193" s="20">
        <v>45462.0</v>
      </c>
      <c r="N193" s="20">
        <v>45462.0</v>
      </c>
      <c r="O193" s="19" t="s">
        <v>573</v>
      </c>
      <c r="P193" s="19">
        <v>0.0</v>
      </c>
      <c r="Q193" s="19">
        <v>28.0</v>
      </c>
      <c r="R193" s="19">
        <v>10517.0</v>
      </c>
      <c r="S193" s="20" t="s">
        <v>5742</v>
      </c>
      <c r="T193" s="20">
        <v>45461.0</v>
      </c>
      <c r="U193" s="19" t="s">
        <v>572</v>
      </c>
      <c r="V193" s="19"/>
      <c r="W193" s="19"/>
      <c r="X193" s="21">
        <v>0.0</v>
      </c>
      <c r="Y193" s="21">
        <v>10.0</v>
      </c>
      <c r="Z193" s="21">
        <v>5.0</v>
      </c>
      <c r="AA193" s="21">
        <v>0.0</v>
      </c>
      <c r="AB193" s="5">
        <v>15.0</v>
      </c>
      <c r="AC193" s="19">
        <v>5.0</v>
      </c>
      <c r="AD193" s="19">
        <v>5.0</v>
      </c>
      <c r="AE193" s="19">
        <v>5.0</v>
      </c>
      <c r="AF193" s="19">
        <v>5.0</v>
      </c>
      <c r="AG193" s="19">
        <v>5.0</v>
      </c>
      <c r="AH193" s="19">
        <v>5.0</v>
      </c>
      <c r="AI193" s="22">
        <v>15.0</v>
      </c>
      <c r="AJ193" s="19">
        <v>15.0</v>
      </c>
      <c r="AK193" s="19">
        <v>15.0</v>
      </c>
      <c r="AL193" s="19">
        <v>15.0</v>
      </c>
      <c r="AM193" s="19">
        <v>45.0</v>
      </c>
      <c r="AN193" s="19">
        <v>60.0</v>
      </c>
      <c r="AO193" s="19">
        <v>75.0</v>
      </c>
      <c r="AP193" s="19">
        <v>398.0</v>
      </c>
      <c r="AQ193" s="23">
        <v>187.0</v>
      </c>
      <c r="AR193" s="23">
        <v>25.0</v>
      </c>
      <c r="AS193" s="22"/>
      <c r="AT193" s="19" t="s">
        <v>2163</v>
      </c>
      <c r="AU193" s="19" t="s">
        <v>2571</v>
      </c>
      <c r="AV193" s="19" t="s">
        <v>5743</v>
      </c>
      <c r="AW193" s="19" t="s">
        <v>2285</v>
      </c>
      <c r="AX193" s="20">
        <v>34944.0</v>
      </c>
      <c r="AY193" s="19" t="s">
        <v>2286</v>
      </c>
      <c r="AZ193" s="19" t="s">
        <v>2122</v>
      </c>
      <c r="BA193" s="19" t="s">
        <v>5744</v>
      </c>
      <c r="BB193" s="19" t="s">
        <v>5745</v>
      </c>
      <c r="BC193" s="19" t="s">
        <v>5746</v>
      </c>
      <c r="BD193" s="19" t="s">
        <v>5747</v>
      </c>
      <c r="BE193" s="19" t="s">
        <v>5748</v>
      </c>
      <c r="BF193" s="19">
        <v>1.1943989874E10</v>
      </c>
      <c r="BG193" s="19" t="s">
        <v>2127</v>
      </c>
      <c r="BH193" s="19" t="s">
        <v>2649</v>
      </c>
      <c r="BI193" s="19"/>
      <c r="BJ193" s="19"/>
      <c r="BK193" s="19" t="s">
        <v>16</v>
      </c>
      <c r="BL193" s="19"/>
      <c r="BM193" s="19" t="s">
        <v>5411</v>
      </c>
      <c r="BN193" s="19" t="s">
        <v>17</v>
      </c>
      <c r="BO193" s="19" t="s">
        <v>2132</v>
      </c>
      <c r="BP193" s="19" t="s">
        <v>5749</v>
      </c>
      <c r="BQ193" s="19" t="s">
        <v>2133</v>
      </c>
      <c r="BR193" s="19" t="s">
        <v>2133</v>
      </c>
      <c r="BS193" s="19" t="s">
        <v>2134</v>
      </c>
      <c r="BT193" s="19" t="s">
        <v>38</v>
      </c>
      <c r="BU193" s="19" t="s">
        <v>5750</v>
      </c>
      <c r="BV193" s="19"/>
      <c r="BW193" s="19" t="s">
        <v>2113</v>
      </c>
      <c r="BX193" s="19"/>
      <c r="BY193" s="19"/>
      <c r="BZ193" s="19"/>
      <c r="CA193" s="19"/>
      <c r="CB193" s="19" t="s">
        <v>2113</v>
      </c>
      <c r="CC193" s="19"/>
      <c r="CD193" s="19" t="s">
        <v>2137</v>
      </c>
      <c r="CE193" s="19" t="s">
        <v>16</v>
      </c>
      <c r="CF193" s="19"/>
      <c r="CG193" s="19"/>
      <c r="CH193" s="19" t="s">
        <v>16</v>
      </c>
      <c r="CI193" s="21">
        <v>0.0</v>
      </c>
      <c r="CJ193" s="19" t="s">
        <v>17</v>
      </c>
      <c r="CK193" s="19"/>
      <c r="CL193" s="19"/>
      <c r="CM193" s="19" t="s">
        <v>2138</v>
      </c>
      <c r="CN193" s="19" t="s">
        <v>2294</v>
      </c>
      <c r="CO193" s="19"/>
      <c r="CP193" s="19"/>
      <c r="CQ193" s="19"/>
      <c r="CR193" s="19" t="s">
        <v>2113</v>
      </c>
      <c r="CS193" s="19" t="s">
        <v>2113</v>
      </c>
      <c r="CT193" s="19" t="s">
        <v>2113</v>
      </c>
      <c r="CU193" s="19" t="s">
        <v>2113</v>
      </c>
      <c r="CV193" s="19" t="s">
        <v>2141</v>
      </c>
      <c r="CW193" s="19" t="s">
        <v>2113</v>
      </c>
      <c r="CX193" s="19" t="s">
        <v>2113</v>
      </c>
      <c r="CY193" s="19"/>
      <c r="CZ193" s="19"/>
      <c r="DA193" s="19" t="s">
        <v>16</v>
      </c>
      <c r="DB193" s="19" t="s">
        <v>17</v>
      </c>
      <c r="DC193" s="19" t="s">
        <v>2578</v>
      </c>
      <c r="DD193" s="19" t="s">
        <v>2113</v>
      </c>
      <c r="DE193" s="19" t="s">
        <v>2113</v>
      </c>
      <c r="DF193" s="19" t="s">
        <v>2477</v>
      </c>
      <c r="DG193" s="19" t="s">
        <v>3484</v>
      </c>
      <c r="DH193" s="19" t="s">
        <v>2144</v>
      </c>
      <c r="DI193" s="24">
        <v>45533.0</v>
      </c>
      <c r="DJ193" s="19" t="s">
        <v>2133</v>
      </c>
      <c r="DK193" s="19" t="s">
        <v>2145</v>
      </c>
      <c r="DL193" s="19" t="s">
        <v>2146</v>
      </c>
      <c r="DM193" s="19" t="s">
        <v>2147</v>
      </c>
      <c r="DN193" s="19">
        <v>17.0</v>
      </c>
      <c r="DO193" s="19">
        <v>17.0</v>
      </c>
      <c r="DP193" s="19" t="s">
        <v>5751</v>
      </c>
      <c r="DQ193" s="19" t="s">
        <v>5752</v>
      </c>
      <c r="DR193" s="19" t="s">
        <v>5753</v>
      </c>
      <c r="DS193" s="19" t="s">
        <v>2151</v>
      </c>
      <c r="DT193" s="19" t="s">
        <v>2186</v>
      </c>
      <c r="DU193" s="19"/>
      <c r="DV193" s="19"/>
      <c r="DW193" s="19" t="s">
        <v>2153</v>
      </c>
      <c r="DX193" s="19">
        <v>12.0</v>
      </c>
      <c r="DY193" s="19">
        <v>10.0</v>
      </c>
      <c r="DZ193" s="19">
        <v>0.0</v>
      </c>
      <c r="EA193" s="19">
        <v>10.0</v>
      </c>
      <c r="EB193" s="19">
        <v>0.0</v>
      </c>
      <c r="EC193" s="19">
        <v>0.0</v>
      </c>
      <c r="ED193" s="19" t="s">
        <v>2133</v>
      </c>
      <c r="EE193" s="24">
        <v>45533.0</v>
      </c>
      <c r="EF193" s="19" t="s">
        <v>2133</v>
      </c>
      <c r="EG193" s="19" t="s">
        <v>2145</v>
      </c>
      <c r="EH193" s="19" t="s">
        <v>2146</v>
      </c>
      <c r="EI193" s="22">
        <v>15.0</v>
      </c>
      <c r="EJ193" s="19">
        <v>45.0</v>
      </c>
      <c r="EK193" s="19" t="s">
        <v>2113</v>
      </c>
      <c r="EL193" s="19" t="s">
        <v>2163</v>
      </c>
      <c r="EM193" s="19" t="s">
        <v>2571</v>
      </c>
      <c r="EN193" s="19" t="s">
        <v>574</v>
      </c>
      <c r="EO193" s="19" t="s">
        <v>2286</v>
      </c>
      <c r="EP193" s="19" t="s">
        <v>2122</v>
      </c>
      <c r="EQ193" s="19" t="s">
        <v>2294</v>
      </c>
      <c r="ER193" s="19"/>
      <c r="ES193" s="19" t="s">
        <v>574</v>
      </c>
      <c r="ET193" s="19" t="s">
        <v>574</v>
      </c>
      <c r="EU193" s="19" t="s">
        <v>5741</v>
      </c>
      <c r="EV193" s="19">
        <v>10517.0</v>
      </c>
      <c r="EW193" s="19" t="s">
        <v>16</v>
      </c>
      <c r="EX193" s="19">
        <v>5.0</v>
      </c>
      <c r="EY193" s="25" t="s">
        <v>573</v>
      </c>
      <c r="EZ193" s="19" t="s">
        <v>2154</v>
      </c>
      <c r="FA193" s="5" t="s">
        <v>5754</v>
      </c>
      <c r="FB193" s="26" t="s">
        <v>2156</v>
      </c>
      <c r="FC193" s="26"/>
    </row>
    <row r="194">
      <c r="A194" s="19" t="s">
        <v>2112</v>
      </c>
      <c r="B194" s="19"/>
      <c r="C194" s="19" t="s">
        <v>2113</v>
      </c>
      <c r="D194" s="19" t="s">
        <v>5755</v>
      </c>
      <c r="E194" s="19" t="s">
        <v>5756</v>
      </c>
      <c r="F194" s="19" t="s">
        <v>5755</v>
      </c>
      <c r="G194" s="19"/>
      <c r="H194" s="19" t="s">
        <v>575</v>
      </c>
      <c r="I194" s="19" t="s">
        <v>577</v>
      </c>
      <c r="J194" s="19" t="s">
        <v>5757</v>
      </c>
      <c r="K194" s="19" t="s">
        <v>5758</v>
      </c>
      <c r="L194" s="20">
        <v>45443.0</v>
      </c>
      <c r="M194" s="20">
        <v>45446.0</v>
      </c>
      <c r="N194" s="20">
        <v>45446.0</v>
      </c>
      <c r="O194" s="19" t="s">
        <v>576</v>
      </c>
      <c r="P194" s="19">
        <v>0.0</v>
      </c>
      <c r="Q194" s="19">
        <v>22.0</v>
      </c>
      <c r="R194" s="19">
        <v>8282.0</v>
      </c>
      <c r="S194" s="20" t="s">
        <v>5759</v>
      </c>
      <c r="T194" s="20">
        <v>45461.0</v>
      </c>
      <c r="U194" s="19" t="s">
        <v>5755</v>
      </c>
      <c r="V194" s="19"/>
      <c r="W194" s="19"/>
      <c r="X194" s="21">
        <v>0.0</v>
      </c>
      <c r="Y194" s="21">
        <v>10.0</v>
      </c>
      <c r="Z194" s="21">
        <v>5.0</v>
      </c>
      <c r="AA194" s="21">
        <v>0.0</v>
      </c>
      <c r="AB194" s="5">
        <v>15.0</v>
      </c>
      <c r="AC194" s="19">
        <v>5.0</v>
      </c>
      <c r="AD194" s="19">
        <v>5.0</v>
      </c>
      <c r="AE194" s="19">
        <v>5.0</v>
      </c>
      <c r="AF194" s="19">
        <v>5.0</v>
      </c>
      <c r="AG194" s="19">
        <v>5.0</v>
      </c>
      <c r="AH194" s="19">
        <v>5.0</v>
      </c>
      <c r="AI194" s="22">
        <v>15.0</v>
      </c>
      <c r="AJ194" s="19">
        <v>15.0</v>
      </c>
      <c r="AK194" s="19">
        <v>15.0</v>
      </c>
      <c r="AL194" s="19">
        <v>15.0</v>
      </c>
      <c r="AM194" s="19">
        <v>45.0</v>
      </c>
      <c r="AN194" s="19">
        <v>60.0</v>
      </c>
      <c r="AO194" s="19">
        <v>75.0</v>
      </c>
      <c r="AP194" s="19">
        <v>459.0</v>
      </c>
      <c r="AQ194" s="23">
        <v>188.0</v>
      </c>
      <c r="AR194" s="23">
        <v>21.0</v>
      </c>
      <c r="AS194" s="22"/>
      <c r="AT194" s="19" t="s">
        <v>2282</v>
      </c>
      <c r="AU194" s="19" t="s">
        <v>5760</v>
      </c>
      <c r="AV194" s="19" t="s">
        <v>5761</v>
      </c>
      <c r="AW194" s="19" t="s">
        <v>3269</v>
      </c>
      <c r="AX194" s="20">
        <v>37179.0</v>
      </c>
      <c r="AY194" s="19" t="s">
        <v>2121</v>
      </c>
      <c r="AZ194" s="19" t="s">
        <v>2310</v>
      </c>
      <c r="BA194" s="19" t="s">
        <v>5762</v>
      </c>
      <c r="BB194" s="19" t="s">
        <v>5763</v>
      </c>
      <c r="BC194" s="19" t="s">
        <v>5764</v>
      </c>
      <c r="BD194" s="19" t="s">
        <v>5765</v>
      </c>
      <c r="BE194" s="19" t="s">
        <v>5766</v>
      </c>
      <c r="BF194" s="19">
        <v>1.1986763693E10</v>
      </c>
      <c r="BG194" s="19" t="s">
        <v>2127</v>
      </c>
      <c r="BH194" s="19" t="s">
        <v>2128</v>
      </c>
      <c r="BI194" s="19"/>
      <c r="BJ194" s="19"/>
      <c r="BK194" s="19" t="s">
        <v>16</v>
      </c>
      <c r="BL194" s="19"/>
      <c r="BM194" s="19" t="s">
        <v>5411</v>
      </c>
      <c r="BN194" s="19" t="s">
        <v>2172</v>
      </c>
      <c r="BO194" s="19" t="s">
        <v>2132</v>
      </c>
      <c r="BP194" s="19"/>
      <c r="BQ194" s="19" t="s">
        <v>2133</v>
      </c>
      <c r="BR194" s="19" t="s">
        <v>2133</v>
      </c>
      <c r="BS194" s="19" t="s">
        <v>2134</v>
      </c>
      <c r="BT194" s="19" t="s">
        <v>15</v>
      </c>
      <c r="BU194" s="19" t="s">
        <v>4099</v>
      </c>
      <c r="BV194" s="19"/>
      <c r="BW194" s="19"/>
      <c r="BX194" s="19"/>
      <c r="BY194" s="19" t="s">
        <v>2113</v>
      </c>
      <c r="BZ194" s="19"/>
      <c r="CA194" s="19"/>
      <c r="CB194" s="19" t="s">
        <v>2113</v>
      </c>
      <c r="CC194" s="19"/>
      <c r="CD194" s="19" t="s">
        <v>2137</v>
      </c>
      <c r="CE194" s="19" t="s">
        <v>16</v>
      </c>
      <c r="CF194" s="19"/>
      <c r="CG194" s="19"/>
      <c r="CH194" s="19" t="s">
        <v>16</v>
      </c>
      <c r="CI194" s="21">
        <v>0.0</v>
      </c>
      <c r="CJ194" s="19" t="s">
        <v>16</v>
      </c>
      <c r="CK194" s="19"/>
      <c r="CL194" s="19"/>
      <c r="CM194" s="19" t="s">
        <v>2344</v>
      </c>
      <c r="CN194" s="19" t="s">
        <v>2139</v>
      </c>
      <c r="CO194" s="19"/>
      <c r="CP194" s="19"/>
      <c r="CQ194" s="19" t="s">
        <v>2113</v>
      </c>
      <c r="CR194" s="19"/>
      <c r="CS194" s="19"/>
      <c r="CT194" s="19" t="s">
        <v>2113</v>
      </c>
      <c r="CU194" s="19" t="s">
        <v>2113</v>
      </c>
      <c r="CV194" s="19" t="s">
        <v>2141</v>
      </c>
      <c r="CW194" s="19" t="s">
        <v>2113</v>
      </c>
      <c r="CX194" s="19" t="s">
        <v>2113</v>
      </c>
      <c r="CY194" s="19" t="s">
        <v>2113</v>
      </c>
      <c r="CZ194" s="19" t="s">
        <v>2113</v>
      </c>
      <c r="DA194" s="19" t="s">
        <v>16</v>
      </c>
      <c r="DB194" s="19" t="s">
        <v>16</v>
      </c>
      <c r="DC194" s="19" t="s">
        <v>2406</v>
      </c>
      <c r="DD194" s="19" t="s">
        <v>2113</v>
      </c>
      <c r="DE194" s="19" t="s">
        <v>2113</v>
      </c>
      <c r="DF194" s="19" t="s">
        <v>2826</v>
      </c>
      <c r="DG194" s="19" t="s">
        <v>3337</v>
      </c>
      <c r="DH194" s="19" t="s">
        <v>2144</v>
      </c>
      <c r="DI194" s="24">
        <v>45524.0</v>
      </c>
      <c r="DJ194" s="19" t="s">
        <v>2133</v>
      </c>
      <c r="DK194" s="19" t="s">
        <v>2271</v>
      </c>
      <c r="DL194" s="19" t="s">
        <v>2146</v>
      </c>
      <c r="DM194" s="19" t="s">
        <v>2628</v>
      </c>
      <c r="DN194" s="19">
        <v>8.0</v>
      </c>
      <c r="DO194" s="19">
        <v>8.0</v>
      </c>
      <c r="DP194" s="19" t="s">
        <v>5767</v>
      </c>
      <c r="DQ194" s="19" t="s">
        <v>5768</v>
      </c>
      <c r="DR194" s="19" t="s">
        <v>5769</v>
      </c>
      <c r="DS194" s="19" t="s">
        <v>2365</v>
      </c>
      <c r="DT194" s="19" t="s">
        <v>2152</v>
      </c>
      <c r="DU194" s="19"/>
      <c r="DV194" s="19"/>
      <c r="DW194" s="19" t="s">
        <v>2153</v>
      </c>
      <c r="DX194" s="19">
        <v>7.0</v>
      </c>
      <c r="DY194" s="19">
        <v>10.0</v>
      </c>
      <c r="DZ194" s="19">
        <v>0.0</v>
      </c>
      <c r="EA194" s="19">
        <v>10.0</v>
      </c>
      <c r="EB194" s="19">
        <v>0.0</v>
      </c>
      <c r="EC194" s="19">
        <v>0.0</v>
      </c>
      <c r="ED194" s="19" t="s">
        <v>2133</v>
      </c>
      <c r="EE194" s="24">
        <v>45524.0</v>
      </c>
      <c r="EF194" s="19" t="s">
        <v>2133</v>
      </c>
      <c r="EG194" s="19" t="s">
        <v>2271</v>
      </c>
      <c r="EH194" s="19" t="s">
        <v>2146</v>
      </c>
      <c r="EI194" s="22">
        <v>15.0</v>
      </c>
      <c r="EJ194" s="19">
        <v>45.0</v>
      </c>
      <c r="EK194" s="19"/>
      <c r="EL194" s="19" t="s">
        <v>2282</v>
      </c>
      <c r="EM194" s="19" t="s">
        <v>5760</v>
      </c>
      <c r="EN194" s="19" t="s">
        <v>577</v>
      </c>
      <c r="EO194" s="19" t="s">
        <v>2121</v>
      </c>
      <c r="EP194" s="19" t="s">
        <v>2310</v>
      </c>
      <c r="EQ194" s="19" t="s">
        <v>2139</v>
      </c>
      <c r="ER194" s="19"/>
      <c r="ES194" s="19" t="s">
        <v>577</v>
      </c>
      <c r="ET194" s="19" t="s">
        <v>577</v>
      </c>
      <c r="EU194" s="19" t="s">
        <v>5758</v>
      </c>
      <c r="EV194" s="19">
        <v>8282.0</v>
      </c>
      <c r="EW194" s="19" t="s">
        <v>16</v>
      </c>
      <c r="EX194" s="19">
        <v>5.0</v>
      </c>
      <c r="EY194" s="25" t="s">
        <v>576</v>
      </c>
      <c r="EZ194" s="19" t="s">
        <v>2154</v>
      </c>
      <c r="FA194" s="5" t="s">
        <v>5770</v>
      </c>
      <c r="FB194" s="26" t="s">
        <v>2156</v>
      </c>
      <c r="FC194" s="26"/>
    </row>
    <row r="195">
      <c r="A195" s="19" t="s">
        <v>2112</v>
      </c>
      <c r="B195" s="19"/>
      <c r="C195" s="19" t="s">
        <v>2113</v>
      </c>
      <c r="D195" s="19" t="s">
        <v>578</v>
      </c>
      <c r="E195" s="19" t="s">
        <v>5771</v>
      </c>
      <c r="F195" s="19" t="s">
        <v>578</v>
      </c>
      <c r="G195" s="19"/>
      <c r="H195" s="19" t="s">
        <v>578</v>
      </c>
      <c r="I195" s="19" t="s">
        <v>580</v>
      </c>
      <c r="J195" s="19" t="s">
        <v>5772</v>
      </c>
      <c r="K195" s="19" t="s">
        <v>5773</v>
      </c>
      <c r="L195" s="20">
        <v>45446.0</v>
      </c>
      <c r="M195" s="20">
        <v>45446.0</v>
      </c>
      <c r="N195" s="20">
        <v>45446.0</v>
      </c>
      <c r="O195" s="19" t="s">
        <v>579</v>
      </c>
      <c r="P195" s="19">
        <v>0.0</v>
      </c>
      <c r="Q195" s="19">
        <v>22.0</v>
      </c>
      <c r="R195" s="19">
        <v>8270.0</v>
      </c>
      <c r="S195" s="20" t="s">
        <v>5774</v>
      </c>
      <c r="T195" s="20">
        <v>45461.0</v>
      </c>
      <c r="U195" s="19" t="s">
        <v>578</v>
      </c>
      <c r="V195" s="19"/>
      <c r="W195" s="19"/>
      <c r="X195" s="21">
        <v>0.0</v>
      </c>
      <c r="Y195" s="21">
        <v>10.0</v>
      </c>
      <c r="Z195" s="21">
        <v>5.0</v>
      </c>
      <c r="AA195" s="21">
        <v>0.0</v>
      </c>
      <c r="AB195" s="5">
        <v>15.0</v>
      </c>
      <c r="AC195" s="19">
        <v>5.0</v>
      </c>
      <c r="AD195" s="19">
        <v>5.0</v>
      </c>
      <c r="AE195" s="19">
        <v>5.0</v>
      </c>
      <c r="AF195" s="19">
        <v>5.0</v>
      </c>
      <c r="AG195" s="19">
        <v>5.0</v>
      </c>
      <c r="AH195" s="19">
        <v>5.0</v>
      </c>
      <c r="AI195" s="22">
        <v>15.0</v>
      </c>
      <c r="AJ195" s="19">
        <v>15.0</v>
      </c>
      <c r="AK195" s="19">
        <v>15.0</v>
      </c>
      <c r="AL195" s="19">
        <v>15.0</v>
      </c>
      <c r="AM195" s="19">
        <v>45.0</v>
      </c>
      <c r="AN195" s="19">
        <v>60.0</v>
      </c>
      <c r="AO195" s="19">
        <v>75.0</v>
      </c>
      <c r="AP195" s="19">
        <v>461.0</v>
      </c>
      <c r="AQ195" s="23">
        <v>189.0</v>
      </c>
      <c r="AR195" s="23">
        <v>22.0</v>
      </c>
      <c r="AS195" s="22"/>
      <c r="AT195" s="19" t="s">
        <v>2282</v>
      </c>
      <c r="AU195" s="19" t="s">
        <v>5775</v>
      </c>
      <c r="AV195" s="19" t="s">
        <v>5776</v>
      </c>
      <c r="AW195" s="19"/>
      <c r="AX195" s="20">
        <v>37191.0</v>
      </c>
      <c r="AY195" s="19" t="s">
        <v>2167</v>
      </c>
      <c r="AZ195" s="19" t="s">
        <v>2310</v>
      </c>
      <c r="BA195" s="19" t="s">
        <v>5777</v>
      </c>
      <c r="BB195" s="19" t="s">
        <v>5778</v>
      </c>
      <c r="BC195" s="19" t="s">
        <v>5779</v>
      </c>
      <c r="BD195" s="19" t="s">
        <v>5780</v>
      </c>
      <c r="BE195" s="19" t="s">
        <v>5772</v>
      </c>
      <c r="BF195" s="19">
        <v>1.198736193E10</v>
      </c>
      <c r="BG195" s="19" t="s">
        <v>2127</v>
      </c>
      <c r="BH195" s="19" t="s">
        <v>2128</v>
      </c>
      <c r="BI195" s="19"/>
      <c r="BJ195" s="19"/>
      <c r="BK195" s="19" t="s">
        <v>16</v>
      </c>
      <c r="BL195" s="19" t="s">
        <v>2113</v>
      </c>
      <c r="BM195" s="19" t="s">
        <v>5411</v>
      </c>
      <c r="BN195" s="19" t="s">
        <v>17</v>
      </c>
      <c r="BO195" s="19" t="s">
        <v>2132</v>
      </c>
      <c r="BP195" s="19"/>
      <c r="BQ195" s="19" t="s">
        <v>2174</v>
      </c>
      <c r="BR195" s="19" t="s">
        <v>2174</v>
      </c>
      <c r="BS195" s="19" t="s">
        <v>2243</v>
      </c>
      <c r="BT195" s="19" t="s">
        <v>21</v>
      </c>
      <c r="BU195" s="19" t="s">
        <v>5781</v>
      </c>
      <c r="BV195" s="19"/>
      <c r="BW195" s="19"/>
      <c r="BX195" s="19" t="s">
        <v>2113</v>
      </c>
      <c r="BY195" s="19" t="s">
        <v>2113</v>
      </c>
      <c r="BZ195" s="19" t="s">
        <v>2113</v>
      </c>
      <c r="CA195" s="19" t="s">
        <v>2113</v>
      </c>
      <c r="CB195" s="19" t="s">
        <v>2113</v>
      </c>
      <c r="CC195" s="19"/>
      <c r="CD195" s="19" t="s">
        <v>2137</v>
      </c>
      <c r="CE195" s="19" t="s">
        <v>16</v>
      </c>
      <c r="CF195" s="19"/>
      <c r="CG195" s="19"/>
      <c r="CH195" s="19" t="s">
        <v>16</v>
      </c>
      <c r="CI195" s="21">
        <v>0.0</v>
      </c>
      <c r="CJ195" s="19" t="s">
        <v>16</v>
      </c>
      <c r="CK195" s="19"/>
      <c r="CL195" s="19"/>
      <c r="CM195" s="19" t="s">
        <v>2138</v>
      </c>
      <c r="CN195" s="19" t="s">
        <v>2176</v>
      </c>
      <c r="CO195" s="19"/>
      <c r="CP195" s="19"/>
      <c r="CQ195" s="19"/>
      <c r="CR195" s="19" t="s">
        <v>2113</v>
      </c>
      <c r="CS195" s="19" t="s">
        <v>2113</v>
      </c>
      <c r="CT195" s="19" t="s">
        <v>2113</v>
      </c>
      <c r="CU195" s="19" t="s">
        <v>2113</v>
      </c>
      <c r="CV195" s="19" t="s">
        <v>2141</v>
      </c>
      <c r="CW195" s="19" t="s">
        <v>2113</v>
      </c>
      <c r="CX195" s="19" t="s">
        <v>2113</v>
      </c>
      <c r="CY195" s="19" t="s">
        <v>2113</v>
      </c>
      <c r="CZ195" s="19" t="s">
        <v>2113</v>
      </c>
      <c r="DA195" s="19" t="s">
        <v>16</v>
      </c>
      <c r="DB195" s="19" t="s">
        <v>16</v>
      </c>
      <c r="DC195" s="19" t="s">
        <v>2226</v>
      </c>
      <c r="DD195" s="19" t="s">
        <v>2113</v>
      </c>
      <c r="DE195" s="19" t="s">
        <v>2113</v>
      </c>
      <c r="DF195" s="19" t="s">
        <v>2182</v>
      </c>
      <c r="DG195" s="19" t="s">
        <v>2180</v>
      </c>
      <c r="DH195" s="19" t="s">
        <v>2144</v>
      </c>
      <c r="DI195" s="24">
        <v>45525.0</v>
      </c>
      <c r="DJ195" s="19" t="s">
        <v>2174</v>
      </c>
      <c r="DK195" s="19" t="s">
        <v>2271</v>
      </c>
      <c r="DL195" s="19" t="s">
        <v>2183</v>
      </c>
      <c r="DM195" s="19" t="s">
        <v>2249</v>
      </c>
      <c r="DN195" s="19">
        <v>10.0</v>
      </c>
      <c r="DO195" s="19">
        <v>10.0</v>
      </c>
      <c r="DP195" s="19" t="s">
        <v>5782</v>
      </c>
      <c r="DQ195" s="19" t="s">
        <v>5783</v>
      </c>
      <c r="DR195" s="19" t="s">
        <v>5784</v>
      </c>
      <c r="DS195" s="19" t="s">
        <v>2151</v>
      </c>
      <c r="DT195" s="19" t="s">
        <v>2209</v>
      </c>
      <c r="DU195" s="19"/>
      <c r="DV195" s="19"/>
      <c r="DW195" s="19" t="s">
        <v>2188</v>
      </c>
      <c r="DX195" s="19">
        <v>15.0</v>
      </c>
      <c r="DY195" s="19">
        <v>10.0</v>
      </c>
      <c r="DZ195" s="19">
        <v>0.0</v>
      </c>
      <c r="EA195" s="19">
        <v>10.0</v>
      </c>
      <c r="EB195" s="19">
        <v>0.0</v>
      </c>
      <c r="EC195" s="19">
        <v>0.0</v>
      </c>
      <c r="ED195" s="19" t="s">
        <v>2174</v>
      </c>
      <c r="EE195" s="24">
        <v>45525.0</v>
      </c>
      <c r="EF195" s="19" t="s">
        <v>2174</v>
      </c>
      <c r="EG195" s="19" t="s">
        <v>2271</v>
      </c>
      <c r="EH195" s="19" t="s">
        <v>2183</v>
      </c>
      <c r="EI195" s="22">
        <v>15.0</v>
      </c>
      <c r="EJ195" s="19">
        <v>45.0</v>
      </c>
      <c r="EK195" s="19"/>
      <c r="EL195" s="19" t="s">
        <v>2282</v>
      </c>
      <c r="EM195" s="19" t="s">
        <v>5775</v>
      </c>
      <c r="EN195" s="19" t="s">
        <v>580</v>
      </c>
      <c r="EO195" s="19" t="s">
        <v>2167</v>
      </c>
      <c r="EP195" s="19" t="s">
        <v>2310</v>
      </c>
      <c r="EQ195" s="19" t="s">
        <v>2176</v>
      </c>
      <c r="ER195" s="19"/>
      <c r="ES195" s="19" t="s">
        <v>580</v>
      </c>
      <c r="ET195" s="19" t="s">
        <v>580</v>
      </c>
      <c r="EU195" s="19" t="s">
        <v>5773</v>
      </c>
      <c r="EV195" s="19">
        <v>8270.0</v>
      </c>
      <c r="EW195" s="19" t="s">
        <v>16</v>
      </c>
      <c r="EX195" s="19">
        <v>5.0</v>
      </c>
      <c r="EY195" s="25" t="s">
        <v>579</v>
      </c>
      <c r="EZ195" s="19" t="s">
        <v>2154</v>
      </c>
      <c r="FA195" s="5" t="s">
        <v>5785</v>
      </c>
      <c r="FB195" s="26" t="s">
        <v>2156</v>
      </c>
      <c r="FC195" s="26"/>
    </row>
    <row r="196">
      <c r="A196" s="19" t="s">
        <v>2112</v>
      </c>
      <c r="B196" s="19"/>
      <c r="C196" s="19" t="s">
        <v>2113</v>
      </c>
      <c r="D196" s="19" t="s">
        <v>581</v>
      </c>
      <c r="E196" s="19" t="s">
        <v>5786</v>
      </c>
      <c r="F196" s="19" t="s">
        <v>581</v>
      </c>
      <c r="G196" s="19"/>
      <c r="H196" s="19" t="s">
        <v>581</v>
      </c>
      <c r="I196" s="19" t="s">
        <v>583</v>
      </c>
      <c r="J196" s="19" t="s">
        <v>5787</v>
      </c>
      <c r="K196" s="19" t="s">
        <v>5788</v>
      </c>
      <c r="L196" s="20">
        <v>45396.0</v>
      </c>
      <c r="M196" s="20">
        <v>45411.0</v>
      </c>
      <c r="N196" s="20">
        <v>45411.0</v>
      </c>
      <c r="O196" s="19" t="s">
        <v>582</v>
      </c>
      <c r="P196" s="19">
        <v>0.0</v>
      </c>
      <c r="Q196" s="19">
        <v>20.0</v>
      </c>
      <c r="R196" s="19">
        <v>7383.0</v>
      </c>
      <c r="S196" s="20" t="s">
        <v>5789</v>
      </c>
      <c r="T196" s="20">
        <v>45461.0</v>
      </c>
      <c r="U196" s="19" t="s">
        <v>581</v>
      </c>
      <c r="V196" s="19"/>
      <c r="W196" s="19"/>
      <c r="X196" s="21">
        <v>0.0</v>
      </c>
      <c r="Y196" s="21">
        <v>10.0</v>
      </c>
      <c r="Z196" s="21">
        <v>5.0</v>
      </c>
      <c r="AA196" s="21">
        <v>0.0</v>
      </c>
      <c r="AB196" s="5">
        <v>15.0</v>
      </c>
      <c r="AC196" s="19">
        <v>5.0</v>
      </c>
      <c r="AD196" s="19">
        <v>5.0</v>
      </c>
      <c r="AE196" s="19">
        <v>5.0</v>
      </c>
      <c r="AF196" s="19">
        <v>5.0</v>
      </c>
      <c r="AG196" s="19">
        <v>5.0</v>
      </c>
      <c r="AH196" s="19">
        <v>5.0</v>
      </c>
      <c r="AI196" s="22">
        <v>15.0</v>
      </c>
      <c r="AJ196" s="19">
        <v>15.0</v>
      </c>
      <c r="AK196" s="19">
        <v>15.0</v>
      </c>
      <c r="AL196" s="19">
        <v>15.0</v>
      </c>
      <c r="AM196" s="19">
        <v>45.0</v>
      </c>
      <c r="AN196" s="19">
        <v>60.0</v>
      </c>
      <c r="AO196" s="19">
        <v>75.0</v>
      </c>
      <c r="AP196" s="19">
        <v>512.0</v>
      </c>
      <c r="AQ196" s="23">
        <v>190.0</v>
      </c>
      <c r="AR196" s="23">
        <v>15.0</v>
      </c>
      <c r="AS196" s="22"/>
      <c r="AT196" s="19" t="s">
        <v>2117</v>
      </c>
      <c r="AU196" s="19" t="s">
        <v>5790</v>
      </c>
      <c r="AV196" s="19" t="s">
        <v>5791</v>
      </c>
      <c r="AW196" s="19" t="s">
        <v>3199</v>
      </c>
      <c r="AX196" s="20">
        <v>38078.0</v>
      </c>
      <c r="AY196" s="19" t="s">
        <v>2529</v>
      </c>
      <c r="AZ196" s="19" t="s">
        <v>2310</v>
      </c>
      <c r="BA196" s="19" t="s">
        <v>5792</v>
      </c>
      <c r="BB196" s="19" t="s">
        <v>5793</v>
      </c>
      <c r="BC196" s="19" t="s">
        <v>5794</v>
      </c>
      <c r="BD196" s="19" t="s">
        <v>5795</v>
      </c>
      <c r="BE196" s="19" t="s">
        <v>5787</v>
      </c>
      <c r="BF196" s="19">
        <v>1.1976810384E10</v>
      </c>
      <c r="BG196" s="19" t="s">
        <v>2127</v>
      </c>
      <c r="BH196" s="19" t="s">
        <v>2128</v>
      </c>
      <c r="BI196" s="19"/>
      <c r="BJ196" s="19" t="s">
        <v>2427</v>
      </c>
      <c r="BK196" s="19" t="s">
        <v>17</v>
      </c>
      <c r="BL196" s="19"/>
      <c r="BM196" s="19" t="s">
        <v>5796</v>
      </c>
      <c r="BN196" s="19" t="s">
        <v>17</v>
      </c>
      <c r="BO196" s="19" t="s">
        <v>2132</v>
      </c>
      <c r="BP196" s="19" t="s">
        <v>5797</v>
      </c>
      <c r="BQ196" s="19" t="s">
        <v>2174</v>
      </c>
      <c r="BR196" s="19" t="s">
        <v>2174</v>
      </c>
      <c r="BS196" s="19" t="s">
        <v>2134</v>
      </c>
      <c r="BT196" s="19" t="s">
        <v>75</v>
      </c>
      <c r="BU196" s="19" t="s">
        <v>5798</v>
      </c>
      <c r="BV196" s="19"/>
      <c r="BW196" s="19" t="s">
        <v>2113</v>
      </c>
      <c r="BX196" s="19"/>
      <c r="BY196" s="19"/>
      <c r="BZ196" s="19"/>
      <c r="CA196" s="19"/>
      <c r="CB196" s="19" t="s">
        <v>2113</v>
      </c>
      <c r="CC196" s="19"/>
      <c r="CD196" s="19" t="s">
        <v>2137</v>
      </c>
      <c r="CE196" s="19" t="s">
        <v>16</v>
      </c>
      <c r="CF196" s="19"/>
      <c r="CG196" s="19"/>
      <c r="CH196" s="19" t="s">
        <v>16</v>
      </c>
      <c r="CI196" s="21">
        <v>0.0</v>
      </c>
      <c r="CJ196" s="19" t="s">
        <v>17</v>
      </c>
      <c r="CK196" s="19"/>
      <c r="CL196" s="19"/>
      <c r="CM196" s="19" t="s">
        <v>2138</v>
      </c>
      <c r="CN196" s="19" t="s">
        <v>2537</v>
      </c>
      <c r="CO196" s="19"/>
      <c r="CP196" s="19" t="s">
        <v>2178</v>
      </c>
      <c r="CQ196" s="19"/>
      <c r="CR196" s="19" t="s">
        <v>2113</v>
      </c>
      <c r="CS196" s="19" t="s">
        <v>2113</v>
      </c>
      <c r="CT196" s="19"/>
      <c r="CU196" s="19"/>
      <c r="CV196" s="19" t="s">
        <v>2141</v>
      </c>
      <c r="CW196" s="19"/>
      <c r="CX196" s="19"/>
      <c r="CY196" s="19"/>
      <c r="CZ196" s="19"/>
      <c r="DA196" s="19" t="s">
        <v>16</v>
      </c>
      <c r="DB196" s="19" t="s">
        <v>17</v>
      </c>
      <c r="DC196" s="19" t="s">
        <v>2538</v>
      </c>
      <c r="DD196" s="19" t="s">
        <v>2113</v>
      </c>
      <c r="DE196" s="19" t="s">
        <v>2113</v>
      </c>
      <c r="DF196" s="19" t="s">
        <v>3256</v>
      </c>
      <c r="DG196" s="19" t="s">
        <v>2539</v>
      </c>
      <c r="DH196" s="19" t="s">
        <v>2144</v>
      </c>
      <c r="DI196" s="24">
        <v>45525.0</v>
      </c>
      <c r="DJ196" s="19" t="s">
        <v>2174</v>
      </c>
      <c r="DK196" s="19" t="s">
        <v>2271</v>
      </c>
      <c r="DL196" s="19" t="s">
        <v>2183</v>
      </c>
      <c r="DM196" s="19" t="s">
        <v>2249</v>
      </c>
      <c r="DN196" s="19">
        <v>10.0</v>
      </c>
      <c r="DO196" s="19">
        <v>10.0</v>
      </c>
      <c r="DP196" s="19" t="s">
        <v>5799</v>
      </c>
      <c r="DQ196" s="19" t="s">
        <v>5800</v>
      </c>
      <c r="DR196" s="19" t="s">
        <v>5801</v>
      </c>
      <c r="DS196" s="19" t="s">
        <v>2151</v>
      </c>
      <c r="DT196" s="19" t="s">
        <v>2301</v>
      </c>
      <c r="DU196" s="19"/>
      <c r="DV196" s="19"/>
      <c r="DW196" s="19" t="s">
        <v>2479</v>
      </c>
      <c r="DX196" s="19">
        <v>16.0</v>
      </c>
      <c r="DY196" s="19">
        <v>10.0</v>
      </c>
      <c r="DZ196" s="19">
        <v>0.0</v>
      </c>
      <c r="EA196" s="19">
        <v>10.0</v>
      </c>
      <c r="EB196" s="19">
        <v>0.0</v>
      </c>
      <c r="EC196" s="19">
        <v>0.0</v>
      </c>
      <c r="ED196" s="19" t="s">
        <v>2174</v>
      </c>
      <c r="EE196" s="24">
        <v>45525.0</v>
      </c>
      <c r="EF196" s="19" t="s">
        <v>2174</v>
      </c>
      <c r="EG196" s="19" t="s">
        <v>2271</v>
      </c>
      <c r="EH196" s="19" t="s">
        <v>2183</v>
      </c>
      <c r="EI196" s="22">
        <v>15.0</v>
      </c>
      <c r="EJ196" s="19">
        <v>45.0</v>
      </c>
      <c r="EK196" s="19" t="s">
        <v>2113</v>
      </c>
      <c r="EL196" s="19" t="s">
        <v>2117</v>
      </c>
      <c r="EM196" s="19" t="s">
        <v>5790</v>
      </c>
      <c r="EN196" s="19" t="s">
        <v>583</v>
      </c>
      <c r="EO196" s="19" t="s">
        <v>2529</v>
      </c>
      <c r="EP196" s="19" t="s">
        <v>2310</v>
      </c>
      <c r="EQ196" s="19" t="s">
        <v>2537</v>
      </c>
      <c r="ER196" s="19"/>
      <c r="ES196" s="19" t="s">
        <v>583</v>
      </c>
      <c r="ET196" s="19" t="s">
        <v>583</v>
      </c>
      <c r="EU196" s="19" t="s">
        <v>5788</v>
      </c>
      <c r="EV196" s="19">
        <v>7383.0</v>
      </c>
      <c r="EW196" s="19" t="s">
        <v>16</v>
      </c>
      <c r="EX196" s="19">
        <v>5.0</v>
      </c>
      <c r="EY196" s="25" t="s">
        <v>582</v>
      </c>
      <c r="EZ196" s="19" t="s">
        <v>2154</v>
      </c>
      <c r="FA196" s="5" t="s">
        <v>5802</v>
      </c>
      <c r="FB196" s="26" t="s">
        <v>2156</v>
      </c>
      <c r="FC196" s="26"/>
    </row>
    <row r="197">
      <c r="A197" s="19" t="s">
        <v>2112</v>
      </c>
      <c r="B197" s="19"/>
      <c r="C197" s="19" t="s">
        <v>2113</v>
      </c>
      <c r="D197" s="19" t="s">
        <v>584</v>
      </c>
      <c r="E197" s="19" t="s">
        <v>5803</v>
      </c>
      <c r="F197" s="19" t="s">
        <v>5804</v>
      </c>
      <c r="G197" s="19" t="s">
        <v>5805</v>
      </c>
      <c r="H197" s="19" t="s">
        <v>584</v>
      </c>
      <c r="I197" s="19" t="s">
        <v>586</v>
      </c>
      <c r="J197" s="19" t="s">
        <v>5806</v>
      </c>
      <c r="K197" s="19" t="s">
        <v>5807</v>
      </c>
      <c r="L197" s="20">
        <v>45446.0</v>
      </c>
      <c r="M197" s="20">
        <v>45447.0</v>
      </c>
      <c r="N197" s="20">
        <v>45447.0</v>
      </c>
      <c r="O197" s="19" t="s">
        <v>585</v>
      </c>
      <c r="P197" s="19">
        <v>0.0</v>
      </c>
      <c r="Q197" s="19">
        <v>18.0</v>
      </c>
      <c r="R197" s="19">
        <v>6646.0</v>
      </c>
      <c r="S197" s="20" t="s">
        <v>5808</v>
      </c>
      <c r="T197" s="20">
        <v>45461.0</v>
      </c>
      <c r="U197" s="19" t="s">
        <v>5804</v>
      </c>
      <c r="V197" s="19"/>
      <c r="W197" s="19"/>
      <c r="X197" s="21">
        <v>0.0</v>
      </c>
      <c r="Y197" s="21">
        <v>10.0</v>
      </c>
      <c r="Z197" s="21">
        <v>5.0</v>
      </c>
      <c r="AA197" s="21">
        <v>0.0</v>
      </c>
      <c r="AB197" s="5">
        <v>15.0</v>
      </c>
      <c r="AC197" s="19">
        <v>5.0</v>
      </c>
      <c r="AD197" s="19">
        <v>5.0</v>
      </c>
      <c r="AE197" s="19">
        <v>5.0</v>
      </c>
      <c r="AF197" s="19">
        <v>5.0</v>
      </c>
      <c r="AG197" s="19">
        <v>5.0</v>
      </c>
      <c r="AH197" s="19">
        <v>5.0</v>
      </c>
      <c r="AI197" s="22">
        <v>15.0</v>
      </c>
      <c r="AJ197" s="19">
        <v>15.0</v>
      </c>
      <c r="AK197" s="19">
        <v>15.0</v>
      </c>
      <c r="AL197" s="19">
        <v>15.0</v>
      </c>
      <c r="AM197" s="19">
        <v>45.0</v>
      </c>
      <c r="AN197" s="19">
        <v>60.0</v>
      </c>
      <c r="AO197" s="19">
        <v>75.0</v>
      </c>
      <c r="AP197" s="19">
        <v>563.0</v>
      </c>
      <c r="AQ197" s="23">
        <v>191.0</v>
      </c>
      <c r="AR197" s="23">
        <v>23.0</v>
      </c>
      <c r="AS197" s="22"/>
      <c r="AT197" s="19" t="s">
        <v>2163</v>
      </c>
      <c r="AU197" s="19" t="s">
        <v>5809</v>
      </c>
      <c r="AV197" s="19" t="s">
        <v>2195</v>
      </c>
      <c r="AW197" s="19" t="s">
        <v>3269</v>
      </c>
      <c r="AX197" s="20">
        <v>38815.0</v>
      </c>
      <c r="AY197" s="19" t="s">
        <v>2167</v>
      </c>
      <c r="AZ197" s="19" t="s">
        <v>2122</v>
      </c>
      <c r="BA197" s="19" t="s">
        <v>5810</v>
      </c>
      <c r="BB197" s="19" t="s">
        <v>3118</v>
      </c>
      <c r="BC197" s="19" t="s">
        <v>5811</v>
      </c>
      <c r="BD197" s="19" t="s">
        <v>5812</v>
      </c>
      <c r="BE197" s="19" t="s">
        <v>5806</v>
      </c>
      <c r="BF197" s="19">
        <v>1.1999927547E10</v>
      </c>
      <c r="BG197" s="19" t="s">
        <v>2127</v>
      </c>
      <c r="BH197" s="19" t="s">
        <v>2128</v>
      </c>
      <c r="BI197" s="19"/>
      <c r="BJ197" s="19" t="s">
        <v>2128</v>
      </c>
      <c r="BK197" s="19" t="s">
        <v>17</v>
      </c>
      <c r="BL197" s="19" t="s">
        <v>2113</v>
      </c>
      <c r="BM197" s="19" t="s">
        <v>5411</v>
      </c>
      <c r="BN197" s="19" t="s">
        <v>2172</v>
      </c>
      <c r="BO197" s="19" t="s">
        <v>2132</v>
      </c>
      <c r="BP197" s="19" t="s">
        <v>5813</v>
      </c>
      <c r="BQ197" s="19" t="s">
        <v>2174</v>
      </c>
      <c r="BR197" s="19" t="s">
        <v>2174</v>
      </c>
      <c r="BS197" s="19" t="s">
        <v>2134</v>
      </c>
      <c r="BT197" s="19" t="s">
        <v>21</v>
      </c>
      <c r="BU197" s="19"/>
      <c r="BV197" s="19"/>
      <c r="BW197" s="19"/>
      <c r="BX197" s="19" t="s">
        <v>2113</v>
      </c>
      <c r="BY197" s="19" t="s">
        <v>2113</v>
      </c>
      <c r="BZ197" s="19" t="s">
        <v>2113</v>
      </c>
      <c r="CA197" s="19" t="s">
        <v>2113</v>
      </c>
      <c r="CB197" s="19" t="s">
        <v>2113</v>
      </c>
      <c r="CC197" s="19"/>
      <c r="CD197" s="19" t="s">
        <v>2137</v>
      </c>
      <c r="CE197" s="19" t="s">
        <v>16</v>
      </c>
      <c r="CF197" s="19"/>
      <c r="CG197" s="19"/>
      <c r="CH197" s="19" t="s">
        <v>16</v>
      </c>
      <c r="CI197" s="21">
        <v>0.0</v>
      </c>
      <c r="CJ197" s="19" t="s">
        <v>17</v>
      </c>
      <c r="CK197" s="19"/>
      <c r="CL197" s="19"/>
      <c r="CM197" s="19" t="s">
        <v>2344</v>
      </c>
      <c r="CN197" s="19" t="s">
        <v>2176</v>
      </c>
      <c r="CO197" s="19"/>
      <c r="CP197" s="19" t="s">
        <v>2134</v>
      </c>
      <c r="CQ197" s="19"/>
      <c r="CR197" s="19"/>
      <c r="CS197" s="19"/>
      <c r="CT197" s="19" t="s">
        <v>2113</v>
      </c>
      <c r="CU197" s="19" t="s">
        <v>2113</v>
      </c>
      <c r="CV197" s="19" t="s">
        <v>2179</v>
      </c>
      <c r="CW197" s="19" t="s">
        <v>2113</v>
      </c>
      <c r="CX197" s="19" t="s">
        <v>2113</v>
      </c>
      <c r="CY197" s="19" t="s">
        <v>2113</v>
      </c>
      <c r="CZ197" s="19" t="s">
        <v>2113</v>
      </c>
      <c r="DA197" s="19" t="s">
        <v>16</v>
      </c>
      <c r="DB197" s="19" t="s">
        <v>17</v>
      </c>
      <c r="DC197" s="19" t="s">
        <v>2180</v>
      </c>
      <c r="DD197" s="19" t="s">
        <v>2113</v>
      </c>
      <c r="DE197" s="19" t="s">
        <v>2113</v>
      </c>
      <c r="DF197" s="19" t="s">
        <v>2181</v>
      </c>
      <c r="DG197" s="19" t="s">
        <v>2182</v>
      </c>
      <c r="DH197" s="19" t="s">
        <v>2144</v>
      </c>
      <c r="DI197" s="24">
        <v>45518.0</v>
      </c>
      <c r="DJ197" s="19" t="s">
        <v>2174</v>
      </c>
      <c r="DK197" s="19" t="s">
        <v>2271</v>
      </c>
      <c r="DL197" s="19" t="s">
        <v>2183</v>
      </c>
      <c r="DM197" s="19" t="s">
        <v>2346</v>
      </c>
      <c r="DN197" s="19">
        <v>4.0</v>
      </c>
      <c r="DO197" s="19">
        <v>4.0</v>
      </c>
      <c r="DP197" s="19"/>
      <c r="DQ197" s="19"/>
      <c r="DR197" s="19"/>
      <c r="DS197" s="19" t="s">
        <v>2151</v>
      </c>
      <c r="DT197" s="19" t="s">
        <v>2350</v>
      </c>
      <c r="DU197" s="19" t="s">
        <v>5814</v>
      </c>
      <c r="DV197" s="19"/>
      <c r="DW197" s="19" t="s">
        <v>2153</v>
      </c>
      <c r="DX197" s="19">
        <v>13.0</v>
      </c>
      <c r="DY197" s="19">
        <v>10.0</v>
      </c>
      <c r="DZ197" s="19">
        <v>0.0</v>
      </c>
      <c r="EA197" s="19">
        <v>10.0</v>
      </c>
      <c r="EB197" s="19">
        <v>0.0</v>
      </c>
      <c r="EC197" s="19">
        <v>0.0</v>
      </c>
      <c r="ED197" s="19" t="s">
        <v>2174</v>
      </c>
      <c r="EE197" s="24">
        <v>45518.0</v>
      </c>
      <c r="EF197" s="19" t="s">
        <v>2174</v>
      </c>
      <c r="EG197" s="19" t="s">
        <v>2271</v>
      </c>
      <c r="EH197" s="19" t="s">
        <v>2183</v>
      </c>
      <c r="EI197" s="22">
        <v>15.0</v>
      </c>
      <c r="EJ197" s="19">
        <v>45.0</v>
      </c>
      <c r="EK197" s="19" t="s">
        <v>2113</v>
      </c>
      <c r="EL197" s="19" t="s">
        <v>2163</v>
      </c>
      <c r="EM197" s="19" t="s">
        <v>5809</v>
      </c>
      <c r="EN197" s="19" t="s">
        <v>586</v>
      </c>
      <c r="EO197" s="19" t="s">
        <v>2167</v>
      </c>
      <c r="EP197" s="19" t="s">
        <v>2122</v>
      </c>
      <c r="EQ197" s="19" t="s">
        <v>2176</v>
      </c>
      <c r="ER197" s="19"/>
      <c r="ES197" s="19" t="s">
        <v>586</v>
      </c>
      <c r="ET197" s="19" t="s">
        <v>586</v>
      </c>
      <c r="EU197" s="19" t="s">
        <v>5807</v>
      </c>
      <c r="EV197" s="19">
        <v>6646.0</v>
      </c>
      <c r="EW197" s="19" t="s">
        <v>16</v>
      </c>
      <c r="EX197" s="19">
        <v>5.0</v>
      </c>
      <c r="EY197" s="25" t="s">
        <v>585</v>
      </c>
      <c r="EZ197" s="19" t="s">
        <v>2154</v>
      </c>
      <c r="FA197" s="5" t="s">
        <v>5815</v>
      </c>
      <c r="FB197" s="26" t="s">
        <v>2156</v>
      </c>
      <c r="FC197" s="26"/>
    </row>
    <row r="198">
      <c r="A198" s="27" t="s">
        <v>2112</v>
      </c>
      <c r="B198" s="27"/>
      <c r="C198" s="27" t="s">
        <v>2113</v>
      </c>
      <c r="D198" s="27" t="s">
        <v>587</v>
      </c>
      <c r="E198" s="27" t="s">
        <v>5816</v>
      </c>
      <c r="F198" s="27" t="s">
        <v>587</v>
      </c>
      <c r="G198" s="27"/>
      <c r="H198" s="27" t="s">
        <v>587</v>
      </c>
      <c r="I198" s="27" t="s">
        <v>589</v>
      </c>
      <c r="J198" s="27" t="s">
        <v>5817</v>
      </c>
      <c r="K198" s="27" t="s">
        <v>5818</v>
      </c>
      <c r="L198" s="28">
        <v>45446.0</v>
      </c>
      <c r="M198" s="28">
        <v>45447.0</v>
      </c>
      <c r="N198" s="28">
        <v>45447.0</v>
      </c>
      <c r="O198" s="27" t="s">
        <v>588</v>
      </c>
      <c r="P198" s="27">
        <v>0.0</v>
      </c>
      <c r="Q198" s="27">
        <v>29.0</v>
      </c>
      <c r="R198" s="27">
        <v>10873.0</v>
      </c>
      <c r="S198" s="28" t="s">
        <v>5819</v>
      </c>
      <c r="T198" s="28">
        <v>45461.0</v>
      </c>
      <c r="U198" s="27" t="s">
        <v>587</v>
      </c>
      <c r="V198" s="27" t="s">
        <v>4639</v>
      </c>
      <c r="W198" s="27"/>
      <c r="X198" s="29">
        <v>0.0</v>
      </c>
      <c r="Y198" s="29">
        <v>10.0</v>
      </c>
      <c r="Z198" s="29">
        <v>2.0</v>
      </c>
      <c r="AA198" s="29">
        <v>3.0</v>
      </c>
      <c r="AB198" s="30">
        <v>15.0</v>
      </c>
      <c r="AC198" s="27">
        <v>5.0</v>
      </c>
      <c r="AD198" s="27">
        <v>5.0</v>
      </c>
      <c r="AE198" s="27">
        <v>5.0</v>
      </c>
      <c r="AF198" s="27">
        <v>5.0</v>
      </c>
      <c r="AG198" s="27">
        <v>5.0</v>
      </c>
      <c r="AH198" s="27">
        <v>5.0</v>
      </c>
      <c r="AI198" s="31">
        <v>15.0</v>
      </c>
      <c r="AJ198" s="33">
        <v>15.0</v>
      </c>
      <c r="AK198" s="33">
        <v>15.0</v>
      </c>
      <c r="AL198" s="33">
        <v>15.0</v>
      </c>
      <c r="AM198" s="33">
        <v>45.0</v>
      </c>
      <c r="AN198" s="34">
        <f>AM198+AI198</f>
        <v>60</v>
      </c>
      <c r="AO198" s="34">
        <f>AN198+AB198</f>
        <v>75</v>
      </c>
      <c r="AP198" s="35">
        <v>569.0</v>
      </c>
      <c r="AQ198" s="23">
        <v>192.0</v>
      </c>
      <c r="AR198" s="23">
        <v>15.0</v>
      </c>
      <c r="AS198" s="27"/>
      <c r="AT198" s="27" t="s">
        <v>2282</v>
      </c>
      <c r="AU198" s="27" t="s">
        <v>5222</v>
      </c>
      <c r="AV198" s="27" t="s">
        <v>5820</v>
      </c>
      <c r="AW198" s="27" t="s">
        <v>2796</v>
      </c>
      <c r="AX198" s="28">
        <v>34588.0</v>
      </c>
      <c r="AY198" s="27" t="s">
        <v>4978</v>
      </c>
      <c r="AZ198" s="27" t="s">
        <v>2122</v>
      </c>
      <c r="BA198" s="27" t="s">
        <v>5821</v>
      </c>
      <c r="BB198" s="27" t="s">
        <v>5822</v>
      </c>
      <c r="BC198" s="27" t="s">
        <v>5823</v>
      </c>
      <c r="BD198" s="27" t="s">
        <v>5824</v>
      </c>
      <c r="BE198" s="27" t="s">
        <v>5825</v>
      </c>
      <c r="BF198" s="27">
        <v>1.1939042472E10</v>
      </c>
      <c r="BG198" s="27" t="s">
        <v>2127</v>
      </c>
      <c r="BH198" s="27" t="s">
        <v>2128</v>
      </c>
      <c r="BI198" s="27"/>
      <c r="BJ198" s="27"/>
      <c r="BK198" s="27" t="s">
        <v>16</v>
      </c>
      <c r="BL198" s="27"/>
      <c r="BM198" s="27" t="s">
        <v>5411</v>
      </c>
      <c r="BN198" s="27" t="s">
        <v>17</v>
      </c>
      <c r="BO198" s="27" t="s">
        <v>3199</v>
      </c>
      <c r="BP198" s="27" t="s">
        <v>5826</v>
      </c>
      <c r="BQ198" s="27" t="s">
        <v>2318</v>
      </c>
      <c r="BR198" s="27" t="s">
        <v>2318</v>
      </c>
      <c r="BS198" s="27" t="s">
        <v>2134</v>
      </c>
      <c r="BT198" s="27" t="s">
        <v>42</v>
      </c>
      <c r="BU198" s="27" t="s">
        <v>5827</v>
      </c>
      <c r="BV198" s="27"/>
      <c r="BW198" s="27"/>
      <c r="BX198" s="27"/>
      <c r="BY198" s="27" t="s">
        <v>2113</v>
      </c>
      <c r="BZ198" s="27" t="s">
        <v>2113</v>
      </c>
      <c r="CA198" s="27"/>
      <c r="CB198" s="27" t="s">
        <v>2113</v>
      </c>
      <c r="CC198" s="27"/>
      <c r="CD198" s="27" t="s">
        <v>2137</v>
      </c>
      <c r="CE198" s="27" t="s">
        <v>16</v>
      </c>
      <c r="CF198" s="27"/>
      <c r="CG198" s="27"/>
      <c r="CH198" s="27" t="s">
        <v>17</v>
      </c>
      <c r="CI198" s="29">
        <v>3.0</v>
      </c>
      <c r="CJ198" s="27" t="s">
        <v>16</v>
      </c>
      <c r="CK198" s="27"/>
      <c r="CL198" s="27"/>
      <c r="CM198" s="27" t="s">
        <v>2138</v>
      </c>
      <c r="CN198" s="27" t="s">
        <v>4985</v>
      </c>
      <c r="CO198" s="27"/>
      <c r="CP198" s="27"/>
      <c r="CQ198" s="27"/>
      <c r="CR198" s="27" t="s">
        <v>2113</v>
      </c>
      <c r="CS198" s="27" t="s">
        <v>2113</v>
      </c>
      <c r="CT198" s="27" t="s">
        <v>2113</v>
      </c>
      <c r="CU198" s="27" t="s">
        <v>2113</v>
      </c>
      <c r="CV198" s="27" t="s">
        <v>2179</v>
      </c>
      <c r="CW198" s="27"/>
      <c r="CX198" s="27"/>
      <c r="CY198" s="27"/>
      <c r="CZ198" s="27"/>
      <c r="DA198" s="27" t="s">
        <v>16</v>
      </c>
      <c r="DB198" s="27" t="s">
        <v>16</v>
      </c>
      <c r="DC198" s="27" t="s">
        <v>5828</v>
      </c>
      <c r="DD198" s="27" t="s">
        <v>2113</v>
      </c>
      <c r="DE198" s="27" t="s">
        <v>2113</v>
      </c>
      <c r="DF198" s="27" t="s">
        <v>2712</v>
      </c>
      <c r="DG198" s="27" t="s">
        <v>4966</v>
      </c>
      <c r="DH198" s="27" t="s">
        <v>2144</v>
      </c>
      <c r="DI198" s="36">
        <v>45533.0</v>
      </c>
      <c r="DJ198" s="27" t="s">
        <v>2325</v>
      </c>
      <c r="DK198" s="27" t="s">
        <v>2145</v>
      </c>
      <c r="DL198" s="27" t="s">
        <v>2207</v>
      </c>
      <c r="DM198" s="31" t="s">
        <v>5829</v>
      </c>
      <c r="DN198" s="27">
        <v>4.0</v>
      </c>
      <c r="DO198" s="27">
        <v>4.0</v>
      </c>
      <c r="DP198" s="27"/>
      <c r="DQ198" s="27"/>
      <c r="DR198" s="27"/>
      <c r="DS198" s="27" t="s">
        <v>2185</v>
      </c>
      <c r="DT198" s="27" t="s">
        <v>2301</v>
      </c>
      <c r="DU198" s="27" t="s">
        <v>5830</v>
      </c>
      <c r="DV198" s="27" t="s">
        <v>5831</v>
      </c>
      <c r="DW198" s="27" t="s">
        <v>2188</v>
      </c>
      <c r="DX198" s="27">
        <v>5.0</v>
      </c>
      <c r="DY198" s="27">
        <v>10.0</v>
      </c>
      <c r="DZ198" s="27">
        <v>0.0</v>
      </c>
      <c r="EA198" s="27">
        <v>10.0</v>
      </c>
      <c r="EB198" s="27">
        <v>3.0</v>
      </c>
      <c r="EC198" s="27">
        <v>0.0</v>
      </c>
      <c r="ED198" s="27" t="s">
        <v>2325</v>
      </c>
      <c r="EE198" s="36">
        <v>45533.0</v>
      </c>
      <c r="EF198" s="27" t="s">
        <v>2325</v>
      </c>
      <c r="EG198" s="27" t="s">
        <v>2145</v>
      </c>
      <c r="EH198" s="27" t="s">
        <v>2207</v>
      </c>
      <c r="EI198" s="31">
        <v>15.0</v>
      </c>
      <c r="EJ198" s="27">
        <v>0.0</v>
      </c>
      <c r="EK198" s="27"/>
      <c r="EL198" s="27" t="s">
        <v>2282</v>
      </c>
      <c r="EM198" s="27" t="s">
        <v>5222</v>
      </c>
      <c r="EN198" s="27" t="s">
        <v>589</v>
      </c>
      <c r="EO198" s="27" t="s">
        <v>4978</v>
      </c>
      <c r="EP198" s="27" t="s">
        <v>2122</v>
      </c>
      <c r="EQ198" s="27" t="s">
        <v>4985</v>
      </c>
      <c r="ER198" s="27"/>
      <c r="ES198" s="27" t="s">
        <v>589</v>
      </c>
      <c r="ET198" s="27" t="s">
        <v>589</v>
      </c>
      <c r="EU198" s="27" t="s">
        <v>5818</v>
      </c>
      <c r="EV198" s="27">
        <v>10873.0</v>
      </c>
      <c r="EW198" s="27" t="s">
        <v>16</v>
      </c>
      <c r="EX198" s="27">
        <v>2.0</v>
      </c>
      <c r="EY198" s="37" t="s">
        <v>588</v>
      </c>
      <c r="EZ198" s="27" t="s">
        <v>2154</v>
      </c>
      <c r="FA198" s="30" t="s">
        <v>5832</v>
      </c>
      <c r="FB198" s="38" t="s">
        <v>2156</v>
      </c>
      <c r="FC198" s="38" t="s">
        <v>5833</v>
      </c>
    </row>
    <row r="199">
      <c r="A199" s="19" t="s">
        <v>2156</v>
      </c>
      <c r="B199" s="19"/>
      <c r="C199" s="19" t="s">
        <v>2113</v>
      </c>
      <c r="D199" s="19" t="s">
        <v>590</v>
      </c>
      <c r="E199" s="19" t="s">
        <v>590</v>
      </c>
      <c r="F199" s="19" t="s">
        <v>5834</v>
      </c>
      <c r="G199" s="19" t="s">
        <v>5834</v>
      </c>
      <c r="H199" s="19" t="s">
        <v>590</v>
      </c>
      <c r="I199" s="19" t="s">
        <v>592</v>
      </c>
      <c r="J199" s="19" t="s">
        <v>5835</v>
      </c>
      <c r="K199" s="19" t="s">
        <v>5836</v>
      </c>
      <c r="L199" s="20">
        <v>45421.0</v>
      </c>
      <c r="M199" s="20">
        <v>45428.0</v>
      </c>
      <c r="N199" s="20">
        <v>45428.0</v>
      </c>
      <c r="O199" s="19" t="s">
        <v>591</v>
      </c>
      <c r="P199" s="19">
        <v>0.0</v>
      </c>
      <c r="Q199" s="19">
        <v>22.0</v>
      </c>
      <c r="R199" s="19">
        <v>8111.0</v>
      </c>
      <c r="S199" s="20" t="s">
        <v>5837</v>
      </c>
      <c r="T199" s="20">
        <v>45461.0</v>
      </c>
      <c r="U199" s="19" t="s">
        <v>5834</v>
      </c>
      <c r="V199" s="19"/>
      <c r="W199" s="19"/>
      <c r="X199" s="21">
        <v>0.0</v>
      </c>
      <c r="Y199" s="21">
        <v>10.0</v>
      </c>
      <c r="Z199" s="21">
        <v>5.0</v>
      </c>
      <c r="AA199" s="21">
        <v>0.0</v>
      </c>
      <c r="AB199" s="5">
        <v>15.0</v>
      </c>
      <c r="AC199" s="19">
        <v>5.0</v>
      </c>
      <c r="AD199" s="19">
        <v>5.0</v>
      </c>
      <c r="AE199" s="19">
        <v>5.0</v>
      </c>
      <c r="AF199" s="19">
        <v>5.0</v>
      </c>
      <c r="AG199" s="19">
        <v>4.5</v>
      </c>
      <c r="AH199" s="19">
        <v>5.0</v>
      </c>
      <c r="AI199" s="22">
        <v>14.8125</v>
      </c>
      <c r="AJ199" s="19">
        <v>15.0</v>
      </c>
      <c r="AK199" s="19">
        <v>15.0</v>
      </c>
      <c r="AL199" s="19">
        <v>15.0</v>
      </c>
      <c r="AM199" s="19">
        <v>45.0</v>
      </c>
      <c r="AN199" s="19">
        <v>59.8</v>
      </c>
      <c r="AO199" s="19">
        <v>74.8</v>
      </c>
      <c r="AP199" s="19">
        <v>466.0</v>
      </c>
      <c r="AQ199" s="23">
        <v>193.0</v>
      </c>
      <c r="AR199" s="23">
        <v>15.0</v>
      </c>
      <c r="AS199" s="22"/>
      <c r="AT199" s="19" t="s">
        <v>2163</v>
      </c>
      <c r="AU199" s="19" t="s">
        <v>5838</v>
      </c>
      <c r="AV199" s="19" t="s">
        <v>5839</v>
      </c>
      <c r="AW199" s="19"/>
      <c r="AX199" s="20">
        <v>37350.0</v>
      </c>
      <c r="AY199" s="19" t="s">
        <v>2487</v>
      </c>
      <c r="AZ199" s="19" t="s">
        <v>2919</v>
      </c>
      <c r="BA199" s="19" t="s">
        <v>5840</v>
      </c>
      <c r="BB199" s="19" t="s">
        <v>5841</v>
      </c>
      <c r="BC199" s="19" t="s">
        <v>5842</v>
      </c>
      <c r="BD199" s="19" t="s">
        <v>5843</v>
      </c>
      <c r="BE199" s="19"/>
      <c r="BF199" s="19"/>
      <c r="BG199" s="19" t="s">
        <v>2127</v>
      </c>
      <c r="BH199" s="19" t="s">
        <v>2128</v>
      </c>
      <c r="BI199" s="19"/>
      <c r="BJ199" s="19" t="s">
        <v>2128</v>
      </c>
      <c r="BK199" s="19" t="s">
        <v>16</v>
      </c>
      <c r="BL199" s="19"/>
      <c r="BM199" s="19" t="s">
        <v>5411</v>
      </c>
      <c r="BN199" s="19" t="s">
        <v>5844</v>
      </c>
      <c r="BO199" s="19" t="s">
        <v>2132</v>
      </c>
      <c r="BP199" s="19" t="s">
        <v>5845</v>
      </c>
      <c r="BQ199" s="19" t="s">
        <v>2325</v>
      </c>
      <c r="BR199" s="19" t="s">
        <v>2325</v>
      </c>
      <c r="BS199" s="19" t="s">
        <v>2134</v>
      </c>
      <c r="BT199" s="19" t="s">
        <v>59</v>
      </c>
      <c r="BU199" s="19" t="s">
        <v>5846</v>
      </c>
      <c r="BV199" s="19"/>
      <c r="BW199" s="19" t="s">
        <v>2113</v>
      </c>
      <c r="BX199" s="19"/>
      <c r="BY199" s="19"/>
      <c r="BZ199" s="19"/>
      <c r="CA199" s="19"/>
      <c r="CB199" s="19" t="s">
        <v>2113</v>
      </c>
      <c r="CC199" s="19"/>
      <c r="CD199" s="19" t="s">
        <v>2137</v>
      </c>
      <c r="CE199" s="19" t="s">
        <v>16</v>
      </c>
      <c r="CF199" s="19"/>
      <c r="CG199" s="19"/>
      <c r="CH199" s="19" t="s">
        <v>16</v>
      </c>
      <c r="CI199" s="21">
        <v>0.0</v>
      </c>
      <c r="CJ199" s="19" t="s">
        <v>17</v>
      </c>
      <c r="CK199" s="19"/>
      <c r="CL199" s="19"/>
      <c r="CM199" s="19"/>
      <c r="CN199" s="19" t="s">
        <v>2431</v>
      </c>
      <c r="CO199" s="19"/>
      <c r="CP199" s="19" t="s">
        <v>2134</v>
      </c>
      <c r="CQ199" s="19"/>
      <c r="CR199" s="19"/>
      <c r="CS199" s="19"/>
      <c r="CT199" s="19" t="s">
        <v>2113</v>
      </c>
      <c r="CU199" s="19" t="s">
        <v>2113</v>
      </c>
      <c r="CV199" s="19" t="s">
        <v>2141</v>
      </c>
      <c r="CW199" s="19"/>
      <c r="CX199" s="19"/>
      <c r="CY199" s="19"/>
      <c r="CZ199" s="19"/>
      <c r="DA199" s="19" t="s">
        <v>16</v>
      </c>
      <c r="DB199" s="19" t="s">
        <v>17</v>
      </c>
      <c r="DC199" s="19" t="s">
        <v>3221</v>
      </c>
      <c r="DD199" s="19" t="s">
        <v>2113</v>
      </c>
      <c r="DE199" s="19" t="s">
        <v>2113</v>
      </c>
      <c r="DF199" s="19" t="s">
        <v>2432</v>
      </c>
      <c r="DG199" s="19" t="s">
        <v>2207</v>
      </c>
      <c r="DH199" s="19" t="s">
        <v>2144</v>
      </c>
      <c r="DI199" s="24">
        <v>45517.0</v>
      </c>
      <c r="DJ199" s="19" t="s">
        <v>2325</v>
      </c>
      <c r="DK199" s="19" t="s">
        <v>2271</v>
      </c>
      <c r="DL199" s="19" t="s">
        <v>2326</v>
      </c>
      <c r="DM199" s="19"/>
      <c r="DN199" s="19">
        <v>2.0</v>
      </c>
      <c r="DO199" s="19">
        <v>2.0</v>
      </c>
      <c r="DP199" s="19" t="s">
        <v>5847</v>
      </c>
      <c r="DQ199" s="19" t="s">
        <v>5848</v>
      </c>
      <c r="DR199" s="19" t="s">
        <v>5849</v>
      </c>
      <c r="DS199" s="19" t="s">
        <v>2185</v>
      </c>
      <c r="DT199" s="19" t="s">
        <v>2229</v>
      </c>
      <c r="DU199" s="19"/>
      <c r="DV199" s="19"/>
      <c r="DW199" s="19" t="s">
        <v>2188</v>
      </c>
      <c r="DX199" s="19">
        <v>5.0</v>
      </c>
      <c r="DY199" s="19">
        <v>10.0</v>
      </c>
      <c r="DZ199" s="19">
        <v>0.0</v>
      </c>
      <c r="EA199" s="19">
        <v>10.0</v>
      </c>
      <c r="EB199" s="19">
        <v>0.0</v>
      </c>
      <c r="EC199" s="19">
        <v>0.0</v>
      </c>
      <c r="ED199" s="19" t="s">
        <v>2325</v>
      </c>
      <c r="EE199" s="24">
        <v>45517.0</v>
      </c>
      <c r="EF199" s="19" t="s">
        <v>2325</v>
      </c>
      <c r="EG199" s="19" t="s">
        <v>2271</v>
      </c>
      <c r="EH199" s="19" t="s">
        <v>2326</v>
      </c>
      <c r="EI199" s="22">
        <v>14.8125</v>
      </c>
      <c r="EJ199" s="19">
        <v>45.0</v>
      </c>
      <c r="EK199" s="19" t="s">
        <v>2113</v>
      </c>
      <c r="EL199" s="19" t="s">
        <v>2163</v>
      </c>
      <c r="EM199" s="19" t="s">
        <v>5838</v>
      </c>
      <c r="EN199" s="19" t="s">
        <v>592</v>
      </c>
      <c r="EO199" s="19" t="s">
        <v>2487</v>
      </c>
      <c r="EP199" s="19" t="s">
        <v>2919</v>
      </c>
      <c r="EQ199" s="19" t="s">
        <v>2431</v>
      </c>
      <c r="ER199" s="19"/>
      <c r="ES199" s="19" t="s">
        <v>592</v>
      </c>
      <c r="ET199" s="19" t="s">
        <v>592</v>
      </c>
      <c r="EU199" s="19" t="s">
        <v>5836</v>
      </c>
      <c r="EV199" s="19">
        <v>8111.0</v>
      </c>
      <c r="EW199" s="19" t="s">
        <v>16</v>
      </c>
      <c r="EX199" s="19">
        <v>5.0</v>
      </c>
      <c r="EY199" s="25" t="s">
        <v>591</v>
      </c>
      <c r="EZ199" s="19" t="s">
        <v>2154</v>
      </c>
      <c r="FA199" s="5" t="s">
        <v>5850</v>
      </c>
      <c r="FB199" s="26" t="s">
        <v>2156</v>
      </c>
      <c r="FC199" s="26"/>
    </row>
    <row r="200">
      <c r="A200" s="19" t="s">
        <v>2112</v>
      </c>
      <c r="B200" s="19" t="s">
        <v>2113</v>
      </c>
      <c r="C200" s="19" t="s">
        <v>2113</v>
      </c>
      <c r="D200" s="19" t="s">
        <v>5851</v>
      </c>
      <c r="E200" s="19" t="s">
        <v>5852</v>
      </c>
      <c r="F200" s="19" t="s">
        <v>5851</v>
      </c>
      <c r="G200" s="19"/>
      <c r="H200" s="19" t="s">
        <v>593</v>
      </c>
      <c r="I200" s="19" t="s">
        <v>595</v>
      </c>
      <c r="J200" s="19" t="s">
        <v>5853</v>
      </c>
      <c r="K200" s="19" t="s">
        <v>5854</v>
      </c>
      <c r="L200" s="20">
        <v>45443.0</v>
      </c>
      <c r="M200" s="20">
        <v>45446.0</v>
      </c>
      <c r="N200" s="20">
        <v>45446.0</v>
      </c>
      <c r="O200" s="19" t="s">
        <v>594</v>
      </c>
      <c r="P200" s="19">
        <v>0.0</v>
      </c>
      <c r="Q200" s="19">
        <v>19.0</v>
      </c>
      <c r="R200" s="19">
        <v>7054.0</v>
      </c>
      <c r="S200" s="20" t="s">
        <v>5855</v>
      </c>
      <c r="T200" s="20">
        <v>45461.0</v>
      </c>
      <c r="U200" s="19" t="s">
        <v>5851</v>
      </c>
      <c r="V200" s="19"/>
      <c r="W200" s="19"/>
      <c r="X200" s="21">
        <v>20.0</v>
      </c>
      <c r="Y200" s="21">
        <v>5.0</v>
      </c>
      <c r="Z200" s="21">
        <v>3.0</v>
      </c>
      <c r="AA200" s="21">
        <v>0.0</v>
      </c>
      <c r="AB200" s="5">
        <v>28.0</v>
      </c>
      <c r="AC200" s="19">
        <v>3.8</v>
      </c>
      <c r="AD200" s="19">
        <v>4.6</v>
      </c>
      <c r="AE200" s="19">
        <v>4.0</v>
      </c>
      <c r="AF200" s="19">
        <v>4.8</v>
      </c>
      <c r="AG200" s="19">
        <v>3.6</v>
      </c>
      <c r="AH200" s="19">
        <v>4.6</v>
      </c>
      <c r="AI200" s="22">
        <v>12.674999999999999</v>
      </c>
      <c r="AJ200" s="19">
        <v>10.0</v>
      </c>
      <c r="AK200" s="19">
        <v>11.0</v>
      </c>
      <c r="AL200" s="19">
        <v>13.0</v>
      </c>
      <c r="AM200" s="19">
        <v>34.0</v>
      </c>
      <c r="AN200" s="19">
        <v>46.7</v>
      </c>
      <c r="AO200" s="19">
        <v>74.7</v>
      </c>
      <c r="AP200" s="19">
        <v>236.0</v>
      </c>
      <c r="AQ200" s="23">
        <v>194.0</v>
      </c>
      <c r="AR200" s="23">
        <v>18.0</v>
      </c>
      <c r="AS200" s="22"/>
      <c r="AT200" s="19" t="s">
        <v>2163</v>
      </c>
      <c r="AU200" s="19" t="s">
        <v>5856</v>
      </c>
      <c r="AV200" s="19" t="s">
        <v>5857</v>
      </c>
      <c r="AW200" s="19"/>
      <c r="AX200" s="20">
        <v>38407.0</v>
      </c>
      <c r="AY200" s="19" t="s">
        <v>3034</v>
      </c>
      <c r="AZ200" s="19" t="s">
        <v>2122</v>
      </c>
      <c r="BA200" s="19" t="s">
        <v>5858</v>
      </c>
      <c r="BB200" s="19" t="s">
        <v>5859</v>
      </c>
      <c r="BC200" s="19" t="s">
        <v>5860</v>
      </c>
      <c r="BD200" s="19" t="s">
        <v>5861</v>
      </c>
      <c r="BE200" s="19" t="s">
        <v>5853</v>
      </c>
      <c r="BF200" s="19">
        <v>1.1980842559E10</v>
      </c>
      <c r="BG200" s="19" t="s">
        <v>3518</v>
      </c>
      <c r="BH200" s="19" t="s">
        <v>2128</v>
      </c>
      <c r="BI200" s="19"/>
      <c r="BJ200" s="19" t="s">
        <v>2427</v>
      </c>
      <c r="BK200" s="19" t="s">
        <v>17</v>
      </c>
      <c r="BL200" s="19"/>
      <c r="BM200" s="19" t="s">
        <v>2130</v>
      </c>
      <c r="BN200" s="19" t="s">
        <v>17</v>
      </c>
      <c r="BO200" s="19" t="s">
        <v>2473</v>
      </c>
      <c r="BP200" s="19" t="s">
        <v>5862</v>
      </c>
      <c r="BQ200" s="19" t="s">
        <v>2174</v>
      </c>
      <c r="BR200" s="19" t="s">
        <v>2174</v>
      </c>
      <c r="BS200" s="19" t="s">
        <v>2243</v>
      </c>
      <c r="BT200" s="19" t="s">
        <v>34</v>
      </c>
      <c r="BU200" s="19" t="s">
        <v>4422</v>
      </c>
      <c r="BV200" s="19" t="s">
        <v>5863</v>
      </c>
      <c r="BW200" s="19" t="s">
        <v>2113</v>
      </c>
      <c r="BX200" s="19"/>
      <c r="BY200" s="19"/>
      <c r="BZ200" s="19"/>
      <c r="CA200" s="19"/>
      <c r="CB200" s="19" t="s">
        <v>2113</v>
      </c>
      <c r="CC200" s="19"/>
      <c r="CD200" s="19" t="s">
        <v>2137</v>
      </c>
      <c r="CE200" s="19" t="s">
        <v>16</v>
      </c>
      <c r="CF200" s="19"/>
      <c r="CG200" s="19"/>
      <c r="CH200" s="19" t="s">
        <v>16</v>
      </c>
      <c r="CI200" s="21">
        <v>0.0</v>
      </c>
      <c r="CJ200" s="19" t="s">
        <v>17</v>
      </c>
      <c r="CK200" s="19"/>
      <c r="CL200" s="19"/>
      <c r="CM200" s="19" t="s">
        <v>2749</v>
      </c>
      <c r="CN200" s="19" t="s">
        <v>3041</v>
      </c>
      <c r="CO200" s="19"/>
      <c r="CP200" s="19" t="s">
        <v>2246</v>
      </c>
      <c r="CQ200" s="19"/>
      <c r="CR200" s="19" t="s">
        <v>2113</v>
      </c>
      <c r="CS200" s="19" t="s">
        <v>2113</v>
      </c>
      <c r="CT200" s="19"/>
      <c r="CU200" s="19"/>
      <c r="CV200" s="19" t="s">
        <v>2179</v>
      </c>
      <c r="CW200" s="19"/>
      <c r="CX200" s="19"/>
      <c r="CY200" s="19"/>
      <c r="CZ200" s="19"/>
      <c r="DA200" s="19" t="s">
        <v>16</v>
      </c>
      <c r="DB200" s="19" t="s">
        <v>17</v>
      </c>
      <c r="DC200" s="19" t="s">
        <v>5864</v>
      </c>
      <c r="DD200" s="19" t="s">
        <v>2113</v>
      </c>
      <c r="DE200" s="19" t="s">
        <v>2113</v>
      </c>
      <c r="DF200" s="19" t="s">
        <v>5043</v>
      </c>
      <c r="DG200" s="19" t="s">
        <v>5865</v>
      </c>
      <c r="DH200" s="19" t="s">
        <v>2144</v>
      </c>
      <c r="DI200" s="24">
        <v>45518.0</v>
      </c>
      <c r="DJ200" s="19" t="s">
        <v>2174</v>
      </c>
      <c r="DK200" s="19" t="s">
        <v>2271</v>
      </c>
      <c r="DL200" s="19" t="s">
        <v>2183</v>
      </c>
      <c r="DM200" s="19" t="s">
        <v>2346</v>
      </c>
      <c r="DN200" s="19">
        <v>4.0</v>
      </c>
      <c r="DO200" s="19">
        <v>4.0</v>
      </c>
      <c r="DP200" s="19"/>
      <c r="DQ200" s="19"/>
      <c r="DR200" s="19"/>
      <c r="DS200" s="19" t="s">
        <v>2365</v>
      </c>
      <c r="DT200" s="19" t="s">
        <v>2152</v>
      </c>
      <c r="DU200" s="19" t="s">
        <v>5866</v>
      </c>
      <c r="DV200" s="19"/>
      <c r="DW200" s="19" t="s">
        <v>2188</v>
      </c>
      <c r="DX200" s="19">
        <v>10.0</v>
      </c>
      <c r="DY200" s="19">
        <v>5.0</v>
      </c>
      <c r="DZ200" s="19">
        <v>0.0</v>
      </c>
      <c r="EA200" s="19">
        <v>5.0</v>
      </c>
      <c r="EB200" s="19">
        <v>0.0</v>
      </c>
      <c r="EC200" s="19">
        <v>20.0</v>
      </c>
      <c r="ED200" s="19" t="s">
        <v>2174</v>
      </c>
      <c r="EE200" s="24">
        <v>45518.0</v>
      </c>
      <c r="EF200" s="19" t="s">
        <v>2174</v>
      </c>
      <c r="EG200" s="19" t="s">
        <v>2271</v>
      </c>
      <c r="EH200" s="19" t="s">
        <v>2183</v>
      </c>
      <c r="EI200" s="22">
        <v>12.674999999999999</v>
      </c>
      <c r="EJ200" s="19">
        <v>34.0</v>
      </c>
      <c r="EK200" s="19" t="s">
        <v>2113</v>
      </c>
      <c r="EL200" s="19" t="s">
        <v>2163</v>
      </c>
      <c r="EM200" s="19" t="s">
        <v>5856</v>
      </c>
      <c r="EN200" s="19" t="s">
        <v>595</v>
      </c>
      <c r="EO200" s="19" t="s">
        <v>3034</v>
      </c>
      <c r="EP200" s="19" t="s">
        <v>2122</v>
      </c>
      <c r="EQ200" s="19" t="s">
        <v>3041</v>
      </c>
      <c r="ER200" s="19"/>
      <c r="ES200" s="19" t="s">
        <v>595</v>
      </c>
      <c r="ET200" s="19" t="s">
        <v>595</v>
      </c>
      <c r="EU200" s="19" t="s">
        <v>5854</v>
      </c>
      <c r="EV200" s="19">
        <v>7054.0</v>
      </c>
      <c r="EW200" s="19" t="s">
        <v>16</v>
      </c>
      <c r="EX200" s="19">
        <v>3.0</v>
      </c>
      <c r="EY200" s="25" t="s">
        <v>594</v>
      </c>
      <c r="EZ200" s="19" t="s">
        <v>2154</v>
      </c>
      <c r="FA200" s="5" t="s">
        <v>5867</v>
      </c>
      <c r="FB200" s="26" t="s">
        <v>2156</v>
      </c>
      <c r="FC200" s="26"/>
    </row>
    <row r="201">
      <c r="A201" s="19" t="s">
        <v>2112</v>
      </c>
      <c r="B201" s="19"/>
      <c r="C201" s="19" t="s">
        <v>2113</v>
      </c>
      <c r="D201" s="19" t="s">
        <v>596</v>
      </c>
      <c r="E201" s="19" t="s">
        <v>5868</v>
      </c>
      <c r="F201" s="19" t="s">
        <v>596</v>
      </c>
      <c r="G201" s="19" t="s">
        <v>5868</v>
      </c>
      <c r="H201" s="19" t="s">
        <v>596</v>
      </c>
      <c r="I201" s="19" t="s">
        <v>598</v>
      </c>
      <c r="J201" s="19" t="s">
        <v>5869</v>
      </c>
      <c r="K201" s="19" t="s">
        <v>5870</v>
      </c>
      <c r="L201" s="20">
        <v>45445.0</v>
      </c>
      <c r="M201" s="20">
        <v>45446.0</v>
      </c>
      <c r="N201" s="20">
        <v>45446.0</v>
      </c>
      <c r="O201" s="19" t="s">
        <v>597</v>
      </c>
      <c r="P201" s="19">
        <v>1.0</v>
      </c>
      <c r="Q201" s="19">
        <v>23.0</v>
      </c>
      <c r="R201" s="19">
        <v>8704.0</v>
      </c>
      <c r="S201" s="20" t="s">
        <v>5871</v>
      </c>
      <c r="T201" s="20">
        <v>45461.0</v>
      </c>
      <c r="U201" s="19" t="s">
        <v>596</v>
      </c>
      <c r="V201" s="19"/>
      <c r="W201" s="19"/>
      <c r="X201" s="21">
        <v>0.0</v>
      </c>
      <c r="Y201" s="21">
        <v>10.0</v>
      </c>
      <c r="Z201" s="21">
        <v>5.0</v>
      </c>
      <c r="AA201" s="21">
        <v>0.0</v>
      </c>
      <c r="AB201" s="5">
        <v>15.0</v>
      </c>
      <c r="AC201" s="19">
        <v>4.6</v>
      </c>
      <c r="AD201" s="19">
        <v>5.0</v>
      </c>
      <c r="AE201" s="19">
        <v>5.0</v>
      </c>
      <c r="AF201" s="19">
        <v>4.8</v>
      </c>
      <c r="AG201" s="19">
        <v>4.8</v>
      </c>
      <c r="AH201" s="19">
        <v>5.0</v>
      </c>
      <c r="AI201" s="22">
        <v>14.662500000000001</v>
      </c>
      <c r="AJ201" s="19">
        <v>15.0</v>
      </c>
      <c r="AK201" s="19">
        <v>15.0</v>
      </c>
      <c r="AL201" s="19">
        <v>15.0</v>
      </c>
      <c r="AM201" s="19">
        <v>45.0</v>
      </c>
      <c r="AN201" s="19">
        <v>59.7</v>
      </c>
      <c r="AO201" s="19">
        <v>74.7</v>
      </c>
      <c r="AP201" s="19">
        <v>443.0</v>
      </c>
      <c r="AQ201" s="23">
        <v>195.0</v>
      </c>
      <c r="AR201" s="23">
        <v>16.0</v>
      </c>
      <c r="AS201" s="22"/>
      <c r="AT201" s="19" t="s">
        <v>5281</v>
      </c>
      <c r="AU201" s="19" t="s">
        <v>5872</v>
      </c>
      <c r="AV201" s="19" t="s">
        <v>5873</v>
      </c>
      <c r="AW201" s="19" t="s">
        <v>2166</v>
      </c>
      <c r="AX201" s="20">
        <v>36757.0</v>
      </c>
      <c r="AY201" s="19" t="s">
        <v>2529</v>
      </c>
      <c r="AZ201" s="19" t="s">
        <v>2445</v>
      </c>
      <c r="BA201" s="19" t="s">
        <v>5874</v>
      </c>
      <c r="BB201" s="19" t="s">
        <v>5875</v>
      </c>
      <c r="BC201" s="19" t="s">
        <v>5876</v>
      </c>
      <c r="BD201" s="19" t="s">
        <v>5877</v>
      </c>
      <c r="BE201" s="19" t="s">
        <v>5869</v>
      </c>
      <c r="BF201" s="19">
        <v>1.1992243923E10</v>
      </c>
      <c r="BG201" s="19" t="s">
        <v>2127</v>
      </c>
      <c r="BH201" s="19" t="s">
        <v>2128</v>
      </c>
      <c r="BI201" s="19"/>
      <c r="BJ201" s="19"/>
      <c r="BK201" s="19" t="s">
        <v>16</v>
      </c>
      <c r="BL201" s="19" t="s">
        <v>2113</v>
      </c>
      <c r="BM201" s="19" t="s">
        <v>5411</v>
      </c>
      <c r="BN201" s="19" t="s">
        <v>17</v>
      </c>
      <c r="BO201" s="19" t="s">
        <v>2132</v>
      </c>
      <c r="BP201" s="19"/>
      <c r="BQ201" s="19" t="s">
        <v>2174</v>
      </c>
      <c r="BR201" s="19" t="s">
        <v>2174</v>
      </c>
      <c r="BS201" s="19" t="s">
        <v>2134</v>
      </c>
      <c r="BT201" s="19" t="s">
        <v>75</v>
      </c>
      <c r="BU201" s="19" t="s">
        <v>5878</v>
      </c>
      <c r="BV201" s="19"/>
      <c r="BW201" s="19"/>
      <c r="BX201" s="19" t="s">
        <v>2113</v>
      </c>
      <c r="BY201" s="19" t="s">
        <v>2113</v>
      </c>
      <c r="BZ201" s="19"/>
      <c r="CA201" s="19" t="s">
        <v>2113</v>
      </c>
      <c r="CB201" s="19" t="s">
        <v>2113</v>
      </c>
      <c r="CC201" s="19"/>
      <c r="CD201" s="19" t="s">
        <v>2137</v>
      </c>
      <c r="CE201" s="19" t="s">
        <v>16</v>
      </c>
      <c r="CF201" s="19"/>
      <c r="CG201" s="19"/>
      <c r="CH201" s="19" t="s">
        <v>16</v>
      </c>
      <c r="CI201" s="21">
        <v>0.0</v>
      </c>
      <c r="CJ201" s="19" t="s">
        <v>17</v>
      </c>
      <c r="CK201" s="19"/>
      <c r="CL201" s="19"/>
      <c r="CM201" s="19" t="s">
        <v>2138</v>
      </c>
      <c r="CN201" s="19" t="s">
        <v>2537</v>
      </c>
      <c r="CO201" s="19"/>
      <c r="CP201" s="19"/>
      <c r="CQ201" s="19"/>
      <c r="CR201" s="19" t="s">
        <v>2113</v>
      </c>
      <c r="CS201" s="19" t="s">
        <v>2113</v>
      </c>
      <c r="CT201" s="19"/>
      <c r="CU201" s="19"/>
      <c r="CV201" s="19" t="s">
        <v>2141</v>
      </c>
      <c r="CW201" s="19"/>
      <c r="CX201" s="19"/>
      <c r="CY201" s="19" t="s">
        <v>2113</v>
      </c>
      <c r="CZ201" s="19" t="s">
        <v>2113</v>
      </c>
      <c r="DA201" s="19" t="s">
        <v>16</v>
      </c>
      <c r="DB201" s="19" t="s">
        <v>17</v>
      </c>
      <c r="DC201" s="19" t="s">
        <v>2181</v>
      </c>
      <c r="DD201" s="19" t="s">
        <v>2113</v>
      </c>
      <c r="DE201" s="19" t="s">
        <v>2113</v>
      </c>
      <c r="DF201" s="19" t="s">
        <v>2769</v>
      </c>
      <c r="DG201" s="19" t="s">
        <v>4044</v>
      </c>
      <c r="DH201" s="19" t="s">
        <v>2144</v>
      </c>
      <c r="DI201" s="24">
        <v>45526.0</v>
      </c>
      <c r="DJ201" s="19" t="s">
        <v>2174</v>
      </c>
      <c r="DK201" s="19" t="s">
        <v>2145</v>
      </c>
      <c r="DL201" s="19" t="s">
        <v>2183</v>
      </c>
      <c r="DM201" s="19"/>
      <c r="DN201" s="19">
        <v>11.0</v>
      </c>
      <c r="DO201" s="19">
        <v>11.0</v>
      </c>
      <c r="DP201" s="19" t="s">
        <v>5879</v>
      </c>
      <c r="DQ201" s="19" t="s">
        <v>5880</v>
      </c>
      <c r="DR201" s="19" t="s">
        <v>5881</v>
      </c>
      <c r="DS201" s="19" t="s">
        <v>2151</v>
      </c>
      <c r="DT201" s="19" t="s">
        <v>2186</v>
      </c>
      <c r="DU201" s="19"/>
      <c r="DV201" s="19"/>
      <c r="DW201" s="19" t="s">
        <v>2479</v>
      </c>
      <c r="DX201" s="19">
        <v>16.0</v>
      </c>
      <c r="DY201" s="19">
        <v>10.0</v>
      </c>
      <c r="DZ201" s="19">
        <v>0.0</v>
      </c>
      <c r="EA201" s="19">
        <v>10.0</v>
      </c>
      <c r="EB201" s="19">
        <v>0.0</v>
      </c>
      <c r="EC201" s="19">
        <v>0.0</v>
      </c>
      <c r="ED201" s="19" t="s">
        <v>2174</v>
      </c>
      <c r="EE201" s="24">
        <v>45526.0</v>
      </c>
      <c r="EF201" s="19" t="s">
        <v>2174</v>
      </c>
      <c r="EG201" s="19" t="s">
        <v>2145</v>
      </c>
      <c r="EH201" s="19" t="s">
        <v>2183</v>
      </c>
      <c r="EI201" s="22">
        <v>14.662500000000001</v>
      </c>
      <c r="EJ201" s="19">
        <v>45.0</v>
      </c>
      <c r="EK201" s="19" t="s">
        <v>2113</v>
      </c>
      <c r="EL201" s="19" t="s">
        <v>5281</v>
      </c>
      <c r="EM201" s="19" t="s">
        <v>5872</v>
      </c>
      <c r="EN201" s="19" t="s">
        <v>598</v>
      </c>
      <c r="EO201" s="19" t="s">
        <v>2529</v>
      </c>
      <c r="EP201" s="19" t="s">
        <v>2445</v>
      </c>
      <c r="EQ201" s="19" t="s">
        <v>2537</v>
      </c>
      <c r="ER201" s="19"/>
      <c r="ES201" s="19" t="s">
        <v>598</v>
      </c>
      <c r="ET201" s="19" t="s">
        <v>598</v>
      </c>
      <c r="EU201" s="19" t="s">
        <v>5870</v>
      </c>
      <c r="EV201" s="19">
        <v>8704.0</v>
      </c>
      <c r="EW201" s="19" t="s">
        <v>16</v>
      </c>
      <c r="EX201" s="19">
        <v>5.0</v>
      </c>
      <c r="EY201" s="25" t="s">
        <v>597</v>
      </c>
      <c r="EZ201" s="19" t="s">
        <v>2154</v>
      </c>
      <c r="FA201" s="5" t="s">
        <v>5882</v>
      </c>
      <c r="FB201" s="26" t="s">
        <v>2156</v>
      </c>
      <c r="FC201" s="26"/>
    </row>
    <row r="202">
      <c r="A202" s="19" t="s">
        <v>2156</v>
      </c>
      <c r="B202" s="19"/>
      <c r="C202" s="19" t="s">
        <v>2113</v>
      </c>
      <c r="D202" s="19" t="s">
        <v>599</v>
      </c>
      <c r="E202" s="19" t="s">
        <v>5883</v>
      </c>
      <c r="F202" s="19" t="s">
        <v>599</v>
      </c>
      <c r="G202" s="19"/>
      <c r="H202" s="19" t="s">
        <v>599</v>
      </c>
      <c r="I202" s="19" t="s">
        <v>601</v>
      </c>
      <c r="J202" s="19" t="s">
        <v>5884</v>
      </c>
      <c r="K202" s="19" t="s">
        <v>5885</v>
      </c>
      <c r="L202" s="20">
        <v>45434.0</v>
      </c>
      <c r="M202" s="20">
        <v>45435.0</v>
      </c>
      <c r="N202" s="20">
        <v>45435.0</v>
      </c>
      <c r="O202" s="19" t="s">
        <v>600</v>
      </c>
      <c r="P202" s="19">
        <v>0.0</v>
      </c>
      <c r="Q202" s="19">
        <v>20.0</v>
      </c>
      <c r="R202" s="19">
        <v>7428.0</v>
      </c>
      <c r="S202" s="20" t="s">
        <v>5886</v>
      </c>
      <c r="T202" s="20">
        <v>45461.0</v>
      </c>
      <c r="U202" s="19" t="s">
        <v>599</v>
      </c>
      <c r="V202" s="19"/>
      <c r="W202" s="19"/>
      <c r="X202" s="21">
        <v>0.0</v>
      </c>
      <c r="Y202" s="21">
        <v>10.0</v>
      </c>
      <c r="Z202" s="21">
        <v>5.0</v>
      </c>
      <c r="AA202" s="21">
        <v>0.0</v>
      </c>
      <c r="AB202" s="5">
        <v>15.0</v>
      </c>
      <c r="AC202" s="19">
        <v>5.0</v>
      </c>
      <c r="AD202" s="19">
        <v>5.0</v>
      </c>
      <c r="AE202" s="19">
        <v>5.0</v>
      </c>
      <c r="AF202" s="19">
        <v>4.0</v>
      </c>
      <c r="AG202" s="19">
        <v>5.0</v>
      </c>
      <c r="AH202" s="19">
        <v>5.0</v>
      </c>
      <c r="AI202" s="22">
        <v>14.625</v>
      </c>
      <c r="AJ202" s="19">
        <v>15.0</v>
      </c>
      <c r="AK202" s="19">
        <v>15.0</v>
      </c>
      <c r="AL202" s="19">
        <v>15.0</v>
      </c>
      <c r="AM202" s="19">
        <v>45.0</v>
      </c>
      <c r="AN202" s="19">
        <v>59.6</v>
      </c>
      <c r="AO202" s="19">
        <v>74.6</v>
      </c>
      <c r="AP202" s="19">
        <v>506.0</v>
      </c>
      <c r="AQ202" s="23">
        <v>196.0</v>
      </c>
      <c r="AR202" s="23">
        <v>16.0</v>
      </c>
      <c r="AS202" s="22"/>
      <c r="AT202" s="19" t="s">
        <v>2282</v>
      </c>
      <c r="AU202" s="19" t="s">
        <v>5887</v>
      </c>
      <c r="AV202" s="19" t="s">
        <v>5888</v>
      </c>
      <c r="AW202" s="19"/>
      <c r="AX202" s="20">
        <v>38033.0</v>
      </c>
      <c r="AY202" s="19" t="s">
        <v>2421</v>
      </c>
      <c r="AZ202" s="19" t="s">
        <v>2310</v>
      </c>
      <c r="BA202" s="19" t="s">
        <v>5889</v>
      </c>
      <c r="BB202" s="19" t="s">
        <v>5890</v>
      </c>
      <c r="BC202" s="19" t="s">
        <v>5891</v>
      </c>
      <c r="BD202" s="19" t="s">
        <v>5892</v>
      </c>
      <c r="BE202" s="19" t="s">
        <v>5884</v>
      </c>
      <c r="BF202" s="19" t="s">
        <v>5893</v>
      </c>
      <c r="BG202" s="19" t="s">
        <v>2127</v>
      </c>
      <c r="BH202" s="19" t="s">
        <v>2128</v>
      </c>
      <c r="BI202" s="19"/>
      <c r="BJ202" s="19"/>
      <c r="BK202" s="19" t="s">
        <v>16</v>
      </c>
      <c r="BL202" s="19"/>
      <c r="BM202" s="19" t="s">
        <v>5563</v>
      </c>
      <c r="BN202" s="19" t="s">
        <v>17</v>
      </c>
      <c r="BO202" s="19" t="s">
        <v>2132</v>
      </c>
      <c r="BP202" s="19" t="s">
        <v>5894</v>
      </c>
      <c r="BQ202" s="19" t="s">
        <v>2325</v>
      </c>
      <c r="BR202" s="19" t="s">
        <v>2325</v>
      </c>
      <c r="BS202" s="19" t="s">
        <v>2243</v>
      </c>
      <c r="BT202" s="19" t="s">
        <v>59</v>
      </c>
      <c r="BU202" s="19" t="s">
        <v>5895</v>
      </c>
      <c r="BV202" s="19"/>
      <c r="BW202" s="19"/>
      <c r="BX202" s="19" t="s">
        <v>2113</v>
      </c>
      <c r="BY202" s="19" t="s">
        <v>2113</v>
      </c>
      <c r="BZ202" s="19" t="s">
        <v>2113</v>
      </c>
      <c r="CA202" s="19" t="s">
        <v>2113</v>
      </c>
      <c r="CB202" s="19"/>
      <c r="CC202" s="19"/>
      <c r="CD202" s="19" t="s">
        <v>2137</v>
      </c>
      <c r="CE202" s="19" t="s">
        <v>16</v>
      </c>
      <c r="CF202" s="19"/>
      <c r="CG202" s="19"/>
      <c r="CH202" s="19" t="s">
        <v>16</v>
      </c>
      <c r="CI202" s="21">
        <v>0.0</v>
      </c>
      <c r="CJ202" s="19" t="s">
        <v>16</v>
      </c>
      <c r="CK202" s="19"/>
      <c r="CL202" s="19"/>
      <c r="CM202" s="19"/>
      <c r="CN202" s="19" t="s">
        <v>2431</v>
      </c>
      <c r="CO202" s="19"/>
      <c r="CP202" s="19"/>
      <c r="CQ202" s="19"/>
      <c r="CR202" s="19" t="s">
        <v>2113</v>
      </c>
      <c r="CS202" s="19" t="s">
        <v>2113</v>
      </c>
      <c r="CT202" s="19" t="s">
        <v>2113</v>
      </c>
      <c r="CU202" s="19" t="s">
        <v>2113</v>
      </c>
      <c r="CV202" s="19" t="s">
        <v>2141</v>
      </c>
      <c r="CW202" s="19" t="s">
        <v>2113</v>
      </c>
      <c r="CX202" s="19" t="s">
        <v>2113</v>
      </c>
      <c r="CY202" s="19" t="s">
        <v>2113</v>
      </c>
      <c r="CZ202" s="19" t="s">
        <v>2113</v>
      </c>
      <c r="DA202" s="19" t="s">
        <v>16</v>
      </c>
      <c r="DB202" s="19" t="s">
        <v>16</v>
      </c>
      <c r="DC202" s="19" t="s">
        <v>2497</v>
      </c>
      <c r="DD202" s="19" t="s">
        <v>2113</v>
      </c>
      <c r="DE202" s="19" t="s">
        <v>2113</v>
      </c>
      <c r="DF202" s="19" t="s">
        <v>2432</v>
      </c>
      <c r="DG202" s="19" t="s">
        <v>2653</v>
      </c>
      <c r="DH202" s="19" t="s">
        <v>2144</v>
      </c>
      <c r="DI202" s="24">
        <v>45519.0</v>
      </c>
      <c r="DJ202" s="19" t="s">
        <v>2325</v>
      </c>
      <c r="DK202" s="19" t="s">
        <v>2145</v>
      </c>
      <c r="DL202" s="19" t="s">
        <v>2326</v>
      </c>
      <c r="DM202" s="19"/>
      <c r="DN202" s="19">
        <v>5.0</v>
      </c>
      <c r="DO202" s="19">
        <v>5.0</v>
      </c>
      <c r="DP202" s="19" t="s">
        <v>5896</v>
      </c>
      <c r="DQ202" s="19" t="s">
        <v>5897</v>
      </c>
      <c r="DR202" s="19" t="s">
        <v>5898</v>
      </c>
      <c r="DS202" s="19" t="s">
        <v>2185</v>
      </c>
      <c r="DT202" s="19" t="s">
        <v>2209</v>
      </c>
      <c r="DU202" s="19"/>
      <c r="DV202" s="19"/>
      <c r="DW202" s="19" t="s">
        <v>2153</v>
      </c>
      <c r="DX202" s="19">
        <v>3.0</v>
      </c>
      <c r="DY202" s="19">
        <v>10.0</v>
      </c>
      <c r="DZ202" s="19">
        <v>0.0</v>
      </c>
      <c r="EA202" s="19">
        <v>10.0</v>
      </c>
      <c r="EB202" s="19">
        <v>0.0</v>
      </c>
      <c r="EC202" s="19">
        <v>0.0</v>
      </c>
      <c r="ED202" s="19" t="s">
        <v>2325</v>
      </c>
      <c r="EE202" s="24">
        <v>45519.0</v>
      </c>
      <c r="EF202" s="19" t="s">
        <v>2325</v>
      </c>
      <c r="EG202" s="19" t="s">
        <v>2145</v>
      </c>
      <c r="EH202" s="19" t="s">
        <v>2326</v>
      </c>
      <c r="EI202" s="22">
        <v>14.625</v>
      </c>
      <c r="EJ202" s="19">
        <v>45.0</v>
      </c>
      <c r="EK202" s="19"/>
      <c r="EL202" s="19" t="s">
        <v>2282</v>
      </c>
      <c r="EM202" s="19" t="s">
        <v>5887</v>
      </c>
      <c r="EN202" s="19" t="s">
        <v>601</v>
      </c>
      <c r="EO202" s="19" t="s">
        <v>2421</v>
      </c>
      <c r="EP202" s="19" t="s">
        <v>2310</v>
      </c>
      <c r="EQ202" s="19" t="s">
        <v>2431</v>
      </c>
      <c r="ER202" s="19"/>
      <c r="ES202" s="19" t="s">
        <v>601</v>
      </c>
      <c r="ET202" s="19" t="s">
        <v>601</v>
      </c>
      <c r="EU202" s="19" t="s">
        <v>5885</v>
      </c>
      <c r="EV202" s="19">
        <v>7428.0</v>
      </c>
      <c r="EW202" s="19" t="s">
        <v>16</v>
      </c>
      <c r="EX202" s="19">
        <v>5.0</v>
      </c>
      <c r="EY202" s="25" t="s">
        <v>600</v>
      </c>
      <c r="EZ202" s="19" t="s">
        <v>2154</v>
      </c>
      <c r="FA202" s="5" t="s">
        <v>5899</v>
      </c>
      <c r="FB202" s="26" t="s">
        <v>2156</v>
      </c>
      <c r="FC202" s="26"/>
    </row>
    <row r="203">
      <c r="A203" s="19" t="s">
        <v>2112</v>
      </c>
      <c r="B203" s="19"/>
      <c r="C203" s="19" t="s">
        <v>2113</v>
      </c>
      <c r="D203" s="19" t="s">
        <v>602</v>
      </c>
      <c r="E203" s="19" t="s">
        <v>5900</v>
      </c>
      <c r="F203" s="19" t="s">
        <v>602</v>
      </c>
      <c r="G203" s="19"/>
      <c r="H203" s="19" t="s">
        <v>602</v>
      </c>
      <c r="I203" s="19" t="s">
        <v>604</v>
      </c>
      <c r="J203" s="19" t="s">
        <v>5901</v>
      </c>
      <c r="K203" s="19" t="s">
        <v>5902</v>
      </c>
      <c r="L203" s="20">
        <v>45460.0</v>
      </c>
      <c r="M203" s="20">
        <v>45462.0</v>
      </c>
      <c r="N203" s="20">
        <v>45462.0</v>
      </c>
      <c r="O203" s="19" t="s">
        <v>603</v>
      </c>
      <c r="P203" s="19">
        <v>0.0</v>
      </c>
      <c r="Q203" s="19">
        <v>18.0</v>
      </c>
      <c r="R203" s="19">
        <v>6578.0</v>
      </c>
      <c r="S203" s="20" t="s">
        <v>5903</v>
      </c>
      <c r="T203" s="20">
        <v>45461.0</v>
      </c>
      <c r="U203" s="19" t="s">
        <v>602</v>
      </c>
      <c r="V203" s="19"/>
      <c r="W203" s="19"/>
      <c r="X203" s="21">
        <v>0.0</v>
      </c>
      <c r="Y203" s="21">
        <v>10.0</v>
      </c>
      <c r="Z203" s="21">
        <v>5.0</v>
      </c>
      <c r="AA203" s="21">
        <v>0.0</v>
      </c>
      <c r="AB203" s="5">
        <v>15.0</v>
      </c>
      <c r="AC203" s="19">
        <v>5.0</v>
      </c>
      <c r="AD203" s="19">
        <v>5.0</v>
      </c>
      <c r="AE203" s="19">
        <v>5.0</v>
      </c>
      <c r="AF203" s="19">
        <v>5.0</v>
      </c>
      <c r="AG203" s="19">
        <v>4.0</v>
      </c>
      <c r="AH203" s="19">
        <v>5.0</v>
      </c>
      <c r="AI203" s="22">
        <v>14.625</v>
      </c>
      <c r="AJ203" s="19">
        <v>15.0</v>
      </c>
      <c r="AK203" s="19">
        <v>15.0</v>
      </c>
      <c r="AL203" s="19">
        <v>15.0</v>
      </c>
      <c r="AM203" s="19">
        <v>45.0</v>
      </c>
      <c r="AN203" s="19">
        <v>59.6</v>
      </c>
      <c r="AO203" s="19">
        <v>74.6</v>
      </c>
      <c r="AP203" s="19">
        <v>567.0</v>
      </c>
      <c r="AQ203" s="23">
        <v>197.0</v>
      </c>
      <c r="AR203" s="23">
        <v>22.0</v>
      </c>
      <c r="AS203" s="22"/>
      <c r="AT203" s="19" t="s">
        <v>2117</v>
      </c>
      <c r="AU203" s="19" t="s">
        <v>5904</v>
      </c>
      <c r="AV203" s="19" t="s">
        <v>5905</v>
      </c>
      <c r="AW203" s="19"/>
      <c r="AX203" s="20">
        <v>38883.0</v>
      </c>
      <c r="AY203" s="19" t="s">
        <v>2121</v>
      </c>
      <c r="AZ203" s="19" t="s">
        <v>2310</v>
      </c>
      <c r="BA203" s="19" t="s">
        <v>5906</v>
      </c>
      <c r="BB203" s="19" t="s">
        <v>5907</v>
      </c>
      <c r="BC203" s="19" t="s">
        <v>5908</v>
      </c>
      <c r="BD203" s="19" t="s">
        <v>5909</v>
      </c>
      <c r="BE203" s="19" t="s">
        <v>5910</v>
      </c>
      <c r="BF203" s="19">
        <v>1.1954779033E10</v>
      </c>
      <c r="BG203" s="19" t="s">
        <v>2127</v>
      </c>
      <c r="BH203" s="19" t="s">
        <v>2128</v>
      </c>
      <c r="BI203" s="19"/>
      <c r="BJ203" s="19" t="s">
        <v>2128</v>
      </c>
      <c r="BK203" s="19" t="s">
        <v>17</v>
      </c>
      <c r="BL203" s="19"/>
      <c r="BM203" s="19" t="s">
        <v>5563</v>
      </c>
      <c r="BN203" s="19" t="s">
        <v>17</v>
      </c>
      <c r="BO203" s="19" t="s">
        <v>2132</v>
      </c>
      <c r="BP203" s="19" t="s">
        <v>5911</v>
      </c>
      <c r="BQ203" s="19" t="s">
        <v>2133</v>
      </c>
      <c r="BR203" s="19" t="s">
        <v>2133</v>
      </c>
      <c r="BS203" s="19" t="s">
        <v>2134</v>
      </c>
      <c r="BT203" s="19" t="s">
        <v>15</v>
      </c>
      <c r="BU203" s="19" t="s">
        <v>2401</v>
      </c>
      <c r="BV203" s="19"/>
      <c r="BW203" s="19"/>
      <c r="BX203" s="19"/>
      <c r="BY203" s="19" t="s">
        <v>2113</v>
      </c>
      <c r="BZ203" s="19" t="s">
        <v>2113</v>
      </c>
      <c r="CA203" s="19" t="s">
        <v>2113</v>
      </c>
      <c r="CB203" s="19" t="s">
        <v>2113</v>
      </c>
      <c r="CC203" s="19"/>
      <c r="CD203" s="19" t="s">
        <v>2137</v>
      </c>
      <c r="CE203" s="19" t="s">
        <v>16</v>
      </c>
      <c r="CF203" s="19"/>
      <c r="CG203" s="19"/>
      <c r="CH203" s="19" t="s">
        <v>16</v>
      </c>
      <c r="CI203" s="21">
        <v>0.0</v>
      </c>
      <c r="CJ203" s="19" t="s">
        <v>16</v>
      </c>
      <c r="CK203" s="19"/>
      <c r="CL203" s="19"/>
      <c r="CM203" s="19" t="s">
        <v>2138</v>
      </c>
      <c r="CN203" s="19" t="s">
        <v>2139</v>
      </c>
      <c r="CO203" s="19"/>
      <c r="CP203" s="19" t="s">
        <v>2140</v>
      </c>
      <c r="CQ203" s="19"/>
      <c r="CR203" s="19"/>
      <c r="CS203" s="19"/>
      <c r="CT203" s="19"/>
      <c r="CU203" s="19"/>
      <c r="CV203" s="19" t="s">
        <v>2141</v>
      </c>
      <c r="CW203" s="19" t="s">
        <v>2113</v>
      </c>
      <c r="CX203" s="19" t="s">
        <v>2113</v>
      </c>
      <c r="CY203" s="19" t="s">
        <v>2113</v>
      </c>
      <c r="CZ203" s="19" t="s">
        <v>2113</v>
      </c>
      <c r="DA203" s="19" t="s">
        <v>16</v>
      </c>
      <c r="DB203" s="19" t="s">
        <v>16</v>
      </c>
      <c r="DC203" s="19" t="s">
        <v>2406</v>
      </c>
      <c r="DD203" s="19" t="s">
        <v>2113</v>
      </c>
      <c r="DE203" s="19" t="s">
        <v>2113</v>
      </c>
      <c r="DF203" s="19" t="s">
        <v>2405</v>
      </c>
      <c r="DG203" s="19" t="s">
        <v>2142</v>
      </c>
      <c r="DH203" s="19" t="s">
        <v>2144</v>
      </c>
      <c r="DI203" s="24">
        <v>45526.0</v>
      </c>
      <c r="DJ203" s="19" t="s">
        <v>2133</v>
      </c>
      <c r="DK203" s="19" t="s">
        <v>2271</v>
      </c>
      <c r="DL203" s="19" t="s">
        <v>2146</v>
      </c>
      <c r="DM203" s="19" t="s">
        <v>2805</v>
      </c>
      <c r="DN203" s="19">
        <v>12.0</v>
      </c>
      <c r="DO203" s="19">
        <v>12.0</v>
      </c>
      <c r="DP203" s="19" t="s">
        <v>5912</v>
      </c>
      <c r="DQ203" s="19" t="s">
        <v>5913</v>
      </c>
      <c r="DR203" s="19" t="s">
        <v>5914</v>
      </c>
      <c r="DS203" s="19" t="s">
        <v>2365</v>
      </c>
      <c r="DT203" s="19" t="s">
        <v>2152</v>
      </c>
      <c r="DU203" s="19"/>
      <c r="DV203" s="19"/>
      <c r="DW203" s="19" t="s">
        <v>2153</v>
      </c>
      <c r="DX203" s="19">
        <v>8.0</v>
      </c>
      <c r="DY203" s="19">
        <v>10.0</v>
      </c>
      <c r="DZ203" s="19">
        <v>0.0</v>
      </c>
      <c r="EA203" s="19">
        <v>10.0</v>
      </c>
      <c r="EB203" s="19">
        <v>0.0</v>
      </c>
      <c r="EC203" s="19">
        <v>0.0</v>
      </c>
      <c r="ED203" s="19" t="s">
        <v>2133</v>
      </c>
      <c r="EE203" s="24">
        <v>45526.0</v>
      </c>
      <c r="EF203" s="19" t="s">
        <v>2133</v>
      </c>
      <c r="EG203" s="19" t="s">
        <v>2271</v>
      </c>
      <c r="EH203" s="19" t="s">
        <v>2146</v>
      </c>
      <c r="EI203" s="22">
        <v>14.625</v>
      </c>
      <c r="EJ203" s="19">
        <v>45.0</v>
      </c>
      <c r="EK203" s="19"/>
      <c r="EL203" s="19" t="s">
        <v>2117</v>
      </c>
      <c r="EM203" s="19" t="s">
        <v>5904</v>
      </c>
      <c r="EN203" s="19" t="s">
        <v>604</v>
      </c>
      <c r="EO203" s="19" t="s">
        <v>2121</v>
      </c>
      <c r="EP203" s="19" t="s">
        <v>2310</v>
      </c>
      <c r="EQ203" s="19" t="s">
        <v>2139</v>
      </c>
      <c r="ER203" s="19"/>
      <c r="ES203" s="19" t="s">
        <v>604</v>
      </c>
      <c r="ET203" s="19" t="s">
        <v>604</v>
      </c>
      <c r="EU203" s="19" t="s">
        <v>5902</v>
      </c>
      <c r="EV203" s="19">
        <v>6578.0</v>
      </c>
      <c r="EW203" s="19" t="s">
        <v>16</v>
      </c>
      <c r="EX203" s="19">
        <v>5.0</v>
      </c>
      <c r="EY203" s="25" t="s">
        <v>603</v>
      </c>
      <c r="EZ203" s="19" t="s">
        <v>2154</v>
      </c>
      <c r="FA203" s="5" t="s">
        <v>5915</v>
      </c>
      <c r="FB203" s="26" t="s">
        <v>2156</v>
      </c>
      <c r="FC203" s="26"/>
    </row>
    <row r="204">
      <c r="A204" s="19" t="s">
        <v>2112</v>
      </c>
      <c r="B204" s="19"/>
      <c r="C204" s="19" t="s">
        <v>2113</v>
      </c>
      <c r="D204" s="19" t="s">
        <v>605</v>
      </c>
      <c r="E204" s="19" t="s">
        <v>5916</v>
      </c>
      <c r="F204" s="19" t="s">
        <v>605</v>
      </c>
      <c r="G204" s="19"/>
      <c r="H204" s="19" t="s">
        <v>605</v>
      </c>
      <c r="I204" s="19" t="s">
        <v>607</v>
      </c>
      <c r="J204" s="19" t="s">
        <v>5917</v>
      </c>
      <c r="K204" s="19" t="s">
        <v>5918</v>
      </c>
      <c r="L204" s="20">
        <v>45460.0</v>
      </c>
      <c r="M204" s="20">
        <v>45460.0</v>
      </c>
      <c r="N204" s="20">
        <v>45460.0</v>
      </c>
      <c r="O204" s="19" t="s">
        <v>606</v>
      </c>
      <c r="P204" s="19">
        <v>0.0</v>
      </c>
      <c r="Q204" s="19">
        <v>20.0</v>
      </c>
      <c r="R204" s="19">
        <v>7396.0</v>
      </c>
      <c r="S204" s="20" t="s">
        <v>5919</v>
      </c>
      <c r="T204" s="20">
        <v>45461.0</v>
      </c>
      <c r="U204" s="19" t="s">
        <v>605</v>
      </c>
      <c r="V204" s="19"/>
      <c r="W204" s="19"/>
      <c r="X204" s="21">
        <v>0.0</v>
      </c>
      <c r="Y204" s="21">
        <v>10.0</v>
      </c>
      <c r="Z204" s="21">
        <v>5.0</v>
      </c>
      <c r="AA204" s="21">
        <v>0.0</v>
      </c>
      <c r="AB204" s="5">
        <v>15.0</v>
      </c>
      <c r="AC204" s="19">
        <v>4.6</v>
      </c>
      <c r="AD204" s="19">
        <v>5.0</v>
      </c>
      <c r="AE204" s="19">
        <v>4.8</v>
      </c>
      <c r="AF204" s="19">
        <v>4.6</v>
      </c>
      <c r="AG204" s="19">
        <v>5.0</v>
      </c>
      <c r="AH204" s="19">
        <v>5.0</v>
      </c>
      <c r="AI204" s="22">
        <v>14.512500000000001</v>
      </c>
      <c r="AJ204" s="19">
        <v>15.0</v>
      </c>
      <c r="AK204" s="19">
        <v>15.0</v>
      </c>
      <c r="AL204" s="19">
        <v>15.0</v>
      </c>
      <c r="AM204" s="19">
        <v>45.0</v>
      </c>
      <c r="AN204" s="19">
        <v>59.5</v>
      </c>
      <c r="AO204" s="19">
        <v>74.5</v>
      </c>
      <c r="AP204" s="19">
        <v>510.0</v>
      </c>
      <c r="AQ204" s="23">
        <v>198.0</v>
      </c>
      <c r="AR204" s="23">
        <v>24.0</v>
      </c>
      <c r="AS204" s="22"/>
      <c r="AT204" s="19" t="s">
        <v>2163</v>
      </c>
      <c r="AU204" s="19" t="s">
        <v>2217</v>
      </c>
      <c r="AV204" s="19" t="s">
        <v>5920</v>
      </c>
      <c r="AW204" s="19" t="s">
        <v>2257</v>
      </c>
      <c r="AX204" s="20">
        <v>38065.0</v>
      </c>
      <c r="AY204" s="19" t="s">
        <v>2167</v>
      </c>
      <c r="AZ204" s="19" t="s">
        <v>2122</v>
      </c>
      <c r="BA204" s="19" t="s">
        <v>5921</v>
      </c>
      <c r="BB204" s="19" t="s">
        <v>5922</v>
      </c>
      <c r="BC204" s="19" t="s">
        <v>5923</v>
      </c>
      <c r="BD204" s="19" t="s">
        <v>5924</v>
      </c>
      <c r="BE204" s="19" t="s">
        <v>5917</v>
      </c>
      <c r="BF204" s="19">
        <v>1.1994946065E10</v>
      </c>
      <c r="BG204" s="19" t="s">
        <v>2127</v>
      </c>
      <c r="BH204" s="19" t="s">
        <v>2128</v>
      </c>
      <c r="BI204" s="19"/>
      <c r="BJ204" s="19" t="s">
        <v>2128</v>
      </c>
      <c r="BK204" s="19" t="s">
        <v>17</v>
      </c>
      <c r="BL204" s="19" t="s">
        <v>2113</v>
      </c>
      <c r="BM204" s="19" t="s">
        <v>5411</v>
      </c>
      <c r="BN204" s="19" t="s">
        <v>17</v>
      </c>
      <c r="BO204" s="19" t="s">
        <v>2132</v>
      </c>
      <c r="BP204" s="19" t="s">
        <v>5925</v>
      </c>
      <c r="BQ204" s="19" t="s">
        <v>2174</v>
      </c>
      <c r="BR204" s="19" t="s">
        <v>2174</v>
      </c>
      <c r="BS204" s="19" t="s">
        <v>2134</v>
      </c>
      <c r="BT204" s="19" t="s">
        <v>21</v>
      </c>
      <c r="BU204" s="19" t="s">
        <v>3368</v>
      </c>
      <c r="BV204" s="19"/>
      <c r="BW204" s="19"/>
      <c r="BX204" s="19"/>
      <c r="BY204" s="19" t="s">
        <v>2113</v>
      </c>
      <c r="BZ204" s="19" t="s">
        <v>2113</v>
      </c>
      <c r="CA204" s="19"/>
      <c r="CB204" s="19" t="s">
        <v>2113</v>
      </c>
      <c r="CC204" s="19"/>
      <c r="CD204" s="19" t="s">
        <v>2137</v>
      </c>
      <c r="CE204" s="19" t="s">
        <v>16</v>
      </c>
      <c r="CF204" s="19"/>
      <c r="CG204" s="19"/>
      <c r="CH204" s="19" t="s">
        <v>16</v>
      </c>
      <c r="CI204" s="21">
        <v>0.0</v>
      </c>
      <c r="CJ204" s="19" t="s">
        <v>17</v>
      </c>
      <c r="CK204" s="19"/>
      <c r="CL204" s="19"/>
      <c r="CM204" s="19" t="s">
        <v>2138</v>
      </c>
      <c r="CN204" s="19" t="s">
        <v>2176</v>
      </c>
      <c r="CO204" s="19"/>
      <c r="CP204" s="19" t="s">
        <v>2140</v>
      </c>
      <c r="CQ204" s="19"/>
      <c r="CR204" s="19" t="s">
        <v>2113</v>
      </c>
      <c r="CS204" s="19" t="s">
        <v>2113</v>
      </c>
      <c r="CT204" s="19"/>
      <c r="CU204" s="19"/>
      <c r="CV204" s="19" t="s">
        <v>2141</v>
      </c>
      <c r="CW204" s="19" t="s">
        <v>2113</v>
      </c>
      <c r="CX204" s="19" t="s">
        <v>2113</v>
      </c>
      <c r="CY204" s="19"/>
      <c r="CZ204" s="19"/>
      <c r="DA204" s="19" t="s">
        <v>16</v>
      </c>
      <c r="DB204" s="19" t="s">
        <v>17</v>
      </c>
      <c r="DC204" s="19" t="s">
        <v>2270</v>
      </c>
      <c r="DD204" s="19" t="s">
        <v>2113</v>
      </c>
      <c r="DE204" s="19" t="s">
        <v>2113</v>
      </c>
      <c r="DF204" s="19" t="s">
        <v>2602</v>
      </c>
      <c r="DG204" s="19" t="s">
        <v>4466</v>
      </c>
      <c r="DH204" s="19" t="s">
        <v>2144</v>
      </c>
      <c r="DI204" s="24">
        <v>45526.0</v>
      </c>
      <c r="DJ204" s="19" t="s">
        <v>2174</v>
      </c>
      <c r="DK204" s="19" t="s">
        <v>2145</v>
      </c>
      <c r="DL204" s="19" t="s">
        <v>2183</v>
      </c>
      <c r="DM204" s="19"/>
      <c r="DN204" s="19">
        <v>11.0</v>
      </c>
      <c r="DO204" s="19">
        <v>11.0</v>
      </c>
      <c r="DP204" s="19" t="s">
        <v>5926</v>
      </c>
      <c r="DQ204" s="19" t="s">
        <v>5927</v>
      </c>
      <c r="DR204" s="19" t="s">
        <v>5928</v>
      </c>
      <c r="DS204" s="19" t="s">
        <v>2151</v>
      </c>
      <c r="DT204" s="19" t="s">
        <v>2152</v>
      </c>
      <c r="DU204" s="19"/>
      <c r="DV204" s="19"/>
      <c r="DW204" s="19" t="s">
        <v>2188</v>
      </c>
      <c r="DX204" s="19">
        <v>15.0</v>
      </c>
      <c r="DY204" s="19">
        <v>10.0</v>
      </c>
      <c r="DZ204" s="19">
        <v>0.0</v>
      </c>
      <c r="EA204" s="19">
        <v>10.0</v>
      </c>
      <c r="EB204" s="19">
        <v>0.0</v>
      </c>
      <c r="EC204" s="19">
        <v>0.0</v>
      </c>
      <c r="ED204" s="19" t="s">
        <v>2174</v>
      </c>
      <c r="EE204" s="24">
        <v>45526.0</v>
      </c>
      <c r="EF204" s="19" t="s">
        <v>2174</v>
      </c>
      <c r="EG204" s="19" t="s">
        <v>2145</v>
      </c>
      <c r="EH204" s="19" t="s">
        <v>2183</v>
      </c>
      <c r="EI204" s="22">
        <v>14.512500000000001</v>
      </c>
      <c r="EJ204" s="19">
        <v>45.0</v>
      </c>
      <c r="EK204" s="19" t="s">
        <v>2113</v>
      </c>
      <c r="EL204" s="19" t="s">
        <v>2163</v>
      </c>
      <c r="EM204" s="19" t="s">
        <v>2217</v>
      </c>
      <c r="EN204" s="19" t="s">
        <v>607</v>
      </c>
      <c r="EO204" s="19" t="s">
        <v>2167</v>
      </c>
      <c r="EP204" s="19" t="s">
        <v>2122</v>
      </c>
      <c r="EQ204" s="19" t="s">
        <v>2176</v>
      </c>
      <c r="ER204" s="19"/>
      <c r="ES204" s="19" t="s">
        <v>607</v>
      </c>
      <c r="ET204" s="19" t="s">
        <v>607</v>
      </c>
      <c r="EU204" s="19" t="s">
        <v>5918</v>
      </c>
      <c r="EV204" s="19">
        <v>7396.0</v>
      </c>
      <c r="EW204" s="19" t="s">
        <v>16</v>
      </c>
      <c r="EX204" s="19">
        <v>5.0</v>
      </c>
      <c r="EY204" s="25" t="s">
        <v>606</v>
      </c>
      <c r="EZ204" s="19" t="s">
        <v>2154</v>
      </c>
      <c r="FA204" s="5" t="s">
        <v>5929</v>
      </c>
      <c r="FB204" s="26" t="s">
        <v>2156</v>
      </c>
      <c r="FC204" s="26"/>
    </row>
    <row r="205">
      <c r="A205" s="19" t="s">
        <v>2156</v>
      </c>
      <c r="B205" s="19"/>
      <c r="C205" s="19" t="s">
        <v>2113</v>
      </c>
      <c r="D205" s="19" t="s">
        <v>608</v>
      </c>
      <c r="E205" s="19" t="s">
        <v>5930</v>
      </c>
      <c r="F205" s="19" t="s">
        <v>608</v>
      </c>
      <c r="G205" s="19"/>
      <c r="H205" s="19" t="s">
        <v>608</v>
      </c>
      <c r="I205" s="19" t="s">
        <v>610</v>
      </c>
      <c r="J205" s="19" t="s">
        <v>5931</v>
      </c>
      <c r="K205" s="19" t="s">
        <v>5932</v>
      </c>
      <c r="L205" s="20">
        <v>45433.0</v>
      </c>
      <c r="M205" s="20">
        <v>45434.0</v>
      </c>
      <c r="N205" s="20">
        <v>45434.0</v>
      </c>
      <c r="O205" s="19" t="s">
        <v>609</v>
      </c>
      <c r="P205" s="19">
        <v>0.0</v>
      </c>
      <c r="Q205" s="19">
        <v>18.0</v>
      </c>
      <c r="R205" s="19">
        <v>6682.0</v>
      </c>
      <c r="S205" s="20" t="s">
        <v>5933</v>
      </c>
      <c r="T205" s="20">
        <v>45461.0</v>
      </c>
      <c r="U205" s="19" t="s">
        <v>608</v>
      </c>
      <c r="V205" s="19"/>
      <c r="W205" s="19"/>
      <c r="X205" s="21">
        <v>0.0</v>
      </c>
      <c r="Y205" s="21">
        <v>10.0</v>
      </c>
      <c r="Z205" s="21">
        <v>5.0</v>
      </c>
      <c r="AA205" s="21">
        <v>0.0</v>
      </c>
      <c r="AB205" s="5">
        <v>15.0</v>
      </c>
      <c r="AC205" s="19">
        <v>4.0</v>
      </c>
      <c r="AD205" s="19">
        <v>5.0</v>
      </c>
      <c r="AE205" s="19">
        <v>5.0</v>
      </c>
      <c r="AF205" s="19">
        <v>4.5</v>
      </c>
      <c r="AG205" s="19">
        <v>5.0</v>
      </c>
      <c r="AH205" s="19">
        <v>5.0</v>
      </c>
      <c r="AI205" s="22">
        <v>14.34375</v>
      </c>
      <c r="AJ205" s="19">
        <v>15.0</v>
      </c>
      <c r="AK205" s="19">
        <v>15.0</v>
      </c>
      <c r="AL205" s="19">
        <v>15.0</v>
      </c>
      <c r="AM205" s="19">
        <v>45.0</v>
      </c>
      <c r="AN205" s="19">
        <v>59.3</v>
      </c>
      <c r="AO205" s="19">
        <v>74.3</v>
      </c>
      <c r="AP205" s="19">
        <v>558.0</v>
      </c>
      <c r="AQ205" s="23">
        <v>199.0</v>
      </c>
      <c r="AR205" s="23">
        <v>17.0</v>
      </c>
      <c r="AS205" s="22"/>
      <c r="AT205" s="19" t="s">
        <v>2163</v>
      </c>
      <c r="AU205" s="19" t="s">
        <v>2442</v>
      </c>
      <c r="AV205" s="19" t="s">
        <v>5934</v>
      </c>
      <c r="AW205" s="19"/>
      <c r="AX205" s="20">
        <v>38779.0</v>
      </c>
      <c r="AY205" s="19" t="s">
        <v>2421</v>
      </c>
      <c r="AZ205" s="19" t="s">
        <v>2122</v>
      </c>
      <c r="BA205" s="19" t="s">
        <v>5935</v>
      </c>
      <c r="BB205" s="19" t="s">
        <v>5936</v>
      </c>
      <c r="BC205" s="19" t="s">
        <v>5937</v>
      </c>
      <c r="BD205" s="19" t="s">
        <v>5938</v>
      </c>
      <c r="BE205" s="19" t="s">
        <v>5931</v>
      </c>
      <c r="BF205" s="19" t="s">
        <v>5939</v>
      </c>
      <c r="BG205" s="19" t="s">
        <v>2127</v>
      </c>
      <c r="BH205" s="19" t="s">
        <v>2128</v>
      </c>
      <c r="BI205" s="19"/>
      <c r="BJ205" s="19"/>
      <c r="BK205" s="19" t="s">
        <v>16</v>
      </c>
      <c r="BL205" s="19"/>
      <c r="BM205" s="19" t="s">
        <v>5563</v>
      </c>
      <c r="BN205" s="19" t="s">
        <v>2172</v>
      </c>
      <c r="BO205" s="19" t="s">
        <v>2132</v>
      </c>
      <c r="BP205" s="19"/>
      <c r="BQ205" s="19" t="s">
        <v>2325</v>
      </c>
      <c r="BR205" s="19" t="s">
        <v>2325</v>
      </c>
      <c r="BS205" s="19" t="s">
        <v>2134</v>
      </c>
      <c r="BT205" s="19" t="s">
        <v>59</v>
      </c>
      <c r="BU205" s="19" t="s">
        <v>2319</v>
      </c>
      <c r="BV205" s="19"/>
      <c r="BW205" s="19"/>
      <c r="BX205" s="19" t="s">
        <v>2113</v>
      </c>
      <c r="BY205" s="19"/>
      <c r="BZ205" s="19"/>
      <c r="CA205" s="19"/>
      <c r="CB205" s="19"/>
      <c r="CC205" s="19"/>
      <c r="CD205" s="19" t="s">
        <v>2137</v>
      </c>
      <c r="CE205" s="19" t="s">
        <v>16</v>
      </c>
      <c r="CF205" s="19"/>
      <c r="CG205" s="19"/>
      <c r="CH205" s="19" t="s">
        <v>16</v>
      </c>
      <c r="CI205" s="21">
        <v>0.0</v>
      </c>
      <c r="CJ205" s="19" t="s">
        <v>17</v>
      </c>
      <c r="CK205" s="19"/>
      <c r="CL205" s="19"/>
      <c r="CM205" s="19" t="s">
        <v>2926</v>
      </c>
      <c r="CN205" s="19" t="s">
        <v>2431</v>
      </c>
      <c r="CO205" s="19"/>
      <c r="CP205" s="19" t="s">
        <v>2134</v>
      </c>
      <c r="CQ205" s="19"/>
      <c r="CR205" s="19"/>
      <c r="CS205" s="19"/>
      <c r="CT205" s="19"/>
      <c r="CU205" s="19"/>
      <c r="CV205" s="19" t="s">
        <v>2179</v>
      </c>
      <c r="CW205" s="19" t="s">
        <v>2113</v>
      </c>
      <c r="CX205" s="19" t="s">
        <v>2113</v>
      </c>
      <c r="CY205" s="19" t="s">
        <v>2113</v>
      </c>
      <c r="CZ205" s="19" t="s">
        <v>2113</v>
      </c>
      <c r="DA205" s="19" t="s">
        <v>16</v>
      </c>
      <c r="DB205" s="19" t="s">
        <v>17</v>
      </c>
      <c r="DC205" s="19" t="s">
        <v>2653</v>
      </c>
      <c r="DD205" s="19" t="s">
        <v>2113</v>
      </c>
      <c r="DE205" s="19" t="s">
        <v>2113</v>
      </c>
      <c r="DF205" s="19" t="s">
        <v>4652</v>
      </c>
      <c r="DG205" s="19" t="s">
        <v>4904</v>
      </c>
      <c r="DH205" s="19" t="s">
        <v>2144</v>
      </c>
      <c r="DI205" s="24">
        <v>45519.0</v>
      </c>
      <c r="DJ205" s="19" t="s">
        <v>2325</v>
      </c>
      <c r="DK205" s="19" t="s">
        <v>2145</v>
      </c>
      <c r="DL205" s="19" t="s">
        <v>2326</v>
      </c>
      <c r="DM205" s="19"/>
      <c r="DN205" s="19">
        <v>5.0</v>
      </c>
      <c r="DO205" s="19">
        <v>5.0</v>
      </c>
      <c r="DP205" s="19"/>
      <c r="DQ205" s="19"/>
      <c r="DR205" s="19"/>
      <c r="DS205" s="19" t="s">
        <v>2185</v>
      </c>
      <c r="DT205" s="19" t="s">
        <v>2229</v>
      </c>
      <c r="DU205" s="19" t="s">
        <v>5940</v>
      </c>
      <c r="DV205" s="19"/>
      <c r="DW205" s="19" t="s">
        <v>2188</v>
      </c>
      <c r="DX205" s="19">
        <v>5.0</v>
      </c>
      <c r="DY205" s="19">
        <v>10.0</v>
      </c>
      <c r="DZ205" s="19">
        <v>0.0</v>
      </c>
      <c r="EA205" s="19">
        <v>10.0</v>
      </c>
      <c r="EB205" s="19">
        <v>0.0</v>
      </c>
      <c r="EC205" s="19">
        <v>0.0</v>
      </c>
      <c r="ED205" s="19" t="s">
        <v>2325</v>
      </c>
      <c r="EE205" s="24">
        <v>45519.0</v>
      </c>
      <c r="EF205" s="19" t="s">
        <v>2325</v>
      </c>
      <c r="EG205" s="19" t="s">
        <v>2145</v>
      </c>
      <c r="EH205" s="19" t="s">
        <v>2326</v>
      </c>
      <c r="EI205" s="22">
        <v>14.34375</v>
      </c>
      <c r="EJ205" s="19">
        <v>45.0</v>
      </c>
      <c r="EK205" s="19" t="s">
        <v>2113</v>
      </c>
      <c r="EL205" s="19" t="s">
        <v>2163</v>
      </c>
      <c r="EM205" s="19" t="s">
        <v>2442</v>
      </c>
      <c r="EN205" s="19" t="s">
        <v>610</v>
      </c>
      <c r="EO205" s="19" t="s">
        <v>2421</v>
      </c>
      <c r="EP205" s="19" t="s">
        <v>2122</v>
      </c>
      <c r="EQ205" s="19" t="s">
        <v>2431</v>
      </c>
      <c r="ER205" s="19"/>
      <c r="ES205" s="19" t="s">
        <v>610</v>
      </c>
      <c r="ET205" s="19" t="s">
        <v>610</v>
      </c>
      <c r="EU205" s="19" t="s">
        <v>5932</v>
      </c>
      <c r="EV205" s="19">
        <v>6682.0</v>
      </c>
      <c r="EW205" s="19" t="s">
        <v>16</v>
      </c>
      <c r="EX205" s="19">
        <v>5.0</v>
      </c>
      <c r="EY205" s="25" t="s">
        <v>609</v>
      </c>
      <c r="EZ205" s="19" t="s">
        <v>2154</v>
      </c>
      <c r="FA205" s="5" t="s">
        <v>5941</v>
      </c>
      <c r="FB205" s="26" t="s">
        <v>2156</v>
      </c>
      <c r="FC205" s="26"/>
    </row>
    <row r="206">
      <c r="A206" s="19"/>
      <c r="B206" s="19"/>
      <c r="C206" s="19" t="s">
        <v>2113</v>
      </c>
      <c r="D206" s="19" t="s">
        <v>5942</v>
      </c>
      <c r="E206" s="19" t="s">
        <v>5943</v>
      </c>
      <c r="F206" s="19" t="s">
        <v>611</v>
      </c>
      <c r="G206" s="19" t="s">
        <v>5943</v>
      </c>
      <c r="H206" s="19" t="s">
        <v>611</v>
      </c>
      <c r="I206" s="19" t="s">
        <v>613</v>
      </c>
      <c r="J206" s="19" t="s">
        <v>5944</v>
      </c>
      <c r="K206" s="19" t="s">
        <v>5945</v>
      </c>
      <c r="L206" s="20">
        <v>45398.0</v>
      </c>
      <c r="M206" s="20">
        <v>45411.0</v>
      </c>
      <c r="N206" s="20">
        <v>45411.0</v>
      </c>
      <c r="O206" s="19" t="s">
        <v>612</v>
      </c>
      <c r="P206" s="19">
        <v>0.0</v>
      </c>
      <c r="Q206" s="19">
        <v>21.0</v>
      </c>
      <c r="R206" s="19">
        <v>7921.0</v>
      </c>
      <c r="S206" s="20" t="s">
        <v>5946</v>
      </c>
      <c r="T206" s="20">
        <v>45461.0</v>
      </c>
      <c r="U206" s="19" t="s">
        <v>611</v>
      </c>
      <c r="V206" s="19"/>
      <c r="W206" s="19"/>
      <c r="X206" s="21">
        <v>0.0</v>
      </c>
      <c r="Y206" s="21">
        <v>10.0</v>
      </c>
      <c r="Z206" s="21">
        <v>3.0</v>
      </c>
      <c r="AA206" s="21">
        <v>3.0</v>
      </c>
      <c r="AB206" s="5">
        <v>16.0</v>
      </c>
      <c r="AC206" s="19">
        <v>4.0</v>
      </c>
      <c r="AD206" s="19">
        <v>4.5</v>
      </c>
      <c r="AE206" s="19">
        <v>5.0</v>
      </c>
      <c r="AF206" s="19">
        <v>4.0</v>
      </c>
      <c r="AG206" s="19">
        <v>4.0</v>
      </c>
      <c r="AH206" s="19">
        <v>4.0</v>
      </c>
      <c r="AI206" s="22">
        <v>13.078125</v>
      </c>
      <c r="AJ206" s="19">
        <v>15.0</v>
      </c>
      <c r="AK206" s="19">
        <v>15.0</v>
      </c>
      <c r="AL206" s="19">
        <v>15.0</v>
      </c>
      <c r="AM206" s="19">
        <v>45.0</v>
      </c>
      <c r="AN206" s="19">
        <v>58.1</v>
      </c>
      <c r="AO206" s="19">
        <v>74.1</v>
      </c>
      <c r="AP206" s="19">
        <v>393.0</v>
      </c>
      <c r="AQ206" s="23">
        <v>200.0</v>
      </c>
      <c r="AR206" s="23">
        <v>18.0</v>
      </c>
      <c r="AS206" s="22"/>
      <c r="AT206" s="19" t="s">
        <v>2282</v>
      </c>
      <c r="AU206" s="19" t="s">
        <v>5947</v>
      </c>
      <c r="AV206" s="19" t="s">
        <v>5948</v>
      </c>
      <c r="AW206" s="19" t="s">
        <v>2166</v>
      </c>
      <c r="AX206" s="20">
        <v>37540.0</v>
      </c>
      <c r="AY206" s="19" t="s">
        <v>3053</v>
      </c>
      <c r="AZ206" s="19" t="s">
        <v>2122</v>
      </c>
      <c r="BA206" s="19" t="s">
        <v>5949</v>
      </c>
      <c r="BB206" s="19" t="s">
        <v>5171</v>
      </c>
      <c r="BC206" s="19" t="s">
        <v>5950</v>
      </c>
      <c r="BD206" s="19" t="s">
        <v>5951</v>
      </c>
      <c r="BE206" s="19" t="s">
        <v>5952</v>
      </c>
      <c r="BF206" s="19">
        <v>1.199179585E10</v>
      </c>
      <c r="BG206" s="19" t="s">
        <v>2127</v>
      </c>
      <c r="BH206" s="19" t="s">
        <v>2128</v>
      </c>
      <c r="BI206" s="19"/>
      <c r="BJ206" s="19"/>
      <c r="BK206" s="19" t="s">
        <v>16</v>
      </c>
      <c r="BL206" s="19" t="s">
        <v>2113</v>
      </c>
      <c r="BM206" s="19" t="s">
        <v>5411</v>
      </c>
      <c r="BN206" s="19" t="s">
        <v>2172</v>
      </c>
      <c r="BO206" s="19" t="s">
        <v>2473</v>
      </c>
      <c r="BP206" s="19" t="s">
        <v>5953</v>
      </c>
      <c r="BQ206" s="19" t="s">
        <v>2325</v>
      </c>
      <c r="BR206" s="19" t="s">
        <v>2325</v>
      </c>
      <c r="BS206" s="19" t="s">
        <v>2134</v>
      </c>
      <c r="BT206" s="19" t="s">
        <v>59</v>
      </c>
      <c r="BU206" s="19" t="s">
        <v>2560</v>
      </c>
      <c r="BV206" s="19"/>
      <c r="BW206" s="19"/>
      <c r="BX206" s="19"/>
      <c r="BY206" s="19"/>
      <c r="BZ206" s="19"/>
      <c r="CA206" s="19"/>
      <c r="CB206" s="19"/>
      <c r="CC206" s="19"/>
      <c r="CD206" s="19" t="s">
        <v>2137</v>
      </c>
      <c r="CE206" s="19" t="s">
        <v>16</v>
      </c>
      <c r="CF206" s="19"/>
      <c r="CG206" s="19"/>
      <c r="CH206" s="19" t="s">
        <v>17</v>
      </c>
      <c r="CI206" s="21">
        <v>3.0</v>
      </c>
      <c r="CJ206" s="19" t="s">
        <v>16</v>
      </c>
      <c r="CK206" s="19"/>
      <c r="CL206" s="19"/>
      <c r="CM206" s="19" t="s">
        <v>2344</v>
      </c>
      <c r="CN206" s="19" t="s">
        <v>3064</v>
      </c>
      <c r="CO206" s="19"/>
      <c r="CP206" s="19"/>
      <c r="CQ206" s="19"/>
      <c r="CR206" s="19" t="s">
        <v>2113</v>
      </c>
      <c r="CS206" s="19" t="s">
        <v>2113</v>
      </c>
      <c r="CT206" s="19" t="s">
        <v>2113</v>
      </c>
      <c r="CU206" s="19" t="s">
        <v>2113</v>
      </c>
      <c r="CV206" s="19" t="s">
        <v>2179</v>
      </c>
      <c r="CW206" s="19" t="s">
        <v>2113</v>
      </c>
      <c r="CX206" s="19" t="s">
        <v>2113</v>
      </c>
      <c r="CY206" s="19"/>
      <c r="CZ206" s="19"/>
      <c r="DA206" s="19" t="s">
        <v>16</v>
      </c>
      <c r="DB206" s="19" t="s">
        <v>16</v>
      </c>
      <c r="DC206" s="19" t="s">
        <v>2432</v>
      </c>
      <c r="DD206" s="19" t="s">
        <v>2113</v>
      </c>
      <c r="DE206" s="19" t="s">
        <v>2113</v>
      </c>
      <c r="DF206" s="19" t="s">
        <v>2562</v>
      </c>
      <c r="DG206" s="19" t="s">
        <v>4904</v>
      </c>
      <c r="DH206" s="19" t="s">
        <v>2144</v>
      </c>
      <c r="DI206" s="24">
        <v>45524.0</v>
      </c>
      <c r="DJ206" s="19" t="s">
        <v>2325</v>
      </c>
      <c r="DK206" s="19" t="s">
        <v>2145</v>
      </c>
      <c r="DL206" s="19" t="s">
        <v>2326</v>
      </c>
      <c r="DM206" s="19"/>
      <c r="DN206" s="19">
        <v>7.0</v>
      </c>
      <c r="DO206" s="19">
        <v>7.0</v>
      </c>
      <c r="DP206" s="19"/>
      <c r="DQ206" s="19"/>
      <c r="DR206" s="19"/>
      <c r="DS206" s="19" t="s">
        <v>2185</v>
      </c>
      <c r="DT206" s="19" t="s">
        <v>2152</v>
      </c>
      <c r="DU206" s="19" t="s">
        <v>5954</v>
      </c>
      <c r="DV206" s="19"/>
      <c r="DW206" s="19" t="s">
        <v>2188</v>
      </c>
      <c r="DX206" s="19">
        <v>5.0</v>
      </c>
      <c r="DY206" s="19">
        <v>10.0</v>
      </c>
      <c r="DZ206" s="19">
        <v>0.0</v>
      </c>
      <c r="EA206" s="19">
        <v>10.0</v>
      </c>
      <c r="EB206" s="19">
        <v>3.0</v>
      </c>
      <c r="EC206" s="19">
        <v>0.0</v>
      </c>
      <c r="ED206" s="19" t="s">
        <v>2325</v>
      </c>
      <c r="EE206" s="24">
        <v>45524.0</v>
      </c>
      <c r="EF206" s="19" t="s">
        <v>2325</v>
      </c>
      <c r="EG206" s="19" t="s">
        <v>2145</v>
      </c>
      <c r="EH206" s="19" t="s">
        <v>2326</v>
      </c>
      <c r="EI206" s="22">
        <v>13.078125</v>
      </c>
      <c r="EJ206" s="19">
        <v>45.0</v>
      </c>
      <c r="EK206" s="19"/>
      <c r="EL206" s="19" t="s">
        <v>2282</v>
      </c>
      <c r="EM206" s="19" t="s">
        <v>5947</v>
      </c>
      <c r="EN206" s="19" t="s">
        <v>613</v>
      </c>
      <c r="EO206" s="19" t="s">
        <v>3053</v>
      </c>
      <c r="EP206" s="19" t="s">
        <v>2122</v>
      </c>
      <c r="EQ206" s="19" t="s">
        <v>3064</v>
      </c>
      <c r="ER206" s="19"/>
      <c r="ES206" s="19" t="s">
        <v>613</v>
      </c>
      <c r="ET206" s="19" t="s">
        <v>613</v>
      </c>
      <c r="EU206" s="19" t="s">
        <v>5945</v>
      </c>
      <c r="EV206" s="19">
        <v>7921.0</v>
      </c>
      <c r="EW206" s="19" t="s">
        <v>16</v>
      </c>
      <c r="EX206" s="19">
        <v>3.0</v>
      </c>
      <c r="EY206" s="25" t="s">
        <v>612</v>
      </c>
      <c r="EZ206" s="19" t="s">
        <v>2154</v>
      </c>
      <c r="FA206" s="5" t="s">
        <v>5955</v>
      </c>
      <c r="FB206" s="26" t="s">
        <v>2156</v>
      </c>
      <c r="FC206" s="26"/>
    </row>
    <row r="207">
      <c r="A207" s="19" t="s">
        <v>2112</v>
      </c>
      <c r="B207" s="19"/>
      <c r="C207" s="19" t="s">
        <v>2113</v>
      </c>
      <c r="D207" s="19" t="s">
        <v>5956</v>
      </c>
      <c r="E207" s="19" t="s">
        <v>5957</v>
      </c>
      <c r="F207" s="19" t="s">
        <v>5956</v>
      </c>
      <c r="G207" s="19"/>
      <c r="H207" s="19" t="s">
        <v>614</v>
      </c>
      <c r="I207" s="19" t="s">
        <v>616</v>
      </c>
      <c r="J207" s="19" t="s">
        <v>5958</v>
      </c>
      <c r="K207" s="19" t="s">
        <v>5959</v>
      </c>
      <c r="L207" s="20">
        <v>45401.0</v>
      </c>
      <c r="M207" s="20">
        <v>45411.0</v>
      </c>
      <c r="N207" s="20">
        <v>45411.0</v>
      </c>
      <c r="O207" s="19" t="s">
        <v>615</v>
      </c>
      <c r="P207" s="19">
        <v>0.0</v>
      </c>
      <c r="Q207" s="19">
        <v>19.0</v>
      </c>
      <c r="R207" s="19">
        <v>7250.0</v>
      </c>
      <c r="S207" s="20" t="s">
        <v>5960</v>
      </c>
      <c r="T207" s="20">
        <v>45461.0</v>
      </c>
      <c r="U207" s="19" t="s">
        <v>5956</v>
      </c>
      <c r="V207" s="19"/>
      <c r="W207" s="19"/>
      <c r="X207" s="21">
        <v>0.0</v>
      </c>
      <c r="Y207" s="21">
        <v>10.0</v>
      </c>
      <c r="Z207" s="21">
        <v>5.0</v>
      </c>
      <c r="AA207" s="21">
        <v>0.0</v>
      </c>
      <c r="AB207" s="5">
        <v>15.0</v>
      </c>
      <c r="AC207" s="19">
        <v>5.0</v>
      </c>
      <c r="AD207" s="19">
        <v>4.0</v>
      </c>
      <c r="AE207" s="19">
        <v>5.0</v>
      </c>
      <c r="AF207" s="19">
        <v>5.0</v>
      </c>
      <c r="AG207" s="19">
        <v>4.0</v>
      </c>
      <c r="AH207" s="19">
        <v>5.0</v>
      </c>
      <c r="AI207" s="22">
        <v>13.96875</v>
      </c>
      <c r="AJ207" s="19">
        <v>15.0</v>
      </c>
      <c r="AK207" s="19">
        <v>15.0</v>
      </c>
      <c r="AL207" s="19">
        <v>15.0</v>
      </c>
      <c r="AM207" s="19">
        <v>45.0</v>
      </c>
      <c r="AN207" s="19">
        <v>59.0</v>
      </c>
      <c r="AO207" s="19">
        <v>74.0</v>
      </c>
      <c r="AP207" s="19">
        <v>520.0</v>
      </c>
      <c r="AQ207" s="23">
        <v>201.0</v>
      </c>
      <c r="AR207" s="23">
        <v>26.0</v>
      </c>
      <c r="AS207" s="22"/>
      <c r="AT207" s="19" t="s">
        <v>2117</v>
      </c>
      <c r="AU207" s="19" t="s">
        <v>2592</v>
      </c>
      <c r="AV207" s="19" t="s">
        <v>5961</v>
      </c>
      <c r="AW207" s="19" t="s">
        <v>5962</v>
      </c>
      <c r="AX207" s="20">
        <v>38211.0</v>
      </c>
      <c r="AY207" s="19" t="s">
        <v>2595</v>
      </c>
      <c r="AZ207" s="19" t="s">
        <v>2995</v>
      </c>
      <c r="BA207" s="19" t="s">
        <v>5963</v>
      </c>
      <c r="BB207" s="19" t="s">
        <v>5964</v>
      </c>
      <c r="BC207" s="19" t="s">
        <v>5965</v>
      </c>
      <c r="BD207" s="19" t="s">
        <v>5966</v>
      </c>
      <c r="BE207" s="19" t="s">
        <v>5967</v>
      </c>
      <c r="BF207" s="19">
        <v>1.1932086725E10</v>
      </c>
      <c r="BG207" s="19" t="s">
        <v>2127</v>
      </c>
      <c r="BH207" s="19" t="s">
        <v>2128</v>
      </c>
      <c r="BI207" s="19"/>
      <c r="BJ207" s="19" t="s">
        <v>2128</v>
      </c>
      <c r="BK207" s="19" t="s">
        <v>17</v>
      </c>
      <c r="BL207" s="19" t="s">
        <v>2113</v>
      </c>
      <c r="BM207" s="19" t="s">
        <v>5411</v>
      </c>
      <c r="BN207" s="19" t="s">
        <v>2401</v>
      </c>
      <c r="BO207" s="19" t="s">
        <v>2132</v>
      </c>
      <c r="BP207" s="19" t="s">
        <v>5968</v>
      </c>
      <c r="BQ207" s="19" t="s">
        <v>2133</v>
      </c>
      <c r="BR207" s="19" t="s">
        <v>2133</v>
      </c>
      <c r="BS207" s="19" t="s">
        <v>2243</v>
      </c>
      <c r="BT207" s="19" t="s">
        <v>38</v>
      </c>
      <c r="BU207" s="19" t="s">
        <v>5969</v>
      </c>
      <c r="BV207" s="19"/>
      <c r="BW207" s="19"/>
      <c r="BX207" s="19"/>
      <c r="BY207" s="19"/>
      <c r="BZ207" s="19"/>
      <c r="CA207" s="19"/>
      <c r="CB207" s="19" t="s">
        <v>2113</v>
      </c>
      <c r="CC207" s="19"/>
      <c r="CD207" s="19" t="s">
        <v>2137</v>
      </c>
      <c r="CE207" s="19" t="s">
        <v>16</v>
      </c>
      <c r="CF207" s="19"/>
      <c r="CG207" s="19"/>
      <c r="CH207" s="19" t="s">
        <v>16</v>
      </c>
      <c r="CI207" s="21">
        <v>0.0</v>
      </c>
      <c r="CJ207" s="19" t="s">
        <v>17</v>
      </c>
      <c r="CK207" s="19"/>
      <c r="CL207" s="19"/>
      <c r="CM207" s="19" t="s">
        <v>2344</v>
      </c>
      <c r="CN207" s="19" t="s">
        <v>2294</v>
      </c>
      <c r="CO207" s="19"/>
      <c r="CP207" s="19" t="s">
        <v>2267</v>
      </c>
      <c r="CQ207" s="19" t="s">
        <v>2113</v>
      </c>
      <c r="CR207" s="19" t="s">
        <v>2113</v>
      </c>
      <c r="CS207" s="19" t="s">
        <v>2113</v>
      </c>
      <c r="CT207" s="19" t="s">
        <v>2113</v>
      </c>
      <c r="CU207" s="19" t="s">
        <v>2113</v>
      </c>
      <c r="CV207" s="19" t="s">
        <v>2141</v>
      </c>
      <c r="CW207" s="19" t="s">
        <v>2113</v>
      </c>
      <c r="CX207" s="19" t="s">
        <v>2113</v>
      </c>
      <c r="CY207" s="19"/>
      <c r="CZ207" s="19"/>
      <c r="DA207" s="19" t="s">
        <v>16</v>
      </c>
      <c r="DB207" s="19" t="s">
        <v>17</v>
      </c>
      <c r="DC207" s="19" t="s">
        <v>2601</v>
      </c>
      <c r="DD207" s="19" t="s">
        <v>2113</v>
      </c>
      <c r="DE207" s="19" t="s">
        <v>2113</v>
      </c>
      <c r="DF207" s="19" t="s">
        <v>2146</v>
      </c>
      <c r="DG207" s="19" t="s">
        <v>2602</v>
      </c>
      <c r="DH207" s="19" t="s">
        <v>2144</v>
      </c>
      <c r="DI207" s="24">
        <v>45532.0</v>
      </c>
      <c r="DJ207" s="19" t="s">
        <v>2133</v>
      </c>
      <c r="DK207" s="19" t="s">
        <v>2145</v>
      </c>
      <c r="DL207" s="19" t="s">
        <v>2146</v>
      </c>
      <c r="DM207" s="19" t="s">
        <v>4101</v>
      </c>
      <c r="DN207" s="19">
        <v>15.0</v>
      </c>
      <c r="DO207" s="19">
        <v>15.0</v>
      </c>
      <c r="DP207" s="19" t="s">
        <v>5970</v>
      </c>
      <c r="DQ207" s="19" t="s">
        <v>5971</v>
      </c>
      <c r="DR207" s="19" t="s">
        <v>5972</v>
      </c>
      <c r="DS207" s="19" t="s">
        <v>2365</v>
      </c>
      <c r="DT207" s="19" t="s">
        <v>2152</v>
      </c>
      <c r="DU207" s="19"/>
      <c r="DV207" s="19"/>
      <c r="DW207" s="19" t="s">
        <v>2153</v>
      </c>
      <c r="DX207" s="19">
        <v>9.0</v>
      </c>
      <c r="DY207" s="19">
        <v>10.0</v>
      </c>
      <c r="DZ207" s="19">
        <v>0.0</v>
      </c>
      <c r="EA207" s="19">
        <v>10.0</v>
      </c>
      <c r="EB207" s="19">
        <v>0.0</v>
      </c>
      <c r="EC207" s="19">
        <v>0.0</v>
      </c>
      <c r="ED207" s="19" t="s">
        <v>2133</v>
      </c>
      <c r="EE207" s="24">
        <v>45532.0</v>
      </c>
      <c r="EF207" s="19" t="s">
        <v>2133</v>
      </c>
      <c r="EG207" s="19" t="s">
        <v>2145</v>
      </c>
      <c r="EH207" s="19" t="s">
        <v>2146</v>
      </c>
      <c r="EI207" s="22">
        <v>13.96875</v>
      </c>
      <c r="EJ207" s="19">
        <v>45.0</v>
      </c>
      <c r="EK207" s="19" t="s">
        <v>2113</v>
      </c>
      <c r="EL207" s="19" t="s">
        <v>2117</v>
      </c>
      <c r="EM207" s="19" t="s">
        <v>2592</v>
      </c>
      <c r="EN207" s="19" t="s">
        <v>616</v>
      </c>
      <c r="EO207" s="19" t="s">
        <v>2595</v>
      </c>
      <c r="EP207" s="19" t="s">
        <v>2995</v>
      </c>
      <c r="EQ207" s="19" t="s">
        <v>2294</v>
      </c>
      <c r="ER207" s="19"/>
      <c r="ES207" s="19" t="s">
        <v>616</v>
      </c>
      <c r="ET207" s="19" t="s">
        <v>616</v>
      </c>
      <c r="EU207" s="19" t="s">
        <v>5959</v>
      </c>
      <c r="EV207" s="19">
        <v>7250.0</v>
      </c>
      <c r="EW207" s="19" t="s">
        <v>16</v>
      </c>
      <c r="EX207" s="19">
        <v>5.0</v>
      </c>
      <c r="EY207" s="25" t="s">
        <v>615</v>
      </c>
      <c r="EZ207" s="19" t="s">
        <v>2154</v>
      </c>
      <c r="FA207" s="5" t="s">
        <v>5973</v>
      </c>
      <c r="FB207" s="26" t="s">
        <v>2156</v>
      </c>
      <c r="FC207" s="26"/>
    </row>
    <row r="208">
      <c r="A208" s="19" t="s">
        <v>2112</v>
      </c>
      <c r="B208" s="19"/>
      <c r="C208" s="19" t="s">
        <v>2113</v>
      </c>
      <c r="D208" s="19" t="s">
        <v>5974</v>
      </c>
      <c r="E208" s="19" t="s">
        <v>5975</v>
      </c>
      <c r="F208" s="19" t="s">
        <v>617</v>
      </c>
      <c r="G208" s="19" t="s">
        <v>5976</v>
      </c>
      <c r="H208" s="19" t="s">
        <v>617</v>
      </c>
      <c r="I208" s="19" t="s">
        <v>619</v>
      </c>
      <c r="J208" s="19" t="s">
        <v>5977</v>
      </c>
      <c r="K208" s="19" t="s">
        <v>5978</v>
      </c>
      <c r="L208" s="20">
        <v>45394.0</v>
      </c>
      <c r="M208" s="20">
        <v>45404.0</v>
      </c>
      <c r="N208" s="20">
        <v>45404.0</v>
      </c>
      <c r="O208" s="19" t="s">
        <v>618</v>
      </c>
      <c r="P208" s="19">
        <v>0.0</v>
      </c>
      <c r="Q208" s="19">
        <v>18.0</v>
      </c>
      <c r="R208" s="19">
        <v>6730.0</v>
      </c>
      <c r="S208" s="20" t="s">
        <v>5979</v>
      </c>
      <c r="T208" s="20">
        <v>45461.0</v>
      </c>
      <c r="U208" s="19" t="s">
        <v>5976</v>
      </c>
      <c r="V208" s="19"/>
      <c r="W208" s="19"/>
      <c r="X208" s="21">
        <v>0.0</v>
      </c>
      <c r="Y208" s="21">
        <v>10.0</v>
      </c>
      <c r="Z208" s="21">
        <v>5.0</v>
      </c>
      <c r="AA208" s="21">
        <v>0.0</v>
      </c>
      <c r="AB208" s="5">
        <v>15.0</v>
      </c>
      <c r="AC208" s="19">
        <v>5.0</v>
      </c>
      <c r="AD208" s="19">
        <v>5.0</v>
      </c>
      <c r="AE208" s="19">
        <v>5.0</v>
      </c>
      <c r="AF208" s="19">
        <v>5.0</v>
      </c>
      <c r="AG208" s="19">
        <v>5.0</v>
      </c>
      <c r="AH208" s="19">
        <v>5.0</v>
      </c>
      <c r="AI208" s="22">
        <v>15.0</v>
      </c>
      <c r="AJ208" s="19">
        <v>14.0</v>
      </c>
      <c r="AK208" s="19">
        <v>15.0</v>
      </c>
      <c r="AL208" s="19">
        <v>15.0</v>
      </c>
      <c r="AM208" s="19">
        <v>44.0</v>
      </c>
      <c r="AN208" s="19">
        <v>59.0</v>
      </c>
      <c r="AO208" s="19">
        <v>74.0</v>
      </c>
      <c r="AP208" s="19">
        <v>552.0</v>
      </c>
      <c r="AQ208" s="23">
        <v>202.0</v>
      </c>
      <c r="AR208" s="23">
        <v>17.0</v>
      </c>
      <c r="AS208" s="19"/>
      <c r="AT208" s="19" t="s">
        <v>2163</v>
      </c>
      <c r="AU208" s="19" t="s">
        <v>5980</v>
      </c>
      <c r="AV208" s="19" t="s">
        <v>5981</v>
      </c>
      <c r="AW208" s="19" t="s">
        <v>5982</v>
      </c>
      <c r="AX208" s="20">
        <v>38731.0</v>
      </c>
      <c r="AY208" s="19" t="s">
        <v>2529</v>
      </c>
      <c r="AZ208" s="19" t="s">
        <v>2122</v>
      </c>
      <c r="BA208" s="19" t="s">
        <v>5983</v>
      </c>
      <c r="BB208" s="19" t="s">
        <v>4980</v>
      </c>
      <c r="BC208" s="19" t="s">
        <v>5984</v>
      </c>
      <c r="BD208" s="19" t="s">
        <v>5985</v>
      </c>
      <c r="BE208" s="19" t="s">
        <v>5986</v>
      </c>
      <c r="BF208" s="19">
        <v>1.1954333078E10</v>
      </c>
      <c r="BG208" s="19" t="s">
        <v>2127</v>
      </c>
      <c r="BH208" s="19" t="s">
        <v>2128</v>
      </c>
      <c r="BI208" s="19"/>
      <c r="BJ208" s="19"/>
      <c r="BK208" s="19" t="s">
        <v>16</v>
      </c>
      <c r="BL208" s="19" t="s">
        <v>2113</v>
      </c>
      <c r="BM208" s="19" t="s">
        <v>5796</v>
      </c>
      <c r="BN208" s="19" t="s">
        <v>17</v>
      </c>
      <c r="BO208" s="19" t="s">
        <v>2132</v>
      </c>
      <c r="BP208" s="19" t="s">
        <v>5987</v>
      </c>
      <c r="BQ208" s="19" t="s">
        <v>2174</v>
      </c>
      <c r="BR208" s="19" t="s">
        <v>2174</v>
      </c>
      <c r="BS208" s="19" t="s">
        <v>2134</v>
      </c>
      <c r="BT208" s="19" t="s">
        <v>75</v>
      </c>
      <c r="BU208" s="19" t="s">
        <v>5988</v>
      </c>
      <c r="BV208" s="19"/>
      <c r="BW208" s="19"/>
      <c r="BX208" s="19"/>
      <c r="BY208" s="19" t="s">
        <v>2113</v>
      </c>
      <c r="BZ208" s="19" t="s">
        <v>2113</v>
      </c>
      <c r="CA208" s="19" t="s">
        <v>2113</v>
      </c>
      <c r="CB208" s="19" t="s">
        <v>2113</v>
      </c>
      <c r="CC208" s="19" t="s">
        <v>2113</v>
      </c>
      <c r="CD208" s="19" t="s">
        <v>2137</v>
      </c>
      <c r="CE208" s="19" t="s">
        <v>16</v>
      </c>
      <c r="CF208" s="19"/>
      <c r="CG208" s="19"/>
      <c r="CH208" s="19" t="s">
        <v>16</v>
      </c>
      <c r="CI208" s="21">
        <v>0.0</v>
      </c>
      <c r="CJ208" s="19" t="s">
        <v>17</v>
      </c>
      <c r="CK208" s="19" t="s">
        <v>2113</v>
      </c>
      <c r="CL208" s="19"/>
      <c r="CM208" s="19" t="s">
        <v>2138</v>
      </c>
      <c r="CN208" s="19" t="s">
        <v>2537</v>
      </c>
      <c r="CO208" s="19"/>
      <c r="CP208" s="19"/>
      <c r="CQ208" s="19"/>
      <c r="CR208" s="19" t="s">
        <v>2113</v>
      </c>
      <c r="CS208" s="19" t="s">
        <v>2113</v>
      </c>
      <c r="CT208" s="19" t="s">
        <v>2113</v>
      </c>
      <c r="CU208" s="19" t="s">
        <v>2113</v>
      </c>
      <c r="CV208" s="19" t="s">
        <v>2141</v>
      </c>
      <c r="CW208" s="19" t="s">
        <v>2113</v>
      </c>
      <c r="CX208" s="19" t="s">
        <v>2113</v>
      </c>
      <c r="CY208" s="19" t="s">
        <v>2113</v>
      </c>
      <c r="CZ208" s="19" t="s">
        <v>2113</v>
      </c>
      <c r="DA208" s="19" t="s">
        <v>16</v>
      </c>
      <c r="DB208" s="19" t="s">
        <v>17</v>
      </c>
      <c r="DC208" s="19" t="s">
        <v>2538</v>
      </c>
      <c r="DD208" s="19" t="s">
        <v>2113</v>
      </c>
      <c r="DE208" s="19" t="s">
        <v>2113</v>
      </c>
      <c r="DF208" s="19" t="s">
        <v>2270</v>
      </c>
      <c r="DG208" s="19" t="s">
        <v>4044</v>
      </c>
      <c r="DH208" s="19" t="s">
        <v>2144</v>
      </c>
      <c r="DI208" s="24">
        <v>45533.0</v>
      </c>
      <c r="DJ208" s="19" t="s">
        <v>2174</v>
      </c>
      <c r="DK208" s="19" t="s">
        <v>2145</v>
      </c>
      <c r="DL208" s="19" t="s">
        <v>2207</v>
      </c>
      <c r="DM208" s="22" t="s">
        <v>5829</v>
      </c>
      <c r="DN208" s="19">
        <v>11.0</v>
      </c>
      <c r="DO208" s="19">
        <v>11.0</v>
      </c>
      <c r="DP208" s="19" t="s">
        <v>5989</v>
      </c>
      <c r="DQ208" s="19" t="s">
        <v>5990</v>
      </c>
      <c r="DR208" s="19" t="s">
        <v>5991</v>
      </c>
      <c r="DS208" s="19" t="s">
        <v>2151</v>
      </c>
      <c r="DT208" s="19" t="s">
        <v>2301</v>
      </c>
      <c r="DU208" s="19"/>
      <c r="DV208" s="19" t="s">
        <v>5992</v>
      </c>
      <c r="DW208" s="19" t="s">
        <v>2479</v>
      </c>
      <c r="DX208" s="19">
        <v>16.0</v>
      </c>
      <c r="DY208" s="19">
        <v>10.0</v>
      </c>
      <c r="DZ208" s="19">
        <v>0.0</v>
      </c>
      <c r="EA208" s="19">
        <v>10.0</v>
      </c>
      <c r="EB208" s="19">
        <v>0.0</v>
      </c>
      <c r="EC208" s="19">
        <v>0.0</v>
      </c>
      <c r="ED208" s="19" t="s">
        <v>2174</v>
      </c>
      <c r="EE208" s="24">
        <v>45533.0</v>
      </c>
      <c r="EF208" s="19" t="s">
        <v>2174</v>
      </c>
      <c r="EG208" s="19" t="s">
        <v>2145</v>
      </c>
      <c r="EH208" s="19" t="s">
        <v>2207</v>
      </c>
      <c r="EI208" s="22">
        <v>15.0</v>
      </c>
      <c r="EJ208" s="19">
        <v>44.0</v>
      </c>
      <c r="EK208" s="19" t="s">
        <v>2113</v>
      </c>
      <c r="EL208" s="19" t="s">
        <v>2163</v>
      </c>
      <c r="EM208" s="19" t="s">
        <v>5980</v>
      </c>
      <c r="EN208" s="19" t="s">
        <v>619</v>
      </c>
      <c r="EO208" s="19" t="s">
        <v>2529</v>
      </c>
      <c r="EP208" s="19" t="s">
        <v>2122</v>
      </c>
      <c r="EQ208" s="19" t="s">
        <v>2537</v>
      </c>
      <c r="ER208" s="19"/>
      <c r="ES208" s="19" t="s">
        <v>619</v>
      </c>
      <c r="ET208" s="19" t="s">
        <v>619</v>
      </c>
      <c r="EU208" s="19" t="s">
        <v>5978</v>
      </c>
      <c r="EV208" s="19">
        <v>6730.0</v>
      </c>
      <c r="EW208" s="19" t="s">
        <v>16</v>
      </c>
      <c r="EX208" s="19">
        <v>5.0</v>
      </c>
      <c r="EY208" s="25" t="s">
        <v>618</v>
      </c>
      <c r="EZ208" s="19" t="s">
        <v>2154</v>
      </c>
      <c r="FA208" s="5" t="s">
        <v>5993</v>
      </c>
      <c r="FB208" s="26" t="s">
        <v>2156</v>
      </c>
      <c r="FC208" s="26"/>
    </row>
    <row r="209">
      <c r="A209" s="19" t="s">
        <v>2112</v>
      </c>
      <c r="B209" s="19"/>
      <c r="C209" s="19" t="s">
        <v>2113</v>
      </c>
      <c r="D209" s="19" t="s">
        <v>620</v>
      </c>
      <c r="E209" s="19" t="s">
        <v>5994</v>
      </c>
      <c r="F209" s="19" t="s">
        <v>620</v>
      </c>
      <c r="G209" s="19"/>
      <c r="H209" s="19" t="s">
        <v>620</v>
      </c>
      <c r="I209" s="19" t="s">
        <v>622</v>
      </c>
      <c r="J209" s="19" t="s">
        <v>5995</v>
      </c>
      <c r="K209" s="19" t="s">
        <v>5996</v>
      </c>
      <c r="L209" s="20">
        <v>45445.0</v>
      </c>
      <c r="M209" s="20">
        <v>45446.0</v>
      </c>
      <c r="N209" s="20">
        <v>45446.0</v>
      </c>
      <c r="O209" s="19" t="s">
        <v>621</v>
      </c>
      <c r="P209" s="19">
        <v>0.0</v>
      </c>
      <c r="Q209" s="19">
        <v>23.0</v>
      </c>
      <c r="R209" s="19">
        <v>8409.0</v>
      </c>
      <c r="S209" s="20" t="s">
        <v>5997</v>
      </c>
      <c r="T209" s="20">
        <v>45461.0</v>
      </c>
      <c r="U209" s="19" t="s">
        <v>620</v>
      </c>
      <c r="V209" s="19"/>
      <c r="W209" s="19"/>
      <c r="X209" s="21">
        <v>0.0</v>
      </c>
      <c r="Y209" s="21">
        <v>10.0</v>
      </c>
      <c r="Z209" s="21">
        <v>4.0</v>
      </c>
      <c r="AA209" s="21">
        <v>0.0</v>
      </c>
      <c r="AB209" s="5">
        <v>14.0</v>
      </c>
      <c r="AC209" s="19">
        <v>5.0</v>
      </c>
      <c r="AD209" s="19">
        <v>5.0</v>
      </c>
      <c r="AE209" s="19">
        <v>5.0</v>
      </c>
      <c r="AF209" s="19">
        <v>5.0</v>
      </c>
      <c r="AG209" s="19">
        <v>5.0</v>
      </c>
      <c r="AH209" s="19">
        <v>5.0</v>
      </c>
      <c r="AI209" s="22">
        <v>15.0</v>
      </c>
      <c r="AJ209" s="19">
        <v>15.0</v>
      </c>
      <c r="AK209" s="19">
        <v>15.0</v>
      </c>
      <c r="AL209" s="19">
        <v>15.0</v>
      </c>
      <c r="AM209" s="19">
        <v>45.0</v>
      </c>
      <c r="AN209" s="19">
        <v>60.0</v>
      </c>
      <c r="AO209" s="19">
        <v>74.0</v>
      </c>
      <c r="AP209" s="19">
        <v>608.0</v>
      </c>
      <c r="AQ209" s="23">
        <v>203.0</v>
      </c>
      <c r="AR209" s="23">
        <v>13.0</v>
      </c>
      <c r="AS209" s="22"/>
      <c r="AT209" s="19" t="s">
        <v>2163</v>
      </c>
      <c r="AU209" s="19" t="s">
        <v>5998</v>
      </c>
      <c r="AV209" s="19" t="s">
        <v>5999</v>
      </c>
      <c r="AW209" s="19" t="s">
        <v>3923</v>
      </c>
      <c r="AX209" s="20">
        <v>37052.0</v>
      </c>
      <c r="AY209" s="19" t="s">
        <v>2619</v>
      </c>
      <c r="AZ209" s="19" t="s">
        <v>2310</v>
      </c>
      <c r="BA209" s="19" t="s">
        <v>6000</v>
      </c>
      <c r="BB209" s="19" t="s">
        <v>6001</v>
      </c>
      <c r="BC209" s="19" t="s">
        <v>6002</v>
      </c>
      <c r="BD209" s="19" t="s">
        <v>6003</v>
      </c>
      <c r="BE209" s="19" t="s">
        <v>6004</v>
      </c>
      <c r="BF209" s="19">
        <v>1.1959182466E10</v>
      </c>
      <c r="BG209" s="19" t="s">
        <v>2127</v>
      </c>
      <c r="BH209" s="19" t="s">
        <v>2128</v>
      </c>
      <c r="BI209" s="19"/>
      <c r="BJ209" s="19" t="s">
        <v>2128</v>
      </c>
      <c r="BK209" s="19" t="s">
        <v>16</v>
      </c>
      <c r="BL209" s="19"/>
      <c r="BM209" s="19" t="s">
        <v>5563</v>
      </c>
      <c r="BN209" s="19" t="s">
        <v>17</v>
      </c>
      <c r="BO209" s="19" t="s">
        <v>2317</v>
      </c>
      <c r="BP209" s="19"/>
      <c r="BQ209" s="19" t="s">
        <v>2133</v>
      </c>
      <c r="BR209" s="19" t="s">
        <v>2133</v>
      </c>
      <c r="BS209" s="19" t="s">
        <v>2243</v>
      </c>
      <c r="BT209" s="19" t="s">
        <v>52</v>
      </c>
      <c r="BU209" s="19" t="s">
        <v>5750</v>
      </c>
      <c r="BV209" s="19"/>
      <c r="BW209" s="19" t="s">
        <v>2113</v>
      </c>
      <c r="BX209" s="19"/>
      <c r="BY209" s="19"/>
      <c r="BZ209" s="19"/>
      <c r="CA209" s="19"/>
      <c r="CB209" s="19" t="s">
        <v>2113</v>
      </c>
      <c r="CC209" s="19"/>
      <c r="CD209" s="19" t="s">
        <v>2137</v>
      </c>
      <c r="CE209" s="19" t="s">
        <v>16</v>
      </c>
      <c r="CF209" s="19"/>
      <c r="CG209" s="19"/>
      <c r="CH209" s="19" t="s">
        <v>16</v>
      </c>
      <c r="CI209" s="21">
        <v>0.0</v>
      </c>
      <c r="CJ209" s="19" t="s">
        <v>17</v>
      </c>
      <c r="CK209" s="19"/>
      <c r="CL209" s="19"/>
      <c r="CM209" s="19" t="s">
        <v>2926</v>
      </c>
      <c r="CN209" s="19" t="s">
        <v>2626</v>
      </c>
      <c r="CO209" s="19"/>
      <c r="CP209" s="19" t="s">
        <v>2267</v>
      </c>
      <c r="CQ209" s="19"/>
      <c r="CR209" s="19"/>
      <c r="CS209" s="19"/>
      <c r="CT209" s="19"/>
      <c r="CU209" s="19"/>
      <c r="CV209" s="19" t="s">
        <v>2179</v>
      </c>
      <c r="CW209" s="19"/>
      <c r="CX209" s="19"/>
      <c r="CY209" s="19" t="s">
        <v>2113</v>
      </c>
      <c r="CZ209" s="19" t="s">
        <v>2113</v>
      </c>
      <c r="DA209" s="19" t="s">
        <v>16</v>
      </c>
      <c r="DB209" s="19" t="s">
        <v>17</v>
      </c>
      <c r="DC209" s="19" t="s">
        <v>2627</v>
      </c>
      <c r="DD209" s="19" t="s">
        <v>2113</v>
      </c>
      <c r="DE209" s="19" t="s">
        <v>2113</v>
      </c>
      <c r="DF209" s="19" t="s">
        <v>6005</v>
      </c>
      <c r="DG209" s="19" t="s">
        <v>6006</v>
      </c>
      <c r="DH209" s="19" t="s">
        <v>2144</v>
      </c>
      <c r="DI209" s="24">
        <v>45533.0</v>
      </c>
      <c r="DJ209" s="19" t="s">
        <v>2133</v>
      </c>
      <c r="DK209" s="19" t="s">
        <v>2145</v>
      </c>
      <c r="DL209" s="19" t="s">
        <v>2146</v>
      </c>
      <c r="DM209" s="19" t="s">
        <v>2147</v>
      </c>
      <c r="DN209" s="19">
        <v>17.0</v>
      </c>
      <c r="DO209" s="19">
        <v>17.0</v>
      </c>
      <c r="DP209" s="19"/>
      <c r="DQ209" s="19"/>
      <c r="DR209" s="19"/>
      <c r="DS209" s="19" t="s">
        <v>2151</v>
      </c>
      <c r="DT209" s="19" t="s">
        <v>2209</v>
      </c>
      <c r="DU209" s="19" t="s">
        <v>6007</v>
      </c>
      <c r="DV209" s="19"/>
      <c r="DW209" s="19" t="s">
        <v>2153</v>
      </c>
      <c r="DX209" s="19">
        <v>12.0</v>
      </c>
      <c r="DY209" s="19">
        <v>10.0</v>
      </c>
      <c r="DZ209" s="19">
        <v>0.0</v>
      </c>
      <c r="EA209" s="19">
        <v>10.0</v>
      </c>
      <c r="EB209" s="19">
        <v>0.0</v>
      </c>
      <c r="EC209" s="19">
        <v>0.0</v>
      </c>
      <c r="ED209" s="19" t="s">
        <v>2133</v>
      </c>
      <c r="EE209" s="24">
        <v>45533.0</v>
      </c>
      <c r="EF209" s="19" t="s">
        <v>2133</v>
      </c>
      <c r="EG209" s="19" t="s">
        <v>2145</v>
      </c>
      <c r="EH209" s="19" t="s">
        <v>2146</v>
      </c>
      <c r="EI209" s="22">
        <v>15.0</v>
      </c>
      <c r="EJ209" s="19">
        <v>45.0</v>
      </c>
      <c r="EK209" s="19" t="s">
        <v>2113</v>
      </c>
      <c r="EL209" s="19" t="s">
        <v>2163</v>
      </c>
      <c r="EM209" s="19" t="s">
        <v>5998</v>
      </c>
      <c r="EN209" s="19" t="s">
        <v>622</v>
      </c>
      <c r="EO209" s="19" t="s">
        <v>2619</v>
      </c>
      <c r="EP209" s="19" t="s">
        <v>2310</v>
      </c>
      <c r="EQ209" s="19" t="s">
        <v>2626</v>
      </c>
      <c r="ER209" s="19"/>
      <c r="ES209" s="19" t="s">
        <v>622</v>
      </c>
      <c r="ET209" s="19" t="s">
        <v>622</v>
      </c>
      <c r="EU209" s="19" t="s">
        <v>5996</v>
      </c>
      <c r="EV209" s="19">
        <v>8409.0</v>
      </c>
      <c r="EW209" s="19" t="s">
        <v>16</v>
      </c>
      <c r="EX209" s="19">
        <v>4.0</v>
      </c>
      <c r="EY209" s="25" t="s">
        <v>621</v>
      </c>
      <c r="EZ209" s="19" t="s">
        <v>2154</v>
      </c>
      <c r="FA209" s="5" t="s">
        <v>6008</v>
      </c>
      <c r="FB209" s="26" t="s">
        <v>2156</v>
      </c>
      <c r="FC209" s="26"/>
    </row>
    <row r="210">
      <c r="A210" s="19" t="s">
        <v>2156</v>
      </c>
      <c r="B210" s="19"/>
      <c r="C210" s="19" t="s">
        <v>2113</v>
      </c>
      <c r="D210" s="19" t="s">
        <v>6009</v>
      </c>
      <c r="E210" s="19" t="s">
        <v>6010</v>
      </c>
      <c r="F210" s="19" t="s">
        <v>6011</v>
      </c>
      <c r="G210" s="19" t="s">
        <v>6012</v>
      </c>
      <c r="H210" s="19" t="s">
        <v>623</v>
      </c>
      <c r="I210" s="19" t="s">
        <v>625</v>
      </c>
      <c r="J210" s="19" t="s">
        <v>6013</v>
      </c>
      <c r="K210" s="19" t="s">
        <v>6014</v>
      </c>
      <c r="L210" s="20">
        <v>45455.0</v>
      </c>
      <c r="M210" s="20">
        <v>45455.0</v>
      </c>
      <c r="N210" s="20">
        <v>45455.0</v>
      </c>
      <c r="O210" s="19" t="s">
        <v>624</v>
      </c>
      <c r="P210" s="19">
        <v>0.0</v>
      </c>
      <c r="Q210" s="19">
        <v>21.0</v>
      </c>
      <c r="R210" s="19">
        <v>7870.0</v>
      </c>
      <c r="S210" s="20" t="s">
        <v>6015</v>
      </c>
      <c r="T210" s="20">
        <v>45461.0</v>
      </c>
      <c r="U210" s="19" t="s">
        <v>6011</v>
      </c>
      <c r="V210" s="19"/>
      <c r="W210" s="19"/>
      <c r="X210" s="21">
        <v>0.0</v>
      </c>
      <c r="Y210" s="21">
        <v>10.0</v>
      </c>
      <c r="Z210" s="21">
        <v>4.0</v>
      </c>
      <c r="AA210" s="21">
        <v>0.0</v>
      </c>
      <c r="AB210" s="5">
        <v>14.0</v>
      </c>
      <c r="AC210" s="19">
        <v>5.0</v>
      </c>
      <c r="AD210" s="19">
        <v>5.0</v>
      </c>
      <c r="AE210" s="19">
        <v>5.0</v>
      </c>
      <c r="AF210" s="19">
        <v>5.0</v>
      </c>
      <c r="AG210" s="19">
        <v>5.0</v>
      </c>
      <c r="AH210" s="19">
        <v>5.0</v>
      </c>
      <c r="AI210" s="22">
        <v>15.0</v>
      </c>
      <c r="AJ210" s="19">
        <v>15.0</v>
      </c>
      <c r="AK210" s="19">
        <v>15.0</v>
      </c>
      <c r="AL210" s="19">
        <v>15.0</v>
      </c>
      <c r="AM210" s="19">
        <v>45.0</v>
      </c>
      <c r="AN210" s="19">
        <v>60.0</v>
      </c>
      <c r="AO210" s="19">
        <v>74.0</v>
      </c>
      <c r="AP210" s="19">
        <v>619.0</v>
      </c>
      <c r="AQ210" s="23">
        <v>204.0</v>
      </c>
      <c r="AR210" s="23">
        <v>14.0</v>
      </c>
      <c r="AS210" s="22"/>
      <c r="AT210" s="19" t="s">
        <v>2163</v>
      </c>
      <c r="AU210" s="19" t="s">
        <v>6016</v>
      </c>
      <c r="AV210" s="19" t="s">
        <v>6017</v>
      </c>
      <c r="AW210" s="19"/>
      <c r="AX210" s="20">
        <v>37591.0</v>
      </c>
      <c r="AY210" s="19" t="s">
        <v>2375</v>
      </c>
      <c r="AZ210" s="19" t="s">
        <v>2122</v>
      </c>
      <c r="BA210" s="19" t="s">
        <v>6018</v>
      </c>
      <c r="BB210" s="19" t="s">
        <v>6019</v>
      </c>
      <c r="BC210" s="19" t="s">
        <v>6020</v>
      </c>
      <c r="BD210" s="19" t="s">
        <v>6021</v>
      </c>
      <c r="BE210" s="19"/>
      <c r="BF210" s="19"/>
      <c r="BG210" s="19" t="s">
        <v>2127</v>
      </c>
      <c r="BH210" s="19" t="s">
        <v>2128</v>
      </c>
      <c r="BI210" s="19"/>
      <c r="BJ210" s="19" t="s">
        <v>2427</v>
      </c>
      <c r="BK210" s="19" t="s">
        <v>17</v>
      </c>
      <c r="BL210" s="19" t="s">
        <v>2113</v>
      </c>
      <c r="BM210" s="19" t="s">
        <v>5411</v>
      </c>
      <c r="BN210" s="19" t="s">
        <v>3018</v>
      </c>
      <c r="BO210" s="19" t="s">
        <v>2317</v>
      </c>
      <c r="BP210" s="19"/>
      <c r="BQ210" s="19" t="s">
        <v>2133</v>
      </c>
      <c r="BR210" s="19" t="s">
        <v>2133</v>
      </c>
      <c r="BS210" s="19" t="s">
        <v>2243</v>
      </c>
      <c r="BT210" s="19" t="s">
        <v>52</v>
      </c>
      <c r="BU210" s="19" t="s">
        <v>6022</v>
      </c>
      <c r="BV210" s="19"/>
      <c r="BW210" s="19"/>
      <c r="BX210" s="19"/>
      <c r="BY210" s="19"/>
      <c r="BZ210" s="19" t="s">
        <v>2113</v>
      </c>
      <c r="CA210" s="19" t="s">
        <v>2113</v>
      </c>
      <c r="CB210" s="19" t="s">
        <v>2113</v>
      </c>
      <c r="CC210" s="19"/>
      <c r="CD210" s="19" t="s">
        <v>2137</v>
      </c>
      <c r="CE210" s="19" t="s">
        <v>16</v>
      </c>
      <c r="CF210" s="19" t="s">
        <v>2113</v>
      </c>
      <c r="CG210" s="19"/>
      <c r="CH210" s="19" t="s">
        <v>16</v>
      </c>
      <c r="CI210" s="21">
        <v>0.0</v>
      </c>
      <c r="CJ210" s="19" t="s">
        <v>17</v>
      </c>
      <c r="CK210" s="19" t="s">
        <v>2113</v>
      </c>
      <c r="CL210" s="19" t="s">
        <v>2113</v>
      </c>
      <c r="CM210" s="19" t="s">
        <v>2138</v>
      </c>
      <c r="CN210" s="19" t="s">
        <v>2382</v>
      </c>
      <c r="CO210" s="19"/>
      <c r="CP210" s="19" t="s">
        <v>2246</v>
      </c>
      <c r="CQ210" s="19"/>
      <c r="CR210" s="19" t="s">
        <v>2113</v>
      </c>
      <c r="CS210" s="19" t="s">
        <v>2113</v>
      </c>
      <c r="CT210" s="19"/>
      <c r="CU210" s="19"/>
      <c r="CV210" s="19" t="s">
        <v>2141</v>
      </c>
      <c r="CW210" s="19"/>
      <c r="CX210" s="19"/>
      <c r="CY210" s="19"/>
      <c r="CZ210" s="19"/>
      <c r="DA210" s="19" t="s">
        <v>16</v>
      </c>
      <c r="DB210" s="19" t="s">
        <v>17</v>
      </c>
      <c r="DC210" s="19" t="s">
        <v>2579</v>
      </c>
      <c r="DD210" s="19" t="s">
        <v>2113</v>
      </c>
      <c r="DE210" s="19" t="s">
        <v>2113</v>
      </c>
      <c r="DF210" s="19" t="s">
        <v>2248</v>
      </c>
      <c r="DG210" s="19" t="s">
        <v>2146</v>
      </c>
      <c r="DH210" s="19" t="s">
        <v>2580</v>
      </c>
      <c r="DI210" s="24">
        <v>45517.0</v>
      </c>
      <c r="DJ210" s="19" t="s">
        <v>2133</v>
      </c>
      <c r="DK210" s="19" t="s">
        <v>2271</v>
      </c>
      <c r="DL210" s="19" t="s">
        <v>2146</v>
      </c>
      <c r="DM210" s="19"/>
      <c r="DN210" s="19">
        <v>2.0</v>
      </c>
      <c r="DO210" s="19">
        <v>2.0</v>
      </c>
      <c r="DP210" s="19" t="s">
        <v>6023</v>
      </c>
      <c r="DQ210" s="19" t="s">
        <v>6024</v>
      </c>
      <c r="DR210" s="19" t="s">
        <v>6025</v>
      </c>
      <c r="DS210" s="19" t="s">
        <v>2365</v>
      </c>
      <c r="DT210" s="19" t="s">
        <v>2350</v>
      </c>
      <c r="DU210" s="19"/>
      <c r="DV210" s="19"/>
      <c r="DW210" s="19" t="s">
        <v>2153</v>
      </c>
      <c r="DX210" s="19">
        <v>7.0</v>
      </c>
      <c r="DY210" s="19">
        <v>10.0</v>
      </c>
      <c r="DZ210" s="19">
        <v>0.0</v>
      </c>
      <c r="EA210" s="19">
        <v>10.0</v>
      </c>
      <c r="EB210" s="19">
        <v>0.0</v>
      </c>
      <c r="EC210" s="19">
        <v>0.0</v>
      </c>
      <c r="ED210" s="19" t="s">
        <v>2133</v>
      </c>
      <c r="EE210" s="24">
        <v>45517.0</v>
      </c>
      <c r="EF210" s="19" t="s">
        <v>2133</v>
      </c>
      <c r="EG210" s="19" t="s">
        <v>2271</v>
      </c>
      <c r="EH210" s="19" t="s">
        <v>2146</v>
      </c>
      <c r="EI210" s="22">
        <v>15.0</v>
      </c>
      <c r="EJ210" s="19">
        <v>45.0</v>
      </c>
      <c r="EK210" s="19" t="s">
        <v>2113</v>
      </c>
      <c r="EL210" s="19" t="s">
        <v>2163</v>
      </c>
      <c r="EM210" s="19" t="s">
        <v>6016</v>
      </c>
      <c r="EN210" s="19" t="s">
        <v>625</v>
      </c>
      <c r="EO210" s="19" t="s">
        <v>2375</v>
      </c>
      <c r="EP210" s="19" t="s">
        <v>2122</v>
      </c>
      <c r="EQ210" s="19" t="s">
        <v>2382</v>
      </c>
      <c r="ER210" s="19"/>
      <c r="ES210" s="19" t="s">
        <v>625</v>
      </c>
      <c r="ET210" s="19" t="s">
        <v>625</v>
      </c>
      <c r="EU210" s="19" t="s">
        <v>6014</v>
      </c>
      <c r="EV210" s="19">
        <v>7870.0</v>
      </c>
      <c r="EW210" s="19" t="s">
        <v>16</v>
      </c>
      <c r="EX210" s="19">
        <v>4.0</v>
      </c>
      <c r="EY210" s="25" t="s">
        <v>624</v>
      </c>
      <c r="EZ210" s="19" t="s">
        <v>2154</v>
      </c>
      <c r="FA210" s="5" t="s">
        <v>6026</v>
      </c>
      <c r="FB210" s="26" t="s">
        <v>2156</v>
      </c>
      <c r="FC210" s="26"/>
    </row>
    <row r="211">
      <c r="A211" s="19" t="s">
        <v>2112</v>
      </c>
      <c r="B211" s="19"/>
      <c r="C211" s="19" t="s">
        <v>2113</v>
      </c>
      <c r="D211" s="19" t="s">
        <v>626</v>
      </c>
      <c r="E211" s="19" t="s">
        <v>6027</v>
      </c>
      <c r="F211" s="19" t="s">
        <v>626</v>
      </c>
      <c r="G211" s="19"/>
      <c r="H211" s="19" t="s">
        <v>626</v>
      </c>
      <c r="I211" s="19" t="s">
        <v>628</v>
      </c>
      <c r="J211" s="19" t="s">
        <v>6028</v>
      </c>
      <c r="K211" s="19" t="s">
        <v>6029</v>
      </c>
      <c r="L211" s="20">
        <v>45429.0</v>
      </c>
      <c r="M211" s="20">
        <v>45432.0</v>
      </c>
      <c r="N211" s="20">
        <v>45432.0</v>
      </c>
      <c r="O211" s="19" t="s">
        <v>627</v>
      </c>
      <c r="P211" s="19">
        <v>0.0</v>
      </c>
      <c r="Q211" s="19">
        <v>18.0</v>
      </c>
      <c r="R211" s="19">
        <v>6689.0</v>
      </c>
      <c r="S211" s="20" t="s">
        <v>6030</v>
      </c>
      <c r="T211" s="20">
        <v>45461.0</v>
      </c>
      <c r="U211" s="19" t="s">
        <v>626</v>
      </c>
      <c r="V211" s="19"/>
      <c r="W211" s="19"/>
      <c r="X211" s="21">
        <v>0.0</v>
      </c>
      <c r="Y211" s="21">
        <v>10.0</v>
      </c>
      <c r="Z211" s="21">
        <v>4.0</v>
      </c>
      <c r="AA211" s="21">
        <v>0.0</v>
      </c>
      <c r="AB211" s="5">
        <v>14.0</v>
      </c>
      <c r="AC211" s="19">
        <v>5.0</v>
      </c>
      <c r="AD211" s="19">
        <v>5.0</v>
      </c>
      <c r="AE211" s="19">
        <v>5.0</v>
      </c>
      <c r="AF211" s="19">
        <v>5.0</v>
      </c>
      <c r="AG211" s="19">
        <v>5.0</v>
      </c>
      <c r="AH211" s="19">
        <v>5.0</v>
      </c>
      <c r="AI211" s="22">
        <v>15.0</v>
      </c>
      <c r="AJ211" s="19">
        <v>15.0</v>
      </c>
      <c r="AK211" s="19">
        <v>15.0</v>
      </c>
      <c r="AL211" s="19">
        <v>15.0</v>
      </c>
      <c r="AM211" s="19">
        <v>45.0</v>
      </c>
      <c r="AN211" s="19">
        <v>60.0</v>
      </c>
      <c r="AO211" s="19">
        <v>74.0</v>
      </c>
      <c r="AP211" s="19">
        <v>648.0</v>
      </c>
      <c r="AQ211" s="23">
        <v>205.0</v>
      </c>
      <c r="AR211" s="23">
        <v>15.0</v>
      </c>
      <c r="AS211" s="22"/>
      <c r="AT211" s="19" t="s">
        <v>2117</v>
      </c>
      <c r="AU211" s="19" t="s">
        <v>6031</v>
      </c>
      <c r="AV211" s="19" t="s">
        <v>6032</v>
      </c>
      <c r="AW211" s="19" t="s">
        <v>3923</v>
      </c>
      <c r="AX211" s="20">
        <v>38772.0</v>
      </c>
      <c r="AY211" s="19" t="s">
        <v>2619</v>
      </c>
      <c r="AZ211" s="19" t="s">
        <v>2122</v>
      </c>
      <c r="BA211" s="19" t="s">
        <v>6033</v>
      </c>
      <c r="BB211" s="19" t="s">
        <v>6034</v>
      </c>
      <c r="BC211" s="19" t="s">
        <v>6035</v>
      </c>
      <c r="BD211" s="19" t="s">
        <v>6036</v>
      </c>
      <c r="BE211" s="19" t="s">
        <v>6037</v>
      </c>
      <c r="BF211" s="19">
        <v>1.1919230723E10</v>
      </c>
      <c r="BG211" s="19" t="s">
        <v>2127</v>
      </c>
      <c r="BH211" s="19" t="s">
        <v>2128</v>
      </c>
      <c r="BI211" s="19"/>
      <c r="BJ211" s="19" t="s">
        <v>2128</v>
      </c>
      <c r="BK211" s="19" t="s">
        <v>17</v>
      </c>
      <c r="BL211" s="19"/>
      <c r="BM211" s="19" t="s">
        <v>5411</v>
      </c>
      <c r="BN211" s="19" t="s">
        <v>2112</v>
      </c>
      <c r="BO211" s="19" t="s">
        <v>2317</v>
      </c>
      <c r="BP211" s="19" t="s">
        <v>6038</v>
      </c>
      <c r="BQ211" s="19" t="s">
        <v>2133</v>
      </c>
      <c r="BR211" s="19" t="s">
        <v>2133</v>
      </c>
      <c r="BS211" s="19" t="s">
        <v>2134</v>
      </c>
      <c r="BT211" s="19" t="s">
        <v>52</v>
      </c>
      <c r="BU211" s="19" t="s">
        <v>5969</v>
      </c>
      <c r="BV211" s="19"/>
      <c r="BW211" s="19"/>
      <c r="BX211" s="19"/>
      <c r="BY211" s="19"/>
      <c r="BZ211" s="19"/>
      <c r="CA211" s="19"/>
      <c r="CB211" s="19" t="s">
        <v>2113</v>
      </c>
      <c r="CC211" s="19"/>
      <c r="CD211" s="19" t="s">
        <v>2137</v>
      </c>
      <c r="CE211" s="19" t="s">
        <v>16</v>
      </c>
      <c r="CF211" s="19"/>
      <c r="CG211" s="19"/>
      <c r="CH211" s="19" t="s">
        <v>16</v>
      </c>
      <c r="CI211" s="21">
        <v>0.0</v>
      </c>
      <c r="CJ211" s="19" t="s">
        <v>17</v>
      </c>
      <c r="CK211" s="19"/>
      <c r="CL211" s="19"/>
      <c r="CM211" s="19" t="s">
        <v>2926</v>
      </c>
      <c r="CN211" s="19" t="s">
        <v>2626</v>
      </c>
      <c r="CO211" s="19"/>
      <c r="CP211" s="19" t="s">
        <v>2140</v>
      </c>
      <c r="CQ211" s="19"/>
      <c r="CR211" s="19"/>
      <c r="CS211" s="19"/>
      <c r="CT211" s="19"/>
      <c r="CU211" s="19"/>
      <c r="CV211" s="19" t="s">
        <v>2141</v>
      </c>
      <c r="CW211" s="19" t="s">
        <v>2113</v>
      </c>
      <c r="CX211" s="19" t="s">
        <v>2113</v>
      </c>
      <c r="CY211" s="19" t="s">
        <v>2113</v>
      </c>
      <c r="CZ211" s="19" t="s">
        <v>2113</v>
      </c>
      <c r="DA211" s="19" t="s">
        <v>16</v>
      </c>
      <c r="DB211" s="19" t="s">
        <v>17</v>
      </c>
      <c r="DC211" s="19" t="s">
        <v>2297</v>
      </c>
      <c r="DD211" s="19" t="s">
        <v>2113</v>
      </c>
      <c r="DE211" s="19" t="s">
        <v>2113</v>
      </c>
      <c r="DF211" s="19" t="s">
        <v>2143</v>
      </c>
      <c r="DG211" s="19" t="s">
        <v>2433</v>
      </c>
      <c r="DH211" s="19" t="s">
        <v>2144</v>
      </c>
      <c r="DI211" s="24">
        <v>45532.0</v>
      </c>
      <c r="DJ211" s="19" t="s">
        <v>2133</v>
      </c>
      <c r="DK211" s="19" t="s">
        <v>2145</v>
      </c>
      <c r="DL211" s="19" t="s">
        <v>2146</v>
      </c>
      <c r="DM211" s="19" t="s">
        <v>4101</v>
      </c>
      <c r="DN211" s="19">
        <v>15.0</v>
      </c>
      <c r="DO211" s="19">
        <v>15.0</v>
      </c>
      <c r="DP211" s="19" t="s">
        <v>6039</v>
      </c>
      <c r="DQ211" s="19" t="s">
        <v>6040</v>
      </c>
      <c r="DR211" s="19" t="s">
        <v>6041</v>
      </c>
      <c r="DS211" s="19" t="s">
        <v>2151</v>
      </c>
      <c r="DT211" s="19" t="s">
        <v>2229</v>
      </c>
      <c r="DU211" s="19"/>
      <c r="DV211" s="19"/>
      <c r="DW211" s="19" t="s">
        <v>2153</v>
      </c>
      <c r="DX211" s="19">
        <v>12.0</v>
      </c>
      <c r="DY211" s="19">
        <v>10.0</v>
      </c>
      <c r="DZ211" s="19">
        <v>0.0</v>
      </c>
      <c r="EA211" s="19">
        <v>10.0</v>
      </c>
      <c r="EB211" s="19">
        <v>0.0</v>
      </c>
      <c r="EC211" s="19">
        <v>0.0</v>
      </c>
      <c r="ED211" s="19" t="s">
        <v>2133</v>
      </c>
      <c r="EE211" s="24">
        <v>45532.0</v>
      </c>
      <c r="EF211" s="19" t="s">
        <v>2133</v>
      </c>
      <c r="EG211" s="19" t="s">
        <v>2145</v>
      </c>
      <c r="EH211" s="19" t="s">
        <v>2146</v>
      </c>
      <c r="EI211" s="22">
        <v>15.0</v>
      </c>
      <c r="EJ211" s="19">
        <v>45.0</v>
      </c>
      <c r="EK211" s="19" t="s">
        <v>2113</v>
      </c>
      <c r="EL211" s="19" t="s">
        <v>2117</v>
      </c>
      <c r="EM211" s="19" t="s">
        <v>6031</v>
      </c>
      <c r="EN211" s="19" t="s">
        <v>628</v>
      </c>
      <c r="EO211" s="19" t="s">
        <v>2619</v>
      </c>
      <c r="EP211" s="19" t="s">
        <v>2122</v>
      </c>
      <c r="EQ211" s="19" t="s">
        <v>2626</v>
      </c>
      <c r="ER211" s="19"/>
      <c r="ES211" s="19" t="s">
        <v>628</v>
      </c>
      <c r="ET211" s="19" t="s">
        <v>628</v>
      </c>
      <c r="EU211" s="19" t="s">
        <v>6029</v>
      </c>
      <c r="EV211" s="19">
        <v>6689.0</v>
      </c>
      <c r="EW211" s="19" t="s">
        <v>16</v>
      </c>
      <c r="EX211" s="19">
        <v>4.0</v>
      </c>
      <c r="EY211" s="25" t="s">
        <v>627</v>
      </c>
      <c r="EZ211" s="19" t="s">
        <v>2154</v>
      </c>
      <c r="FA211" s="5" t="s">
        <v>6042</v>
      </c>
      <c r="FB211" s="26" t="s">
        <v>2156</v>
      </c>
      <c r="FC211" s="26"/>
    </row>
    <row r="212">
      <c r="A212" s="19" t="s">
        <v>2112</v>
      </c>
      <c r="B212" s="19"/>
      <c r="C212" s="19" t="s">
        <v>2113</v>
      </c>
      <c r="D212" s="19" t="s">
        <v>629</v>
      </c>
      <c r="E212" s="19" t="s">
        <v>6043</v>
      </c>
      <c r="F212" s="19" t="s">
        <v>6044</v>
      </c>
      <c r="G212" s="19" t="s">
        <v>6043</v>
      </c>
      <c r="H212" s="19" t="s">
        <v>629</v>
      </c>
      <c r="I212" s="19" t="s">
        <v>631</v>
      </c>
      <c r="J212" s="19" t="s">
        <v>6045</v>
      </c>
      <c r="K212" s="19" t="s">
        <v>6046</v>
      </c>
      <c r="L212" s="20">
        <v>45460.0</v>
      </c>
      <c r="M212" s="20">
        <v>45462.0</v>
      </c>
      <c r="N212" s="20">
        <v>45462.0</v>
      </c>
      <c r="O212" s="19" t="s">
        <v>630</v>
      </c>
      <c r="P212" s="19">
        <v>0.0</v>
      </c>
      <c r="Q212" s="19">
        <v>23.0</v>
      </c>
      <c r="R212" s="19">
        <v>8416.0</v>
      </c>
      <c r="S212" s="20" t="s">
        <v>6047</v>
      </c>
      <c r="T212" s="20">
        <v>45461.0</v>
      </c>
      <c r="U212" s="19" t="s">
        <v>629</v>
      </c>
      <c r="V212" s="19"/>
      <c r="W212" s="19"/>
      <c r="X212" s="21">
        <v>0.0</v>
      </c>
      <c r="Y212" s="21">
        <v>10.0</v>
      </c>
      <c r="Z212" s="21">
        <v>5.0</v>
      </c>
      <c r="AA212" s="21">
        <v>2.0</v>
      </c>
      <c r="AB212" s="5">
        <v>17.0</v>
      </c>
      <c r="AC212" s="19">
        <v>3.0</v>
      </c>
      <c r="AD212" s="19">
        <v>5.0</v>
      </c>
      <c r="AE212" s="19">
        <v>4.5</v>
      </c>
      <c r="AF212" s="19">
        <v>4.5</v>
      </c>
      <c r="AG212" s="19">
        <v>4.0</v>
      </c>
      <c r="AH212" s="19">
        <v>4.5</v>
      </c>
      <c r="AI212" s="22">
        <v>12.9375</v>
      </c>
      <c r="AJ212" s="19">
        <v>14.0</v>
      </c>
      <c r="AK212" s="19">
        <v>15.0</v>
      </c>
      <c r="AL212" s="19">
        <v>15.0</v>
      </c>
      <c r="AM212" s="19">
        <v>44.0</v>
      </c>
      <c r="AN212" s="19">
        <v>56.9</v>
      </c>
      <c r="AO212" s="19">
        <v>73.9</v>
      </c>
      <c r="AP212" s="19">
        <v>365.0</v>
      </c>
      <c r="AQ212" s="23">
        <v>206.0</v>
      </c>
      <c r="AR212" s="23">
        <v>25.0</v>
      </c>
      <c r="AS212" s="19"/>
      <c r="AT212" s="19" t="s">
        <v>2282</v>
      </c>
      <c r="AU212" s="19" t="s">
        <v>6048</v>
      </c>
      <c r="AV212" s="19" t="s">
        <v>6049</v>
      </c>
      <c r="AW212" s="19" t="s">
        <v>6050</v>
      </c>
      <c r="AX212" s="20">
        <v>37045.0</v>
      </c>
      <c r="AY212" s="19" t="s">
        <v>2167</v>
      </c>
      <c r="AZ212" s="19" t="s">
        <v>2554</v>
      </c>
      <c r="BA212" s="19" t="s">
        <v>6051</v>
      </c>
      <c r="BB212" s="19" t="s">
        <v>6052</v>
      </c>
      <c r="BC212" s="19" t="s">
        <v>6053</v>
      </c>
      <c r="BD212" s="19" t="s">
        <v>6054</v>
      </c>
      <c r="BE212" s="19" t="s">
        <v>6055</v>
      </c>
      <c r="BF212" s="19">
        <v>1.1947220017E10</v>
      </c>
      <c r="BG212" s="19" t="s">
        <v>2127</v>
      </c>
      <c r="BH212" s="19" t="s">
        <v>2128</v>
      </c>
      <c r="BI212" s="19"/>
      <c r="BJ212" s="19" t="s">
        <v>2128</v>
      </c>
      <c r="BK212" s="19" t="s">
        <v>16</v>
      </c>
      <c r="BL212" s="19"/>
      <c r="BM212" s="19" t="s">
        <v>5563</v>
      </c>
      <c r="BN212" s="19" t="s">
        <v>2172</v>
      </c>
      <c r="BO212" s="19" t="s">
        <v>2132</v>
      </c>
      <c r="BP212" s="19" t="s">
        <v>6056</v>
      </c>
      <c r="BQ212" s="19" t="s">
        <v>2174</v>
      </c>
      <c r="BR212" s="19" t="s">
        <v>2174</v>
      </c>
      <c r="BS212" s="19" t="s">
        <v>2134</v>
      </c>
      <c r="BT212" s="19" t="s">
        <v>21</v>
      </c>
      <c r="BU212" s="19"/>
      <c r="BV212" s="19"/>
      <c r="BW212" s="19" t="s">
        <v>2113</v>
      </c>
      <c r="BX212" s="19"/>
      <c r="BY212" s="19"/>
      <c r="BZ212" s="19"/>
      <c r="CA212" s="19"/>
      <c r="CB212" s="19"/>
      <c r="CC212" s="19"/>
      <c r="CD212" s="19" t="s">
        <v>2137</v>
      </c>
      <c r="CE212" s="19" t="s">
        <v>16</v>
      </c>
      <c r="CF212" s="19"/>
      <c r="CG212" s="19"/>
      <c r="CH212" s="19" t="s">
        <v>16</v>
      </c>
      <c r="CI212" s="21">
        <v>0.0</v>
      </c>
      <c r="CJ212" s="19" t="s">
        <v>16</v>
      </c>
      <c r="CK212" s="19"/>
      <c r="CL212" s="19"/>
      <c r="CM212" s="19" t="s">
        <v>2138</v>
      </c>
      <c r="CN212" s="19" t="s">
        <v>2176</v>
      </c>
      <c r="CO212" s="19"/>
      <c r="CP212" s="19" t="s">
        <v>2134</v>
      </c>
      <c r="CQ212" s="19"/>
      <c r="CR212" s="19"/>
      <c r="CS212" s="19"/>
      <c r="CT212" s="19"/>
      <c r="CU212" s="19"/>
      <c r="CV212" s="19" t="s">
        <v>2141</v>
      </c>
      <c r="CW212" s="19"/>
      <c r="CX212" s="19"/>
      <c r="CY212" s="19"/>
      <c r="CZ212" s="19"/>
      <c r="DA212" s="19" t="s">
        <v>16</v>
      </c>
      <c r="DB212" s="19" t="s">
        <v>16</v>
      </c>
      <c r="DC212" s="19" t="s">
        <v>2180</v>
      </c>
      <c r="DD212" s="19" t="s">
        <v>2113</v>
      </c>
      <c r="DE212" s="19" t="s">
        <v>2113</v>
      </c>
      <c r="DF212" s="19" t="s">
        <v>2181</v>
      </c>
      <c r="DG212" s="19" t="s">
        <v>2769</v>
      </c>
      <c r="DH212" s="19" t="s">
        <v>2144</v>
      </c>
      <c r="DI212" s="24">
        <v>45533.0</v>
      </c>
      <c r="DJ212" s="19" t="s">
        <v>2174</v>
      </c>
      <c r="DK212" s="19" t="s">
        <v>2271</v>
      </c>
      <c r="DL212" s="19" t="s">
        <v>2207</v>
      </c>
      <c r="DM212" s="19" t="s">
        <v>6057</v>
      </c>
      <c r="DN212" s="19">
        <v>7.0</v>
      </c>
      <c r="DO212" s="19">
        <v>7.0</v>
      </c>
      <c r="DP212" s="19" t="s">
        <v>6058</v>
      </c>
      <c r="DQ212" s="19" t="s">
        <v>6058</v>
      </c>
      <c r="DR212" s="19" t="s">
        <v>6058</v>
      </c>
      <c r="DS212" s="19" t="s">
        <v>2151</v>
      </c>
      <c r="DT212" s="19" t="s">
        <v>2301</v>
      </c>
      <c r="DU212" s="19"/>
      <c r="DV212" s="19" t="s">
        <v>6059</v>
      </c>
      <c r="DW212" s="19" t="s">
        <v>2153</v>
      </c>
      <c r="DX212" s="19">
        <v>14.0</v>
      </c>
      <c r="DY212" s="19">
        <v>10.0</v>
      </c>
      <c r="DZ212" s="19">
        <v>2.0</v>
      </c>
      <c r="EA212" s="19">
        <v>10.0</v>
      </c>
      <c r="EB212" s="19">
        <v>0.0</v>
      </c>
      <c r="EC212" s="19">
        <v>0.0</v>
      </c>
      <c r="ED212" s="19" t="s">
        <v>2174</v>
      </c>
      <c r="EE212" s="24">
        <v>45533.0</v>
      </c>
      <c r="EF212" s="19" t="s">
        <v>2174</v>
      </c>
      <c r="EG212" s="19" t="s">
        <v>2271</v>
      </c>
      <c r="EH212" s="19" t="s">
        <v>2207</v>
      </c>
      <c r="EI212" s="22">
        <v>12.9375</v>
      </c>
      <c r="EJ212" s="19">
        <v>44.0</v>
      </c>
      <c r="EK212" s="19"/>
      <c r="EL212" s="19" t="s">
        <v>2282</v>
      </c>
      <c r="EM212" s="19" t="s">
        <v>6048</v>
      </c>
      <c r="EN212" s="19" t="s">
        <v>631</v>
      </c>
      <c r="EO212" s="19" t="s">
        <v>2167</v>
      </c>
      <c r="EP212" s="19" t="s">
        <v>2554</v>
      </c>
      <c r="EQ212" s="19" t="s">
        <v>2176</v>
      </c>
      <c r="ER212" s="19"/>
      <c r="ES212" s="19" t="s">
        <v>631</v>
      </c>
      <c r="ET212" s="19" t="s">
        <v>631</v>
      </c>
      <c r="EU212" s="19" t="s">
        <v>6046</v>
      </c>
      <c r="EV212" s="19">
        <v>8416.0</v>
      </c>
      <c r="EW212" s="19" t="s">
        <v>16</v>
      </c>
      <c r="EX212" s="19">
        <v>5.0</v>
      </c>
      <c r="EY212" s="25" t="s">
        <v>630</v>
      </c>
      <c r="EZ212" s="19" t="s">
        <v>2154</v>
      </c>
      <c r="FA212" s="5" t="s">
        <v>6060</v>
      </c>
      <c r="FB212" s="26" t="s">
        <v>2156</v>
      </c>
      <c r="FC212" s="26"/>
    </row>
    <row r="213">
      <c r="A213" s="19" t="s">
        <v>2112</v>
      </c>
      <c r="B213" s="19"/>
      <c r="C213" s="19" t="s">
        <v>2113</v>
      </c>
      <c r="D213" s="19" t="s">
        <v>632</v>
      </c>
      <c r="E213" s="19" t="s">
        <v>6061</v>
      </c>
      <c r="F213" s="19" t="s">
        <v>632</v>
      </c>
      <c r="G213" s="19"/>
      <c r="H213" s="19" t="s">
        <v>632</v>
      </c>
      <c r="I213" s="19" t="s">
        <v>634</v>
      </c>
      <c r="J213" s="19" t="s">
        <v>6062</v>
      </c>
      <c r="K213" s="19" t="s">
        <v>6063</v>
      </c>
      <c r="L213" s="20">
        <v>45446.0</v>
      </c>
      <c r="M213" s="20">
        <v>45447.0</v>
      </c>
      <c r="N213" s="20">
        <v>45447.0</v>
      </c>
      <c r="O213" s="19" t="s">
        <v>633</v>
      </c>
      <c r="P213" s="19">
        <v>0.0</v>
      </c>
      <c r="Q213" s="19">
        <v>25.0</v>
      </c>
      <c r="R213" s="19">
        <v>9295.0</v>
      </c>
      <c r="S213" s="20" t="s">
        <v>6064</v>
      </c>
      <c r="T213" s="20">
        <v>45461.0</v>
      </c>
      <c r="U213" s="19" t="s">
        <v>632</v>
      </c>
      <c r="V213" s="19"/>
      <c r="W213" s="19"/>
      <c r="X213" s="21">
        <v>0.0</v>
      </c>
      <c r="Y213" s="21">
        <v>10.0</v>
      </c>
      <c r="Z213" s="21">
        <v>5.0</v>
      </c>
      <c r="AA213" s="21">
        <v>0.0</v>
      </c>
      <c r="AB213" s="5">
        <v>15.0</v>
      </c>
      <c r="AC213" s="19">
        <v>5.0</v>
      </c>
      <c r="AD213" s="19">
        <v>4.5</v>
      </c>
      <c r="AE213" s="19">
        <v>5.0</v>
      </c>
      <c r="AF213" s="19">
        <v>4.5</v>
      </c>
      <c r="AG213" s="19">
        <v>4.0</v>
      </c>
      <c r="AH213" s="19">
        <v>4.5</v>
      </c>
      <c r="AI213" s="22">
        <v>13.921875</v>
      </c>
      <c r="AJ213" s="19">
        <v>15.0</v>
      </c>
      <c r="AK213" s="19">
        <v>15.0</v>
      </c>
      <c r="AL213" s="19">
        <v>15.0</v>
      </c>
      <c r="AM213" s="19">
        <v>45.0</v>
      </c>
      <c r="AN213" s="19">
        <v>58.9</v>
      </c>
      <c r="AO213" s="19">
        <v>73.9</v>
      </c>
      <c r="AP213" s="19">
        <v>422.0</v>
      </c>
      <c r="AQ213" s="23">
        <v>207.0</v>
      </c>
      <c r="AR213" s="23">
        <v>19.0</v>
      </c>
      <c r="AS213" s="22"/>
      <c r="AT213" s="19" t="s">
        <v>2163</v>
      </c>
      <c r="AU213" s="19" t="s">
        <v>2485</v>
      </c>
      <c r="AV213" s="19" t="s">
        <v>6065</v>
      </c>
      <c r="AW213" s="19" t="s">
        <v>3269</v>
      </c>
      <c r="AX213" s="20">
        <v>36166.0</v>
      </c>
      <c r="AY213" s="19" t="s">
        <v>2487</v>
      </c>
      <c r="AZ213" s="19" t="s">
        <v>2310</v>
      </c>
      <c r="BA213" s="19" t="s">
        <v>6066</v>
      </c>
      <c r="BB213" s="19" t="s">
        <v>4312</v>
      </c>
      <c r="BC213" s="19" t="s">
        <v>6067</v>
      </c>
      <c r="BD213" s="19" t="s">
        <v>6068</v>
      </c>
      <c r="BE213" s="19" t="s">
        <v>6069</v>
      </c>
      <c r="BF213" s="19">
        <v>1.1931741337E10</v>
      </c>
      <c r="BG213" s="19" t="s">
        <v>2127</v>
      </c>
      <c r="BH213" s="19" t="s">
        <v>2128</v>
      </c>
      <c r="BI213" s="19"/>
      <c r="BJ213" s="19"/>
      <c r="BK213" s="19" t="s">
        <v>16</v>
      </c>
      <c r="BL213" s="19" t="s">
        <v>2113</v>
      </c>
      <c r="BM213" s="19" t="s">
        <v>5411</v>
      </c>
      <c r="BN213" s="19" t="s">
        <v>6070</v>
      </c>
      <c r="BO213" s="19" t="s">
        <v>2132</v>
      </c>
      <c r="BP213" s="19" t="s">
        <v>6071</v>
      </c>
      <c r="BQ213" s="19" t="s">
        <v>2325</v>
      </c>
      <c r="BR213" s="19" t="s">
        <v>2325</v>
      </c>
      <c r="BS213" s="19" t="s">
        <v>2243</v>
      </c>
      <c r="BT213" s="19" t="s">
        <v>59</v>
      </c>
      <c r="BU213" s="19" t="s">
        <v>6072</v>
      </c>
      <c r="BV213" s="19"/>
      <c r="BW213" s="19"/>
      <c r="BX213" s="19"/>
      <c r="BY213" s="19" t="s">
        <v>2113</v>
      </c>
      <c r="BZ213" s="19" t="s">
        <v>2113</v>
      </c>
      <c r="CA213" s="19"/>
      <c r="CB213" s="19" t="s">
        <v>2113</v>
      </c>
      <c r="CC213" s="19"/>
      <c r="CD213" s="19" t="s">
        <v>2137</v>
      </c>
      <c r="CE213" s="19" t="s">
        <v>16</v>
      </c>
      <c r="CF213" s="19" t="s">
        <v>2113</v>
      </c>
      <c r="CG213" s="19"/>
      <c r="CH213" s="19" t="s">
        <v>16</v>
      </c>
      <c r="CI213" s="21">
        <v>0.0</v>
      </c>
      <c r="CJ213" s="19" t="s">
        <v>17</v>
      </c>
      <c r="CK213" s="19"/>
      <c r="CL213" s="19"/>
      <c r="CM213" s="19"/>
      <c r="CN213" s="19" t="s">
        <v>2431</v>
      </c>
      <c r="CO213" s="19"/>
      <c r="CP213" s="19"/>
      <c r="CQ213" s="19" t="s">
        <v>2113</v>
      </c>
      <c r="CR213" s="19" t="s">
        <v>2113</v>
      </c>
      <c r="CS213" s="19" t="s">
        <v>2113</v>
      </c>
      <c r="CT213" s="19" t="s">
        <v>2113</v>
      </c>
      <c r="CU213" s="19" t="s">
        <v>2113</v>
      </c>
      <c r="CV213" s="19" t="s">
        <v>2141</v>
      </c>
      <c r="CW213" s="19"/>
      <c r="CX213" s="19"/>
      <c r="CY213" s="19"/>
      <c r="CZ213" s="19"/>
      <c r="DA213" s="19" t="s">
        <v>16</v>
      </c>
      <c r="DB213" s="19" t="s">
        <v>17</v>
      </c>
      <c r="DC213" s="19" t="s">
        <v>2496</v>
      </c>
      <c r="DD213" s="19" t="s">
        <v>2113</v>
      </c>
      <c r="DE213" s="19" t="s">
        <v>2113</v>
      </c>
      <c r="DF213" s="19" t="s">
        <v>2497</v>
      </c>
      <c r="DG213" s="19" t="s">
        <v>2432</v>
      </c>
      <c r="DH213" s="19" t="s">
        <v>2144</v>
      </c>
      <c r="DI213" s="24">
        <v>45524.0</v>
      </c>
      <c r="DJ213" s="19" t="s">
        <v>2325</v>
      </c>
      <c r="DK213" s="19" t="s">
        <v>2145</v>
      </c>
      <c r="DL213" s="19" t="s">
        <v>2326</v>
      </c>
      <c r="DM213" s="19"/>
      <c r="DN213" s="19">
        <v>7.0</v>
      </c>
      <c r="DO213" s="19">
        <v>7.0</v>
      </c>
      <c r="DP213" s="19" t="s">
        <v>6073</v>
      </c>
      <c r="DQ213" s="19" t="s">
        <v>6074</v>
      </c>
      <c r="DR213" s="19" t="s">
        <v>6075</v>
      </c>
      <c r="DS213" s="19" t="s">
        <v>2185</v>
      </c>
      <c r="DT213" s="19" t="s">
        <v>2152</v>
      </c>
      <c r="DU213" s="19"/>
      <c r="DV213" s="19"/>
      <c r="DW213" s="19" t="s">
        <v>2188</v>
      </c>
      <c r="DX213" s="19">
        <v>5.0</v>
      </c>
      <c r="DY213" s="19">
        <v>10.0</v>
      </c>
      <c r="DZ213" s="19">
        <v>0.0</v>
      </c>
      <c r="EA213" s="19">
        <v>10.0</v>
      </c>
      <c r="EB213" s="19">
        <v>0.0</v>
      </c>
      <c r="EC213" s="19">
        <v>0.0</v>
      </c>
      <c r="ED213" s="19" t="s">
        <v>2325</v>
      </c>
      <c r="EE213" s="24">
        <v>45524.0</v>
      </c>
      <c r="EF213" s="19" t="s">
        <v>2325</v>
      </c>
      <c r="EG213" s="19" t="s">
        <v>2145</v>
      </c>
      <c r="EH213" s="19" t="s">
        <v>2326</v>
      </c>
      <c r="EI213" s="22">
        <v>13.921875</v>
      </c>
      <c r="EJ213" s="19">
        <v>45.0</v>
      </c>
      <c r="EK213" s="19" t="s">
        <v>2113</v>
      </c>
      <c r="EL213" s="19" t="s">
        <v>2163</v>
      </c>
      <c r="EM213" s="19" t="s">
        <v>2485</v>
      </c>
      <c r="EN213" s="19" t="s">
        <v>634</v>
      </c>
      <c r="EO213" s="19" t="s">
        <v>2487</v>
      </c>
      <c r="EP213" s="19" t="s">
        <v>2310</v>
      </c>
      <c r="EQ213" s="19" t="s">
        <v>2431</v>
      </c>
      <c r="ER213" s="19"/>
      <c r="ES213" s="19" t="s">
        <v>634</v>
      </c>
      <c r="ET213" s="19" t="s">
        <v>634</v>
      </c>
      <c r="EU213" s="19" t="s">
        <v>6063</v>
      </c>
      <c r="EV213" s="19">
        <v>9295.0</v>
      </c>
      <c r="EW213" s="19" t="s">
        <v>16</v>
      </c>
      <c r="EX213" s="19">
        <v>5.0</v>
      </c>
      <c r="EY213" s="25" t="s">
        <v>633</v>
      </c>
      <c r="EZ213" s="19" t="s">
        <v>2154</v>
      </c>
      <c r="FA213" s="5" t="s">
        <v>6076</v>
      </c>
      <c r="FB213" s="26" t="s">
        <v>2156</v>
      </c>
      <c r="FC213" s="26"/>
    </row>
    <row r="214">
      <c r="A214" s="19" t="s">
        <v>2112</v>
      </c>
      <c r="B214" s="19"/>
      <c r="C214" s="19" t="s">
        <v>2113</v>
      </c>
      <c r="D214" s="19" t="s">
        <v>635</v>
      </c>
      <c r="E214" s="19" t="s">
        <v>6077</v>
      </c>
      <c r="F214" s="19" t="s">
        <v>635</v>
      </c>
      <c r="G214" s="19"/>
      <c r="H214" s="19" t="s">
        <v>635</v>
      </c>
      <c r="I214" s="19" t="s">
        <v>637</v>
      </c>
      <c r="J214" s="19" t="s">
        <v>6078</v>
      </c>
      <c r="K214" s="19" t="s">
        <v>6079</v>
      </c>
      <c r="L214" s="20">
        <v>45445.0</v>
      </c>
      <c r="M214" s="20">
        <v>45446.0</v>
      </c>
      <c r="N214" s="20">
        <v>45446.0</v>
      </c>
      <c r="O214" s="19" t="s">
        <v>636</v>
      </c>
      <c r="P214" s="19">
        <v>0.0</v>
      </c>
      <c r="Q214" s="19">
        <v>18.0</v>
      </c>
      <c r="R214" s="19">
        <v>6608.0</v>
      </c>
      <c r="S214" s="20" t="s">
        <v>6080</v>
      </c>
      <c r="T214" s="20">
        <v>45461.0</v>
      </c>
      <c r="U214" s="19" t="s">
        <v>635</v>
      </c>
      <c r="V214" s="19"/>
      <c r="W214" s="19"/>
      <c r="X214" s="21">
        <v>0.0</v>
      </c>
      <c r="Y214" s="21">
        <v>10.0</v>
      </c>
      <c r="Z214" s="21">
        <v>4.0</v>
      </c>
      <c r="AA214" s="21">
        <v>0.0</v>
      </c>
      <c r="AB214" s="5">
        <v>14.0</v>
      </c>
      <c r="AC214" s="19">
        <v>5.0</v>
      </c>
      <c r="AD214" s="19">
        <v>5.0</v>
      </c>
      <c r="AE214" s="19">
        <v>5.0</v>
      </c>
      <c r="AF214" s="19">
        <v>5.0</v>
      </c>
      <c r="AG214" s="19">
        <v>5.0</v>
      </c>
      <c r="AH214" s="19">
        <v>4.0</v>
      </c>
      <c r="AI214" s="22">
        <v>14.625</v>
      </c>
      <c r="AJ214" s="19">
        <v>15.0</v>
      </c>
      <c r="AK214" s="19">
        <v>15.0</v>
      </c>
      <c r="AL214" s="19">
        <v>15.0</v>
      </c>
      <c r="AM214" s="19">
        <v>45.0</v>
      </c>
      <c r="AN214" s="19">
        <v>59.6</v>
      </c>
      <c r="AO214" s="19">
        <v>73.6</v>
      </c>
      <c r="AP214" s="19">
        <v>653.0</v>
      </c>
      <c r="AQ214" s="23">
        <v>208.0</v>
      </c>
      <c r="AR214" s="23">
        <v>16.0</v>
      </c>
      <c r="AS214" s="22"/>
      <c r="AT214" s="19" t="s">
        <v>2282</v>
      </c>
      <c r="AU214" s="19" t="s">
        <v>3691</v>
      </c>
      <c r="AV214" s="19" t="s">
        <v>6081</v>
      </c>
      <c r="AW214" s="19" t="s">
        <v>6082</v>
      </c>
      <c r="AX214" s="20">
        <v>38853.0</v>
      </c>
      <c r="AY214" s="19" t="s">
        <v>6083</v>
      </c>
      <c r="AZ214" s="19" t="s">
        <v>2122</v>
      </c>
      <c r="BA214" s="19" t="s">
        <v>6084</v>
      </c>
      <c r="BB214" s="19" t="s">
        <v>6085</v>
      </c>
      <c r="BC214" s="19" t="s">
        <v>6086</v>
      </c>
      <c r="BD214" s="19" t="s">
        <v>6087</v>
      </c>
      <c r="BE214" s="19" t="s">
        <v>6088</v>
      </c>
      <c r="BF214" s="19">
        <v>1.1946412687E10</v>
      </c>
      <c r="BG214" s="19" t="s">
        <v>2127</v>
      </c>
      <c r="BH214" s="19" t="s">
        <v>2128</v>
      </c>
      <c r="BI214" s="19"/>
      <c r="BJ214" s="19" t="s">
        <v>2128</v>
      </c>
      <c r="BK214" s="19" t="s">
        <v>17</v>
      </c>
      <c r="BL214" s="19"/>
      <c r="BM214" s="19" t="s">
        <v>5411</v>
      </c>
      <c r="BN214" s="19" t="s">
        <v>2172</v>
      </c>
      <c r="BO214" s="19" t="s">
        <v>2317</v>
      </c>
      <c r="BP214" s="19" t="s">
        <v>6089</v>
      </c>
      <c r="BQ214" s="19" t="s">
        <v>2133</v>
      </c>
      <c r="BR214" s="19" t="s">
        <v>2133</v>
      </c>
      <c r="BS214" s="19" t="s">
        <v>4723</v>
      </c>
      <c r="BT214" s="19" t="s">
        <v>52</v>
      </c>
      <c r="BU214" s="19"/>
      <c r="BV214" s="19"/>
      <c r="BW214" s="19"/>
      <c r="BX214" s="19" t="s">
        <v>2113</v>
      </c>
      <c r="BY214" s="19"/>
      <c r="BZ214" s="19"/>
      <c r="CA214" s="19" t="s">
        <v>2113</v>
      </c>
      <c r="CB214" s="19" t="s">
        <v>2113</v>
      </c>
      <c r="CC214" s="19"/>
      <c r="CD214" s="19" t="s">
        <v>2137</v>
      </c>
      <c r="CE214" s="19" t="s">
        <v>16</v>
      </c>
      <c r="CF214" s="19"/>
      <c r="CG214" s="19"/>
      <c r="CH214" s="19" t="s">
        <v>16</v>
      </c>
      <c r="CI214" s="21">
        <v>0.0</v>
      </c>
      <c r="CJ214" s="19" t="s">
        <v>16</v>
      </c>
      <c r="CK214" s="19" t="s">
        <v>2113</v>
      </c>
      <c r="CL214" s="19"/>
      <c r="CM214" s="19" t="s">
        <v>2138</v>
      </c>
      <c r="CN214" s="19" t="s">
        <v>2626</v>
      </c>
      <c r="CO214" s="19"/>
      <c r="CP214" s="19" t="s">
        <v>2134</v>
      </c>
      <c r="CQ214" s="19" t="s">
        <v>2113</v>
      </c>
      <c r="CR214" s="19" t="s">
        <v>2113</v>
      </c>
      <c r="CS214" s="19" t="s">
        <v>2113</v>
      </c>
      <c r="CT214" s="19" t="s">
        <v>2113</v>
      </c>
      <c r="CU214" s="19" t="s">
        <v>2113</v>
      </c>
      <c r="CV214" s="19" t="s">
        <v>2179</v>
      </c>
      <c r="CW214" s="19"/>
      <c r="CX214" s="19"/>
      <c r="CY214" s="19" t="s">
        <v>2113</v>
      </c>
      <c r="CZ214" s="19" t="s">
        <v>2113</v>
      </c>
      <c r="DA214" s="19" t="s">
        <v>16</v>
      </c>
      <c r="DB214" s="19" t="s">
        <v>16</v>
      </c>
      <c r="DC214" s="19" t="s">
        <v>4522</v>
      </c>
      <c r="DD214" s="19" t="s">
        <v>2113</v>
      </c>
      <c r="DE214" s="19" t="s">
        <v>2113</v>
      </c>
      <c r="DF214" s="19" t="s">
        <v>2383</v>
      </c>
      <c r="DG214" s="19" t="s">
        <v>2579</v>
      </c>
      <c r="DH214" s="19" t="s">
        <v>2144</v>
      </c>
      <c r="DI214" s="24">
        <v>45525.0</v>
      </c>
      <c r="DJ214" s="19" t="s">
        <v>2133</v>
      </c>
      <c r="DK214" s="19" t="s">
        <v>2271</v>
      </c>
      <c r="DL214" s="19" t="s">
        <v>2146</v>
      </c>
      <c r="DM214" s="19" t="s">
        <v>2408</v>
      </c>
      <c r="DN214" s="19">
        <v>10.0</v>
      </c>
      <c r="DO214" s="19">
        <v>10.0</v>
      </c>
      <c r="DP214" s="19"/>
      <c r="DQ214" s="19"/>
      <c r="DR214" s="19"/>
      <c r="DS214" s="19" t="s">
        <v>2365</v>
      </c>
      <c r="DT214" s="19" t="s">
        <v>2366</v>
      </c>
      <c r="DU214" s="19" t="s">
        <v>6090</v>
      </c>
      <c r="DV214" s="19"/>
      <c r="DW214" s="19" t="s">
        <v>2188</v>
      </c>
      <c r="DX214" s="19">
        <v>10.0</v>
      </c>
      <c r="DY214" s="19">
        <v>10.0</v>
      </c>
      <c r="DZ214" s="19">
        <v>0.0</v>
      </c>
      <c r="EA214" s="19">
        <v>10.0</v>
      </c>
      <c r="EB214" s="19">
        <v>0.0</v>
      </c>
      <c r="EC214" s="19">
        <v>0.0</v>
      </c>
      <c r="ED214" s="19" t="s">
        <v>2133</v>
      </c>
      <c r="EE214" s="24">
        <v>45525.0</v>
      </c>
      <c r="EF214" s="19" t="s">
        <v>2133</v>
      </c>
      <c r="EG214" s="19" t="s">
        <v>2271</v>
      </c>
      <c r="EH214" s="19" t="s">
        <v>2146</v>
      </c>
      <c r="EI214" s="22">
        <v>14.625</v>
      </c>
      <c r="EJ214" s="19">
        <v>45.0</v>
      </c>
      <c r="EK214" s="19"/>
      <c r="EL214" s="19" t="s">
        <v>2282</v>
      </c>
      <c r="EM214" s="19" t="s">
        <v>3691</v>
      </c>
      <c r="EN214" s="19" t="s">
        <v>637</v>
      </c>
      <c r="EO214" s="19" t="s">
        <v>6083</v>
      </c>
      <c r="EP214" s="19" t="s">
        <v>2122</v>
      </c>
      <c r="EQ214" s="19" t="s">
        <v>2626</v>
      </c>
      <c r="ER214" s="19"/>
      <c r="ES214" s="19" t="s">
        <v>637</v>
      </c>
      <c r="ET214" s="19" t="s">
        <v>637</v>
      </c>
      <c r="EU214" s="19" t="s">
        <v>6079</v>
      </c>
      <c r="EV214" s="19">
        <v>6608.0</v>
      </c>
      <c r="EW214" s="19" t="s">
        <v>16</v>
      </c>
      <c r="EX214" s="19">
        <v>4.0</v>
      </c>
      <c r="EY214" s="25" t="s">
        <v>636</v>
      </c>
      <c r="EZ214" s="19" t="s">
        <v>2154</v>
      </c>
      <c r="FA214" s="5" t="s">
        <v>6091</v>
      </c>
      <c r="FB214" s="26" t="s">
        <v>2156</v>
      </c>
      <c r="FC214" s="26"/>
    </row>
    <row r="215">
      <c r="A215" s="19" t="s">
        <v>2112</v>
      </c>
      <c r="B215" s="19"/>
      <c r="C215" s="19" t="s">
        <v>2113</v>
      </c>
      <c r="D215" s="19" t="s">
        <v>638</v>
      </c>
      <c r="E215" s="19" t="s">
        <v>6092</v>
      </c>
      <c r="F215" s="19" t="s">
        <v>6093</v>
      </c>
      <c r="G215" s="19" t="s">
        <v>6094</v>
      </c>
      <c r="H215" s="19" t="s">
        <v>638</v>
      </c>
      <c r="I215" s="19" t="s">
        <v>640</v>
      </c>
      <c r="J215" s="19" t="s">
        <v>6095</v>
      </c>
      <c r="K215" s="19" t="s">
        <v>6096</v>
      </c>
      <c r="L215" s="20">
        <v>45395.0</v>
      </c>
      <c r="M215" s="20">
        <v>45404.0</v>
      </c>
      <c r="N215" s="20">
        <v>45404.0</v>
      </c>
      <c r="O215" s="19" t="s">
        <v>639</v>
      </c>
      <c r="P215" s="19">
        <v>0.0</v>
      </c>
      <c r="Q215" s="19">
        <v>21.0</v>
      </c>
      <c r="R215" s="19">
        <v>7780.0</v>
      </c>
      <c r="S215" s="20" t="s">
        <v>6097</v>
      </c>
      <c r="T215" s="20">
        <v>45461.0</v>
      </c>
      <c r="U215" s="19" t="s">
        <v>6093</v>
      </c>
      <c r="V215" s="19"/>
      <c r="W215" s="19"/>
      <c r="X215" s="21">
        <v>0.0</v>
      </c>
      <c r="Y215" s="21">
        <v>10.0</v>
      </c>
      <c r="Z215" s="21">
        <v>5.0</v>
      </c>
      <c r="AA215" s="21">
        <v>0.0</v>
      </c>
      <c r="AB215" s="5">
        <v>15.0</v>
      </c>
      <c r="AC215" s="19">
        <v>4.4</v>
      </c>
      <c r="AD215" s="19">
        <v>4.4</v>
      </c>
      <c r="AE215" s="19">
        <v>4.6</v>
      </c>
      <c r="AF215" s="19">
        <v>4.2</v>
      </c>
      <c r="AG215" s="19">
        <v>4.8</v>
      </c>
      <c r="AH215" s="19">
        <v>4.2</v>
      </c>
      <c r="AI215" s="22">
        <v>13.35</v>
      </c>
      <c r="AJ215" s="19">
        <v>15.0</v>
      </c>
      <c r="AK215" s="19">
        <v>15.0</v>
      </c>
      <c r="AL215" s="19">
        <v>15.0</v>
      </c>
      <c r="AM215" s="19">
        <v>45.0</v>
      </c>
      <c r="AN215" s="19">
        <v>58.4</v>
      </c>
      <c r="AO215" s="19">
        <v>73.4</v>
      </c>
      <c r="AP215" s="19">
        <v>482.0</v>
      </c>
      <c r="AQ215" s="23">
        <v>209.0</v>
      </c>
      <c r="AR215" s="23">
        <v>26.0</v>
      </c>
      <c r="AS215" s="22"/>
      <c r="AT215" s="19" t="s">
        <v>2117</v>
      </c>
      <c r="AU215" s="19" t="s">
        <v>5775</v>
      </c>
      <c r="AV215" s="19" t="s">
        <v>6098</v>
      </c>
      <c r="AW215" s="19" t="s">
        <v>2317</v>
      </c>
      <c r="AX215" s="20">
        <v>37681.0</v>
      </c>
      <c r="AY215" s="19" t="s">
        <v>2167</v>
      </c>
      <c r="AZ215" s="19" t="s">
        <v>2122</v>
      </c>
      <c r="BA215" s="19" t="s">
        <v>6099</v>
      </c>
      <c r="BB215" s="19" t="s">
        <v>6100</v>
      </c>
      <c r="BC215" s="19" t="s">
        <v>6101</v>
      </c>
      <c r="BD215" s="19" t="s">
        <v>6102</v>
      </c>
      <c r="BE215" s="19" t="s">
        <v>6103</v>
      </c>
      <c r="BF215" s="19">
        <v>1.1982723914E10</v>
      </c>
      <c r="BG215" s="19" t="s">
        <v>2127</v>
      </c>
      <c r="BH215" s="19" t="s">
        <v>2128</v>
      </c>
      <c r="BI215" s="19"/>
      <c r="BJ215" s="19"/>
      <c r="BK215" s="19" t="s">
        <v>16</v>
      </c>
      <c r="BL215" s="19" t="s">
        <v>2113</v>
      </c>
      <c r="BM215" s="19" t="s">
        <v>5563</v>
      </c>
      <c r="BN215" s="19" t="s">
        <v>17</v>
      </c>
      <c r="BO215" s="19" t="s">
        <v>2132</v>
      </c>
      <c r="BP215" s="19" t="s">
        <v>6104</v>
      </c>
      <c r="BQ215" s="19" t="s">
        <v>2174</v>
      </c>
      <c r="BR215" s="19" t="s">
        <v>2174</v>
      </c>
      <c r="BS215" s="19" t="s">
        <v>2243</v>
      </c>
      <c r="BT215" s="19" t="s">
        <v>21</v>
      </c>
      <c r="BU215" s="19" t="s">
        <v>6105</v>
      </c>
      <c r="BV215" s="19"/>
      <c r="BW215" s="19"/>
      <c r="BX215" s="19" t="s">
        <v>2113</v>
      </c>
      <c r="BY215" s="19" t="s">
        <v>2113</v>
      </c>
      <c r="BZ215" s="19" t="s">
        <v>2113</v>
      </c>
      <c r="CA215" s="19" t="s">
        <v>2113</v>
      </c>
      <c r="CB215" s="19" t="s">
        <v>2113</v>
      </c>
      <c r="CC215" s="19" t="s">
        <v>2113</v>
      </c>
      <c r="CD215" s="19" t="s">
        <v>2137</v>
      </c>
      <c r="CE215" s="19" t="s">
        <v>16</v>
      </c>
      <c r="CF215" s="19"/>
      <c r="CG215" s="19"/>
      <c r="CH215" s="19" t="s">
        <v>16</v>
      </c>
      <c r="CI215" s="21">
        <v>0.0</v>
      </c>
      <c r="CJ215" s="19" t="s">
        <v>17</v>
      </c>
      <c r="CK215" s="19"/>
      <c r="CL215" s="19"/>
      <c r="CM215" s="19" t="s">
        <v>2344</v>
      </c>
      <c r="CN215" s="19" t="s">
        <v>2176</v>
      </c>
      <c r="CO215" s="19"/>
      <c r="CP215" s="19" t="s">
        <v>2267</v>
      </c>
      <c r="CQ215" s="19"/>
      <c r="CR215" s="19" t="s">
        <v>2113</v>
      </c>
      <c r="CS215" s="19" t="s">
        <v>2113</v>
      </c>
      <c r="CT215" s="19"/>
      <c r="CU215" s="19"/>
      <c r="CV215" s="19" t="s">
        <v>2141</v>
      </c>
      <c r="CW215" s="19" t="s">
        <v>2113</v>
      </c>
      <c r="CX215" s="19" t="s">
        <v>2113</v>
      </c>
      <c r="CY215" s="19"/>
      <c r="CZ215" s="19"/>
      <c r="DA215" s="19" t="s">
        <v>16</v>
      </c>
      <c r="DB215" s="19" t="s">
        <v>17</v>
      </c>
      <c r="DC215" s="19" t="s">
        <v>2181</v>
      </c>
      <c r="DD215" s="19" t="s">
        <v>2113</v>
      </c>
      <c r="DE215" s="19" t="s">
        <v>2113</v>
      </c>
      <c r="DF215" s="19" t="s">
        <v>2345</v>
      </c>
      <c r="DG215" s="19" t="s">
        <v>2226</v>
      </c>
      <c r="DH215" s="19" t="s">
        <v>2144</v>
      </c>
      <c r="DI215" s="24">
        <v>45526.0</v>
      </c>
      <c r="DJ215" s="19" t="s">
        <v>2174</v>
      </c>
      <c r="DK215" s="19" t="s">
        <v>2271</v>
      </c>
      <c r="DL215" s="19" t="s">
        <v>2183</v>
      </c>
      <c r="DM215" s="19"/>
      <c r="DN215" s="19">
        <v>12.0</v>
      </c>
      <c r="DO215" s="19">
        <v>12.0</v>
      </c>
      <c r="DP215" s="19" t="s">
        <v>6106</v>
      </c>
      <c r="DQ215" s="19" t="s">
        <v>6107</v>
      </c>
      <c r="DR215" s="19" t="s">
        <v>6108</v>
      </c>
      <c r="DS215" s="19" t="s">
        <v>2151</v>
      </c>
      <c r="DT215" s="19" t="s">
        <v>2152</v>
      </c>
      <c r="DU215" s="19"/>
      <c r="DV215" s="19"/>
      <c r="DW215" s="19" t="s">
        <v>2188</v>
      </c>
      <c r="DX215" s="19">
        <v>15.0</v>
      </c>
      <c r="DY215" s="19">
        <v>10.0</v>
      </c>
      <c r="DZ215" s="19">
        <v>0.0</v>
      </c>
      <c r="EA215" s="19">
        <v>10.0</v>
      </c>
      <c r="EB215" s="19">
        <v>0.0</v>
      </c>
      <c r="EC215" s="19">
        <v>0.0</v>
      </c>
      <c r="ED215" s="19" t="s">
        <v>2174</v>
      </c>
      <c r="EE215" s="24">
        <v>45526.0</v>
      </c>
      <c r="EF215" s="19" t="s">
        <v>2174</v>
      </c>
      <c r="EG215" s="19" t="s">
        <v>2271</v>
      </c>
      <c r="EH215" s="19" t="s">
        <v>2183</v>
      </c>
      <c r="EI215" s="22">
        <v>13.35</v>
      </c>
      <c r="EJ215" s="19">
        <v>45.0</v>
      </c>
      <c r="EK215" s="19" t="s">
        <v>2113</v>
      </c>
      <c r="EL215" s="19" t="s">
        <v>2117</v>
      </c>
      <c r="EM215" s="19" t="s">
        <v>5775</v>
      </c>
      <c r="EN215" s="19" t="s">
        <v>640</v>
      </c>
      <c r="EO215" s="19" t="s">
        <v>2167</v>
      </c>
      <c r="EP215" s="19" t="s">
        <v>2122</v>
      </c>
      <c r="EQ215" s="19" t="s">
        <v>2176</v>
      </c>
      <c r="ER215" s="19"/>
      <c r="ES215" s="19" t="s">
        <v>640</v>
      </c>
      <c r="ET215" s="19" t="s">
        <v>640</v>
      </c>
      <c r="EU215" s="19" t="s">
        <v>6096</v>
      </c>
      <c r="EV215" s="19">
        <v>7780.0</v>
      </c>
      <c r="EW215" s="19" t="s">
        <v>16</v>
      </c>
      <c r="EX215" s="19">
        <v>5.0</v>
      </c>
      <c r="EY215" s="25" t="s">
        <v>639</v>
      </c>
      <c r="EZ215" s="19" t="s">
        <v>2154</v>
      </c>
      <c r="FA215" s="5" t="s">
        <v>6109</v>
      </c>
      <c r="FB215" s="26" t="s">
        <v>2156</v>
      </c>
      <c r="FC215" s="26"/>
    </row>
    <row r="216">
      <c r="A216" s="19" t="s">
        <v>2112</v>
      </c>
      <c r="B216" s="19"/>
      <c r="C216" s="19" t="s">
        <v>2113</v>
      </c>
      <c r="D216" s="19" t="s">
        <v>641</v>
      </c>
      <c r="E216" s="19" t="s">
        <v>6110</v>
      </c>
      <c r="F216" s="19" t="s">
        <v>641</v>
      </c>
      <c r="G216" s="19"/>
      <c r="H216" s="19" t="s">
        <v>641</v>
      </c>
      <c r="I216" s="19" t="s">
        <v>643</v>
      </c>
      <c r="J216" s="19" t="s">
        <v>6111</v>
      </c>
      <c r="K216" s="19" t="s">
        <v>6112</v>
      </c>
      <c r="L216" s="20">
        <v>45420.0</v>
      </c>
      <c r="M216" s="20">
        <v>45428.0</v>
      </c>
      <c r="N216" s="20">
        <v>45428.0</v>
      </c>
      <c r="O216" s="19" t="s">
        <v>642</v>
      </c>
      <c r="P216" s="19">
        <v>0.0</v>
      </c>
      <c r="Q216" s="19">
        <v>21.0</v>
      </c>
      <c r="R216" s="19">
        <v>7834.0</v>
      </c>
      <c r="S216" s="20" t="s">
        <v>6113</v>
      </c>
      <c r="T216" s="20">
        <v>45461.0</v>
      </c>
      <c r="U216" s="19" t="s">
        <v>641</v>
      </c>
      <c r="V216" s="19"/>
      <c r="W216" s="19"/>
      <c r="X216" s="21">
        <v>0.0</v>
      </c>
      <c r="Y216" s="21">
        <v>10.0</v>
      </c>
      <c r="Z216" s="21">
        <v>2.0</v>
      </c>
      <c r="AA216" s="21">
        <v>3.0</v>
      </c>
      <c r="AB216" s="5">
        <v>15.0</v>
      </c>
      <c r="AC216" s="19">
        <v>4.6</v>
      </c>
      <c r="AD216" s="19">
        <v>4.4</v>
      </c>
      <c r="AE216" s="19">
        <v>4.6</v>
      </c>
      <c r="AF216" s="19">
        <v>4.2</v>
      </c>
      <c r="AG216" s="19">
        <v>4.8</v>
      </c>
      <c r="AH216" s="19">
        <v>4.2</v>
      </c>
      <c r="AI216" s="22">
        <v>13.44375</v>
      </c>
      <c r="AJ216" s="19">
        <v>15.0</v>
      </c>
      <c r="AK216" s="19">
        <v>15.0</v>
      </c>
      <c r="AL216" s="19">
        <v>15.0</v>
      </c>
      <c r="AM216" s="19">
        <v>45.0</v>
      </c>
      <c r="AN216" s="19">
        <v>58.4</v>
      </c>
      <c r="AO216" s="19">
        <v>73.4</v>
      </c>
      <c r="AP216" s="19">
        <v>573.0</v>
      </c>
      <c r="AQ216" s="23">
        <v>210.0</v>
      </c>
      <c r="AR216" s="23">
        <v>19.0</v>
      </c>
      <c r="AS216" s="22"/>
      <c r="AT216" s="19" t="s">
        <v>2282</v>
      </c>
      <c r="AU216" s="19" t="s">
        <v>6114</v>
      </c>
      <c r="AV216" s="19" t="s">
        <v>6115</v>
      </c>
      <c r="AW216" s="19" t="s">
        <v>6116</v>
      </c>
      <c r="AX216" s="20">
        <v>37627.0</v>
      </c>
      <c r="AY216" s="19" t="s">
        <v>4165</v>
      </c>
      <c r="AZ216" s="19" t="s">
        <v>2122</v>
      </c>
      <c r="BA216" s="19" t="s">
        <v>6117</v>
      </c>
      <c r="BB216" s="19" t="s">
        <v>6118</v>
      </c>
      <c r="BC216" s="19" t="s">
        <v>6119</v>
      </c>
      <c r="BD216" s="19" t="s">
        <v>6120</v>
      </c>
      <c r="BE216" s="19" t="s">
        <v>6111</v>
      </c>
      <c r="BF216" s="19">
        <v>1.1996169689E10</v>
      </c>
      <c r="BG216" s="19" t="s">
        <v>2127</v>
      </c>
      <c r="BH216" s="19" t="s">
        <v>2128</v>
      </c>
      <c r="BI216" s="19"/>
      <c r="BJ216" s="19"/>
      <c r="BK216" s="19" t="s">
        <v>16</v>
      </c>
      <c r="BL216" s="19" t="s">
        <v>2113</v>
      </c>
      <c r="BM216" s="19" t="s">
        <v>5411</v>
      </c>
      <c r="BN216" s="19" t="s">
        <v>2172</v>
      </c>
      <c r="BO216" s="19" t="s">
        <v>3199</v>
      </c>
      <c r="BP216" s="19"/>
      <c r="BQ216" s="19" t="s">
        <v>2174</v>
      </c>
      <c r="BR216" s="19" t="s">
        <v>2174</v>
      </c>
      <c r="BS216" s="19" t="s">
        <v>2134</v>
      </c>
      <c r="BT216" s="19" t="s">
        <v>34</v>
      </c>
      <c r="BU216" s="19"/>
      <c r="BV216" s="19"/>
      <c r="BW216" s="19"/>
      <c r="BX216" s="19" t="s">
        <v>2113</v>
      </c>
      <c r="BY216" s="19" t="s">
        <v>2113</v>
      </c>
      <c r="BZ216" s="19" t="s">
        <v>2113</v>
      </c>
      <c r="CA216" s="19" t="s">
        <v>2113</v>
      </c>
      <c r="CB216" s="19" t="s">
        <v>2113</v>
      </c>
      <c r="CC216" s="19"/>
      <c r="CD216" s="19" t="s">
        <v>2137</v>
      </c>
      <c r="CE216" s="19" t="s">
        <v>16</v>
      </c>
      <c r="CF216" s="19" t="s">
        <v>2113</v>
      </c>
      <c r="CG216" s="19"/>
      <c r="CH216" s="19" t="s">
        <v>17</v>
      </c>
      <c r="CI216" s="21">
        <v>3.0</v>
      </c>
      <c r="CJ216" s="19" t="s">
        <v>16</v>
      </c>
      <c r="CK216" s="19" t="s">
        <v>2113</v>
      </c>
      <c r="CL216" s="19"/>
      <c r="CM216" s="19" t="s">
        <v>2138</v>
      </c>
      <c r="CN216" s="19" t="s">
        <v>4172</v>
      </c>
      <c r="CO216" s="19"/>
      <c r="CP216" s="19"/>
      <c r="CQ216" s="19" t="s">
        <v>2113</v>
      </c>
      <c r="CR216" s="19" t="s">
        <v>2113</v>
      </c>
      <c r="CS216" s="19" t="s">
        <v>2113</v>
      </c>
      <c r="CT216" s="19" t="s">
        <v>2113</v>
      </c>
      <c r="CU216" s="19" t="s">
        <v>2113</v>
      </c>
      <c r="CV216" s="19" t="s">
        <v>2141</v>
      </c>
      <c r="CW216" s="19" t="s">
        <v>2113</v>
      </c>
      <c r="CX216" s="19" t="s">
        <v>2113</v>
      </c>
      <c r="CY216" s="19" t="s">
        <v>2113</v>
      </c>
      <c r="CZ216" s="19" t="s">
        <v>2113</v>
      </c>
      <c r="DA216" s="19" t="s">
        <v>16</v>
      </c>
      <c r="DB216" s="19" t="s">
        <v>16</v>
      </c>
      <c r="DC216" s="19" t="s">
        <v>2270</v>
      </c>
      <c r="DD216" s="19" t="s">
        <v>2113</v>
      </c>
      <c r="DE216" s="19" t="s">
        <v>2113</v>
      </c>
      <c r="DF216" s="19" t="s">
        <v>2247</v>
      </c>
      <c r="DG216" s="19" t="s">
        <v>2269</v>
      </c>
      <c r="DH216" s="19" t="s">
        <v>2144</v>
      </c>
      <c r="DI216" s="24">
        <v>45525.0</v>
      </c>
      <c r="DJ216" s="19" t="s">
        <v>2174</v>
      </c>
      <c r="DK216" s="19" t="s">
        <v>2271</v>
      </c>
      <c r="DL216" s="19" t="s">
        <v>2183</v>
      </c>
      <c r="DM216" s="19" t="s">
        <v>2249</v>
      </c>
      <c r="DN216" s="19">
        <v>10.0</v>
      </c>
      <c r="DO216" s="19">
        <v>10.0</v>
      </c>
      <c r="DP216" s="19" t="s">
        <v>6121</v>
      </c>
      <c r="DQ216" s="19" t="s">
        <v>6122</v>
      </c>
      <c r="DR216" s="19" t="s">
        <v>6123</v>
      </c>
      <c r="DS216" s="19" t="s">
        <v>2151</v>
      </c>
      <c r="DT216" s="19" t="s">
        <v>2209</v>
      </c>
      <c r="DU216" s="19"/>
      <c r="DV216" s="19"/>
      <c r="DW216" s="19" t="s">
        <v>2479</v>
      </c>
      <c r="DX216" s="19">
        <v>16.0</v>
      </c>
      <c r="DY216" s="19">
        <v>10.0</v>
      </c>
      <c r="DZ216" s="19">
        <v>0.0</v>
      </c>
      <c r="EA216" s="19">
        <v>10.0</v>
      </c>
      <c r="EB216" s="19">
        <v>3.0</v>
      </c>
      <c r="EC216" s="19">
        <v>0.0</v>
      </c>
      <c r="ED216" s="19" t="s">
        <v>2174</v>
      </c>
      <c r="EE216" s="24">
        <v>45525.0</v>
      </c>
      <c r="EF216" s="19" t="s">
        <v>2174</v>
      </c>
      <c r="EG216" s="19" t="s">
        <v>2271</v>
      </c>
      <c r="EH216" s="19" t="s">
        <v>2183</v>
      </c>
      <c r="EI216" s="22">
        <v>13.44375</v>
      </c>
      <c r="EJ216" s="19">
        <v>45.0</v>
      </c>
      <c r="EK216" s="19"/>
      <c r="EL216" s="19" t="s">
        <v>2282</v>
      </c>
      <c r="EM216" s="19" t="s">
        <v>6114</v>
      </c>
      <c r="EN216" s="19" t="s">
        <v>643</v>
      </c>
      <c r="EO216" s="19" t="s">
        <v>4165</v>
      </c>
      <c r="EP216" s="19" t="s">
        <v>2122</v>
      </c>
      <c r="EQ216" s="19" t="s">
        <v>4172</v>
      </c>
      <c r="ER216" s="19"/>
      <c r="ES216" s="19" t="s">
        <v>643</v>
      </c>
      <c r="ET216" s="19" t="s">
        <v>643</v>
      </c>
      <c r="EU216" s="19" t="s">
        <v>6112</v>
      </c>
      <c r="EV216" s="19">
        <v>7834.0</v>
      </c>
      <c r="EW216" s="19" t="s">
        <v>16</v>
      </c>
      <c r="EX216" s="19">
        <v>2.0</v>
      </c>
      <c r="EY216" s="25" t="s">
        <v>642</v>
      </c>
      <c r="EZ216" s="19" t="s">
        <v>2154</v>
      </c>
      <c r="FA216" s="5" t="s">
        <v>6124</v>
      </c>
      <c r="FB216" s="26" t="s">
        <v>2156</v>
      </c>
      <c r="FC216" s="26"/>
    </row>
    <row r="217">
      <c r="A217" s="19" t="s">
        <v>2112</v>
      </c>
      <c r="B217" s="19"/>
      <c r="C217" s="19" t="s">
        <v>2113</v>
      </c>
      <c r="D217" s="19" t="s">
        <v>644</v>
      </c>
      <c r="E217" s="19" t="s">
        <v>6125</v>
      </c>
      <c r="F217" s="19" t="s">
        <v>644</v>
      </c>
      <c r="G217" s="19"/>
      <c r="H217" s="19" t="s">
        <v>644</v>
      </c>
      <c r="I217" s="19" t="s">
        <v>646</v>
      </c>
      <c r="J217" s="19" t="s">
        <v>6126</v>
      </c>
      <c r="K217" s="19" t="s">
        <v>6127</v>
      </c>
      <c r="L217" s="20">
        <v>45394.0</v>
      </c>
      <c r="M217" s="20">
        <v>45404.0</v>
      </c>
      <c r="N217" s="20">
        <v>45404.0</v>
      </c>
      <c r="O217" s="19" t="s">
        <v>645</v>
      </c>
      <c r="P217" s="19">
        <v>0.0</v>
      </c>
      <c r="Q217" s="19">
        <v>25.0</v>
      </c>
      <c r="R217" s="19">
        <v>9481.0</v>
      </c>
      <c r="S217" s="20" t="s">
        <v>6128</v>
      </c>
      <c r="T217" s="20">
        <v>45461.0</v>
      </c>
      <c r="U217" s="19" t="s">
        <v>644</v>
      </c>
      <c r="V217" s="19"/>
      <c r="W217" s="19"/>
      <c r="X217" s="21">
        <v>0.0</v>
      </c>
      <c r="Y217" s="21">
        <v>10.0</v>
      </c>
      <c r="Z217" s="21">
        <v>5.0</v>
      </c>
      <c r="AA217" s="21">
        <v>0.0</v>
      </c>
      <c r="AB217" s="5">
        <v>15.0</v>
      </c>
      <c r="AC217" s="19">
        <v>4.4</v>
      </c>
      <c r="AD217" s="19">
        <v>4.4</v>
      </c>
      <c r="AE217" s="19">
        <v>4.4</v>
      </c>
      <c r="AF217" s="19">
        <v>4.4</v>
      </c>
      <c r="AG217" s="19">
        <v>4.4</v>
      </c>
      <c r="AH217" s="19">
        <v>4.6</v>
      </c>
      <c r="AI217" s="22">
        <v>13.275</v>
      </c>
      <c r="AJ217" s="19">
        <v>15.0</v>
      </c>
      <c r="AK217" s="19">
        <v>15.0</v>
      </c>
      <c r="AL217" s="19">
        <v>15.0</v>
      </c>
      <c r="AM217" s="19">
        <v>45.0</v>
      </c>
      <c r="AN217" s="19">
        <v>58.3</v>
      </c>
      <c r="AO217" s="19">
        <v>73.3</v>
      </c>
      <c r="AP217" s="19">
        <v>420.0</v>
      </c>
      <c r="AQ217" s="23">
        <v>211.0</v>
      </c>
      <c r="AR217" s="23">
        <v>20.0</v>
      </c>
      <c r="AS217" s="22"/>
      <c r="AT217" s="19" t="s">
        <v>2282</v>
      </c>
      <c r="AU217" s="19" t="s">
        <v>6129</v>
      </c>
      <c r="AV217" s="19" t="s">
        <v>6130</v>
      </c>
      <c r="AW217" s="19" t="s">
        <v>2166</v>
      </c>
      <c r="AX217" s="20">
        <v>35980.0</v>
      </c>
      <c r="AY217" s="19" t="s">
        <v>2258</v>
      </c>
      <c r="AZ217" s="19" t="s">
        <v>2122</v>
      </c>
      <c r="BA217" s="19" t="s">
        <v>6131</v>
      </c>
      <c r="BB217" s="19" t="s">
        <v>6132</v>
      </c>
      <c r="BC217" s="19" t="s">
        <v>6133</v>
      </c>
      <c r="BD217" s="19" t="s">
        <v>6134</v>
      </c>
      <c r="BE217" s="19" t="s">
        <v>6126</v>
      </c>
      <c r="BF217" s="19">
        <v>1.1986205856E10</v>
      </c>
      <c r="BG217" s="19" t="s">
        <v>2127</v>
      </c>
      <c r="BH217" s="19" t="s">
        <v>2128</v>
      </c>
      <c r="BI217" s="19"/>
      <c r="BJ217" s="19"/>
      <c r="BK217" s="19" t="s">
        <v>16</v>
      </c>
      <c r="BL217" s="19"/>
      <c r="BM217" s="19" t="s">
        <v>5411</v>
      </c>
      <c r="BN217" s="19" t="s">
        <v>17</v>
      </c>
      <c r="BO217" s="19" t="s">
        <v>2132</v>
      </c>
      <c r="BP217" s="19" t="s">
        <v>6135</v>
      </c>
      <c r="BQ217" s="19" t="s">
        <v>2174</v>
      </c>
      <c r="BR217" s="19" t="s">
        <v>2174</v>
      </c>
      <c r="BS217" s="19" t="s">
        <v>2134</v>
      </c>
      <c r="BT217" s="19" t="s">
        <v>34</v>
      </c>
      <c r="BU217" s="19" t="s">
        <v>6136</v>
      </c>
      <c r="BV217" s="19"/>
      <c r="BW217" s="19"/>
      <c r="BX217" s="19"/>
      <c r="BY217" s="19" t="s">
        <v>2113</v>
      </c>
      <c r="BZ217" s="19"/>
      <c r="CA217" s="19"/>
      <c r="CB217" s="19" t="s">
        <v>2113</v>
      </c>
      <c r="CC217" s="19"/>
      <c r="CD217" s="19" t="s">
        <v>2137</v>
      </c>
      <c r="CE217" s="19" t="s">
        <v>16</v>
      </c>
      <c r="CF217" s="19"/>
      <c r="CG217" s="19"/>
      <c r="CH217" s="19" t="s">
        <v>16</v>
      </c>
      <c r="CI217" s="21">
        <v>0.0</v>
      </c>
      <c r="CJ217" s="19" t="s">
        <v>16</v>
      </c>
      <c r="CK217" s="19"/>
      <c r="CL217" s="19"/>
      <c r="CM217" s="19" t="s">
        <v>2138</v>
      </c>
      <c r="CN217" s="19" t="s">
        <v>2266</v>
      </c>
      <c r="CO217" s="19"/>
      <c r="CP217" s="19"/>
      <c r="CQ217" s="19" t="s">
        <v>2113</v>
      </c>
      <c r="CR217" s="19" t="s">
        <v>2113</v>
      </c>
      <c r="CS217" s="19" t="s">
        <v>2113</v>
      </c>
      <c r="CT217" s="19" t="s">
        <v>2113</v>
      </c>
      <c r="CU217" s="19" t="s">
        <v>2113</v>
      </c>
      <c r="CV217" s="19" t="s">
        <v>2141</v>
      </c>
      <c r="CW217" s="19"/>
      <c r="CX217" s="19"/>
      <c r="CY217" s="19" t="s">
        <v>2113</v>
      </c>
      <c r="CZ217" s="19" t="s">
        <v>2113</v>
      </c>
      <c r="DA217" s="19" t="s">
        <v>16</v>
      </c>
      <c r="DB217" s="19" t="s">
        <v>16</v>
      </c>
      <c r="DC217" s="19" t="s">
        <v>5450</v>
      </c>
      <c r="DD217" s="19" t="s">
        <v>2113</v>
      </c>
      <c r="DE217" s="19" t="s">
        <v>2113</v>
      </c>
      <c r="DF217" s="19" t="s">
        <v>2538</v>
      </c>
      <c r="DG217" s="19" t="s">
        <v>2539</v>
      </c>
      <c r="DH217" s="19" t="s">
        <v>2144</v>
      </c>
      <c r="DI217" s="24">
        <v>45519.0</v>
      </c>
      <c r="DJ217" s="19" t="s">
        <v>2174</v>
      </c>
      <c r="DK217" s="19" t="s">
        <v>2271</v>
      </c>
      <c r="DL217" s="19" t="s">
        <v>2183</v>
      </c>
      <c r="DM217" s="19" t="s">
        <v>2272</v>
      </c>
      <c r="DN217" s="19">
        <v>6.0</v>
      </c>
      <c r="DO217" s="19">
        <v>6.0</v>
      </c>
      <c r="DP217" s="19" t="s">
        <v>6137</v>
      </c>
      <c r="DQ217" s="19" t="s">
        <v>6138</v>
      </c>
      <c r="DR217" s="19" t="s">
        <v>6139</v>
      </c>
      <c r="DS217" s="19" t="s">
        <v>2151</v>
      </c>
      <c r="DT217" s="19" t="s">
        <v>2152</v>
      </c>
      <c r="DU217" s="19"/>
      <c r="DV217" s="19"/>
      <c r="DW217" s="19" t="s">
        <v>2153</v>
      </c>
      <c r="DX217" s="19">
        <v>13.0</v>
      </c>
      <c r="DY217" s="19">
        <v>10.0</v>
      </c>
      <c r="DZ217" s="19">
        <v>0.0</v>
      </c>
      <c r="EA217" s="19">
        <v>10.0</v>
      </c>
      <c r="EB217" s="19">
        <v>0.0</v>
      </c>
      <c r="EC217" s="19">
        <v>0.0</v>
      </c>
      <c r="ED217" s="19" t="s">
        <v>2174</v>
      </c>
      <c r="EE217" s="24">
        <v>45519.0</v>
      </c>
      <c r="EF217" s="19" t="s">
        <v>2174</v>
      </c>
      <c r="EG217" s="19" t="s">
        <v>2271</v>
      </c>
      <c r="EH217" s="19" t="s">
        <v>2183</v>
      </c>
      <c r="EI217" s="22">
        <v>13.275</v>
      </c>
      <c r="EJ217" s="19">
        <v>45.0</v>
      </c>
      <c r="EK217" s="19"/>
      <c r="EL217" s="19" t="s">
        <v>2282</v>
      </c>
      <c r="EM217" s="19" t="s">
        <v>6129</v>
      </c>
      <c r="EN217" s="19" t="s">
        <v>646</v>
      </c>
      <c r="EO217" s="19" t="s">
        <v>2258</v>
      </c>
      <c r="EP217" s="19" t="s">
        <v>2122</v>
      </c>
      <c r="EQ217" s="19" t="s">
        <v>2266</v>
      </c>
      <c r="ER217" s="19"/>
      <c r="ES217" s="19" t="s">
        <v>646</v>
      </c>
      <c r="ET217" s="19" t="s">
        <v>646</v>
      </c>
      <c r="EU217" s="19" t="s">
        <v>6127</v>
      </c>
      <c r="EV217" s="19">
        <v>9481.0</v>
      </c>
      <c r="EW217" s="19" t="s">
        <v>16</v>
      </c>
      <c r="EX217" s="19">
        <v>5.0</v>
      </c>
      <c r="EY217" s="25" t="s">
        <v>645</v>
      </c>
      <c r="EZ217" s="19" t="s">
        <v>2154</v>
      </c>
      <c r="FA217" s="5" t="s">
        <v>6140</v>
      </c>
      <c r="FB217" s="26" t="s">
        <v>2156</v>
      </c>
      <c r="FC217" s="26"/>
    </row>
    <row r="218">
      <c r="A218" s="19" t="s">
        <v>17</v>
      </c>
      <c r="B218" s="19"/>
      <c r="C218" s="19" t="s">
        <v>2113</v>
      </c>
      <c r="D218" s="19" t="s">
        <v>647</v>
      </c>
      <c r="E218" s="19" t="s">
        <v>6141</v>
      </c>
      <c r="F218" s="19" t="s">
        <v>647</v>
      </c>
      <c r="G218" s="19"/>
      <c r="H218" s="19" t="s">
        <v>647</v>
      </c>
      <c r="I218" s="19" t="s">
        <v>649</v>
      </c>
      <c r="J218" s="19" t="s">
        <v>6142</v>
      </c>
      <c r="K218" s="19" t="s">
        <v>6143</v>
      </c>
      <c r="L218" s="20">
        <v>45460.0</v>
      </c>
      <c r="M218" s="20">
        <v>45462.0</v>
      </c>
      <c r="N218" s="20">
        <v>45462.0</v>
      </c>
      <c r="O218" s="19" t="s">
        <v>648</v>
      </c>
      <c r="P218" s="19">
        <v>0.0</v>
      </c>
      <c r="Q218" s="19">
        <v>20.0</v>
      </c>
      <c r="R218" s="19">
        <v>7598.0</v>
      </c>
      <c r="S218" s="20" t="s">
        <v>6144</v>
      </c>
      <c r="T218" s="20">
        <v>45461.0</v>
      </c>
      <c r="U218" s="19" t="s">
        <v>647</v>
      </c>
      <c r="V218" s="19"/>
      <c r="W218" s="19"/>
      <c r="X218" s="21">
        <v>0.0</v>
      </c>
      <c r="Y218" s="21">
        <v>10.0</v>
      </c>
      <c r="Z218" s="21">
        <v>5.0</v>
      </c>
      <c r="AA218" s="21">
        <v>0.0</v>
      </c>
      <c r="AB218" s="5">
        <v>15.0</v>
      </c>
      <c r="AC218" s="19">
        <v>5.0</v>
      </c>
      <c r="AD218" s="19">
        <v>5.0</v>
      </c>
      <c r="AE218" s="19">
        <v>4.0</v>
      </c>
      <c r="AF218" s="19">
        <v>5.0</v>
      </c>
      <c r="AG218" s="19">
        <v>5.0</v>
      </c>
      <c r="AH218" s="19">
        <v>5.0</v>
      </c>
      <c r="AI218" s="22">
        <v>14.25</v>
      </c>
      <c r="AJ218" s="19">
        <v>14.0</v>
      </c>
      <c r="AK218" s="19">
        <v>15.0</v>
      </c>
      <c r="AL218" s="19">
        <v>15.0</v>
      </c>
      <c r="AM218" s="19">
        <v>44.0</v>
      </c>
      <c r="AN218" s="19">
        <v>58.3</v>
      </c>
      <c r="AO218" s="19">
        <v>73.3</v>
      </c>
      <c r="AP218" s="19">
        <v>494.0</v>
      </c>
      <c r="AQ218" s="23">
        <v>212.0</v>
      </c>
      <c r="AR218" s="23">
        <v>23.0</v>
      </c>
      <c r="AS218" s="22"/>
      <c r="AT218" s="19" t="s">
        <v>2163</v>
      </c>
      <c r="AU218" s="19" t="s">
        <v>6145</v>
      </c>
      <c r="AV218" s="19" t="s">
        <v>6146</v>
      </c>
      <c r="AW218" s="19" t="s">
        <v>3269</v>
      </c>
      <c r="AX218" s="20">
        <v>37863.0</v>
      </c>
      <c r="AY218" s="19" t="s">
        <v>2121</v>
      </c>
      <c r="AZ218" s="19" t="s">
        <v>2122</v>
      </c>
      <c r="BA218" s="19" t="s">
        <v>6147</v>
      </c>
      <c r="BB218" s="19" t="s">
        <v>4516</v>
      </c>
      <c r="BC218" s="19" t="s">
        <v>6148</v>
      </c>
      <c r="BD218" s="19" t="s">
        <v>6149</v>
      </c>
      <c r="BE218" s="19"/>
      <c r="BF218" s="19"/>
      <c r="BG218" s="19" t="s">
        <v>2127</v>
      </c>
      <c r="BH218" s="19" t="s">
        <v>2128</v>
      </c>
      <c r="BI218" s="19"/>
      <c r="BJ218" s="19" t="s">
        <v>2128</v>
      </c>
      <c r="BK218" s="19" t="s">
        <v>17</v>
      </c>
      <c r="BL218" s="19" t="s">
        <v>2113</v>
      </c>
      <c r="BM218" s="19" t="s">
        <v>5411</v>
      </c>
      <c r="BN218" s="19" t="s">
        <v>17</v>
      </c>
      <c r="BO218" s="19" t="s">
        <v>2132</v>
      </c>
      <c r="BP218" s="19" t="s">
        <v>6150</v>
      </c>
      <c r="BQ218" s="19" t="s">
        <v>2133</v>
      </c>
      <c r="BR218" s="19" t="s">
        <v>2133</v>
      </c>
      <c r="BS218" s="19" t="s">
        <v>2134</v>
      </c>
      <c r="BT218" s="19" t="s">
        <v>15</v>
      </c>
      <c r="BU218" s="19" t="s">
        <v>6151</v>
      </c>
      <c r="BV218" s="19"/>
      <c r="BW218" s="19"/>
      <c r="BX218" s="19"/>
      <c r="BY218" s="19" t="s">
        <v>2113</v>
      </c>
      <c r="BZ218" s="19" t="s">
        <v>2113</v>
      </c>
      <c r="CA218" s="19" t="s">
        <v>2113</v>
      </c>
      <c r="CB218" s="19" t="s">
        <v>2113</v>
      </c>
      <c r="CC218" s="19"/>
      <c r="CD218" s="19" t="s">
        <v>2137</v>
      </c>
      <c r="CE218" s="19" t="s">
        <v>16</v>
      </c>
      <c r="CF218" s="19"/>
      <c r="CG218" s="19"/>
      <c r="CH218" s="19" t="s">
        <v>16</v>
      </c>
      <c r="CI218" s="21">
        <v>0.0</v>
      </c>
      <c r="CJ218" s="19" t="s">
        <v>17</v>
      </c>
      <c r="CK218" s="19"/>
      <c r="CL218" s="19"/>
      <c r="CM218" s="19" t="s">
        <v>2344</v>
      </c>
      <c r="CN218" s="19" t="s">
        <v>2139</v>
      </c>
      <c r="CO218" s="19"/>
      <c r="CP218" s="19" t="s">
        <v>2178</v>
      </c>
      <c r="CQ218" s="19"/>
      <c r="CR218" s="19" t="s">
        <v>2113</v>
      </c>
      <c r="CS218" s="19" t="s">
        <v>2113</v>
      </c>
      <c r="CT218" s="19"/>
      <c r="CU218" s="19"/>
      <c r="CV218" s="19" t="s">
        <v>2141</v>
      </c>
      <c r="CW218" s="19"/>
      <c r="CX218" s="19"/>
      <c r="CY218" s="19"/>
      <c r="CZ218" s="19"/>
      <c r="DA218" s="19" t="s">
        <v>16</v>
      </c>
      <c r="DB218" s="19" t="s">
        <v>17</v>
      </c>
      <c r="DC218" s="19" t="s">
        <v>2142</v>
      </c>
      <c r="DD218" s="19" t="s">
        <v>2113</v>
      </c>
      <c r="DE218" s="19" t="s">
        <v>2113</v>
      </c>
      <c r="DF218" s="19" t="s">
        <v>2207</v>
      </c>
      <c r="DG218" s="19" t="s">
        <v>2627</v>
      </c>
      <c r="DH218" s="19" t="s">
        <v>2580</v>
      </c>
      <c r="DI218" s="24">
        <v>45517.0</v>
      </c>
      <c r="DJ218" s="19" t="s">
        <v>2133</v>
      </c>
      <c r="DK218" s="19" t="s">
        <v>2145</v>
      </c>
      <c r="DL218" s="19" t="s">
        <v>2146</v>
      </c>
      <c r="DM218" s="19" t="s">
        <v>3021</v>
      </c>
      <c r="DN218" s="19">
        <v>1.0</v>
      </c>
      <c r="DO218" s="19">
        <v>1.0</v>
      </c>
      <c r="DP218" s="19" t="s">
        <v>6152</v>
      </c>
      <c r="DQ218" s="19" t="s">
        <v>6153</v>
      </c>
      <c r="DR218" s="19" t="s">
        <v>6154</v>
      </c>
      <c r="DS218" s="19" t="s">
        <v>2365</v>
      </c>
      <c r="DT218" s="19" t="s">
        <v>2366</v>
      </c>
      <c r="DU218" s="19"/>
      <c r="DV218" s="19"/>
      <c r="DW218" s="19" t="s">
        <v>2153</v>
      </c>
      <c r="DX218" s="19">
        <v>7.0</v>
      </c>
      <c r="DY218" s="19">
        <v>10.0</v>
      </c>
      <c r="DZ218" s="19">
        <v>0.0</v>
      </c>
      <c r="EA218" s="19">
        <v>10.0</v>
      </c>
      <c r="EB218" s="19">
        <v>0.0</v>
      </c>
      <c r="EC218" s="19">
        <v>0.0</v>
      </c>
      <c r="ED218" s="19" t="s">
        <v>2133</v>
      </c>
      <c r="EE218" s="24">
        <v>45517.0</v>
      </c>
      <c r="EF218" s="19" t="s">
        <v>2133</v>
      </c>
      <c r="EG218" s="19" t="s">
        <v>2145</v>
      </c>
      <c r="EH218" s="19" t="s">
        <v>2146</v>
      </c>
      <c r="EI218" s="22">
        <v>14.25</v>
      </c>
      <c r="EJ218" s="19">
        <v>44.0</v>
      </c>
      <c r="EK218" s="19" t="s">
        <v>2113</v>
      </c>
      <c r="EL218" s="19" t="s">
        <v>2163</v>
      </c>
      <c r="EM218" s="19" t="s">
        <v>6145</v>
      </c>
      <c r="EN218" s="19" t="s">
        <v>649</v>
      </c>
      <c r="EO218" s="19" t="s">
        <v>2121</v>
      </c>
      <c r="EP218" s="19" t="s">
        <v>2122</v>
      </c>
      <c r="EQ218" s="19" t="s">
        <v>2139</v>
      </c>
      <c r="ER218" s="19"/>
      <c r="ES218" s="19" t="s">
        <v>649</v>
      </c>
      <c r="ET218" s="19" t="s">
        <v>649</v>
      </c>
      <c r="EU218" s="19" t="s">
        <v>6143</v>
      </c>
      <c r="EV218" s="19">
        <v>7598.0</v>
      </c>
      <c r="EW218" s="19" t="s">
        <v>16</v>
      </c>
      <c r="EX218" s="19">
        <v>5.0</v>
      </c>
      <c r="EY218" s="25" t="s">
        <v>648</v>
      </c>
      <c r="EZ218" s="19" t="s">
        <v>2154</v>
      </c>
      <c r="FA218" s="5" t="s">
        <v>6155</v>
      </c>
      <c r="FB218" s="26" t="s">
        <v>2156</v>
      </c>
      <c r="FC218" s="26"/>
    </row>
    <row r="219">
      <c r="A219" s="19" t="s">
        <v>2156</v>
      </c>
      <c r="B219" s="19"/>
      <c r="C219" s="19" t="s">
        <v>2113</v>
      </c>
      <c r="D219" s="19" t="s">
        <v>650</v>
      </c>
      <c r="E219" s="19" t="s">
        <v>6156</v>
      </c>
      <c r="F219" s="19" t="s">
        <v>650</v>
      </c>
      <c r="G219" s="19"/>
      <c r="H219" s="19" t="s">
        <v>650</v>
      </c>
      <c r="I219" s="19" t="s">
        <v>652</v>
      </c>
      <c r="J219" s="19" t="s">
        <v>6157</v>
      </c>
      <c r="K219" s="19" t="s">
        <v>6158</v>
      </c>
      <c r="L219" s="20">
        <v>45432.0</v>
      </c>
      <c r="M219" s="20">
        <v>45432.0</v>
      </c>
      <c r="N219" s="20">
        <v>45432.0</v>
      </c>
      <c r="O219" s="19" t="s">
        <v>651</v>
      </c>
      <c r="P219" s="19">
        <v>0.0</v>
      </c>
      <c r="Q219" s="19">
        <v>28.0</v>
      </c>
      <c r="R219" s="19">
        <v>10242.0</v>
      </c>
      <c r="S219" s="20" t="s">
        <v>6159</v>
      </c>
      <c r="T219" s="20">
        <v>45461.0</v>
      </c>
      <c r="U219" s="19" t="s">
        <v>650</v>
      </c>
      <c r="V219" s="19"/>
      <c r="W219" s="19"/>
      <c r="X219" s="21">
        <v>0.0</v>
      </c>
      <c r="Y219" s="21">
        <v>10.0</v>
      </c>
      <c r="Z219" s="21">
        <v>4.0</v>
      </c>
      <c r="AA219" s="21">
        <v>0.0</v>
      </c>
      <c r="AB219" s="5">
        <v>14.0</v>
      </c>
      <c r="AC219" s="19">
        <v>4.5</v>
      </c>
      <c r="AD219" s="19">
        <v>4.5</v>
      </c>
      <c r="AE219" s="19">
        <v>5.0</v>
      </c>
      <c r="AF219" s="19">
        <v>4.5</v>
      </c>
      <c r="AG219" s="19">
        <v>5.0</v>
      </c>
      <c r="AH219" s="19">
        <v>5.0</v>
      </c>
      <c r="AI219" s="22">
        <v>14.25</v>
      </c>
      <c r="AJ219" s="19">
        <v>15.0</v>
      </c>
      <c r="AK219" s="19">
        <v>15.0</v>
      </c>
      <c r="AL219" s="19">
        <v>15.0</v>
      </c>
      <c r="AM219" s="19">
        <v>45.0</v>
      </c>
      <c r="AN219" s="19">
        <v>59.3</v>
      </c>
      <c r="AO219" s="19">
        <v>73.3</v>
      </c>
      <c r="AP219" s="19">
        <v>581.0</v>
      </c>
      <c r="AQ219" s="23">
        <v>213.0</v>
      </c>
      <c r="AR219" s="23">
        <v>16.0</v>
      </c>
      <c r="AS219" s="22"/>
      <c r="AT219" s="19" t="s">
        <v>2282</v>
      </c>
      <c r="AU219" s="19" t="s">
        <v>6160</v>
      </c>
      <c r="AV219" s="19" t="s">
        <v>6161</v>
      </c>
      <c r="AW219" s="19" t="s">
        <v>6162</v>
      </c>
      <c r="AX219" s="20">
        <v>35219.0</v>
      </c>
      <c r="AY219" s="19" t="s">
        <v>2702</v>
      </c>
      <c r="AZ219" s="19" t="s">
        <v>2122</v>
      </c>
      <c r="BA219" s="19" t="s">
        <v>6163</v>
      </c>
      <c r="BB219" s="19" t="s">
        <v>6164</v>
      </c>
      <c r="BC219" s="19" t="s">
        <v>6165</v>
      </c>
      <c r="BD219" s="19" t="s">
        <v>6166</v>
      </c>
      <c r="BE219" s="19"/>
      <c r="BF219" s="19"/>
      <c r="BG219" s="19" t="s">
        <v>2127</v>
      </c>
      <c r="BH219" s="19" t="s">
        <v>4080</v>
      </c>
      <c r="BI219" s="19"/>
      <c r="BJ219" s="19"/>
      <c r="BK219" s="19" t="s">
        <v>16</v>
      </c>
      <c r="BL219" s="19"/>
      <c r="BM219" s="19" t="s">
        <v>5563</v>
      </c>
      <c r="BN219" s="19" t="s">
        <v>5844</v>
      </c>
      <c r="BO219" s="19" t="s">
        <v>2317</v>
      </c>
      <c r="BP219" s="19"/>
      <c r="BQ219" s="19" t="s">
        <v>2318</v>
      </c>
      <c r="BR219" s="19" t="s">
        <v>2318</v>
      </c>
      <c r="BS219" s="19" t="s">
        <v>2134</v>
      </c>
      <c r="BT219" s="19" t="s">
        <v>42</v>
      </c>
      <c r="BU219" s="19" t="s">
        <v>6167</v>
      </c>
      <c r="BV219" s="19"/>
      <c r="BW219" s="19" t="s">
        <v>2113</v>
      </c>
      <c r="BX219" s="19"/>
      <c r="BY219" s="19"/>
      <c r="BZ219" s="19"/>
      <c r="CA219" s="19"/>
      <c r="CB219" s="19" t="s">
        <v>2113</v>
      </c>
      <c r="CC219" s="19"/>
      <c r="CD219" s="19" t="s">
        <v>2137</v>
      </c>
      <c r="CE219" s="19" t="s">
        <v>16</v>
      </c>
      <c r="CF219" s="19"/>
      <c r="CG219" s="19"/>
      <c r="CH219" s="19" t="s">
        <v>16</v>
      </c>
      <c r="CI219" s="21">
        <v>0.0</v>
      </c>
      <c r="CJ219" s="19" t="s">
        <v>16</v>
      </c>
      <c r="CK219" s="19"/>
      <c r="CL219" s="19"/>
      <c r="CM219" s="19" t="s">
        <v>2138</v>
      </c>
      <c r="CN219" s="19" t="s">
        <v>2321</v>
      </c>
      <c r="CO219" s="19"/>
      <c r="CP219" s="19"/>
      <c r="CQ219" s="19"/>
      <c r="CR219" s="19" t="s">
        <v>2113</v>
      </c>
      <c r="CS219" s="19" t="s">
        <v>2113</v>
      </c>
      <c r="CT219" s="19" t="s">
        <v>2113</v>
      </c>
      <c r="CU219" s="19" t="s">
        <v>2113</v>
      </c>
      <c r="CV219" s="19" t="s">
        <v>2141</v>
      </c>
      <c r="CW219" s="19" t="s">
        <v>2113</v>
      </c>
      <c r="CX219" s="19" t="s">
        <v>2113</v>
      </c>
      <c r="CY219" s="19" t="s">
        <v>2113</v>
      </c>
      <c r="CZ219" s="19" t="s">
        <v>2113</v>
      </c>
      <c r="DA219" s="19" t="s">
        <v>16</v>
      </c>
      <c r="DB219" s="19" t="s">
        <v>16</v>
      </c>
      <c r="DC219" s="19" t="s">
        <v>5024</v>
      </c>
      <c r="DD219" s="19" t="s">
        <v>2113</v>
      </c>
      <c r="DE219" s="19" t="s">
        <v>2113</v>
      </c>
      <c r="DF219" s="19" t="s">
        <v>2324</v>
      </c>
      <c r="DG219" s="19" t="s">
        <v>2433</v>
      </c>
      <c r="DH219" s="19" t="s">
        <v>2144</v>
      </c>
      <c r="DI219" s="24">
        <v>45517.0</v>
      </c>
      <c r="DJ219" s="19" t="s">
        <v>2325</v>
      </c>
      <c r="DK219" s="19" t="s">
        <v>2271</v>
      </c>
      <c r="DL219" s="19" t="s">
        <v>2326</v>
      </c>
      <c r="DM219" s="19"/>
      <c r="DN219" s="19">
        <v>2.0</v>
      </c>
      <c r="DO219" s="19">
        <v>2.0</v>
      </c>
      <c r="DP219" s="19" t="s">
        <v>6168</v>
      </c>
      <c r="DQ219" s="19" t="s">
        <v>6169</v>
      </c>
      <c r="DR219" s="19" t="s">
        <v>6170</v>
      </c>
      <c r="DS219" s="19" t="s">
        <v>2185</v>
      </c>
      <c r="DT219" s="19" t="s">
        <v>2366</v>
      </c>
      <c r="DU219" s="19"/>
      <c r="DV219" s="19"/>
      <c r="DW219" s="19" t="s">
        <v>2188</v>
      </c>
      <c r="DX219" s="19">
        <v>5.0</v>
      </c>
      <c r="DY219" s="19">
        <v>10.0</v>
      </c>
      <c r="DZ219" s="19">
        <v>0.0</v>
      </c>
      <c r="EA219" s="19">
        <v>10.0</v>
      </c>
      <c r="EB219" s="19">
        <v>0.0</v>
      </c>
      <c r="EC219" s="19">
        <v>0.0</v>
      </c>
      <c r="ED219" s="19" t="s">
        <v>2325</v>
      </c>
      <c r="EE219" s="24">
        <v>45517.0</v>
      </c>
      <c r="EF219" s="19" t="s">
        <v>2325</v>
      </c>
      <c r="EG219" s="19" t="s">
        <v>2271</v>
      </c>
      <c r="EH219" s="19" t="s">
        <v>2326</v>
      </c>
      <c r="EI219" s="22">
        <v>14.25</v>
      </c>
      <c r="EJ219" s="19">
        <v>45.0</v>
      </c>
      <c r="EK219" s="19"/>
      <c r="EL219" s="19" t="s">
        <v>2282</v>
      </c>
      <c r="EM219" s="19" t="s">
        <v>6160</v>
      </c>
      <c r="EN219" s="19" t="s">
        <v>652</v>
      </c>
      <c r="EO219" s="19" t="s">
        <v>2702</v>
      </c>
      <c r="EP219" s="19" t="s">
        <v>2122</v>
      </c>
      <c r="EQ219" s="19" t="s">
        <v>2321</v>
      </c>
      <c r="ER219" s="19"/>
      <c r="ES219" s="19" t="s">
        <v>652</v>
      </c>
      <c r="ET219" s="19" t="s">
        <v>652</v>
      </c>
      <c r="EU219" s="19" t="s">
        <v>6158</v>
      </c>
      <c r="EV219" s="19">
        <v>10242.0</v>
      </c>
      <c r="EW219" s="19" t="s">
        <v>16</v>
      </c>
      <c r="EX219" s="19">
        <v>4.0</v>
      </c>
      <c r="EY219" s="25" t="s">
        <v>651</v>
      </c>
      <c r="EZ219" s="19" t="s">
        <v>2154</v>
      </c>
      <c r="FA219" s="5" t="s">
        <v>6171</v>
      </c>
      <c r="FB219" s="26" t="s">
        <v>2156</v>
      </c>
      <c r="FC219" s="26"/>
    </row>
    <row r="220">
      <c r="A220" s="19" t="s">
        <v>2156</v>
      </c>
      <c r="B220" s="19"/>
      <c r="C220" s="19" t="s">
        <v>2113</v>
      </c>
      <c r="D220" s="19" t="s">
        <v>6172</v>
      </c>
      <c r="E220" s="19" t="s">
        <v>6173</v>
      </c>
      <c r="F220" s="19" t="s">
        <v>6174</v>
      </c>
      <c r="G220" s="19" t="s">
        <v>6175</v>
      </c>
      <c r="H220" s="19" t="s">
        <v>653</v>
      </c>
      <c r="I220" s="19" t="s">
        <v>655</v>
      </c>
      <c r="J220" s="19" t="s">
        <v>6176</v>
      </c>
      <c r="K220" s="19" t="s">
        <v>6177</v>
      </c>
      <c r="L220" s="20">
        <v>45453.0</v>
      </c>
      <c r="M220" s="20">
        <v>45455.0</v>
      </c>
      <c r="N220" s="20">
        <v>45455.0</v>
      </c>
      <c r="O220" s="19" t="s">
        <v>654</v>
      </c>
      <c r="P220" s="19">
        <v>0.0</v>
      </c>
      <c r="Q220" s="19">
        <v>24.0</v>
      </c>
      <c r="R220" s="19">
        <v>8871.0</v>
      </c>
      <c r="S220" s="20" t="s">
        <v>6178</v>
      </c>
      <c r="T220" s="20">
        <v>45461.0</v>
      </c>
      <c r="U220" s="19" t="s">
        <v>6174</v>
      </c>
      <c r="V220" s="19"/>
      <c r="W220" s="19"/>
      <c r="X220" s="21">
        <v>0.0</v>
      </c>
      <c r="Y220" s="21">
        <v>10.0</v>
      </c>
      <c r="Z220" s="21">
        <v>4.0</v>
      </c>
      <c r="AA220" s="21">
        <v>0.0</v>
      </c>
      <c r="AB220" s="5">
        <v>14.0</v>
      </c>
      <c r="AC220" s="19">
        <v>5.0</v>
      </c>
      <c r="AD220" s="19">
        <v>5.0</v>
      </c>
      <c r="AE220" s="19">
        <v>5.0</v>
      </c>
      <c r="AF220" s="19">
        <v>4.5</v>
      </c>
      <c r="AG220" s="19">
        <v>4.0</v>
      </c>
      <c r="AH220" s="19">
        <v>4.5</v>
      </c>
      <c r="AI220" s="22">
        <v>14.25</v>
      </c>
      <c r="AJ220" s="19">
        <v>15.0</v>
      </c>
      <c r="AK220" s="19">
        <v>15.0</v>
      </c>
      <c r="AL220" s="19">
        <v>15.0</v>
      </c>
      <c r="AM220" s="19">
        <v>45.0</v>
      </c>
      <c r="AN220" s="19">
        <v>59.3</v>
      </c>
      <c r="AO220" s="19">
        <v>73.3</v>
      </c>
      <c r="AP220" s="19">
        <v>595.0</v>
      </c>
      <c r="AQ220" s="23">
        <v>214.0</v>
      </c>
      <c r="AR220" s="23">
        <v>20.0</v>
      </c>
      <c r="AS220" s="22" t="s">
        <v>2642</v>
      </c>
      <c r="AT220" s="19" t="s">
        <v>2163</v>
      </c>
      <c r="AU220" s="19" t="s">
        <v>6179</v>
      </c>
      <c r="AV220" s="19" t="s">
        <v>6180</v>
      </c>
      <c r="AW220" s="19" t="s">
        <v>2166</v>
      </c>
      <c r="AX220" s="20">
        <v>36590.0</v>
      </c>
      <c r="AY220" s="19" t="s">
        <v>2858</v>
      </c>
      <c r="AZ220" s="19" t="s">
        <v>2122</v>
      </c>
      <c r="BA220" s="19" t="s">
        <v>6181</v>
      </c>
      <c r="BB220" s="19" t="s">
        <v>4980</v>
      </c>
      <c r="BC220" s="19" t="s">
        <v>6182</v>
      </c>
      <c r="BD220" s="19" t="s">
        <v>6183</v>
      </c>
      <c r="BE220" s="19"/>
      <c r="BF220" s="19"/>
      <c r="BG220" s="19" t="s">
        <v>2127</v>
      </c>
      <c r="BH220" s="19" t="s">
        <v>2128</v>
      </c>
      <c r="BI220" s="19"/>
      <c r="BJ220" s="19"/>
      <c r="BK220" s="19" t="s">
        <v>16</v>
      </c>
      <c r="BL220" s="19" t="s">
        <v>2113</v>
      </c>
      <c r="BM220" s="19" t="s">
        <v>5411</v>
      </c>
      <c r="BN220" s="19" t="s">
        <v>2172</v>
      </c>
      <c r="BO220" s="19" t="s">
        <v>2317</v>
      </c>
      <c r="BP220" s="19"/>
      <c r="BQ220" s="19" t="s">
        <v>2325</v>
      </c>
      <c r="BR220" s="19" t="s">
        <v>2325</v>
      </c>
      <c r="BS220" s="19" t="s">
        <v>2134</v>
      </c>
      <c r="BT220" s="19" t="s">
        <v>118</v>
      </c>
      <c r="BU220" s="19" t="s">
        <v>2651</v>
      </c>
      <c r="BV220" s="19"/>
      <c r="BW220" s="19"/>
      <c r="BX220" s="19"/>
      <c r="BY220" s="19"/>
      <c r="BZ220" s="19"/>
      <c r="CA220" s="19"/>
      <c r="CB220" s="19" t="s">
        <v>2113</v>
      </c>
      <c r="CC220" s="19"/>
      <c r="CD220" s="19" t="s">
        <v>2137</v>
      </c>
      <c r="CE220" s="19" t="s">
        <v>16</v>
      </c>
      <c r="CF220" s="19"/>
      <c r="CG220" s="19"/>
      <c r="CH220" s="19" t="s">
        <v>16</v>
      </c>
      <c r="CI220" s="21">
        <v>0.0</v>
      </c>
      <c r="CJ220" s="19" t="s">
        <v>17</v>
      </c>
      <c r="CK220" s="19"/>
      <c r="CL220" s="19"/>
      <c r="CM220" s="19" t="s">
        <v>2344</v>
      </c>
      <c r="CN220" s="19" t="s">
        <v>2868</v>
      </c>
      <c r="CO220" s="19"/>
      <c r="CP220" s="19"/>
      <c r="CQ220" s="19"/>
      <c r="CR220" s="19" t="s">
        <v>2113</v>
      </c>
      <c r="CS220" s="19" t="s">
        <v>2113</v>
      </c>
      <c r="CT220" s="19" t="s">
        <v>2113</v>
      </c>
      <c r="CU220" s="19" t="s">
        <v>2113</v>
      </c>
      <c r="CV220" s="19" t="s">
        <v>2141</v>
      </c>
      <c r="CW220" s="19"/>
      <c r="CX220" s="19"/>
      <c r="CY220" s="19" t="s">
        <v>2113</v>
      </c>
      <c r="CZ220" s="19" t="s">
        <v>2113</v>
      </c>
      <c r="DA220" s="19" t="s">
        <v>16</v>
      </c>
      <c r="DB220" s="19" t="s">
        <v>17</v>
      </c>
      <c r="DC220" s="19" t="s">
        <v>2498</v>
      </c>
      <c r="DD220" s="19" t="s">
        <v>2113</v>
      </c>
      <c r="DE220" s="19" t="s">
        <v>2113</v>
      </c>
      <c r="DF220" s="19" t="s">
        <v>3933</v>
      </c>
      <c r="DG220" s="19" t="s">
        <v>2869</v>
      </c>
      <c r="DH220" s="19" t="s">
        <v>2144</v>
      </c>
      <c r="DI220" s="24">
        <v>45517.0</v>
      </c>
      <c r="DJ220" s="19" t="s">
        <v>2325</v>
      </c>
      <c r="DK220" s="19" t="s">
        <v>2145</v>
      </c>
      <c r="DL220" s="19" t="s">
        <v>2326</v>
      </c>
      <c r="DM220" s="19"/>
      <c r="DN220" s="19">
        <v>1.0</v>
      </c>
      <c r="DO220" s="19">
        <v>1.0</v>
      </c>
      <c r="DP220" s="19" t="s">
        <v>6184</v>
      </c>
      <c r="DQ220" s="19" t="s">
        <v>6185</v>
      </c>
      <c r="DR220" s="19" t="s">
        <v>6186</v>
      </c>
      <c r="DS220" s="19" t="s">
        <v>2185</v>
      </c>
      <c r="DT220" s="19" t="s">
        <v>2366</v>
      </c>
      <c r="DU220" s="19"/>
      <c r="DV220" s="19"/>
      <c r="DW220" s="19" t="s">
        <v>2153</v>
      </c>
      <c r="DX220" s="19">
        <v>3.0</v>
      </c>
      <c r="DY220" s="19">
        <v>10.0</v>
      </c>
      <c r="DZ220" s="19">
        <v>0.0</v>
      </c>
      <c r="EA220" s="19">
        <v>10.0</v>
      </c>
      <c r="EB220" s="19">
        <v>0.0</v>
      </c>
      <c r="EC220" s="19">
        <v>0.0</v>
      </c>
      <c r="ED220" s="19" t="s">
        <v>2325</v>
      </c>
      <c r="EE220" s="24">
        <v>45517.0</v>
      </c>
      <c r="EF220" s="19" t="s">
        <v>2325</v>
      </c>
      <c r="EG220" s="19" t="s">
        <v>2145</v>
      </c>
      <c r="EH220" s="19" t="s">
        <v>2326</v>
      </c>
      <c r="EI220" s="22">
        <v>14.25</v>
      </c>
      <c r="EJ220" s="19">
        <v>45.0</v>
      </c>
      <c r="EK220" s="19" t="s">
        <v>2113</v>
      </c>
      <c r="EL220" s="19" t="s">
        <v>2163</v>
      </c>
      <c r="EM220" s="19" t="s">
        <v>6179</v>
      </c>
      <c r="EN220" s="19" t="s">
        <v>655</v>
      </c>
      <c r="EO220" s="19" t="s">
        <v>2858</v>
      </c>
      <c r="EP220" s="19" t="s">
        <v>2122</v>
      </c>
      <c r="EQ220" s="19" t="s">
        <v>2868</v>
      </c>
      <c r="ER220" s="19"/>
      <c r="ES220" s="19" t="s">
        <v>655</v>
      </c>
      <c r="ET220" s="19" t="s">
        <v>655</v>
      </c>
      <c r="EU220" s="19" t="s">
        <v>6177</v>
      </c>
      <c r="EV220" s="19">
        <v>8871.0</v>
      </c>
      <c r="EW220" s="19" t="s">
        <v>16</v>
      </c>
      <c r="EX220" s="19">
        <v>4.0</v>
      </c>
      <c r="EY220" s="25" t="s">
        <v>654</v>
      </c>
      <c r="EZ220" s="19" t="s">
        <v>2154</v>
      </c>
      <c r="FA220" s="5" t="s">
        <v>6187</v>
      </c>
      <c r="FB220" s="26" t="s">
        <v>2156</v>
      </c>
      <c r="FC220" s="26"/>
    </row>
    <row r="221">
      <c r="A221" s="19" t="s">
        <v>2112</v>
      </c>
      <c r="B221" s="19"/>
      <c r="C221" s="19" t="s">
        <v>2113</v>
      </c>
      <c r="D221" s="19" t="s">
        <v>656</v>
      </c>
      <c r="E221" s="19" t="s">
        <v>6188</v>
      </c>
      <c r="F221" s="19" t="s">
        <v>656</v>
      </c>
      <c r="G221" s="19" t="s">
        <v>6188</v>
      </c>
      <c r="H221" s="19" t="s">
        <v>656</v>
      </c>
      <c r="I221" s="19" t="s">
        <v>658</v>
      </c>
      <c r="J221" s="19" t="s">
        <v>6189</v>
      </c>
      <c r="K221" s="19" t="s">
        <v>6190</v>
      </c>
      <c r="L221" s="20">
        <v>45451.0</v>
      </c>
      <c r="M221" s="20">
        <v>45453.0</v>
      </c>
      <c r="N221" s="20">
        <v>45453.0</v>
      </c>
      <c r="O221" s="19" t="s">
        <v>657</v>
      </c>
      <c r="P221" s="19">
        <v>0.0</v>
      </c>
      <c r="Q221" s="19">
        <v>21.0</v>
      </c>
      <c r="R221" s="19">
        <v>8032.0</v>
      </c>
      <c r="S221" s="20" t="s">
        <v>6191</v>
      </c>
      <c r="T221" s="20">
        <v>45461.0</v>
      </c>
      <c r="U221" s="19" t="s">
        <v>656</v>
      </c>
      <c r="V221" s="19"/>
      <c r="W221" s="19" t="s">
        <v>2131</v>
      </c>
      <c r="X221" s="21">
        <v>0.0</v>
      </c>
      <c r="Y221" s="21">
        <v>10.0</v>
      </c>
      <c r="Z221" s="21">
        <v>5.0</v>
      </c>
      <c r="AA221" s="21">
        <v>3.0</v>
      </c>
      <c r="AB221" s="5">
        <v>18.0</v>
      </c>
      <c r="AC221" s="19">
        <v>3.6</v>
      </c>
      <c r="AD221" s="19">
        <v>4.3</v>
      </c>
      <c r="AE221" s="19">
        <v>4.6</v>
      </c>
      <c r="AF221" s="19">
        <v>4.0</v>
      </c>
      <c r="AG221" s="19">
        <v>4.0</v>
      </c>
      <c r="AH221" s="19">
        <v>3.3</v>
      </c>
      <c r="AI221" s="22">
        <v>12.196875</v>
      </c>
      <c r="AJ221" s="19">
        <v>14.0</v>
      </c>
      <c r="AK221" s="19">
        <v>14.0</v>
      </c>
      <c r="AL221" s="19">
        <v>15.0</v>
      </c>
      <c r="AM221" s="19">
        <v>43.0</v>
      </c>
      <c r="AN221" s="19">
        <v>55.2</v>
      </c>
      <c r="AO221" s="19">
        <v>73.2</v>
      </c>
      <c r="AP221" s="19">
        <v>355.0</v>
      </c>
      <c r="AQ221" s="23">
        <v>215.0</v>
      </c>
      <c r="AR221" s="23">
        <v>18.0</v>
      </c>
      <c r="AS221" s="22" t="s">
        <v>6192</v>
      </c>
      <c r="AT221" s="19" t="s">
        <v>2117</v>
      </c>
      <c r="AU221" s="19" t="s">
        <v>6193</v>
      </c>
      <c r="AV221" s="19" t="s">
        <v>6194</v>
      </c>
      <c r="AW221" s="19" t="s">
        <v>3791</v>
      </c>
      <c r="AX221" s="20">
        <v>37429.0</v>
      </c>
      <c r="AY221" s="19" t="s">
        <v>6195</v>
      </c>
      <c r="AZ221" s="19" t="s">
        <v>2122</v>
      </c>
      <c r="BA221" s="19" t="s">
        <v>6196</v>
      </c>
      <c r="BB221" s="19" t="s">
        <v>6197</v>
      </c>
      <c r="BC221" s="19" t="s">
        <v>6198</v>
      </c>
      <c r="BD221" s="19" t="s">
        <v>6199</v>
      </c>
      <c r="BE221" s="19" t="s">
        <v>6189</v>
      </c>
      <c r="BF221" s="19">
        <v>1.1913508435E10</v>
      </c>
      <c r="BG221" s="19" t="s">
        <v>2127</v>
      </c>
      <c r="BH221" s="19" t="s">
        <v>2128</v>
      </c>
      <c r="BI221" s="19"/>
      <c r="BJ221" s="19" t="s">
        <v>2128</v>
      </c>
      <c r="BK221" s="19" t="s">
        <v>17</v>
      </c>
      <c r="BL221" s="19"/>
      <c r="BM221" s="19" t="s">
        <v>5411</v>
      </c>
      <c r="BN221" s="19" t="s">
        <v>17</v>
      </c>
      <c r="BO221" s="19" t="s">
        <v>2132</v>
      </c>
      <c r="BP221" s="19"/>
      <c r="BQ221" s="19" t="s">
        <v>2174</v>
      </c>
      <c r="BR221" s="19" t="s">
        <v>2174</v>
      </c>
      <c r="BS221" s="19" t="s">
        <v>2134</v>
      </c>
      <c r="BT221" s="19" t="s">
        <v>75</v>
      </c>
      <c r="BU221" s="19" t="s">
        <v>4244</v>
      </c>
      <c r="BV221" s="19"/>
      <c r="BW221" s="19" t="s">
        <v>2113</v>
      </c>
      <c r="BX221" s="19"/>
      <c r="BY221" s="19"/>
      <c r="BZ221" s="19"/>
      <c r="CA221" s="19"/>
      <c r="CB221" s="19" t="s">
        <v>2113</v>
      </c>
      <c r="CC221" s="19"/>
      <c r="CD221" s="19" t="s">
        <v>2137</v>
      </c>
      <c r="CE221" s="19" t="s">
        <v>16</v>
      </c>
      <c r="CF221" s="19"/>
      <c r="CG221" s="19"/>
      <c r="CH221" s="19" t="s">
        <v>17</v>
      </c>
      <c r="CI221" s="21">
        <v>3.0</v>
      </c>
      <c r="CJ221" s="19" t="s">
        <v>17</v>
      </c>
      <c r="CK221" s="19"/>
      <c r="CL221" s="19"/>
      <c r="CM221" s="19" t="s">
        <v>3102</v>
      </c>
      <c r="CN221" s="19" t="s">
        <v>2537</v>
      </c>
      <c r="CO221" s="19"/>
      <c r="CP221" s="19" t="s">
        <v>2178</v>
      </c>
      <c r="CQ221" s="19"/>
      <c r="CR221" s="19"/>
      <c r="CS221" s="19"/>
      <c r="CT221" s="19"/>
      <c r="CU221" s="19"/>
      <c r="CV221" s="19" t="s">
        <v>2141</v>
      </c>
      <c r="CW221" s="19"/>
      <c r="CX221" s="19"/>
      <c r="CY221" s="19"/>
      <c r="CZ221" s="19"/>
      <c r="DA221" s="19" t="s">
        <v>16</v>
      </c>
      <c r="DB221" s="19" t="s">
        <v>17</v>
      </c>
      <c r="DC221" s="19" t="s">
        <v>2538</v>
      </c>
      <c r="DD221" s="19"/>
      <c r="DE221" s="19"/>
      <c r="DF221" s="19" t="s">
        <v>2345</v>
      </c>
      <c r="DG221" s="19" t="s">
        <v>2539</v>
      </c>
      <c r="DH221" s="19" t="s">
        <v>2144</v>
      </c>
      <c r="DI221" s="24">
        <v>45531.0</v>
      </c>
      <c r="DJ221" s="19" t="s">
        <v>2174</v>
      </c>
      <c r="DK221" s="19" t="s">
        <v>2145</v>
      </c>
      <c r="DL221" s="19" t="s">
        <v>2183</v>
      </c>
      <c r="DM221" s="19"/>
      <c r="DN221" s="19">
        <v>7.0</v>
      </c>
      <c r="DO221" s="19">
        <v>7.0</v>
      </c>
      <c r="DP221" s="19" t="s">
        <v>6200</v>
      </c>
      <c r="DQ221" s="19" t="s">
        <v>6201</v>
      </c>
      <c r="DR221" s="19" t="s">
        <v>6202</v>
      </c>
      <c r="DS221" s="19" t="s">
        <v>2151</v>
      </c>
      <c r="DT221" s="19" t="s">
        <v>2301</v>
      </c>
      <c r="DU221" s="19"/>
      <c r="DV221" s="19"/>
      <c r="DW221" s="19" t="s">
        <v>2188</v>
      </c>
      <c r="DX221" s="19">
        <v>15.0</v>
      </c>
      <c r="DY221" s="19">
        <v>10.0</v>
      </c>
      <c r="DZ221" s="19">
        <v>0.0</v>
      </c>
      <c r="EA221" s="19">
        <v>10.0</v>
      </c>
      <c r="EB221" s="19">
        <v>3.0</v>
      </c>
      <c r="EC221" s="19">
        <v>0.0</v>
      </c>
      <c r="ED221" s="19" t="s">
        <v>2174</v>
      </c>
      <c r="EE221" s="24">
        <v>45531.0</v>
      </c>
      <c r="EF221" s="19" t="s">
        <v>2174</v>
      </c>
      <c r="EG221" s="19" t="s">
        <v>2145</v>
      </c>
      <c r="EH221" s="19" t="s">
        <v>2183</v>
      </c>
      <c r="EI221" s="22">
        <v>12.196875</v>
      </c>
      <c r="EJ221" s="19">
        <v>43.0</v>
      </c>
      <c r="EK221" s="19" t="s">
        <v>2113</v>
      </c>
      <c r="EL221" s="19" t="s">
        <v>2117</v>
      </c>
      <c r="EM221" s="19" t="s">
        <v>6193</v>
      </c>
      <c r="EN221" s="19" t="s">
        <v>658</v>
      </c>
      <c r="EO221" s="19" t="s">
        <v>6195</v>
      </c>
      <c r="EP221" s="19" t="s">
        <v>2122</v>
      </c>
      <c r="EQ221" s="19" t="s">
        <v>2537</v>
      </c>
      <c r="ER221" s="19"/>
      <c r="ES221" s="19" t="s">
        <v>658</v>
      </c>
      <c r="ET221" s="19" t="s">
        <v>658</v>
      </c>
      <c r="EU221" s="19" t="s">
        <v>6190</v>
      </c>
      <c r="EV221" s="19">
        <v>8032.0</v>
      </c>
      <c r="EW221" s="19" t="s">
        <v>16</v>
      </c>
      <c r="EX221" s="19">
        <v>5.0</v>
      </c>
      <c r="EY221" s="25" t="s">
        <v>657</v>
      </c>
      <c r="EZ221" s="19" t="s">
        <v>2154</v>
      </c>
      <c r="FA221" s="5" t="s">
        <v>6203</v>
      </c>
      <c r="FB221" s="26" t="s">
        <v>2156</v>
      </c>
      <c r="FC221" s="26"/>
    </row>
    <row r="222">
      <c r="A222" s="19" t="s">
        <v>2112</v>
      </c>
      <c r="B222" s="19"/>
      <c r="C222" s="19" t="s">
        <v>2113</v>
      </c>
      <c r="D222" s="19" t="s">
        <v>6204</v>
      </c>
      <c r="E222" s="19" t="s">
        <v>6204</v>
      </c>
      <c r="F222" s="19" t="s">
        <v>6204</v>
      </c>
      <c r="G222" s="19" t="s">
        <v>6204</v>
      </c>
      <c r="H222" s="19" t="s">
        <v>659</v>
      </c>
      <c r="I222" s="19" t="s">
        <v>661</v>
      </c>
      <c r="J222" s="19" t="s">
        <v>6205</v>
      </c>
      <c r="K222" s="19" t="s">
        <v>6206</v>
      </c>
      <c r="L222" s="20">
        <v>45457.0</v>
      </c>
      <c r="M222" s="20">
        <v>45460.0</v>
      </c>
      <c r="N222" s="20">
        <v>45460.0</v>
      </c>
      <c r="O222" s="19" t="s">
        <v>660</v>
      </c>
      <c r="P222" s="19">
        <v>0.0</v>
      </c>
      <c r="Q222" s="19">
        <v>22.0</v>
      </c>
      <c r="R222" s="19">
        <v>8206.0</v>
      </c>
      <c r="S222" s="20" t="s">
        <v>6207</v>
      </c>
      <c r="T222" s="20">
        <v>45461.0</v>
      </c>
      <c r="U222" s="19" t="s">
        <v>6204</v>
      </c>
      <c r="V222" s="19"/>
      <c r="W222" s="19" t="s">
        <v>2131</v>
      </c>
      <c r="X222" s="21">
        <v>0.0</v>
      </c>
      <c r="Y222" s="21">
        <v>10.0</v>
      </c>
      <c r="Z222" s="21">
        <v>5.0</v>
      </c>
      <c r="AA222" s="21">
        <v>2.0</v>
      </c>
      <c r="AB222" s="5">
        <v>17.0</v>
      </c>
      <c r="AC222" s="19">
        <v>4.4</v>
      </c>
      <c r="AD222" s="19">
        <v>4.4</v>
      </c>
      <c r="AE222" s="19">
        <v>4.6</v>
      </c>
      <c r="AF222" s="19">
        <v>4.6</v>
      </c>
      <c r="AG222" s="19">
        <v>4.6</v>
      </c>
      <c r="AH222" s="19">
        <v>4.8</v>
      </c>
      <c r="AI222" s="22">
        <v>13.649999999999999</v>
      </c>
      <c r="AJ222" s="19">
        <v>13.5</v>
      </c>
      <c r="AK222" s="19">
        <v>14.0</v>
      </c>
      <c r="AL222" s="19">
        <v>15.0</v>
      </c>
      <c r="AM222" s="19">
        <v>42.5</v>
      </c>
      <c r="AN222" s="19">
        <v>56.2</v>
      </c>
      <c r="AO222" s="19">
        <v>73.2</v>
      </c>
      <c r="AP222" s="19">
        <v>366.0</v>
      </c>
      <c r="AQ222" s="23">
        <v>216.0</v>
      </c>
      <c r="AR222" s="23">
        <v>27.0</v>
      </c>
      <c r="AS222" s="22"/>
      <c r="AT222" s="19" t="s">
        <v>2117</v>
      </c>
      <c r="AU222" s="19" t="s">
        <v>6208</v>
      </c>
      <c r="AV222" s="19" t="s">
        <v>6209</v>
      </c>
      <c r="AW222" s="19"/>
      <c r="AX222" s="20">
        <v>37255.0</v>
      </c>
      <c r="AY222" s="19" t="s">
        <v>2338</v>
      </c>
      <c r="AZ222" s="19" t="s">
        <v>3849</v>
      </c>
      <c r="BA222" s="19" t="s">
        <v>6210</v>
      </c>
      <c r="BB222" s="19" t="s">
        <v>6211</v>
      </c>
      <c r="BC222" s="19" t="s">
        <v>6212</v>
      </c>
      <c r="BD222" s="19" t="s">
        <v>6213</v>
      </c>
      <c r="BE222" s="19"/>
      <c r="BF222" s="19"/>
      <c r="BG222" s="19" t="s">
        <v>2127</v>
      </c>
      <c r="BH222" s="19" t="s">
        <v>2128</v>
      </c>
      <c r="BI222" s="19"/>
      <c r="BJ222" s="19"/>
      <c r="BK222" s="19" t="s">
        <v>16</v>
      </c>
      <c r="BL222" s="19" t="s">
        <v>2113</v>
      </c>
      <c r="BM222" s="19" t="s">
        <v>5411</v>
      </c>
      <c r="BN222" s="19" t="s">
        <v>17</v>
      </c>
      <c r="BO222" s="19" t="s">
        <v>2132</v>
      </c>
      <c r="BP222" s="19" t="s">
        <v>6214</v>
      </c>
      <c r="BQ222" s="19" t="s">
        <v>2174</v>
      </c>
      <c r="BR222" s="19" t="s">
        <v>2174</v>
      </c>
      <c r="BS222" s="19" t="s">
        <v>2134</v>
      </c>
      <c r="BT222" s="19" t="s">
        <v>21</v>
      </c>
      <c r="BU222" s="19" t="s">
        <v>6215</v>
      </c>
      <c r="BV222" s="19"/>
      <c r="BW222" s="19"/>
      <c r="BX222" s="19"/>
      <c r="BY222" s="19" t="s">
        <v>2113</v>
      </c>
      <c r="BZ222" s="19" t="s">
        <v>2113</v>
      </c>
      <c r="CA222" s="19" t="s">
        <v>2113</v>
      </c>
      <c r="CB222" s="19" t="s">
        <v>2113</v>
      </c>
      <c r="CC222" s="19"/>
      <c r="CD222" s="19" t="s">
        <v>2137</v>
      </c>
      <c r="CE222" s="19" t="s">
        <v>16</v>
      </c>
      <c r="CF222" s="19"/>
      <c r="CG222" s="19"/>
      <c r="CH222" s="19" t="s">
        <v>16</v>
      </c>
      <c r="CI222" s="21">
        <v>0.0</v>
      </c>
      <c r="CJ222" s="19" t="s">
        <v>17</v>
      </c>
      <c r="CK222" s="19"/>
      <c r="CL222" s="19"/>
      <c r="CM222" s="19" t="s">
        <v>2138</v>
      </c>
      <c r="CN222" s="19" t="s">
        <v>2204</v>
      </c>
      <c r="CO222" s="19" t="s">
        <v>2177</v>
      </c>
      <c r="CP222" s="19"/>
      <c r="CQ222" s="19"/>
      <c r="CR222" s="19"/>
      <c r="CS222" s="19"/>
      <c r="CT222" s="19" t="s">
        <v>2113</v>
      </c>
      <c r="CU222" s="19" t="s">
        <v>2113</v>
      </c>
      <c r="CV222" s="19" t="s">
        <v>2141</v>
      </c>
      <c r="CW222" s="19"/>
      <c r="CX222" s="19"/>
      <c r="CY222" s="19" t="s">
        <v>2113</v>
      </c>
      <c r="CZ222" s="19" t="s">
        <v>2113</v>
      </c>
      <c r="DA222" s="19" t="s">
        <v>16</v>
      </c>
      <c r="DB222" s="19" t="s">
        <v>17</v>
      </c>
      <c r="DC222" s="19" t="s">
        <v>2181</v>
      </c>
      <c r="DD222" s="19" t="s">
        <v>2113</v>
      </c>
      <c r="DE222" s="19" t="s">
        <v>2113</v>
      </c>
      <c r="DF222" s="19" t="s">
        <v>2539</v>
      </c>
      <c r="DG222" s="19" t="s">
        <v>3856</v>
      </c>
      <c r="DH222" s="19" t="s">
        <v>2144</v>
      </c>
      <c r="DI222" s="24">
        <v>45517.0</v>
      </c>
      <c r="DJ222" s="19" t="s">
        <v>2174</v>
      </c>
      <c r="DK222" s="19" t="s">
        <v>2145</v>
      </c>
      <c r="DL222" s="19" t="s">
        <v>2183</v>
      </c>
      <c r="DM222" s="19" t="s">
        <v>2184</v>
      </c>
      <c r="DN222" s="19">
        <v>1.0</v>
      </c>
      <c r="DO222" s="19">
        <v>1.0</v>
      </c>
      <c r="DP222" s="19" t="s">
        <v>6216</v>
      </c>
      <c r="DQ222" s="19" t="s">
        <v>6217</v>
      </c>
      <c r="DR222" s="19" t="s">
        <v>6218</v>
      </c>
      <c r="DS222" s="19" t="s">
        <v>2185</v>
      </c>
      <c r="DT222" s="19" t="s">
        <v>2186</v>
      </c>
      <c r="DU222" s="19"/>
      <c r="DV222" s="19"/>
      <c r="DW222" s="19" t="s">
        <v>2188</v>
      </c>
      <c r="DX222" s="19">
        <v>5.0</v>
      </c>
      <c r="DY222" s="19">
        <v>10.0</v>
      </c>
      <c r="DZ222" s="19">
        <v>2.0</v>
      </c>
      <c r="EA222" s="19">
        <v>10.0</v>
      </c>
      <c r="EB222" s="19">
        <v>0.0</v>
      </c>
      <c r="EC222" s="19">
        <v>0.0</v>
      </c>
      <c r="ED222" s="19" t="s">
        <v>2174</v>
      </c>
      <c r="EE222" s="24">
        <v>45517.0</v>
      </c>
      <c r="EF222" s="19" t="s">
        <v>2174</v>
      </c>
      <c r="EG222" s="19" t="s">
        <v>2145</v>
      </c>
      <c r="EH222" s="19" t="s">
        <v>2183</v>
      </c>
      <c r="EI222" s="22">
        <v>13.649999999999999</v>
      </c>
      <c r="EJ222" s="19">
        <v>42.5</v>
      </c>
      <c r="EK222" s="19" t="s">
        <v>2113</v>
      </c>
      <c r="EL222" s="19" t="s">
        <v>2117</v>
      </c>
      <c r="EM222" s="19" t="s">
        <v>6208</v>
      </c>
      <c r="EN222" s="19" t="s">
        <v>661</v>
      </c>
      <c r="EO222" s="19" t="s">
        <v>2338</v>
      </c>
      <c r="EP222" s="19" t="s">
        <v>3849</v>
      </c>
      <c r="EQ222" s="19" t="s">
        <v>2204</v>
      </c>
      <c r="ER222" s="19" t="s">
        <v>2177</v>
      </c>
      <c r="ES222" s="19" t="s">
        <v>661</v>
      </c>
      <c r="ET222" s="19" t="s">
        <v>661</v>
      </c>
      <c r="EU222" s="19" t="s">
        <v>6206</v>
      </c>
      <c r="EV222" s="19">
        <v>8206.0</v>
      </c>
      <c r="EW222" s="19" t="s">
        <v>16</v>
      </c>
      <c r="EX222" s="19">
        <v>5.0</v>
      </c>
      <c r="EY222" s="25" t="s">
        <v>660</v>
      </c>
      <c r="EZ222" s="19" t="s">
        <v>2154</v>
      </c>
      <c r="FA222" s="5" t="s">
        <v>6219</v>
      </c>
      <c r="FB222" s="26" t="s">
        <v>2156</v>
      </c>
      <c r="FC222" s="26"/>
    </row>
    <row r="223">
      <c r="A223" s="19" t="s">
        <v>2112</v>
      </c>
      <c r="B223" s="19"/>
      <c r="C223" s="19" t="s">
        <v>2113</v>
      </c>
      <c r="D223" s="19" t="s">
        <v>6220</v>
      </c>
      <c r="E223" s="19" t="s">
        <v>6221</v>
      </c>
      <c r="F223" s="19" t="s">
        <v>6222</v>
      </c>
      <c r="G223" s="19" t="s">
        <v>6223</v>
      </c>
      <c r="H223" s="19" t="s">
        <v>662</v>
      </c>
      <c r="I223" s="19" t="s">
        <v>664</v>
      </c>
      <c r="J223" s="19" t="s">
        <v>6224</v>
      </c>
      <c r="K223" s="19" t="s">
        <v>6225</v>
      </c>
      <c r="L223" s="20">
        <v>45460.0</v>
      </c>
      <c r="M223" s="20">
        <v>45462.0</v>
      </c>
      <c r="N223" s="20">
        <v>45462.0</v>
      </c>
      <c r="O223" s="19" t="s">
        <v>663</v>
      </c>
      <c r="P223" s="19">
        <v>0.0</v>
      </c>
      <c r="Q223" s="19">
        <v>21.0</v>
      </c>
      <c r="R223" s="19">
        <v>7741.0</v>
      </c>
      <c r="S223" s="20" t="s">
        <v>6226</v>
      </c>
      <c r="T223" s="20">
        <v>45461.0</v>
      </c>
      <c r="U223" s="19" t="s">
        <v>6222</v>
      </c>
      <c r="V223" s="19"/>
      <c r="W223" s="19"/>
      <c r="X223" s="21">
        <v>0.0</v>
      </c>
      <c r="Y223" s="21">
        <v>10.0</v>
      </c>
      <c r="Z223" s="21">
        <v>5.0</v>
      </c>
      <c r="AA223" s="21">
        <v>0.0</v>
      </c>
      <c r="AB223" s="5">
        <v>15.0</v>
      </c>
      <c r="AC223" s="19">
        <v>4.5</v>
      </c>
      <c r="AD223" s="19">
        <v>4.5</v>
      </c>
      <c r="AE223" s="19">
        <v>4.5</v>
      </c>
      <c r="AF223" s="19">
        <v>4.5</v>
      </c>
      <c r="AG223" s="19">
        <v>4.0</v>
      </c>
      <c r="AH223" s="19">
        <v>4.75</v>
      </c>
      <c r="AI223" s="22">
        <v>13.40625</v>
      </c>
      <c r="AJ223" s="19">
        <v>15.0</v>
      </c>
      <c r="AK223" s="19">
        <v>15.0</v>
      </c>
      <c r="AL223" s="19">
        <v>14.8</v>
      </c>
      <c r="AM223" s="19">
        <v>44.8</v>
      </c>
      <c r="AN223" s="19">
        <v>58.2</v>
      </c>
      <c r="AO223" s="19">
        <v>73.2</v>
      </c>
      <c r="AP223" s="19">
        <v>484.0</v>
      </c>
      <c r="AQ223" s="23">
        <v>217.0</v>
      </c>
      <c r="AR223" s="23">
        <v>28.0</v>
      </c>
      <c r="AS223" s="22"/>
      <c r="AT223" s="19" t="s">
        <v>2163</v>
      </c>
      <c r="AU223" s="19" t="s">
        <v>4380</v>
      </c>
      <c r="AV223" s="19" t="s">
        <v>4381</v>
      </c>
      <c r="AW223" s="19"/>
      <c r="AX223" s="20">
        <v>37720.0</v>
      </c>
      <c r="AY223" s="19" t="s">
        <v>2167</v>
      </c>
      <c r="AZ223" s="19" t="s">
        <v>2122</v>
      </c>
      <c r="BA223" s="19" t="s">
        <v>4382</v>
      </c>
      <c r="BB223" s="19" t="s">
        <v>2764</v>
      </c>
      <c r="BC223" s="19" t="s">
        <v>6227</v>
      </c>
      <c r="BD223" s="19" t="s">
        <v>6228</v>
      </c>
      <c r="BE223" s="19"/>
      <c r="BF223" s="19"/>
      <c r="BG223" s="19" t="s">
        <v>2127</v>
      </c>
      <c r="BH223" s="19" t="s">
        <v>2128</v>
      </c>
      <c r="BI223" s="19"/>
      <c r="BJ223" s="19" t="s">
        <v>2128</v>
      </c>
      <c r="BK223" s="19" t="s">
        <v>16</v>
      </c>
      <c r="BL223" s="19" t="s">
        <v>2113</v>
      </c>
      <c r="BM223" s="19" t="s">
        <v>5563</v>
      </c>
      <c r="BN223" s="19" t="s">
        <v>17</v>
      </c>
      <c r="BO223" s="19" t="s">
        <v>2132</v>
      </c>
      <c r="BP223" s="19" t="s">
        <v>6229</v>
      </c>
      <c r="BQ223" s="19" t="s">
        <v>2174</v>
      </c>
      <c r="BR223" s="19" t="s">
        <v>2174</v>
      </c>
      <c r="BS223" s="19" t="s">
        <v>2134</v>
      </c>
      <c r="BT223" s="19" t="s">
        <v>21</v>
      </c>
      <c r="BU223" s="19" t="s">
        <v>6105</v>
      </c>
      <c r="BV223" s="19"/>
      <c r="BW223" s="19"/>
      <c r="BX223" s="19"/>
      <c r="BY223" s="19" t="s">
        <v>2113</v>
      </c>
      <c r="BZ223" s="19" t="s">
        <v>2113</v>
      </c>
      <c r="CA223" s="19" t="s">
        <v>2113</v>
      </c>
      <c r="CB223" s="19"/>
      <c r="CC223" s="19"/>
      <c r="CD223" s="19" t="s">
        <v>2137</v>
      </c>
      <c r="CE223" s="19" t="s">
        <v>16</v>
      </c>
      <c r="CF223" s="19"/>
      <c r="CG223" s="19"/>
      <c r="CH223" s="19" t="s">
        <v>16</v>
      </c>
      <c r="CI223" s="21">
        <v>0.0</v>
      </c>
      <c r="CJ223" s="19" t="s">
        <v>17</v>
      </c>
      <c r="CK223" s="19"/>
      <c r="CL223" s="19"/>
      <c r="CM223" s="19" t="s">
        <v>2138</v>
      </c>
      <c r="CN223" s="19" t="s">
        <v>2176</v>
      </c>
      <c r="CO223" s="19" t="s">
        <v>2177</v>
      </c>
      <c r="CP223" s="19" t="s">
        <v>2134</v>
      </c>
      <c r="CQ223" s="19"/>
      <c r="CR223" s="19" t="s">
        <v>2113</v>
      </c>
      <c r="CS223" s="19" t="s">
        <v>2113</v>
      </c>
      <c r="CT223" s="19"/>
      <c r="CU223" s="19"/>
      <c r="CV223" s="19" t="s">
        <v>2141</v>
      </c>
      <c r="CW223" s="19"/>
      <c r="CX223" s="19"/>
      <c r="CY223" s="19"/>
      <c r="CZ223" s="19"/>
      <c r="DA223" s="19" t="s">
        <v>16</v>
      </c>
      <c r="DB223" s="19" t="s">
        <v>17</v>
      </c>
      <c r="DC223" s="19" t="s">
        <v>2181</v>
      </c>
      <c r="DD223" s="19"/>
      <c r="DE223" s="19"/>
      <c r="DF223" s="19" t="s">
        <v>2180</v>
      </c>
      <c r="DG223" s="19" t="s">
        <v>2345</v>
      </c>
      <c r="DH223" s="19" t="s">
        <v>2144</v>
      </c>
      <c r="DI223" s="24">
        <v>45517.0</v>
      </c>
      <c r="DJ223" s="19" t="s">
        <v>2174</v>
      </c>
      <c r="DK223" s="19" t="s">
        <v>2271</v>
      </c>
      <c r="DL223" s="19" t="s">
        <v>2183</v>
      </c>
      <c r="DM223" s="19" t="s">
        <v>2515</v>
      </c>
      <c r="DN223" s="19">
        <v>2.0</v>
      </c>
      <c r="DO223" s="19">
        <v>2.0</v>
      </c>
      <c r="DP223" s="19" t="s">
        <v>6230</v>
      </c>
      <c r="DQ223" s="19" t="s">
        <v>6231</v>
      </c>
      <c r="DR223" s="19" t="s">
        <v>6232</v>
      </c>
      <c r="DS223" s="19" t="s">
        <v>2151</v>
      </c>
      <c r="DT223" s="19" t="s">
        <v>2366</v>
      </c>
      <c r="DU223" s="19"/>
      <c r="DV223" s="19"/>
      <c r="DW223" s="19" t="s">
        <v>2153</v>
      </c>
      <c r="DX223" s="19">
        <v>13.0</v>
      </c>
      <c r="DY223" s="19">
        <v>10.0</v>
      </c>
      <c r="DZ223" s="19">
        <v>0.0</v>
      </c>
      <c r="EA223" s="19">
        <v>10.0</v>
      </c>
      <c r="EB223" s="19">
        <v>0.0</v>
      </c>
      <c r="EC223" s="19">
        <v>0.0</v>
      </c>
      <c r="ED223" s="19" t="s">
        <v>2174</v>
      </c>
      <c r="EE223" s="24">
        <v>45517.0</v>
      </c>
      <c r="EF223" s="19" t="s">
        <v>2174</v>
      </c>
      <c r="EG223" s="19" t="s">
        <v>2271</v>
      </c>
      <c r="EH223" s="19" t="s">
        <v>2183</v>
      </c>
      <c r="EI223" s="22">
        <v>13.40625</v>
      </c>
      <c r="EJ223" s="19">
        <v>44.75</v>
      </c>
      <c r="EK223" s="19" t="s">
        <v>2113</v>
      </c>
      <c r="EL223" s="19" t="s">
        <v>2163</v>
      </c>
      <c r="EM223" s="19" t="s">
        <v>4380</v>
      </c>
      <c r="EN223" s="19" t="s">
        <v>664</v>
      </c>
      <c r="EO223" s="19" t="s">
        <v>2167</v>
      </c>
      <c r="EP223" s="19" t="s">
        <v>2122</v>
      </c>
      <c r="EQ223" s="19" t="s">
        <v>2176</v>
      </c>
      <c r="ER223" s="19" t="s">
        <v>2177</v>
      </c>
      <c r="ES223" s="19" t="s">
        <v>664</v>
      </c>
      <c r="ET223" s="19" t="s">
        <v>664</v>
      </c>
      <c r="EU223" s="19" t="s">
        <v>6225</v>
      </c>
      <c r="EV223" s="19">
        <v>7741.0</v>
      </c>
      <c r="EW223" s="19" t="s">
        <v>16</v>
      </c>
      <c r="EX223" s="19">
        <v>5.0</v>
      </c>
      <c r="EY223" s="25" t="s">
        <v>663</v>
      </c>
      <c r="EZ223" s="19" t="s">
        <v>2154</v>
      </c>
      <c r="FA223" s="5" t="s">
        <v>6233</v>
      </c>
      <c r="FB223" s="26" t="s">
        <v>2156</v>
      </c>
      <c r="FC223" s="26"/>
    </row>
    <row r="224">
      <c r="A224" s="19" t="s">
        <v>2112</v>
      </c>
      <c r="B224" s="19"/>
      <c r="C224" s="19" t="s">
        <v>2113</v>
      </c>
      <c r="D224" s="19" t="s">
        <v>665</v>
      </c>
      <c r="E224" s="19" t="s">
        <v>665</v>
      </c>
      <c r="F224" s="19" t="s">
        <v>665</v>
      </c>
      <c r="G224" s="19" t="s">
        <v>665</v>
      </c>
      <c r="H224" s="19" t="s">
        <v>665</v>
      </c>
      <c r="I224" s="19" t="s">
        <v>667</v>
      </c>
      <c r="J224" s="19" t="s">
        <v>6234</v>
      </c>
      <c r="K224" s="19" t="s">
        <v>6235</v>
      </c>
      <c r="L224" s="20">
        <v>45456.0</v>
      </c>
      <c r="M224" s="20">
        <v>45457.0</v>
      </c>
      <c r="N224" s="20">
        <v>45457.0</v>
      </c>
      <c r="O224" s="19" t="s">
        <v>666</v>
      </c>
      <c r="P224" s="19">
        <v>0.0</v>
      </c>
      <c r="Q224" s="19">
        <v>24.0</v>
      </c>
      <c r="R224" s="19">
        <v>8864.0</v>
      </c>
      <c r="S224" s="20" t="s">
        <v>6236</v>
      </c>
      <c r="T224" s="20">
        <v>45461.0</v>
      </c>
      <c r="U224" s="19" t="s">
        <v>665</v>
      </c>
      <c r="V224" s="19"/>
      <c r="W224" s="19"/>
      <c r="X224" s="21">
        <v>0.0</v>
      </c>
      <c r="Y224" s="21">
        <v>10.0</v>
      </c>
      <c r="Z224" s="21">
        <v>4.0</v>
      </c>
      <c r="AA224" s="21">
        <v>0.0</v>
      </c>
      <c r="AB224" s="5">
        <v>14.0</v>
      </c>
      <c r="AC224" s="19">
        <v>4.6</v>
      </c>
      <c r="AD224" s="19">
        <v>4.8</v>
      </c>
      <c r="AE224" s="19">
        <v>4.6</v>
      </c>
      <c r="AF224" s="19">
        <v>4.6</v>
      </c>
      <c r="AG224" s="19">
        <v>5.0</v>
      </c>
      <c r="AH224" s="19">
        <v>4.8</v>
      </c>
      <c r="AI224" s="22">
        <v>14.15625</v>
      </c>
      <c r="AJ224" s="19">
        <v>15.0</v>
      </c>
      <c r="AK224" s="19">
        <v>15.0</v>
      </c>
      <c r="AL224" s="19">
        <v>15.0</v>
      </c>
      <c r="AM224" s="19">
        <v>45.0</v>
      </c>
      <c r="AN224" s="19">
        <v>59.2</v>
      </c>
      <c r="AO224" s="19">
        <v>73.2</v>
      </c>
      <c r="AP224" s="19">
        <v>597.0</v>
      </c>
      <c r="AQ224" s="23">
        <v>218.0</v>
      </c>
      <c r="AR224" s="23">
        <v>19.0</v>
      </c>
      <c r="AS224" s="22"/>
      <c r="AT224" s="19" t="s">
        <v>2117</v>
      </c>
      <c r="AU224" s="19" t="s">
        <v>6237</v>
      </c>
      <c r="AV224" s="19" t="s">
        <v>6238</v>
      </c>
      <c r="AW224" s="19" t="s">
        <v>2466</v>
      </c>
      <c r="AX224" s="20">
        <v>36597.0</v>
      </c>
      <c r="AY224" s="19" t="s">
        <v>4876</v>
      </c>
      <c r="AZ224" s="19" t="s">
        <v>2310</v>
      </c>
      <c r="BA224" s="19" t="s">
        <v>6239</v>
      </c>
      <c r="BB224" s="19" t="s">
        <v>6240</v>
      </c>
      <c r="BC224" s="19" t="s">
        <v>6241</v>
      </c>
      <c r="BD224" s="19" t="s">
        <v>6242</v>
      </c>
      <c r="BE224" s="19" t="s">
        <v>6234</v>
      </c>
      <c r="BF224" s="19">
        <v>1.197092881E10</v>
      </c>
      <c r="BG224" s="19" t="s">
        <v>2127</v>
      </c>
      <c r="BH224" s="19" t="s">
        <v>2128</v>
      </c>
      <c r="BI224" s="19"/>
      <c r="BJ224" s="19"/>
      <c r="BK224" s="19" t="s">
        <v>16</v>
      </c>
      <c r="BL224" s="19"/>
      <c r="BM224" s="19" t="s">
        <v>5411</v>
      </c>
      <c r="BN224" s="19" t="s">
        <v>2172</v>
      </c>
      <c r="BO224" s="19" t="s">
        <v>2317</v>
      </c>
      <c r="BP224" s="19" t="s">
        <v>6243</v>
      </c>
      <c r="BQ224" s="19" t="s">
        <v>2174</v>
      </c>
      <c r="BR224" s="19" t="s">
        <v>2174</v>
      </c>
      <c r="BS224" s="19" t="s">
        <v>2134</v>
      </c>
      <c r="BT224" s="19" t="s">
        <v>75</v>
      </c>
      <c r="BU224" s="19"/>
      <c r="BV224" s="19"/>
      <c r="BW224" s="19"/>
      <c r="BX224" s="19"/>
      <c r="BY224" s="19"/>
      <c r="BZ224" s="19"/>
      <c r="CA224" s="19"/>
      <c r="CB224" s="19" t="s">
        <v>2113</v>
      </c>
      <c r="CC224" s="19" t="s">
        <v>2113</v>
      </c>
      <c r="CD224" s="19" t="s">
        <v>2137</v>
      </c>
      <c r="CE224" s="19" t="s">
        <v>16</v>
      </c>
      <c r="CF224" s="19"/>
      <c r="CG224" s="19"/>
      <c r="CH224" s="19" t="s">
        <v>16</v>
      </c>
      <c r="CI224" s="21">
        <v>0.0</v>
      </c>
      <c r="CJ224" s="19" t="s">
        <v>16</v>
      </c>
      <c r="CK224" s="19"/>
      <c r="CL224" s="19"/>
      <c r="CM224" s="19" t="s">
        <v>2344</v>
      </c>
      <c r="CN224" s="19" t="s">
        <v>4884</v>
      </c>
      <c r="CO224" s="19"/>
      <c r="CP224" s="19"/>
      <c r="CQ224" s="19"/>
      <c r="CR224" s="19" t="s">
        <v>2113</v>
      </c>
      <c r="CS224" s="19" t="s">
        <v>2113</v>
      </c>
      <c r="CT224" s="19" t="s">
        <v>2113</v>
      </c>
      <c r="CU224" s="19" t="s">
        <v>2113</v>
      </c>
      <c r="CV224" s="19" t="s">
        <v>2179</v>
      </c>
      <c r="CW224" s="19" t="s">
        <v>2113</v>
      </c>
      <c r="CX224" s="19" t="s">
        <v>2113</v>
      </c>
      <c r="CY224" s="19" t="s">
        <v>2113</v>
      </c>
      <c r="CZ224" s="19" t="s">
        <v>2113</v>
      </c>
      <c r="DA224" s="19" t="s">
        <v>16</v>
      </c>
      <c r="DB224" s="19" t="s">
        <v>16</v>
      </c>
      <c r="DC224" s="19" t="s">
        <v>4042</v>
      </c>
      <c r="DD224" s="19" t="s">
        <v>2113</v>
      </c>
      <c r="DE224" s="19" t="s">
        <v>2113</v>
      </c>
      <c r="DF224" s="19" t="s">
        <v>2538</v>
      </c>
      <c r="DG224" s="19" t="s">
        <v>4791</v>
      </c>
      <c r="DH224" s="19" t="s">
        <v>2144</v>
      </c>
      <c r="DI224" s="24">
        <v>45518.0</v>
      </c>
      <c r="DJ224" s="19" t="s">
        <v>2174</v>
      </c>
      <c r="DK224" s="19" t="s">
        <v>2145</v>
      </c>
      <c r="DL224" s="19" t="s">
        <v>2183</v>
      </c>
      <c r="DM224" s="19" t="s">
        <v>2228</v>
      </c>
      <c r="DN224" s="19">
        <v>3.0</v>
      </c>
      <c r="DO224" s="19">
        <v>3.0</v>
      </c>
      <c r="DP224" s="19"/>
      <c r="DQ224" s="19"/>
      <c r="DR224" s="19"/>
      <c r="DS224" s="19" t="s">
        <v>2151</v>
      </c>
      <c r="DT224" s="19" t="s">
        <v>2186</v>
      </c>
      <c r="DU224" s="19" t="s">
        <v>6244</v>
      </c>
      <c r="DV224" s="19"/>
      <c r="DW224" s="19" t="s">
        <v>2153</v>
      </c>
      <c r="DX224" s="19">
        <v>13.0</v>
      </c>
      <c r="DY224" s="19">
        <v>10.0</v>
      </c>
      <c r="DZ224" s="19">
        <v>0.0</v>
      </c>
      <c r="EA224" s="19">
        <v>10.0</v>
      </c>
      <c r="EB224" s="19">
        <v>0.0</v>
      </c>
      <c r="EC224" s="19">
        <v>0.0</v>
      </c>
      <c r="ED224" s="19" t="s">
        <v>2174</v>
      </c>
      <c r="EE224" s="24">
        <v>45518.0</v>
      </c>
      <c r="EF224" s="19" t="s">
        <v>2174</v>
      </c>
      <c r="EG224" s="19" t="s">
        <v>2145</v>
      </c>
      <c r="EH224" s="19" t="s">
        <v>2183</v>
      </c>
      <c r="EI224" s="22">
        <v>14.15625</v>
      </c>
      <c r="EJ224" s="19">
        <v>45.0</v>
      </c>
      <c r="EK224" s="19"/>
      <c r="EL224" s="19" t="s">
        <v>2117</v>
      </c>
      <c r="EM224" s="19" t="s">
        <v>6237</v>
      </c>
      <c r="EN224" s="19" t="s">
        <v>667</v>
      </c>
      <c r="EO224" s="19" t="s">
        <v>4876</v>
      </c>
      <c r="EP224" s="19" t="s">
        <v>2310</v>
      </c>
      <c r="EQ224" s="19" t="s">
        <v>4884</v>
      </c>
      <c r="ER224" s="19"/>
      <c r="ES224" s="19" t="s">
        <v>667</v>
      </c>
      <c r="ET224" s="19" t="s">
        <v>667</v>
      </c>
      <c r="EU224" s="19" t="s">
        <v>6235</v>
      </c>
      <c r="EV224" s="19">
        <v>8864.0</v>
      </c>
      <c r="EW224" s="19" t="s">
        <v>16</v>
      </c>
      <c r="EX224" s="19">
        <v>4.0</v>
      </c>
      <c r="EY224" s="25" t="s">
        <v>666</v>
      </c>
      <c r="EZ224" s="19" t="s">
        <v>2154</v>
      </c>
      <c r="FA224" s="5" t="s">
        <v>6245</v>
      </c>
      <c r="FB224" s="26" t="s">
        <v>2156</v>
      </c>
      <c r="FC224" s="26"/>
    </row>
    <row r="225">
      <c r="A225" s="27" t="s">
        <v>2112</v>
      </c>
      <c r="B225" s="27" t="s">
        <v>2113</v>
      </c>
      <c r="C225" s="27" t="s">
        <v>2113</v>
      </c>
      <c r="D225" s="27" t="s">
        <v>6246</v>
      </c>
      <c r="E225" s="27" t="s">
        <v>6247</v>
      </c>
      <c r="F225" s="27" t="s">
        <v>6246</v>
      </c>
      <c r="G225" s="27"/>
      <c r="H225" s="39" t="s">
        <v>668</v>
      </c>
      <c r="I225" s="27" t="s">
        <v>670</v>
      </c>
      <c r="J225" s="27" t="s">
        <v>6248</v>
      </c>
      <c r="K225" s="27" t="s">
        <v>6249</v>
      </c>
      <c r="L225" s="28">
        <v>45460.0</v>
      </c>
      <c r="M225" s="28">
        <v>45462.0</v>
      </c>
      <c r="N225" s="28">
        <v>45462.0</v>
      </c>
      <c r="O225" s="27" t="s">
        <v>669</v>
      </c>
      <c r="P225" s="27">
        <v>0.0</v>
      </c>
      <c r="Q225" s="27">
        <v>22.0</v>
      </c>
      <c r="R225" s="27">
        <v>8400.0</v>
      </c>
      <c r="S225" s="28" t="s">
        <v>6250</v>
      </c>
      <c r="T225" s="28">
        <v>45461.0</v>
      </c>
      <c r="U225" s="27" t="s">
        <v>6246</v>
      </c>
      <c r="V225" s="27" t="s">
        <v>6251</v>
      </c>
      <c r="W225" s="27"/>
      <c r="X225" s="40">
        <v>0.0</v>
      </c>
      <c r="Y225" s="29">
        <v>10.0</v>
      </c>
      <c r="Z225" s="29">
        <v>5.0</v>
      </c>
      <c r="AA225" s="29">
        <v>0.0</v>
      </c>
      <c r="AB225" s="41">
        <v>15.0</v>
      </c>
      <c r="AC225" s="27">
        <v>4.0</v>
      </c>
      <c r="AD225" s="27">
        <v>4.0</v>
      </c>
      <c r="AE225" s="27">
        <v>5.0</v>
      </c>
      <c r="AF225" s="27">
        <v>5.0</v>
      </c>
      <c r="AG225" s="27">
        <v>4.0</v>
      </c>
      <c r="AH225" s="27">
        <v>4.0</v>
      </c>
      <c r="AI225" s="31">
        <v>13.125</v>
      </c>
      <c r="AJ225" s="27">
        <v>15.0</v>
      </c>
      <c r="AK225" s="27">
        <v>15.0</v>
      </c>
      <c r="AL225" s="27">
        <v>15.0</v>
      </c>
      <c r="AM225" s="27">
        <v>45.0</v>
      </c>
      <c r="AN225" s="27">
        <v>58.1</v>
      </c>
      <c r="AO225" s="42">
        <v>73.1</v>
      </c>
      <c r="AP225" s="27">
        <v>59.0</v>
      </c>
      <c r="AQ225" s="23">
        <v>219.0</v>
      </c>
      <c r="AR225" s="23">
        <v>24.0</v>
      </c>
      <c r="AS225" s="31"/>
      <c r="AT225" s="27" t="s">
        <v>2163</v>
      </c>
      <c r="AU225" s="27" t="s">
        <v>6252</v>
      </c>
      <c r="AV225" s="27" t="s">
        <v>6253</v>
      </c>
      <c r="AW225" s="27"/>
      <c r="AX225" s="28">
        <v>37061.0</v>
      </c>
      <c r="AY225" s="27" t="s">
        <v>2121</v>
      </c>
      <c r="AZ225" s="27" t="s">
        <v>2310</v>
      </c>
      <c r="BA225" s="27" t="s">
        <v>6254</v>
      </c>
      <c r="BB225" s="27" t="s">
        <v>6255</v>
      </c>
      <c r="BC225" s="27" t="s">
        <v>6256</v>
      </c>
      <c r="BD225" s="27" t="s">
        <v>6257</v>
      </c>
      <c r="BE225" s="27" t="s">
        <v>6258</v>
      </c>
      <c r="BF225" s="27">
        <v>1.1941480955E10</v>
      </c>
      <c r="BG225" s="27" t="s">
        <v>2127</v>
      </c>
      <c r="BH225" s="27" t="s">
        <v>2128</v>
      </c>
      <c r="BI225" s="27"/>
      <c r="BJ225" s="27"/>
      <c r="BK225" s="27" t="s">
        <v>16</v>
      </c>
      <c r="BL225" s="27"/>
      <c r="BM225" s="27" t="s">
        <v>2130</v>
      </c>
      <c r="BN225" s="27" t="s">
        <v>2172</v>
      </c>
      <c r="BO225" s="27" t="s">
        <v>2132</v>
      </c>
      <c r="BP225" s="27" t="s">
        <v>6259</v>
      </c>
      <c r="BQ225" s="27" t="s">
        <v>2133</v>
      </c>
      <c r="BR225" s="27" t="s">
        <v>2133</v>
      </c>
      <c r="BS225" s="27" t="s">
        <v>2134</v>
      </c>
      <c r="BT225" s="27" t="s">
        <v>15</v>
      </c>
      <c r="BU225" s="27" t="s">
        <v>4099</v>
      </c>
      <c r="BV225" s="27" t="s">
        <v>6260</v>
      </c>
      <c r="BW225" s="27"/>
      <c r="BX225" s="27"/>
      <c r="BY225" s="27"/>
      <c r="BZ225" s="27"/>
      <c r="CA225" s="27"/>
      <c r="CB225" s="27" t="s">
        <v>2113</v>
      </c>
      <c r="CC225" s="27" t="s">
        <v>2113</v>
      </c>
      <c r="CD225" s="27" t="s">
        <v>2137</v>
      </c>
      <c r="CE225" s="27" t="s">
        <v>16</v>
      </c>
      <c r="CF225" s="27"/>
      <c r="CG225" s="27"/>
      <c r="CH225" s="27" t="s">
        <v>16</v>
      </c>
      <c r="CI225" s="29">
        <v>0.0</v>
      </c>
      <c r="CJ225" s="27" t="s">
        <v>17</v>
      </c>
      <c r="CK225" s="27"/>
      <c r="CL225" s="27"/>
      <c r="CM225" s="27" t="s">
        <v>2138</v>
      </c>
      <c r="CN225" s="27" t="s">
        <v>2139</v>
      </c>
      <c r="CO225" s="27"/>
      <c r="CP225" s="27"/>
      <c r="CQ225" s="27"/>
      <c r="CR225" s="27"/>
      <c r="CS225" s="27"/>
      <c r="CT225" s="27" t="s">
        <v>2113</v>
      </c>
      <c r="CU225" s="27" t="s">
        <v>2113</v>
      </c>
      <c r="CV225" s="27" t="s">
        <v>2141</v>
      </c>
      <c r="CW225" s="27" t="s">
        <v>2113</v>
      </c>
      <c r="CX225" s="27" t="s">
        <v>2113</v>
      </c>
      <c r="CY225" s="27" t="s">
        <v>2113</v>
      </c>
      <c r="CZ225" s="27" t="s">
        <v>2113</v>
      </c>
      <c r="DA225" s="27" t="s">
        <v>16</v>
      </c>
      <c r="DB225" s="27" t="s">
        <v>17</v>
      </c>
      <c r="DC225" s="27" t="s">
        <v>2142</v>
      </c>
      <c r="DD225" s="27" t="s">
        <v>2113</v>
      </c>
      <c r="DE225" s="27" t="s">
        <v>2113</v>
      </c>
      <c r="DF225" s="27" t="s">
        <v>2477</v>
      </c>
      <c r="DG225" s="27" t="s">
        <v>2406</v>
      </c>
      <c r="DH225" s="27" t="s">
        <v>2144</v>
      </c>
      <c r="DI225" s="36">
        <v>45525.0</v>
      </c>
      <c r="DJ225" s="27" t="s">
        <v>2133</v>
      </c>
      <c r="DK225" s="27" t="s">
        <v>2145</v>
      </c>
      <c r="DL225" s="27" t="s">
        <v>2146</v>
      </c>
      <c r="DM225" s="27" t="s">
        <v>3003</v>
      </c>
      <c r="DN225" s="27">
        <v>9.0</v>
      </c>
      <c r="DO225" s="27">
        <v>9.0</v>
      </c>
      <c r="DP225" s="27" t="s">
        <v>6261</v>
      </c>
      <c r="DQ225" s="27" t="s">
        <v>6262</v>
      </c>
      <c r="DR225" s="27" t="s">
        <v>6263</v>
      </c>
      <c r="DS225" s="27" t="s">
        <v>2365</v>
      </c>
      <c r="DT225" s="27" t="s">
        <v>2152</v>
      </c>
      <c r="DU225" s="27"/>
      <c r="DV225" s="27"/>
      <c r="DW225" s="27" t="s">
        <v>2153</v>
      </c>
      <c r="DX225" s="27">
        <v>7.0</v>
      </c>
      <c r="DY225" s="27">
        <v>10.0</v>
      </c>
      <c r="DZ225" s="27">
        <v>0.0</v>
      </c>
      <c r="EA225" s="27">
        <v>10.0</v>
      </c>
      <c r="EB225" s="27">
        <v>0.0</v>
      </c>
      <c r="EC225" s="27">
        <v>20.0</v>
      </c>
      <c r="ED225" s="27" t="s">
        <v>2133</v>
      </c>
      <c r="EE225" s="36">
        <v>45525.0</v>
      </c>
      <c r="EF225" s="27" t="s">
        <v>2133</v>
      </c>
      <c r="EG225" s="27" t="s">
        <v>2145</v>
      </c>
      <c r="EH225" s="27" t="s">
        <v>2146</v>
      </c>
      <c r="EI225" s="31">
        <v>13.125</v>
      </c>
      <c r="EJ225" s="27">
        <v>45.0</v>
      </c>
      <c r="EK225" s="27" t="s">
        <v>2113</v>
      </c>
      <c r="EL225" s="27" t="s">
        <v>2163</v>
      </c>
      <c r="EM225" s="27" t="s">
        <v>6252</v>
      </c>
      <c r="EN225" s="27" t="s">
        <v>670</v>
      </c>
      <c r="EO225" s="27" t="s">
        <v>2121</v>
      </c>
      <c r="EP225" s="27" t="s">
        <v>2310</v>
      </c>
      <c r="EQ225" s="27" t="s">
        <v>2139</v>
      </c>
      <c r="ER225" s="27"/>
      <c r="ES225" s="27" t="s">
        <v>670</v>
      </c>
      <c r="ET225" s="27" t="s">
        <v>670</v>
      </c>
      <c r="EU225" s="27" t="s">
        <v>6249</v>
      </c>
      <c r="EV225" s="27">
        <v>8400.0</v>
      </c>
      <c r="EW225" s="27" t="s">
        <v>16</v>
      </c>
      <c r="EX225" s="27">
        <v>5.0</v>
      </c>
      <c r="EY225" s="37" t="s">
        <v>669</v>
      </c>
      <c r="EZ225" s="27" t="s">
        <v>2154</v>
      </c>
      <c r="FA225" s="30" t="s">
        <v>6264</v>
      </c>
      <c r="FB225" s="38" t="s">
        <v>2156</v>
      </c>
      <c r="FC225" s="38" t="s">
        <v>6265</v>
      </c>
    </row>
    <row r="226">
      <c r="A226" s="19" t="s">
        <v>2112</v>
      </c>
      <c r="B226" s="19"/>
      <c r="C226" s="19" t="s">
        <v>2113</v>
      </c>
      <c r="D226" s="19" t="s">
        <v>671</v>
      </c>
      <c r="E226" s="19" t="s">
        <v>6266</v>
      </c>
      <c r="F226" s="19" t="s">
        <v>6267</v>
      </c>
      <c r="G226" s="19" t="s">
        <v>6266</v>
      </c>
      <c r="H226" s="19" t="s">
        <v>671</v>
      </c>
      <c r="I226" s="19" t="s">
        <v>673</v>
      </c>
      <c r="J226" s="19" t="s">
        <v>6268</v>
      </c>
      <c r="K226" s="19" t="s">
        <v>6269</v>
      </c>
      <c r="L226" s="20">
        <v>45435.0</v>
      </c>
      <c r="M226" s="20">
        <v>45436.0</v>
      </c>
      <c r="N226" s="20">
        <v>45436.0</v>
      </c>
      <c r="O226" s="19" t="s">
        <v>672</v>
      </c>
      <c r="P226" s="19">
        <v>0.0</v>
      </c>
      <c r="Q226" s="19">
        <v>25.0</v>
      </c>
      <c r="R226" s="19">
        <v>9326.0</v>
      </c>
      <c r="S226" s="20" t="s">
        <v>6270</v>
      </c>
      <c r="T226" s="20">
        <v>45461.0</v>
      </c>
      <c r="U226" s="19" t="s">
        <v>6267</v>
      </c>
      <c r="V226" s="19"/>
      <c r="W226" s="19"/>
      <c r="X226" s="21">
        <v>0.0</v>
      </c>
      <c r="Y226" s="21">
        <v>10.0</v>
      </c>
      <c r="Z226" s="21">
        <v>3.0</v>
      </c>
      <c r="AA226" s="21">
        <v>3.0</v>
      </c>
      <c r="AB226" s="5">
        <v>16.0</v>
      </c>
      <c r="AC226" s="19">
        <v>5.0</v>
      </c>
      <c r="AD226" s="19">
        <v>5.0</v>
      </c>
      <c r="AE226" s="19">
        <v>4.0</v>
      </c>
      <c r="AF226" s="19">
        <v>4.0</v>
      </c>
      <c r="AG226" s="19">
        <v>4.0</v>
      </c>
      <c r="AH226" s="19">
        <v>4.0</v>
      </c>
      <c r="AI226" s="22">
        <v>13.125</v>
      </c>
      <c r="AJ226" s="19">
        <v>14.0</v>
      </c>
      <c r="AK226" s="19">
        <v>15.0</v>
      </c>
      <c r="AL226" s="19">
        <v>15.0</v>
      </c>
      <c r="AM226" s="19">
        <v>44.0</v>
      </c>
      <c r="AN226" s="19">
        <v>57.1</v>
      </c>
      <c r="AO226" s="19">
        <v>73.1</v>
      </c>
      <c r="AP226" s="19">
        <v>387.0</v>
      </c>
      <c r="AQ226" s="23">
        <v>220.0</v>
      </c>
      <c r="AR226" s="23">
        <v>15.0</v>
      </c>
      <c r="AS226" s="22"/>
      <c r="AT226" s="19" t="s">
        <v>2163</v>
      </c>
      <c r="AU226" s="19" t="s">
        <v>6271</v>
      </c>
      <c r="AV226" s="19" t="s">
        <v>6272</v>
      </c>
      <c r="AW226" s="19"/>
      <c r="AX226" s="20">
        <v>36135.0</v>
      </c>
      <c r="AY226" s="19" t="s">
        <v>3826</v>
      </c>
      <c r="AZ226" s="19" t="s">
        <v>2122</v>
      </c>
      <c r="BA226" s="19" t="s">
        <v>6273</v>
      </c>
      <c r="BB226" s="19" t="s">
        <v>5778</v>
      </c>
      <c r="BC226" s="19" t="s">
        <v>6274</v>
      </c>
      <c r="BD226" s="19" t="s">
        <v>6275</v>
      </c>
      <c r="BE226" s="19" t="s">
        <v>6268</v>
      </c>
      <c r="BF226" s="19">
        <v>1.1961751697E10</v>
      </c>
      <c r="BG226" s="19" t="s">
        <v>2127</v>
      </c>
      <c r="BH226" s="19" t="s">
        <v>2649</v>
      </c>
      <c r="BI226" s="19"/>
      <c r="BJ226" s="19"/>
      <c r="BK226" s="19" t="s">
        <v>16</v>
      </c>
      <c r="BL226" s="19"/>
      <c r="BM226" s="19" t="s">
        <v>5411</v>
      </c>
      <c r="BN226" s="19" t="s">
        <v>17</v>
      </c>
      <c r="BO226" s="19" t="s">
        <v>2473</v>
      </c>
      <c r="BP226" s="19"/>
      <c r="BQ226" s="19" t="s">
        <v>3832</v>
      </c>
      <c r="BR226" s="19" t="s">
        <v>3832</v>
      </c>
      <c r="BS226" s="19" t="s">
        <v>2134</v>
      </c>
      <c r="BT226" s="19" t="s">
        <v>268</v>
      </c>
      <c r="BU226" s="19" t="s">
        <v>6276</v>
      </c>
      <c r="BV226" s="19"/>
      <c r="BW226" s="19"/>
      <c r="BX226" s="19"/>
      <c r="BY226" s="19"/>
      <c r="BZ226" s="19"/>
      <c r="CA226" s="19"/>
      <c r="CB226" s="19"/>
      <c r="CC226" s="19"/>
      <c r="CD226" s="19" t="s">
        <v>2137</v>
      </c>
      <c r="CE226" s="19" t="s">
        <v>16</v>
      </c>
      <c r="CF226" s="19"/>
      <c r="CG226" s="19"/>
      <c r="CH226" s="19" t="s">
        <v>17</v>
      </c>
      <c r="CI226" s="21">
        <v>3.0</v>
      </c>
      <c r="CJ226" s="19" t="s">
        <v>17</v>
      </c>
      <c r="CK226" s="19"/>
      <c r="CL226" s="19" t="s">
        <v>2113</v>
      </c>
      <c r="CM226" s="19" t="s">
        <v>2138</v>
      </c>
      <c r="CN226" s="19" t="s">
        <v>3835</v>
      </c>
      <c r="CO226" s="19"/>
      <c r="CP226" s="19" t="s">
        <v>2134</v>
      </c>
      <c r="CQ226" s="19"/>
      <c r="CR226" s="19"/>
      <c r="CS226" s="19"/>
      <c r="CT226" s="19" t="s">
        <v>2113</v>
      </c>
      <c r="CU226" s="19" t="s">
        <v>2113</v>
      </c>
      <c r="CV226" s="19" t="s">
        <v>2141</v>
      </c>
      <c r="CW226" s="19" t="s">
        <v>2113</v>
      </c>
      <c r="CX226" s="19" t="s">
        <v>2113</v>
      </c>
      <c r="CY226" s="19" t="s">
        <v>2113</v>
      </c>
      <c r="CZ226" s="19" t="s">
        <v>2113</v>
      </c>
      <c r="DA226" s="19" t="s">
        <v>16</v>
      </c>
      <c r="DB226" s="19" t="s">
        <v>17</v>
      </c>
      <c r="DC226" s="19" t="s">
        <v>3836</v>
      </c>
      <c r="DD226" s="19" t="s">
        <v>2113</v>
      </c>
      <c r="DE226" s="19" t="s">
        <v>2113</v>
      </c>
      <c r="DF226" s="19" t="s">
        <v>4083</v>
      </c>
      <c r="DG226" s="19" t="s">
        <v>5145</v>
      </c>
      <c r="DH226" s="19" t="s">
        <v>2144</v>
      </c>
      <c r="DI226" s="24">
        <v>45519.0</v>
      </c>
      <c r="DJ226" s="19" t="s">
        <v>3257</v>
      </c>
      <c r="DK226" s="19" t="s">
        <v>2271</v>
      </c>
      <c r="DL226" s="19" t="s">
        <v>2207</v>
      </c>
      <c r="DM226" s="19" t="s">
        <v>3450</v>
      </c>
      <c r="DN226" s="19">
        <v>3.0</v>
      </c>
      <c r="DO226" s="19">
        <v>3.0</v>
      </c>
      <c r="DP226" s="19" t="s">
        <v>6277</v>
      </c>
      <c r="DQ226" s="19" t="s">
        <v>6278</v>
      </c>
      <c r="DR226" s="19" t="s">
        <v>6279</v>
      </c>
      <c r="DS226" s="19" t="s">
        <v>2185</v>
      </c>
      <c r="DT226" s="19" t="s">
        <v>2350</v>
      </c>
      <c r="DU226" s="19"/>
      <c r="DV226" s="19"/>
      <c r="DW226" s="19" t="s">
        <v>2153</v>
      </c>
      <c r="DX226" s="19">
        <v>2.0</v>
      </c>
      <c r="DY226" s="19">
        <v>10.0</v>
      </c>
      <c r="DZ226" s="19">
        <v>0.0</v>
      </c>
      <c r="EA226" s="19">
        <v>10.0</v>
      </c>
      <c r="EB226" s="19">
        <v>3.0</v>
      </c>
      <c r="EC226" s="19">
        <v>0.0</v>
      </c>
      <c r="ED226" s="19" t="s">
        <v>3257</v>
      </c>
      <c r="EE226" s="24">
        <v>45519.0</v>
      </c>
      <c r="EF226" s="19" t="s">
        <v>3257</v>
      </c>
      <c r="EG226" s="19" t="s">
        <v>2271</v>
      </c>
      <c r="EH226" s="19" t="s">
        <v>2207</v>
      </c>
      <c r="EI226" s="22">
        <v>13.125</v>
      </c>
      <c r="EJ226" s="19">
        <v>44.0</v>
      </c>
      <c r="EK226" s="19" t="s">
        <v>2113</v>
      </c>
      <c r="EL226" s="19" t="s">
        <v>2163</v>
      </c>
      <c r="EM226" s="19" t="s">
        <v>6271</v>
      </c>
      <c r="EN226" s="19" t="s">
        <v>673</v>
      </c>
      <c r="EO226" s="19" t="s">
        <v>3826</v>
      </c>
      <c r="EP226" s="19" t="s">
        <v>2122</v>
      </c>
      <c r="EQ226" s="19" t="s">
        <v>3835</v>
      </c>
      <c r="ER226" s="19"/>
      <c r="ES226" s="19" t="s">
        <v>673</v>
      </c>
      <c r="ET226" s="19" t="s">
        <v>673</v>
      </c>
      <c r="EU226" s="19" t="s">
        <v>6269</v>
      </c>
      <c r="EV226" s="19">
        <v>9326.0</v>
      </c>
      <c r="EW226" s="19" t="s">
        <v>16</v>
      </c>
      <c r="EX226" s="19">
        <v>3.0</v>
      </c>
      <c r="EY226" s="25" t="s">
        <v>672</v>
      </c>
      <c r="EZ226" s="19" t="s">
        <v>2154</v>
      </c>
      <c r="FA226" s="5" t="s">
        <v>6280</v>
      </c>
      <c r="FB226" s="26" t="s">
        <v>2156</v>
      </c>
      <c r="FC226" s="26"/>
    </row>
    <row r="227">
      <c r="A227" s="19" t="s">
        <v>2112</v>
      </c>
      <c r="B227" s="19"/>
      <c r="C227" s="19" t="s">
        <v>2113</v>
      </c>
      <c r="D227" s="19" t="s">
        <v>674</v>
      </c>
      <c r="E227" s="19" t="s">
        <v>6281</v>
      </c>
      <c r="F227" s="19" t="s">
        <v>674</v>
      </c>
      <c r="G227" s="19"/>
      <c r="H227" s="19" t="s">
        <v>674</v>
      </c>
      <c r="I227" s="19" t="s">
        <v>676</v>
      </c>
      <c r="J227" s="19" t="s">
        <v>6282</v>
      </c>
      <c r="K227" s="19" t="s">
        <v>6283</v>
      </c>
      <c r="L227" s="20">
        <v>45443.0</v>
      </c>
      <c r="M227" s="20">
        <v>45446.0</v>
      </c>
      <c r="N227" s="20">
        <v>45446.0</v>
      </c>
      <c r="O227" s="19" t="s">
        <v>675</v>
      </c>
      <c r="P227" s="19">
        <v>0.0</v>
      </c>
      <c r="Q227" s="19">
        <v>18.0</v>
      </c>
      <c r="R227" s="19">
        <v>6660.0</v>
      </c>
      <c r="S227" s="20" t="s">
        <v>5204</v>
      </c>
      <c r="T227" s="20">
        <v>45461.0</v>
      </c>
      <c r="U227" s="19" t="s">
        <v>674</v>
      </c>
      <c r="V227" s="19"/>
      <c r="W227" s="19" t="s">
        <v>2131</v>
      </c>
      <c r="X227" s="21">
        <v>0.0</v>
      </c>
      <c r="Y227" s="21">
        <v>10.0</v>
      </c>
      <c r="Z227" s="21">
        <v>5.0</v>
      </c>
      <c r="AA227" s="21">
        <v>0.0</v>
      </c>
      <c r="AB227" s="5">
        <v>15.0</v>
      </c>
      <c r="AC227" s="19">
        <v>4.6</v>
      </c>
      <c r="AD227" s="19">
        <v>4.4</v>
      </c>
      <c r="AE227" s="19">
        <v>4.6</v>
      </c>
      <c r="AF227" s="19">
        <v>4.4</v>
      </c>
      <c r="AG227" s="19">
        <v>4.0</v>
      </c>
      <c r="AH227" s="19">
        <v>5.0</v>
      </c>
      <c r="AI227" s="22">
        <v>13.518749999999999</v>
      </c>
      <c r="AJ227" s="19">
        <v>15.0</v>
      </c>
      <c r="AK227" s="19">
        <v>14.5</v>
      </c>
      <c r="AL227" s="19">
        <v>15.0</v>
      </c>
      <c r="AM227" s="19">
        <v>44.5</v>
      </c>
      <c r="AN227" s="19">
        <v>58.0</v>
      </c>
      <c r="AO227" s="19">
        <v>73.0</v>
      </c>
      <c r="AP227" s="19">
        <v>561.0</v>
      </c>
      <c r="AQ227" s="23">
        <v>221.0</v>
      </c>
      <c r="AR227" s="23">
        <v>29.0</v>
      </c>
      <c r="AS227" s="22"/>
      <c r="AT227" s="19" t="s">
        <v>2282</v>
      </c>
      <c r="AU227" s="19" t="s">
        <v>6284</v>
      </c>
      <c r="AV227" s="19" t="s">
        <v>6285</v>
      </c>
      <c r="AW227" s="19"/>
      <c r="AX227" s="20">
        <v>38801.0</v>
      </c>
      <c r="AY227" s="19" t="s">
        <v>2167</v>
      </c>
      <c r="AZ227" s="19" t="s">
        <v>2122</v>
      </c>
      <c r="BA227" s="19" t="s">
        <v>6286</v>
      </c>
      <c r="BB227" s="19" t="s">
        <v>6287</v>
      </c>
      <c r="BC227" s="19" t="s">
        <v>6288</v>
      </c>
      <c r="BD227" s="19" t="s">
        <v>6289</v>
      </c>
      <c r="BE227" s="19" t="s">
        <v>6282</v>
      </c>
      <c r="BF227" s="19">
        <v>1.1949954964E10</v>
      </c>
      <c r="BG227" s="19" t="s">
        <v>2127</v>
      </c>
      <c r="BH227" s="19" t="s">
        <v>2649</v>
      </c>
      <c r="BI227" s="19"/>
      <c r="BJ227" s="19" t="s">
        <v>2427</v>
      </c>
      <c r="BK227" s="19" t="s">
        <v>17</v>
      </c>
      <c r="BL227" s="19"/>
      <c r="BM227" s="19" t="s">
        <v>5411</v>
      </c>
      <c r="BN227" s="19" t="s">
        <v>17</v>
      </c>
      <c r="BO227" s="19" t="s">
        <v>2132</v>
      </c>
      <c r="BP227" s="19"/>
      <c r="BQ227" s="19" t="s">
        <v>2174</v>
      </c>
      <c r="BR227" s="19" t="s">
        <v>2174</v>
      </c>
      <c r="BS227" s="19" t="s">
        <v>2134</v>
      </c>
      <c r="BT227" s="19" t="s">
        <v>21</v>
      </c>
      <c r="BU227" s="19" t="s">
        <v>6290</v>
      </c>
      <c r="BV227" s="19"/>
      <c r="BW227" s="19"/>
      <c r="BX227" s="19"/>
      <c r="BY227" s="19" t="s">
        <v>2113</v>
      </c>
      <c r="BZ227" s="19"/>
      <c r="CA227" s="19"/>
      <c r="CB227" s="19"/>
      <c r="CC227" s="19"/>
      <c r="CD227" s="19" t="s">
        <v>2137</v>
      </c>
      <c r="CE227" s="19" t="s">
        <v>16</v>
      </c>
      <c r="CF227" s="19"/>
      <c r="CG227" s="19"/>
      <c r="CH227" s="19" t="s">
        <v>16</v>
      </c>
      <c r="CI227" s="21">
        <v>0.0</v>
      </c>
      <c r="CJ227" s="19" t="s">
        <v>16</v>
      </c>
      <c r="CK227" s="19"/>
      <c r="CL227" s="19"/>
      <c r="CM227" s="19" t="s">
        <v>2138</v>
      </c>
      <c r="CN227" s="19" t="s">
        <v>2176</v>
      </c>
      <c r="CO227" s="19"/>
      <c r="CP227" s="19" t="s">
        <v>2140</v>
      </c>
      <c r="CQ227" s="19"/>
      <c r="CR227" s="19"/>
      <c r="CS227" s="19"/>
      <c r="CT227" s="19" t="s">
        <v>2113</v>
      </c>
      <c r="CU227" s="19" t="s">
        <v>2113</v>
      </c>
      <c r="CV227" s="19" t="s">
        <v>2141</v>
      </c>
      <c r="CW227" s="19" t="s">
        <v>2113</v>
      </c>
      <c r="CX227" s="19" t="s">
        <v>2113</v>
      </c>
      <c r="CY227" s="19" t="s">
        <v>2113</v>
      </c>
      <c r="CZ227" s="19" t="s">
        <v>2113</v>
      </c>
      <c r="DA227" s="19" t="s">
        <v>16</v>
      </c>
      <c r="DB227" s="19" t="s">
        <v>16</v>
      </c>
      <c r="DC227" s="19" t="s">
        <v>2180</v>
      </c>
      <c r="DD227" s="19" t="s">
        <v>2113</v>
      </c>
      <c r="DE227" s="19" t="s">
        <v>2113</v>
      </c>
      <c r="DF227" s="19" t="s">
        <v>2181</v>
      </c>
      <c r="DG227" s="19" t="s">
        <v>2247</v>
      </c>
      <c r="DH227" s="19" t="s">
        <v>2144</v>
      </c>
      <c r="DI227" s="24">
        <v>45519.0</v>
      </c>
      <c r="DJ227" s="19" t="s">
        <v>2174</v>
      </c>
      <c r="DK227" s="19" t="s">
        <v>2271</v>
      </c>
      <c r="DL227" s="19" t="s">
        <v>2183</v>
      </c>
      <c r="DM227" s="19" t="s">
        <v>2272</v>
      </c>
      <c r="DN227" s="19">
        <v>6.0</v>
      </c>
      <c r="DO227" s="19">
        <v>6.0</v>
      </c>
      <c r="DP227" s="19" t="s">
        <v>6291</v>
      </c>
      <c r="DQ227" s="19" t="s">
        <v>6292</v>
      </c>
      <c r="DR227" s="19" t="s">
        <v>6293</v>
      </c>
      <c r="DS227" s="19" t="s">
        <v>2151</v>
      </c>
      <c r="DT227" s="19" t="s">
        <v>2229</v>
      </c>
      <c r="DU227" s="19"/>
      <c r="DV227" s="19"/>
      <c r="DW227" s="19" t="s">
        <v>2153</v>
      </c>
      <c r="DX227" s="19">
        <v>14.0</v>
      </c>
      <c r="DY227" s="19">
        <v>10.0</v>
      </c>
      <c r="DZ227" s="19">
        <v>0.0</v>
      </c>
      <c r="EA227" s="19">
        <v>10.0</v>
      </c>
      <c r="EB227" s="19">
        <v>0.0</v>
      </c>
      <c r="EC227" s="19">
        <v>0.0</v>
      </c>
      <c r="ED227" s="19" t="s">
        <v>2174</v>
      </c>
      <c r="EE227" s="24">
        <v>45519.0</v>
      </c>
      <c r="EF227" s="19" t="s">
        <v>2174</v>
      </c>
      <c r="EG227" s="19" t="s">
        <v>2271</v>
      </c>
      <c r="EH227" s="19" t="s">
        <v>2183</v>
      </c>
      <c r="EI227" s="22">
        <v>13.518749999999999</v>
      </c>
      <c r="EJ227" s="19">
        <v>44.5</v>
      </c>
      <c r="EK227" s="19"/>
      <c r="EL227" s="19" t="s">
        <v>2282</v>
      </c>
      <c r="EM227" s="19" t="s">
        <v>6284</v>
      </c>
      <c r="EN227" s="19" t="s">
        <v>676</v>
      </c>
      <c r="EO227" s="19" t="s">
        <v>2167</v>
      </c>
      <c r="EP227" s="19" t="s">
        <v>2122</v>
      </c>
      <c r="EQ227" s="19" t="s">
        <v>2176</v>
      </c>
      <c r="ER227" s="19"/>
      <c r="ES227" s="19" t="s">
        <v>676</v>
      </c>
      <c r="ET227" s="19" t="s">
        <v>676</v>
      </c>
      <c r="EU227" s="19" t="s">
        <v>6283</v>
      </c>
      <c r="EV227" s="19">
        <v>6660.0</v>
      </c>
      <c r="EW227" s="19" t="s">
        <v>16</v>
      </c>
      <c r="EX227" s="19">
        <v>5.0</v>
      </c>
      <c r="EY227" s="25" t="s">
        <v>675</v>
      </c>
      <c r="EZ227" s="19" t="s">
        <v>2154</v>
      </c>
      <c r="FA227" s="5" t="s">
        <v>6294</v>
      </c>
      <c r="FB227" s="26" t="s">
        <v>2156</v>
      </c>
      <c r="FC227" s="26"/>
    </row>
    <row r="228">
      <c r="A228" s="19" t="s">
        <v>2112</v>
      </c>
      <c r="B228" s="19"/>
      <c r="C228" s="19" t="s">
        <v>2113</v>
      </c>
      <c r="D228" s="19" t="s">
        <v>677</v>
      </c>
      <c r="E228" s="19" t="s">
        <v>6295</v>
      </c>
      <c r="F228" s="19" t="s">
        <v>677</v>
      </c>
      <c r="G228" s="19"/>
      <c r="H228" s="19" t="s">
        <v>677</v>
      </c>
      <c r="I228" s="19" t="s">
        <v>679</v>
      </c>
      <c r="J228" s="19" t="s">
        <v>6296</v>
      </c>
      <c r="K228" s="19" t="s">
        <v>6297</v>
      </c>
      <c r="L228" s="20">
        <v>45429.0</v>
      </c>
      <c r="M228" s="20">
        <v>45429.0</v>
      </c>
      <c r="N228" s="20">
        <v>45429.0</v>
      </c>
      <c r="O228" s="19" t="s">
        <v>678</v>
      </c>
      <c r="P228" s="19">
        <v>0.0</v>
      </c>
      <c r="Q228" s="19">
        <v>27.0</v>
      </c>
      <c r="R228" s="19">
        <v>10119.0</v>
      </c>
      <c r="S228" s="20" t="s">
        <v>6298</v>
      </c>
      <c r="T228" s="20">
        <v>45461.0</v>
      </c>
      <c r="U228" s="19" t="s">
        <v>677</v>
      </c>
      <c r="V228" s="19"/>
      <c r="W228" s="19" t="s">
        <v>6299</v>
      </c>
      <c r="X228" s="21">
        <v>0.0</v>
      </c>
      <c r="Y228" s="21">
        <v>10.0</v>
      </c>
      <c r="Z228" s="21">
        <v>5.0</v>
      </c>
      <c r="AA228" s="21">
        <v>0.0</v>
      </c>
      <c r="AB228" s="5">
        <v>15.0</v>
      </c>
      <c r="AC228" s="19">
        <v>5.0</v>
      </c>
      <c r="AD228" s="19">
        <v>5.0</v>
      </c>
      <c r="AE228" s="19">
        <v>5.0</v>
      </c>
      <c r="AF228" s="19">
        <v>5.0</v>
      </c>
      <c r="AG228" s="19">
        <v>5.0</v>
      </c>
      <c r="AH228" s="19">
        <v>5.0</v>
      </c>
      <c r="AI228" s="22">
        <v>15.0</v>
      </c>
      <c r="AJ228" s="19">
        <v>13.0</v>
      </c>
      <c r="AK228" s="19">
        <v>15.0</v>
      </c>
      <c r="AL228" s="19">
        <v>15.0</v>
      </c>
      <c r="AM228" s="19">
        <v>43.0</v>
      </c>
      <c r="AN228" s="19">
        <v>58.0</v>
      </c>
      <c r="AO228" s="19">
        <v>73.0</v>
      </c>
      <c r="AP228" s="19">
        <v>401.0</v>
      </c>
      <c r="AQ228" s="23">
        <v>222.0</v>
      </c>
      <c r="AR228" s="23">
        <v>25.0</v>
      </c>
      <c r="AS228" s="22"/>
      <c r="AT228" s="19" t="s">
        <v>2117</v>
      </c>
      <c r="AU228" s="19" t="s">
        <v>6300</v>
      </c>
      <c r="AV228" s="19" t="s">
        <v>6301</v>
      </c>
      <c r="AW228" s="19" t="s">
        <v>3923</v>
      </c>
      <c r="AX228" s="20">
        <v>35342.0</v>
      </c>
      <c r="AY228" s="19" t="s">
        <v>2121</v>
      </c>
      <c r="AZ228" s="19" t="s">
        <v>2122</v>
      </c>
      <c r="BA228" s="19" t="s">
        <v>6302</v>
      </c>
      <c r="BB228" s="19" t="s">
        <v>6303</v>
      </c>
      <c r="BC228" s="19" t="s">
        <v>6304</v>
      </c>
      <c r="BD228" s="19" t="s">
        <v>6305</v>
      </c>
      <c r="BE228" s="19" t="s">
        <v>6306</v>
      </c>
      <c r="BF228" s="19">
        <v>1.1945481693E10</v>
      </c>
      <c r="BG228" s="19" t="s">
        <v>2127</v>
      </c>
      <c r="BH228" s="19" t="s">
        <v>2128</v>
      </c>
      <c r="BI228" s="19"/>
      <c r="BJ228" s="19" t="s">
        <v>2128</v>
      </c>
      <c r="BK228" s="19" t="s">
        <v>17</v>
      </c>
      <c r="BL228" s="19"/>
      <c r="BM228" s="19" t="s">
        <v>5411</v>
      </c>
      <c r="BN228" s="19" t="s">
        <v>17</v>
      </c>
      <c r="BO228" s="19" t="s">
        <v>2132</v>
      </c>
      <c r="BP228" s="19"/>
      <c r="BQ228" s="19" t="s">
        <v>2133</v>
      </c>
      <c r="BR228" s="19" t="s">
        <v>2133</v>
      </c>
      <c r="BS228" s="19" t="s">
        <v>2243</v>
      </c>
      <c r="BT228" s="19" t="s">
        <v>15</v>
      </c>
      <c r="BU228" s="19" t="s">
        <v>6307</v>
      </c>
      <c r="BV228" s="19"/>
      <c r="BW228" s="19" t="s">
        <v>2113</v>
      </c>
      <c r="BX228" s="19"/>
      <c r="BY228" s="19"/>
      <c r="BZ228" s="19"/>
      <c r="CA228" s="19"/>
      <c r="CB228" s="19"/>
      <c r="CC228" s="19"/>
      <c r="CD228" s="19" t="s">
        <v>2137</v>
      </c>
      <c r="CE228" s="19" t="s">
        <v>16</v>
      </c>
      <c r="CF228" s="19"/>
      <c r="CG228" s="19"/>
      <c r="CH228" s="19" t="s">
        <v>16</v>
      </c>
      <c r="CI228" s="21">
        <v>0.0</v>
      </c>
      <c r="CJ228" s="19" t="s">
        <v>17</v>
      </c>
      <c r="CK228" s="19"/>
      <c r="CL228" s="19"/>
      <c r="CM228" s="19" t="s">
        <v>3102</v>
      </c>
      <c r="CN228" s="19" t="s">
        <v>2139</v>
      </c>
      <c r="CO228" s="19"/>
      <c r="CP228" s="19" t="s">
        <v>2267</v>
      </c>
      <c r="CQ228" s="19"/>
      <c r="CR228" s="19" t="s">
        <v>2113</v>
      </c>
      <c r="CS228" s="19" t="s">
        <v>2113</v>
      </c>
      <c r="CT228" s="19" t="s">
        <v>2113</v>
      </c>
      <c r="CU228" s="19" t="s">
        <v>2113</v>
      </c>
      <c r="CV228" s="19" t="s">
        <v>2141</v>
      </c>
      <c r="CW228" s="19" t="s">
        <v>2113</v>
      </c>
      <c r="CX228" s="19" t="s">
        <v>2113</v>
      </c>
      <c r="CY228" s="19"/>
      <c r="CZ228" s="19"/>
      <c r="DA228" s="19" t="s">
        <v>16</v>
      </c>
      <c r="DB228" s="19" t="s">
        <v>17</v>
      </c>
      <c r="DC228" s="19" t="s">
        <v>2671</v>
      </c>
      <c r="DD228" s="19"/>
      <c r="DE228" s="19"/>
      <c r="DF228" s="19" t="s">
        <v>2804</v>
      </c>
      <c r="DG228" s="19" t="s">
        <v>3914</v>
      </c>
      <c r="DH228" s="19" t="s">
        <v>2144</v>
      </c>
      <c r="DI228" s="24">
        <v>45531.0</v>
      </c>
      <c r="DJ228" s="19" t="s">
        <v>2133</v>
      </c>
      <c r="DK228" s="19" t="s">
        <v>2271</v>
      </c>
      <c r="DL228" s="19" t="s">
        <v>2146</v>
      </c>
      <c r="DM228" s="19" t="s">
        <v>2827</v>
      </c>
      <c r="DN228" s="19">
        <v>14.0</v>
      </c>
      <c r="DO228" s="19">
        <v>14.0</v>
      </c>
      <c r="DP228" s="19" t="s">
        <v>6308</v>
      </c>
      <c r="DQ228" s="19" t="s">
        <v>6309</v>
      </c>
      <c r="DR228" s="19" t="s">
        <v>6310</v>
      </c>
      <c r="DS228" s="19" t="s">
        <v>2365</v>
      </c>
      <c r="DT228" s="19" t="s">
        <v>2152</v>
      </c>
      <c r="DU228" s="19"/>
      <c r="DV228" s="19"/>
      <c r="DW228" s="19" t="s">
        <v>2479</v>
      </c>
      <c r="DX228" s="19">
        <v>11.0</v>
      </c>
      <c r="DY228" s="19">
        <v>10.0</v>
      </c>
      <c r="DZ228" s="19">
        <v>0.0</v>
      </c>
      <c r="EA228" s="19">
        <v>10.0</v>
      </c>
      <c r="EB228" s="19">
        <v>0.0</v>
      </c>
      <c r="EC228" s="19">
        <v>0.0</v>
      </c>
      <c r="ED228" s="19" t="s">
        <v>2133</v>
      </c>
      <c r="EE228" s="24">
        <v>45531.0</v>
      </c>
      <c r="EF228" s="19" t="s">
        <v>2133</v>
      </c>
      <c r="EG228" s="19" t="s">
        <v>2271</v>
      </c>
      <c r="EH228" s="19" t="s">
        <v>2146</v>
      </c>
      <c r="EI228" s="22">
        <v>15.0</v>
      </c>
      <c r="EJ228" s="19">
        <v>43.0</v>
      </c>
      <c r="EK228" s="19" t="s">
        <v>2113</v>
      </c>
      <c r="EL228" s="19" t="s">
        <v>2117</v>
      </c>
      <c r="EM228" s="19" t="s">
        <v>6300</v>
      </c>
      <c r="EN228" s="19" t="s">
        <v>679</v>
      </c>
      <c r="EO228" s="19" t="s">
        <v>2121</v>
      </c>
      <c r="EP228" s="19" t="s">
        <v>2122</v>
      </c>
      <c r="EQ228" s="19" t="s">
        <v>2139</v>
      </c>
      <c r="ER228" s="19"/>
      <c r="ES228" s="19" t="s">
        <v>679</v>
      </c>
      <c r="ET228" s="19" t="s">
        <v>679</v>
      </c>
      <c r="EU228" s="19" t="s">
        <v>6297</v>
      </c>
      <c r="EV228" s="19">
        <v>10119.0</v>
      </c>
      <c r="EW228" s="19" t="s">
        <v>16</v>
      </c>
      <c r="EX228" s="19">
        <v>5.0</v>
      </c>
      <c r="EY228" s="25" t="s">
        <v>678</v>
      </c>
      <c r="EZ228" s="19" t="s">
        <v>2154</v>
      </c>
      <c r="FA228" s="5" t="s">
        <v>6311</v>
      </c>
      <c r="FB228" s="26" t="s">
        <v>2156</v>
      </c>
      <c r="FC228" s="26"/>
    </row>
    <row r="229">
      <c r="A229" s="19" t="s">
        <v>2112</v>
      </c>
      <c r="B229" s="19"/>
      <c r="C229" s="19" t="s">
        <v>2113</v>
      </c>
      <c r="D229" s="19" t="s">
        <v>6312</v>
      </c>
      <c r="E229" s="19" t="s">
        <v>6313</v>
      </c>
      <c r="F229" s="19" t="s">
        <v>680</v>
      </c>
      <c r="G229" s="19" t="s">
        <v>6314</v>
      </c>
      <c r="H229" s="19" t="s">
        <v>680</v>
      </c>
      <c r="I229" s="19" t="s">
        <v>682</v>
      </c>
      <c r="J229" s="19" t="s">
        <v>6315</v>
      </c>
      <c r="K229" s="19" t="s">
        <v>6316</v>
      </c>
      <c r="L229" s="20">
        <v>45441.0</v>
      </c>
      <c r="M229" s="20">
        <v>45446.0</v>
      </c>
      <c r="N229" s="20">
        <v>45446.0</v>
      </c>
      <c r="O229" s="19" t="s">
        <v>681</v>
      </c>
      <c r="P229" s="19">
        <v>0.0</v>
      </c>
      <c r="Q229" s="19">
        <v>28.0</v>
      </c>
      <c r="R229" s="19">
        <v>10366.0</v>
      </c>
      <c r="S229" s="20" t="s">
        <v>6317</v>
      </c>
      <c r="T229" s="20">
        <v>45461.0</v>
      </c>
      <c r="U229" s="19" t="s">
        <v>680</v>
      </c>
      <c r="V229" s="19"/>
      <c r="W229" s="19"/>
      <c r="X229" s="21">
        <v>0.0</v>
      </c>
      <c r="Y229" s="21">
        <v>10.0</v>
      </c>
      <c r="Z229" s="21">
        <v>3.0</v>
      </c>
      <c r="AA229" s="21">
        <v>0.0</v>
      </c>
      <c r="AB229" s="5">
        <v>13.0</v>
      </c>
      <c r="AC229" s="19">
        <v>5.0</v>
      </c>
      <c r="AD229" s="19">
        <v>5.0</v>
      </c>
      <c r="AE229" s="19">
        <v>5.0</v>
      </c>
      <c r="AF229" s="19">
        <v>5.0</v>
      </c>
      <c r="AG229" s="19">
        <v>5.0</v>
      </c>
      <c r="AH229" s="19">
        <v>5.0</v>
      </c>
      <c r="AI229" s="22">
        <v>15.0</v>
      </c>
      <c r="AJ229" s="19">
        <v>15.0</v>
      </c>
      <c r="AK229" s="19">
        <v>15.0</v>
      </c>
      <c r="AL229" s="19">
        <v>15.0</v>
      </c>
      <c r="AM229" s="19">
        <v>45.0</v>
      </c>
      <c r="AN229" s="19">
        <v>60.0</v>
      </c>
      <c r="AO229" s="19">
        <v>73.0</v>
      </c>
      <c r="AP229" s="19">
        <v>670.0</v>
      </c>
      <c r="AQ229" s="23">
        <v>223.0</v>
      </c>
      <c r="AR229" s="23">
        <v>21.0</v>
      </c>
      <c r="AS229" s="22"/>
      <c r="AT229" s="19" t="s">
        <v>2163</v>
      </c>
      <c r="AU229" s="19" t="s">
        <v>3031</v>
      </c>
      <c r="AV229" s="19" t="s">
        <v>6318</v>
      </c>
      <c r="AW229" s="19" t="s">
        <v>6319</v>
      </c>
      <c r="AX229" s="20">
        <v>35095.0</v>
      </c>
      <c r="AY229" s="19" t="s">
        <v>3034</v>
      </c>
      <c r="AZ229" s="19" t="s">
        <v>2445</v>
      </c>
      <c r="BA229" s="19" t="s">
        <v>6320</v>
      </c>
      <c r="BB229" s="19" t="s">
        <v>2317</v>
      </c>
      <c r="BC229" s="19" t="s">
        <v>6321</v>
      </c>
      <c r="BD229" s="19" t="s">
        <v>6322</v>
      </c>
      <c r="BE229" s="19" t="s">
        <v>6315</v>
      </c>
      <c r="BF229" s="19">
        <v>8.3981150532E10</v>
      </c>
      <c r="BG229" s="19" t="s">
        <v>2127</v>
      </c>
      <c r="BH229" s="19" t="s">
        <v>2128</v>
      </c>
      <c r="BI229" s="19"/>
      <c r="BJ229" s="19"/>
      <c r="BK229" s="19" t="s">
        <v>16</v>
      </c>
      <c r="BL229" s="19"/>
      <c r="BM229" s="19" t="s">
        <v>5411</v>
      </c>
      <c r="BN229" s="19" t="s">
        <v>17</v>
      </c>
      <c r="BO229" s="19" t="s">
        <v>2473</v>
      </c>
      <c r="BP229" s="19" t="s">
        <v>6323</v>
      </c>
      <c r="BQ229" s="19" t="s">
        <v>2174</v>
      </c>
      <c r="BR229" s="19" t="s">
        <v>2174</v>
      </c>
      <c r="BS229" s="19" t="s">
        <v>2243</v>
      </c>
      <c r="BT229" s="19" t="s">
        <v>34</v>
      </c>
      <c r="BU229" s="19" t="s">
        <v>3368</v>
      </c>
      <c r="BV229" s="19"/>
      <c r="BW229" s="19"/>
      <c r="BX229" s="19" t="s">
        <v>2113</v>
      </c>
      <c r="BY229" s="19" t="s">
        <v>2113</v>
      </c>
      <c r="BZ229" s="19" t="s">
        <v>2113</v>
      </c>
      <c r="CA229" s="19"/>
      <c r="CB229" s="19" t="s">
        <v>2113</v>
      </c>
      <c r="CC229" s="19"/>
      <c r="CD229" s="19" t="s">
        <v>2137</v>
      </c>
      <c r="CE229" s="19" t="s">
        <v>16</v>
      </c>
      <c r="CF229" s="19"/>
      <c r="CG229" s="19"/>
      <c r="CH229" s="19" t="s">
        <v>16</v>
      </c>
      <c r="CI229" s="21">
        <v>0.0</v>
      </c>
      <c r="CJ229" s="19" t="s">
        <v>17</v>
      </c>
      <c r="CK229" s="19"/>
      <c r="CL229" s="19"/>
      <c r="CM229" s="19"/>
      <c r="CN229" s="19" t="s">
        <v>3041</v>
      </c>
      <c r="CO229" s="19"/>
      <c r="CP229" s="19"/>
      <c r="CQ229" s="19"/>
      <c r="CR229" s="19"/>
      <c r="CS229" s="19"/>
      <c r="CT229" s="19" t="s">
        <v>2113</v>
      </c>
      <c r="CU229" s="19" t="s">
        <v>2113</v>
      </c>
      <c r="CV229" s="19" t="s">
        <v>2179</v>
      </c>
      <c r="CW229" s="19" t="s">
        <v>2113</v>
      </c>
      <c r="CX229" s="19" t="s">
        <v>2113</v>
      </c>
      <c r="CY229" s="19" t="s">
        <v>2113</v>
      </c>
      <c r="CZ229" s="19" t="s">
        <v>2113</v>
      </c>
      <c r="DA229" s="19" t="s">
        <v>16</v>
      </c>
      <c r="DB229" s="19" t="s">
        <v>17</v>
      </c>
      <c r="DC229" s="19" t="s">
        <v>3042</v>
      </c>
      <c r="DD229" s="19" t="s">
        <v>2113</v>
      </c>
      <c r="DE229" s="19" t="s">
        <v>2113</v>
      </c>
      <c r="DF229" s="19" t="s">
        <v>2602</v>
      </c>
      <c r="DG229" s="19" t="s">
        <v>2270</v>
      </c>
      <c r="DH229" s="19" t="s">
        <v>2144</v>
      </c>
      <c r="DI229" s="24">
        <v>45525.0</v>
      </c>
      <c r="DJ229" s="19" t="s">
        <v>2174</v>
      </c>
      <c r="DK229" s="19" t="s">
        <v>2271</v>
      </c>
      <c r="DL229" s="19" t="s">
        <v>2183</v>
      </c>
      <c r="DM229" s="19" t="s">
        <v>2249</v>
      </c>
      <c r="DN229" s="19">
        <v>10.0</v>
      </c>
      <c r="DO229" s="19">
        <v>10.0</v>
      </c>
      <c r="DP229" s="19"/>
      <c r="DQ229" s="19"/>
      <c r="DR229" s="19"/>
      <c r="DS229" s="19" t="s">
        <v>2151</v>
      </c>
      <c r="DT229" s="19" t="s">
        <v>2350</v>
      </c>
      <c r="DU229" s="19" t="s">
        <v>6324</v>
      </c>
      <c r="DV229" s="19"/>
      <c r="DW229" s="19" t="s">
        <v>2479</v>
      </c>
      <c r="DX229" s="19">
        <v>16.0</v>
      </c>
      <c r="DY229" s="19">
        <v>10.0</v>
      </c>
      <c r="DZ229" s="19">
        <v>0.0</v>
      </c>
      <c r="EA229" s="19">
        <v>10.0</v>
      </c>
      <c r="EB229" s="19">
        <v>0.0</v>
      </c>
      <c r="EC229" s="19">
        <v>0.0</v>
      </c>
      <c r="ED229" s="19" t="s">
        <v>2174</v>
      </c>
      <c r="EE229" s="24">
        <v>45525.0</v>
      </c>
      <c r="EF229" s="19" t="s">
        <v>2174</v>
      </c>
      <c r="EG229" s="19" t="s">
        <v>2271</v>
      </c>
      <c r="EH229" s="19" t="s">
        <v>2183</v>
      </c>
      <c r="EI229" s="22">
        <v>15.0</v>
      </c>
      <c r="EJ229" s="19">
        <v>45.0</v>
      </c>
      <c r="EK229" s="19" t="s">
        <v>2113</v>
      </c>
      <c r="EL229" s="19" t="s">
        <v>2163</v>
      </c>
      <c r="EM229" s="19" t="s">
        <v>3031</v>
      </c>
      <c r="EN229" s="19" t="s">
        <v>682</v>
      </c>
      <c r="EO229" s="19" t="s">
        <v>3034</v>
      </c>
      <c r="EP229" s="19" t="s">
        <v>2445</v>
      </c>
      <c r="EQ229" s="19" t="s">
        <v>3041</v>
      </c>
      <c r="ER229" s="19"/>
      <c r="ES229" s="19" t="s">
        <v>682</v>
      </c>
      <c r="ET229" s="19" t="s">
        <v>682</v>
      </c>
      <c r="EU229" s="19" t="s">
        <v>6316</v>
      </c>
      <c r="EV229" s="19">
        <v>10366.0</v>
      </c>
      <c r="EW229" s="19" t="s">
        <v>16</v>
      </c>
      <c r="EX229" s="19">
        <v>3.0</v>
      </c>
      <c r="EY229" s="25" t="s">
        <v>681</v>
      </c>
      <c r="EZ229" s="19" t="s">
        <v>2154</v>
      </c>
      <c r="FA229" s="5" t="s">
        <v>6325</v>
      </c>
      <c r="FB229" s="26" t="s">
        <v>2156</v>
      </c>
      <c r="FC229" s="26"/>
    </row>
    <row r="230">
      <c r="A230" s="27" t="s">
        <v>2112</v>
      </c>
      <c r="B230" s="27" t="s">
        <v>2113</v>
      </c>
      <c r="C230" s="27" t="s">
        <v>2113</v>
      </c>
      <c r="D230" s="27" t="s">
        <v>683</v>
      </c>
      <c r="E230" s="27" t="s">
        <v>6326</v>
      </c>
      <c r="F230" s="27" t="s">
        <v>683</v>
      </c>
      <c r="G230" s="27"/>
      <c r="H230" s="39" t="s">
        <v>683</v>
      </c>
      <c r="I230" s="27" t="s">
        <v>685</v>
      </c>
      <c r="J230" s="27" t="s">
        <v>6327</v>
      </c>
      <c r="K230" s="27" t="s">
        <v>6328</v>
      </c>
      <c r="L230" s="28">
        <v>45415.0</v>
      </c>
      <c r="M230" s="28">
        <v>45428.0</v>
      </c>
      <c r="N230" s="28">
        <v>45428.0</v>
      </c>
      <c r="O230" s="27" t="s">
        <v>684</v>
      </c>
      <c r="P230" s="27">
        <v>0.0</v>
      </c>
      <c r="Q230" s="27">
        <v>25.0</v>
      </c>
      <c r="R230" s="27">
        <v>9444.0</v>
      </c>
      <c r="S230" s="28" t="s">
        <v>6329</v>
      </c>
      <c r="T230" s="28">
        <v>45461.0</v>
      </c>
      <c r="U230" s="27" t="s">
        <v>683</v>
      </c>
      <c r="V230" s="27" t="s">
        <v>6251</v>
      </c>
      <c r="W230" s="27"/>
      <c r="X230" s="40">
        <v>0.0</v>
      </c>
      <c r="Y230" s="29">
        <v>10.0</v>
      </c>
      <c r="Z230" s="29">
        <v>3.0</v>
      </c>
      <c r="AA230" s="29">
        <v>0.0</v>
      </c>
      <c r="AB230" s="41">
        <v>13.0</v>
      </c>
      <c r="AC230" s="27">
        <v>5.0</v>
      </c>
      <c r="AD230" s="27">
        <v>5.0</v>
      </c>
      <c r="AE230" s="27">
        <v>5.0</v>
      </c>
      <c r="AF230" s="27">
        <v>5.0</v>
      </c>
      <c r="AG230" s="27">
        <v>5.0</v>
      </c>
      <c r="AH230" s="27">
        <v>5.0</v>
      </c>
      <c r="AI230" s="31">
        <v>15.0</v>
      </c>
      <c r="AJ230" s="27">
        <v>15.0</v>
      </c>
      <c r="AK230" s="27">
        <v>15.0</v>
      </c>
      <c r="AL230" s="27">
        <v>15.0</v>
      </c>
      <c r="AM230" s="27">
        <v>45.0</v>
      </c>
      <c r="AN230" s="27">
        <v>60.0</v>
      </c>
      <c r="AO230" s="42">
        <v>73.0</v>
      </c>
      <c r="AP230" s="27">
        <v>141.0</v>
      </c>
      <c r="AQ230" s="23">
        <v>224.0</v>
      </c>
      <c r="AR230" s="23">
        <v>27.0</v>
      </c>
      <c r="AS230" s="31"/>
      <c r="AT230" s="27" t="s">
        <v>2163</v>
      </c>
      <c r="AU230" s="27" t="s">
        <v>6330</v>
      </c>
      <c r="AV230" s="27" t="s">
        <v>6331</v>
      </c>
      <c r="AW230" s="27" t="s">
        <v>6332</v>
      </c>
      <c r="AX230" s="28">
        <v>36017.0</v>
      </c>
      <c r="AY230" s="27" t="s">
        <v>2467</v>
      </c>
      <c r="AZ230" s="27" t="s">
        <v>2122</v>
      </c>
      <c r="BA230" s="27" t="s">
        <v>6333</v>
      </c>
      <c r="BB230" s="27" t="s">
        <v>6334</v>
      </c>
      <c r="BC230" s="27" t="s">
        <v>6335</v>
      </c>
      <c r="BD230" s="27" t="s">
        <v>6336</v>
      </c>
      <c r="BE230" s="27" t="s">
        <v>6337</v>
      </c>
      <c r="BF230" s="27">
        <v>1.1948782154E10</v>
      </c>
      <c r="BG230" s="27" t="s">
        <v>2127</v>
      </c>
      <c r="BH230" s="27" t="s">
        <v>2128</v>
      </c>
      <c r="BI230" s="27"/>
      <c r="BJ230" s="27"/>
      <c r="BK230" s="27" t="s">
        <v>16</v>
      </c>
      <c r="BL230" s="27"/>
      <c r="BM230" s="27" t="s">
        <v>2130</v>
      </c>
      <c r="BN230" s="27" t="s">
        <v>17</v>
      </c>
      <c r="BO230" s="27" t="s">
        <v>2473</v>
      </c>
      <c r="BP230" s="27"/>
      <c r="BQ230" s="27" t="s">
        <v>2133</v>
      </c>
      <c r="BR230" s="27" t="s">
        <v>2133</v>
      </c>
      <c r="BS230" s="27" t="s">
        <v>2134</v>
      </c>
      <c r="BT230" s="27" t="s">
        <v>38</v>
      </c>
      <c r="BU230" s="27" t="s">
        <v>6338</v>
      </c>
      <c r="BV230" s="27" t="s">
        <v>6339</v>
      </c>
      <c r="BW230" s="27" t="s">
        <v>2113</v>
      </c>
      <c r="BX230" s="27"/>
      <c r="BY230" s="27"/>
      <c r="BZ230" s="27"/>
      <c r="CA230" s="27"/>
      <c r="CB230" s="27" t="s">
        <v>2113</v>
      </c>
      <c r="CC230" s="27"/>
      <c r="CD230" s="27" t="s">
        <v>2137</v>
      </c>
      <c r="CE230" s="27" t="s">
        <v>16</v>
      </c>
      <c r="CF230" s="27"/>
      <c r="CG230" s="27"/>
      <c r="CH230" s="27" t="s">
        <v>16</v>
      </c>
      <c r="CI230" s="29">
        <v>0.0</v>
      </c>
      <c r="CJ230" s="27" t="s">
        <v>17</v>
      </c>
      <c r="CK230" s="27"/>
      <c r="CL230" s="27"/>
      <c r="CM230" s="27" t="s">
        <v>2138</v>
      </c>
      <c r="CN230" s="27" t="s">
        <v>2475</v>
      </c>
      <c r="CO230" s="27"/>
      <c r="CP230" s="27"/>
      <c r="CQ230" s="27"/>
      <c r="CR230" s="27" t="s">
        <v>2113</v>
      </c>
      <c r="CS230" s="27" t="s">
        <v>2113</v>
      </c>
      <c r="CT230" s="27"/>
      <c r="CU230" s="27"/>
      <c r="CV230" s="27" t="s">
        <v>2141</v>
      </c>
      <c r="CW230" s="27" t="s">
        <v>2113</v>
      </c>
      <c r="CX230" s="27" t="s">
        <v>2113</v>
      </c>
      <c r="CY230" s="27"/>
      <c r="CZ230" s="27"/>
      <c r="DA230" s="27" t="s">
        <v>16</v>
      </c>
      <c r="DB230" s="27" t="s">
        <v>17</v>
      </c>
      <c r="DC230" s="27" t="s">
        <v>2477</v>
      </c>
      <c r="DD230" s="27" t="s">
        <v>2113</v>
      </c>
      <c r="DE230" s="27" t="s">
        <v>2113</v>
      </c>
      <c r="DF230" s="27" t="s">
        <v>2476</v>
      </c>
      <c r="DG230" s="27" t="s">
        <v>2143</v>
      </c>
      <c r="DH230" s="27" t="s">
        <v>2144</v>
      </c>
      <c r="DI230" s="36">
        <v>45533.0</v>
      </c>
      <c r="DJ230" s="27" t="s">
        <v>2133</v>
      </c>
      <c r="DK230" s="27" t="s">
        <v>2145</v>
      </c>
      <c r="DL230" s="27" t="s">
        <v>2146</v>
      </c>
      <c r="DM230" s="27" t="s">
        <v>2147</v>
      </c>
      <c r="DN230" s="27">
        <v>17.0</v>
      </c>
      <c r="DO230" s="27">
        <v>17.0</v>
      </c>
      <c r="DP230" s="27" t="s">
        <v>6340</v>
      </c>
      <c r="DQ230" s="27" t="s">
        <v>6341</v>
      </c>
      <c r="DR230" s="27" t="s">
        <v>6342</v>
      </c>
      <c r="DS230" s="27" t="s">
        <v>2151</v>
      </c>
      <c r="DT230" s="27" t="s">
        <v>2186</v>
      </c>
      <c r="DU230" s="27"/>
      <c r="DV230" s="27"/>
      <c r="DW230" s="27" t="s">
        <v>2153</v>
      </c>
      <c r="DX230" s="27">
        <v>12.0</v>
      </c>
      <c r="DY230" s="27">
        <v>10.0</v>
      </c>
      <c r="DZ230" s="27">
        <v>0.0</v>
      </c>
      <c r="EA230" s="27">
        <v>10.0</v>
      </c>
      <c r="EB230" s="27">
        <v>0.0</v>
      </c>
      <c r="EC230" s="27">
        <v>20.0</v>
      </c>
      <c r="ED230" s="27" t="s">
        <v>2133</v>
      </c>
      <c r="EE230" s="36">
        <v>45533.0</v>
      </c>
      <c r="EF230" s="27" t="s">
        <v>2133</v>
      </c>
      <c r="EG230" s="27" t="s">
        <v>2145</v>
      </c>
      <c r="EH230" s="27" t="s">
        <v>2146</v>
      </c>
      <c r="EI230" s="31">
        <v>15.0</v>
      </c>
      <c r="EJ230" s="27">
        <v>45.0</v>
      </c>
      <c r="EK230" s="27" t="s">
        <v>2113</v>
      </c>
      <c r="EL230" s="27" t="s">
        <v>2163</v>
      </c>
      <c r="EM230" s="27" t="s">
        <v>6330</v>
      </c>
      <c r="EN230" s="27" t="s">
        <v>685</v>
      </c>
      <c r="EO230" s="27" t="s">
        <v>2467</v>
      </c>
      <c r="EP230" s="27" t="s">
        <v>2122</v>
      </c>
      <c r="EQ230" s="27" t="s">
        <v>2475</v>
      </c>
      <c r="ER230" s="27"/>
      <c r="ES230" s="27" t="s">
        <v>685</v>
      </c>
      <c r="ET230" s="27" t="s">
        <v>685</v>
      </c>
      <c r="EU230" s="27" t="s">
        <v>6328</v>
      </c>
      <c r="EV230" s="27">
        <v>9444.0</v>
      </c>
      <c r="EW230" s="27" t="s">
        <v>16</v>
      </c>
      <c r="EX230" s="27">
        <v>3.0</v>
      </c>
      <c r="EY230" s="37" t="s">
        <v>684</v>
      </c>
      <c r="EZ230" s="27" t="s">
        <v>2154</v>
      </c>
      <c r="FA230" s="30" t="s">
        <v>6343</v>
      </c>
      <c r="FB230" s="38" t="s">
        <v>2156</v>
      </c>
      <c r="FC230" s="38" t="s">
        <v>6265</v>
      </c>
    </row>
    <row r="231">
      <c r="A231" s="19" t="s">
        <v>2112</v>
      </c>
      <c r="B231" s="19"/>
      <c r="C231" s="19" t="s">
        <v>2113</v>
      </c>
      <c r="D231" s="19" t="s">
        <v>6344</v>
      </c>
      <c r="E231" s="19" t="s">
        <v>6345</v>
      </c>
      <c r="F231" s="19" t="s">
        <v>686</v>
      </c>
      <c r="G231" s="19" t="s">
        <v>6345</v>
      </c>
      <c r="H231" s="19" t="s">
        <v>686</v>
      </c>
      <c r="I231" s="19" t="s">
        <v>688</v>
      </c>
      <c r="J231" s="19" t="s">
        <v>6346</v>
      </c>
      <c r="K231" s="19" t="s">
        <v>6347</v>
      </c>
      <c r="L231" s="20">
        <v>45460.0</v>
      </c>
      <c r="M231" s="20">
        <v>45462.0</v>
      </c>
      <c r="N231" s="20">
        <v>45462.0</v>
      </c>
      <c r="O231" s="19" t="s">
        <v>687</v>
      </c>
      <c r="P231" s="19">
        <v>0.0</v>
      </c>
      <c r="Q231" s="19">
        <v>25.0</v>
      </c>
      <c r="R231" s="19">
        <v>9180.0</v>
      </c>
      <c r="S231" s="20" t="s">
        <v>6348</v>
      </c>
      <c r="T231" s="20">
        <v>45461.0</v>
      </c>
      <c r="U231" s="19" t="s">
        <v>686</v>
      </c>
      <c r="V231" s="19"/>
      <c r="W231" s="19" t="s">
        <v>6349</v>
      </c>
      <c r="X231" s="21">
        <v>0.0</v>
      </c>
      <c r="Y231" s="21">
        <v>10.0</v>
      </c>
      <c r="Z231" s="21">
        <v>3.0</v>
      </c>
      <c r="AA231" s="21">
        <v>0.0</v>
      </c>
      <c r="AB231" s="5">
        <v>13.0</v>
      </c>
      <c r="AC231" s="19">
        <v>5.0</v>
      </c>
      <c r="AD231" s="19">
        <v>5.0</v>
      </c>
      <c r="AE231" s="19">
        <v>5.0</v>
      </c>
      <c r="AF231" s="19">
        <v>5.0</v>
      </c>
      <c r="AG231" s="19">
        <v>5.0</v>
      </c>
      <c r="AH231" s="19">
        <v>5.0</v>
      </c>
      <c r="AI231" s="22">
        <v>15.0</v>
      </c>
      <c r="AJ231" s="19">
        <v>15.0</v>
      </c>
      <c r="AK231" s="19">
        <v>15.0</v>
      </c>
      <c r="AL231" s="19">
        <v>15.0</v>
      </c>
      <c r="AM231" s="19">
        <v>45.0</v>
      </c>
      <c r="AN231" s="19">
        <v>60.0</v>
      </c>
      <c r="AO231" s="19">
        <v>73.0</v>
      </c>
      <c r="AP231" s="19">
        <v>700.0</v>
      </c>
      <c r="AQ231" s="23">
        <v>225.0</v>
      </c>
      <c r="AR231" s="23">
        <v>12.0</v>
      </c>
      <c r="AS231" s="22"/>
      <c r="AT231" s="19" t="s">
        <v>2163</v>
      </c>
      <c r="AU231" s="19" t="s">
        <v>6350</v>
      </c>
      <c r="AV231" s="19" t="s">
        <v>6351</v>
      </c>
      <c r="AW231" s="19" t="s">
        <v>6352</v>
      </c>
      <c r="AX231" s="20">
        <v>36281.0</v>
      </c>
      <c r="AY231" s="19" t="s">
        <v>3537</v>
      </c>
      <c r="AZ231" s="19" t="s">
        <v>2995</v>
      </c>
      <c r="BA231" s="19" t="s">
        <v>6353</v>
      </c>
      <c r="BB231" s="19" t="s">
        <v>2360</v>
      </c>
      <c r="BC231" s="19" t="s">
        <v>6354</v>
      </c>
      <c r="BD231" s="19" t="s">
        <v>6355</v>
      </c>
      <c r="BE231" s="19" t="s">
        <v>6356</v>
      </c>
      <c r="BF231" s="19">
        <v>1.1968560199E10</v>
      </c>
      <c r="BG231" s="19" t="s">
        <v>2127</v>
      </c>
      <c r="BH231" s="19" t="s">
        <v>2128</v>
      </c>
      <c r="BI231" s="19"/>
      <c r="BJ231" s="19" t="s">
        <v>2128</v>
      </c>
      <c r="BK231" s="19" t="s">
        <v>16</v>
      </c>
      <c r="BL231" s="19" t="s">
        <v>2113</v>
      </c>
      <c r="BM231" s="19" t="s">
        <v>5796</v>
      </c>
      <c r="BN231" s="19" t="s">
        <v>5646</v>
      </c>
      <c r="BO231" s="19" t="s">
        <v>2473</v>
      </c>
      <c r="BP231" s="19"/>
      <c r="BQ231" s="19" t="s">
        <v>2133</v>
      </c>
      <c r="BR231" s="19" t="s">
        <v>2133</v>
      </c>
      <c r="BS231" s="19" t="s">
        <v>2243</v>
      </c>
      <c r="BT231" s="19" t="s">
        <v>222</v>
      </c>
      <c r="BU231" s="19" t="s">
        <v>6357</v>
      </c>
      <c r="BV231" s="19"/>
      <c r="BW231" s="19"/>
      <c r="BX231" s="19"/>
      <c r="BY231" s="19" t="s">
        <v>2113</v>
      </c>
      <c r="BZ231" s="19" t="s">
        <v>2113</v>
      </c>
      <c r="CA231" s="19" t="s">
        <v>2113</v>
      </c>
      <c r="CB231" s="19" t="s">
        <v>2113</v>
      </c>
      <c r="CC231" s="19" t="s">
        <v>2113</v>
      </c>
      <c r="CD231" s="19" t="s">
        <v>2137</v>
      </c>
      <c r="CE231" s="19" t="s">
        <v>16</v>
      </c>
      <c r="CF231" s="19"/>
      <c r="CG231" s="19"/>
      <c r="CH231" s="19" t="s">
        <v>16</v>
      </c>
      <c r="CI231" s="21">
        <v>0.0</v>
      </c>
      <c r="CJ231" s="19" t="s">
        <v>17</v>
      </c>
      <c r="CK231" s="19" t="s">
        <v>2113</v>
      </c>
      <c r="CL231" s="19"/>
      <c r="CM231" s="19" t="s">
        <v>2344</v>
      </c>
      <c r="CN231" s="19" t="s">
        <v>3544</v>
      </c>
      <c r="CO231" s="19"/>
      <c r="CP231" s="19" t="s">
        <v>2178</v>
      </c>
      <c r="CQ231" s="19"/>
      <c r="CR231" s="19" t="s">
        <v>2113</v>
      </c>
      <c r="CS231" s="19" t="s">
        <v>2113</v>
      </c>
      <c r="CT231" s="19" t="s">
        <v>2113</v>
      </c>
      <c r="CU231" s="19" t="s">
        <v>2113</v>
      </c>
      <c r="CV231" s="19" t="s">
        <v>2141</v>
      </c>
      <c r="CW231" s="19" t="s">
        <v>2113</v>
      </c>
      <c r="CX231" s="19" t="s">
        <v>2113</v>
      </c>
      <c r="CY231" s="19" t="s">
        <v>2113</v>
      </c>
      <c r="CZ231" s="19" t="s">
        <v>2113</v>
      </c>
      <c r="DA231" s="19" t="s">
        <v>16</v>
      </c>
      <c r="DB231" s="19" t="s">
        <v>17</v>
      </c>
      <c r="DC231" s="19" t="s">
        <v>2826</v>
      </c>
      <c r="DD231" s="19" t="s">
        <v>2113</v>
      </c>
      <c r="DE231" s="19" t="s">
        <v>2113</v>
      </c>
      <c r="DF231" s="19" t="s">
        <v>2146</v>
      </c>
      <c r="DG231" s="19" t="s">
        <v>2207</v>
      </c>
      <c r="DH231" s="19" t="s">
        <v>2144</v>
      </c>
      <c r="DI231" s="24">
        <v>45525.0</v>
      </c>
      <c r="DJ231" s="19" t="s">
        <v>2133</v>
      </c>
      <c r="DK231" s="19" t="s">
        <v>2145</v>
      </c>
      <c r="DL231" s="19" t="s">
        <v>2146</v>
      </c>
      <c r="DM231" s="19" t="s">
        <v>3003</v>
      </c>
      <c r="DN231" s="19">
        <v>9.0</v>
      </c>
      <c r="DO231" s="19">
        <v>9.0</v>
      </c>
      <c r="DP231" s="19" t="s">
        <v>6358</v>
      </c>
      <c r="DQ231" s="19" t="s">
        <v>6359</v>
      </c>
      <c r="DR231" s="19" t="s">
        <v>6360</v>
      </c>
      <c r="DS231" s="19" t="s">
        <v>2365</v>
      </c>
      <c r="DT231" s="19" t="s">
        <v>2229</v>
      </c>
      <c r="DU231" s="19"/>
      <c r="DV231" s="19"/>
      <c r="DW231" s="19" t="s">
        <v>2153</v>
      </c>
      <c r="DX231" s="19">
        <v>8.0</v>
      </c>
      <c r="DY231" s="19">
        <v>10.0</v>
      </c>
      <c r="DZ231" s="19">
        <v>0.0</v>
      </c>
      <c r="EA231" s="19">
        <v>10.0</v>
      </c>
      <c r="EB231" s="19">
        <v>0.0</v>
      </c>
      <c r="EC231" s="19">
        <v>0.0</v>
      </c>
      <c r="ED231" s="19" t="s">
        <v>2133</v>
      </c>
      <c r="EE231" s="24">
        <v>45525.0</v>
      </c>
      <c r="EF231" s="19" t="s">
        <v>2133</v>
      </c>
      <c r="EG231" s="19" t="s">
        <v>2145</v>
      </c>
      <c r="EH231" s="19" t="s">
        <v>2146</v>
      </c>
      <c r="EI231" s="22">
        <v>15.0</v>
      </c>
      <c r="EJ231" s="19">
        <v>45.0</v>
      </c>
      <c r="EK231" s="19" t="s">
        <v>2113</v>
      </c>
      <c r="EL231" s="19" t="s">
        <v>2163</v>
      </c>
      <c r="EM231" s="19" t="s">
        <v>6350</v>
      </c>
      <c r="EN231" s="19" t="s">
        <v>688</v>
      </c>
      <c r="EO231" s="19" t="s">
        <v>3537</v>
      </c>
      <c r="EP231" s="19" t="s">
        <v>2995</v>
      </c>
      <c r="EQ231" s="19" t="s">
        <v>3544</v>
      </c>
      <c r="ER231" s="19"/>
      <c r="ES231" s="19" t="s">
        <v>688</v>
      </c>
      <c r="ET231" s="19" t="s">
        <v>688</v>
      </c>
      <c r="EU231" s="19" t="s">
        <v>6347</v>
      </c>
      <c r="EV231" s="19">
        <v>9180.0</v>
      </c>
      <c r="EW231" s="19" t="s">
        <v>16</v>
      </c>
      <c r="EX231" s="19">
        <v>3.0</v>
      </c>
      <c r="EY231" s="25" t="s">
        <v>687</v>
      </c>
      <c r="EZ231" s="19" t="s">
        <v>2154</v>
      </c>
      <c r="FA231" s="5" t="s">
        <v>6361</v>
      </c>
      <c r="FB231" s="26" t="s">
        <v>2156</v>
      </c>
      <c r="FC231" s="26"/>
    </row>
    <row r="232">
      <c r="A232" s="19" t="s">
        <v>2156</v>
      </c>
      <c r="B232" s="19"/>
      <c r="C232" s="19" t="s">
        <v>2113</v>
      </c>
      <c r="D232" s="19" t="s">
        <v>6362</v>
      </c>
      <c r="E232" s="19" t="s">
        <v>6363</v>
      </c>
      <c r="F232" s="19" t="s">
        <v>689</v>
      </c>
      <c r="G232" s="19"/>
      <c r="H232" s="19" t="s">
        <v>689</v>
      </c>
      <c r="I232" s="19" t="s">
        <v>691</v>
      </c>
      <c r="J232" s="19" t="s">
        <v>6364</v>
      </c>
      <c r="K232" s="19" t="s">
        <v>6365</v>
      </c>
      <c r="L232" s="20">
        <v>45396.0</v>
      </c>
      <c r="M232" s="20">
        <v>45411.0</v>
      </c>
      <c r="N232" s="20">
        <v>45411.0</v>
      </c>
      <c r="O232" s="19" t="s">
        <v>690</v>
      </c>
      <c r="P232" s="19">
        <v>0.0</v>
      </c>
      <c r="Q232" s="19">
        <v>24.0</v>
      </c>
      <c r="R232" s="19">
        <v>8871.0</v>
      </c>
      <c r="S232" s="20" t="s">
        <v>6178</v>
      </c>
      <c r="T232" s="20">
        <v>45461.0</v>
      </c>
      <c r="U232" s="19" t="s">
        <v>689</v>
      </c>
      <c r="V232" s="19"/>
      <c r="W232" s="19"/>
      <c r="X232" s="21">
        <v>0.0</v>
      </c>
      <c r="Y232" s="21">
        <v>10.0</v>
      </c>
      <c r="Z232" s="21">
        <v>3.0</v>
      </c>
      <c r="AA232" s="21">
        <v>0.0</v>
      </c>
      <c r="AB232" s="5">
        <v>13.0</v>
      </c>
      <c r="AC232" s="19">
        <v>5.0</v>
      </c>
      <c r="AD232" s="19">
        <v>5.0</v>
      </c>
      <c r="AE232" s="19">
        <v>5.0</v>
      </c>
      <c r="AF232" s="19">
        <v>5.0</v>
      </c>
      <c r="AG232" s="19">
        <v>5.0</v>
      </c>
      <c r="AH232" s="19">
        <v>5.0</v>
      </c>
      <c r="AI232" s="22">
        <v>15.0</v>
      </c>
      <c r="AJ232" s="19">
        <v>15.0</v>
      </c>
      <c r="AK232" s="19">
        <v>15.0</v>
      </c>
      <c r="AL232" s="19">
        <v>15.0</v>
      </c>
      <c r="AM232" s="19">
        <v>45.0</v>
      </c>
      <c r="AN232" s="19">
        <v>60.0</v>
      </c>
      <c r="AO232" s="19">
        <v>73.0</v>
      </c>
      <c r="AP232" s="19">
        <v>704.0</v>
      </c>
      <c r="AQ232" s="23">
        <v>226.0</v>
      </c>
      <c r="AR232" s="23">
        <v>28.0</v>
      </c>
      <c r="AS232" s="22"/>
      <c r="AT232" s="19" t="s">
        <v>2163</v>
      </c>
      <c r="AU232" s="19" t="s">
        <v>6366</v>
      </c>
      <c r="AV232" s="19" t="s">
        <v>6367</v>
      </c>
      <c r="AW232" s="19" t="s">
        <v>2166</v>
      </c>
      <c r="AX232" s="20">
        <v>36590.0</v>
      </c>
      <c r="AY232" s="19" t="s">
        <v>2467</v>
      </c>
      <c r="AZ232" s="19" t="s">
        <v>2310</v>
      </c>
      <c r="BA232" s="19" t="s">
        <v>6368</v>
      </c>
      <c r="BB232" s="19" t="s">
        <v>6369</v>
      </c>
      <c r="BC232" s="19" t="s">
        <v>6370</v>
      </c>
      <c r="BD232" s="19" t="s">
        <v>6371</v>
      </c>
      <c r="BE232" s="19" t="s">
        <v>6372</v>
      </c>
      <c r="BF232" s="19">
        <v>1.194562809E10</v>
      </c>
      <c r="BG232" s="19" t="s">
        <v>2127</v>
      </c>
      <c r="BH232" s="19" t="s">
        <v>2128</v>
      </c>
      <c r="BI232" s="19"/>
      <c r="BJ232" s="19"/>
      <c r="BK232" s="19" t="s">
        <v>16</v>
      </c>
      <c r="BL232" s="19"/>
      <c r="BM232" s="19" t="s">
        <v>5411</v>
      </c>
      <c r="BN232" s="19" t="s">
        <v>6373</v>
      </c>
      <c r="BO232" s="19" t="s">
        <v>2473</v>
      </c>
      <c r="BP232" s="19"/>
      <c r="BQ232" s="19" t="s">
        <v>2133</v>
      </c>
      <c r="BR232" s="19" t="s">
        <v>2133</v>
      </c>
      <c r="BS232" s="19" t="s">
        <v>2243</v>
      </c>
      <c r="BT232" s="19" t="s">
        <v>38</v>
      </c>
      <c r="BU232" s="19" t="s">
        <v>6374</v>
      </c>
      <c r="BV232" s="19"/>
      <c r="BW232" s="19"/>
      <c r="BX232" s="19"/>
      <c r="BY232" s="19"/>
      <c r="BZ232" s="19" t="s">
        <v>2113</v>
      </c>
      <c r="CA232" s="19"/>
      <c r="CB232" s="19" t="s">
        <v>2113</v>
      </c>
      <c r="CC232" s="19"/>
      <c r="CD232" s="19" t="s">
        <v>2137</v>
      </c>
      <c r="CE232" s="19" t="s">
        <v>16</v>
      </c>
      <c r="CF232" s="19"/>
      <c r="CG232" s="19"/>
      <c r="CH232" s="19" t="s">
        <v>16</v>
      </c>
      <c r="CI232" s="21">
        <v>0.0</v>
      </c>
      <c r="CJ232" s="19" t="s">
        <v>17</v>
      </c>
      <c r="CK232" s="19" t="s">
        <v>2113</v>
      </c>
      <c r="CL232" s="19"/>
      <c r="CM232" s="19" t="s">
        <v>2138</v>
      </c>
      <c r="CN232" s="19" t="s">
        <v>2475</v>
      </c>
      <c r="CO232" s="19"/>
      <c r="CP232" s="19"/>
      <c r="CQ232" s="19"/>
      <c r="CR232" s="19"/>
      <c r="CS232" s="19"/>
      <c r="CT232" s="19"/>
      <c r="CU232" s="19"/>
      <c r="CV232" s="19" t="s">
        <v>2141</v>
      </c>
      <c r="CW232" s="19" t="s">
        <v>2113</v>
      </c>
      <c r="CX232" s="19" t="s">
        <v>2113</v>
      </c>
      <c r="CY232" s="19" t="s">
        <v>2113</v>
      </c>
      <c r="CZ232" s="19" t="s">
        <v>2113</v>
      </c>
      <c r="DA232" s="19" t="s">
        <v>16</v>
      </c>
      <c r="DB232" s="19" t="s">
        <v>17</v>
      </c>
      <c r="DC232" s="19" t="s">
        <v>2143</v>
      </c>
      <c r="DD232" s="19" t="s">
        <v>2113</v>
      </c>
      <c r="DE232" s="19" t="s">
        <v>2113</v>
      </c>
      <c r="DF232" s="19" t="s">
        <v>2843</v>
      </c>
      <c r="DG232" s="19" t="s">
        <v>2671</v>
      </c>
      <c r="DH232" s="19" t="s">
        <v>2144</v>
      </c>
      <c r="DI232" s="24">
        <v>45518.0</v>
      </c>
      <c r="DJ232" s="19" t="s">
        <v>2133</v>
      </c>
      <c r="DK232" s="19" t="s">
        <v>2145</v>
      </c>
      <c r="DL232" s="19" t="s">
        <v>2146</v>
      </c>
      <c r="DM232" s="19" t="s">
        <v>2672</v>
      </c>
      <c r="DN232" s="19">
        <v>3.0</v>
      </c>
      <c r="DO232" s="19">
        <v>3.0</v>
      </c>
      <c r="DP232" s="19" t="s">
        <v>6375</v>
      </c>
      <c r="DQ232" s="19" t="s">
        <v>6376</v>
      </c>
      <c r="DR232" s="19" t="s">
        <v>6377</v>
      </c>
      <c r="DS232" s="19" t="s">
        <v>2185</v>
      </c>
      <c r="DT232" s="19" t="s">
        <v>2301</v>
      </c>
      <c r="DU232" s="19"/>
      <c r="DV232" s="19"/>
      <c r="DW232" s="19" t="s">
        <v>2153</v>
      </c>
      <c r="DX232" s="19">
        <v>1.0</v>
      </c>
      <c r="DY232" s="19">
        <v>10.0</v>
      </c>
      <c r="DZ232" s="19">
        <v>0.0</v>
      </c>
      <c r="EA232" s="19">
        <v>10.0</v>
      </c>
      <c r="EB232" s="19">
        <v>0.0</v>
      </c>
      <c r="EC232" s="19">
        <v>0.0</v>
      </c>
      <c r="ED232" s="19" t="s">
        <v>2133</v>
      </c>
      <c r="EE232" s="24">
        <v>45518.0</v>
      </c>
      <c r="EF232" s="19" t="s">
        <v>2133</v>
      </c>
      <c r="EG232" s="19" t="s">
        <v>2145</v>
      </c>
      <c r="EH232" s="19" t="s">
        <v>2146</v>
      </c>
      <c r="EI232" s="22">
        <v>15.0</v>
      </c>
      <c r="EJ232" s="19">
        <v>45.0</v>
      </c>
      <c r="EK232" s="19" t="s">
        <v>2113</v>
      </c>
      <c r="EL232" s="19" t="s">
        <v>2163</v>
      </c>
      <c r="EM232" s="19" t="s">
        <v>6366</v>
      </c>
      <c r="EN232" s="19" t="s">
        <v>691</v>
      </c>
      <c r="EO232" s="19" t="s">
        <v>2467</v>
      </c>
      <c r="EP232" s="19" t="s">
        <v>2310</v>
      </c>
      <c r="EQ232" s="19" t="s">
        <v>2475</v>
      </c>
      <c r="ER232" s="19"/>
      <c r="ES232" s="19" t="s">
        <v>691</v>
      </c>
      <c r="ET232" s="19" t="s">
        <v>691</v>
      </c>
      <c r="EU232" s="19" t="s">
        <v>6365</v>
      </c>
      <c r="EV232" s="19">
        <v>8871.0</v>
      </c>
      <c r="EW232" s="19" t="s">
        <v>16</v>
      </c>
      <c r="EX232" s="19">
        <v>3.0</v>
      </c>
      <c r="EY232" s="25" t="s">
        <v>690</v>
      </c>
      <c r="EZ232" s="19" t="s">
        <v>2154</v>
      </c>
      <c r="FA232" s="5" t="s">
        <v>6378</v>
      </c>
      <c r="FB232" s="26" t="s">
        <v>2156</v>
      </c>
      <c r="FC232" s="26"/>
    </row>
    <row r="233">
      <c r="A233" s="19" t="s">
        <v>2112</v>
      </c>
      <c r="B233" s="19"/>
      <c r="C233" s="19" t="s">
        <v>2113</v>
      </c>
      <c r="D233" s="19" t="s">
        <v>692</v>
      </c>
      <c r="E233" s="19" t="s">
        <v>6379</v>
      </c>
      <c r="F233" s="19" t="s">
        <v>692</v>
      </c>
      <c r="G233" s="19"/>
      <c r="H233" s="19" t="s">
        <v>692</v>
      </c>
      <c r="I233" s="19" t="s">
        <v>694</v>
      </c>
      <c r="J233" s="19" t="s">
        <v>6380</v>
      </c>
      <c r="K233" s="19" t="s">
        <v>6381</v>
      </c>
      <c r="L233" s="20">
        <v>45446.0</v>
      </c>
      <c r="M233" s="20">
        <v>45447.0</v>
      </c>
      <c r="N233" s="20">
        <v>45447.0</v>
      </c>
      <c r="O233" s="19" t="s">
        <v>693</v>
      </c>
      <c r="P233" s="19">
        <v>0.0</v>
      </c>
      <c r="Q233" s="19">
        <v>22.0</v>
      </c>
      <c r="R233" s="19">
        <v>8099.0</v>
      </c>
      <c r="S233" s="20" t="s">
        <v>6382</v>
      </c>
      <c r="T233" s="20">
        <v>45461.0</v>
      </c>
      <c r="U233" s="19" t="s">
        <v>692</v>
      </c>
      <c r="V233" s="19"/>
      <c r="W233" s="19"/>
      <c r="X233" s="21">
        <v>0.0</v>
      </c>
      <c r="Y233" s="21">
        <v>10.0</v>
      </c>
      <c r="Z233" s="21">
        <v>3.0</v>
      </c>
      <c r="AA233" s="21">
        <v>0.0</v>
      </c>
      <c r="AB233" s="5">
        <v>13.0</v>
      </c>
      <c r="AC233" s="19">
        <v>5.0</v>
      </c>
      <c r="AD233" s="19">
        <v>5.0</v>
      </c>
      <c r="AE233" s="19">
        <v>5.0</v>
      </c>
      <c r="AF233" s="19">
        <v>5.0</v>
      </c>
      <c r="AG233" s="19">
        <v>5.0</v>
      </c>
      <c r="AH233" s="19">
        <v>5.0</v>
      </c>
      <c r="AI233" s="22">
        <v>15.0</v>
      </c>
      <c r="AJ233" s="19">
        <v>15.0</v>
      </c>
      <c r="AK233" s="19">
        <v>15.0</v>
      </c>
      <c r="AL233" s="19">
        <v>15.0</v>
      </c>
      <c r="AM233" s="19">
        <v>45.0</v>
      </c>
      <c r="AN233" s="19">
        <v>60.0</v>
      </c>
      <c r="AO233" s="19">
        <v>73.0</v>
      </c>
      <c r="AP233" s="19">
        <v>735.0</v>
      </c>
      <c r="AQ233" s="23">
        <v>227.0</v>
      </c>
      <c r="AR233" s="23">
        <v>17.0</v>
      </c>
      <c r="AS233" s="22"/>
      <c r="AT233" s="19" t="s">
        <v>2282</v>
      </c>
      <c r="AU233" s="19" t="s">
        <v>6383</v>
      </c>
      <c r="AV233" s="19" t="s">
        <v>6384</v>
      </c>
      <c r="AW233" s="19" t="s">
        <v>3269</v>
      </c>
      <c r="AX233" s="20">
        <v>37362.0</v>
      </c>
      <c r="AY233" s="19" t="s">
        <v>6385</v>
      </c>
      <c r="AZ233" s="19" t="s">
        <v>2122</v>
      </c>
      <c r="BA233" s="19" t="s">
        <v>6386</v>
      </c>
      <c r="BB233" s="19" t="s">
        <v>5859</v>
      </c>
      <c r="BC233" s="19" t="s">
        <v>6387</v>
      </c>
      <c r="BD233" s="19" t="s">
        <v>6388</v>
      </c>
      <c r="BE233" s="19" t="s">
        <v>6389</v>
      </c>
      <c r="BF233" s="19">
        <v>1.1999430546E10</v>
      </c>
      <c r="BG233" s="19" t="s">
        <v>2127</v>
      </c>
      <c r="BH233" s="19" t="s">
        <v>2649</v>
      </c>
      <c r="BI233" s="19"/>
      <c r="BJ233" s="19"/>
      <c r="BK233" s="19" t="s">
        <v>16</v>
      </c>
      <c r="BL233" s="19"/>
      <c r="BM233" s="19" t="s">
        <v>5563</v>
      </c>
      <c r="BN233" s="19" t="s">
        <v>2172</v>
      </c>
      <c r="BO233" s="19" t="s">
        <v>2473</v>
      </c>
      <c r="BP233" s="19"/>
      <c r="BQ233" s="19" t="s">
        <v>2133</v>
      </c>
      <c r="BR233" s="19" t="s">
        <v>2133</v>
      </c>
      <c r="BS233" s="19" t="s">
        <v>2134</v>
      </c>
      <c r="BT233" s="19" t="s">
        <v>52</v>
      </c>
      <c r="BU233" s="19" t="s">
        <v>4099</v>
      </c>
      <c r="BV233" s="19"/>
      <c r="BW233" s="19"/>
      <c r="BX233" s="19"/>
      <c r="BY233" s="19" t="s">
        <v>2113</v>
      </c>
      <c r="BZ233" s="19" t="s">
        <v>2113</v>
      </c>
      <c r="CA233" s="19"/>
      <c r="CB233" s="19" t="s">
        <v>2113</v>
      </c>
      <c r="CC233" s="19"/>
      <c r="CD233" s="19" t="s">
        <v>2137</v>
      </c>
      <c r="CE233" s="19" t="s">
        <v>16</v>
      </c>
      <c r="CF233" s="19"/>
      <c r="CG233" s="19"/>
      <c r="CH233" s="19" t="s">
        <v>16</v>
      </c>
      <c r="CI233" s="21">
        <v>0.0</v>
      </c>
      <c r="CJ233" s="19" t="s">
        <v>16</v>
      </c>
      <c r="CK233" s="19"/>
      <c r="CL233" s="19"/>
      <c r="CM233" s="19" t="s">
        <v>2344</v>
      </c>
      <c r="CN233" s="19" t="s">
        <v>6390</v>
      </c>
      <c r="CO233" s="19"/>
      <c r="CP233" s="19"/>
      <c r="CQ233" s="19"/>
      <c r="CR233" s="19" t="s">
        <v>2113</v>
      </c>
      <c r="CS233" s="19" t="s">
        <v>2113</v>
      </c>
      <c r="CT233" s="19"/>
      <c r="CU233" s="19"/>
      <c r="CV233" s="19" t="s">
        <v>2141</v>
      </c>
      <c r="CW233" s="19"/>
      <c r="CX233" s="19"/>
      <c r="CY233" s="19"/>
      <c r="CZ233" s="19"/>
      <c r="DA233" s="19" t="s">
        <v>16</v>
      </c>
      <c r="DB233" s="19" t="s">
        <v>16</v>
      </c>
      <c r="DC233" s="19" t="s">
        <v>2579</v>
      </c>
      <c r="DD233" s="19" t="s">
        <v>2113</v>
      </c>
      <c r="DE233" s="19" t="s">
        <v>2113</v>
      </c>
      <c r="DF233" s="19" t="s">
        <v>4540</v>
      </c>
      <c r="DG233" s="19" t="s">
        <v>2248</v>
      </c>
      <c r="DH233" s="19" t="s">
        <v>2144</v>
      </c>
      <c r="DI233" s="24">
        <v>45524.0</v>
      </c>
      <c r="DJ233" s="19" t="s">
        <v>2133</v>
      </c>
      <c r="DK233" s="19" t="s">
        <v>2271</v>
      </c>
      <c r="DL233" s="19" t="s">
        <v>2146</v>
      </c>
      <c r="DM233" s="19" t="s">
        <v>2628</v>
      </c>
      <c r="DN233" s="19">
        <v>8.0</v>
      </c>
      <c r="DO233" s="19">
        <v>8.0</v>
      </c>
      <c r="DP233" s="19" t="s">
        <v>6391</v>
      </c>
      <c r="DQ233" s="19" t="s">
        <v>6392</v>
      </c>
      <c r="DR233" s="19" t="s">
        <v>6393</v>
      </c>
      <c r="DS233" s="19" t="s">
        <v>2365</v>
      </c>
      <c r="DT233" s="19" t="s">
        <v>2186</v>
      </c>
      <c r="DU233" s="19"/>
      <c r="DV233" s="19"/>
      <c r="DW233" s="19" t="s">
        <v>2153</v>
      </c>
      <c r="DX233" s="19">
        <v>9.0</v>
      </c>
      <c r="DY233" s="19">
        <v>10.0</v>
      </c>
      <c r="DZ233" s="19">
        <v>0.0</v>
      </c>
      <c r="EA233" s="19">
        <v>10.0</v>
      </c>
      <c r="EB233" s="19">
        <v>0.0</v>
      </c>
      <c r="EC233" s="19">
        <v>0.0</v>
      </c>
      <c r="ED233" s="19" t="s">
        <v>2133</v>
      </c>
      <c r="EE233" s="24">
        <v>45524.0</v>
      </c>
      <c r="EF233" s="19" t="s">
        <v>2133</v>
      </c>
      <c r="EG233" s="19" t="s">
        <v>2271</v>
      </c>
      <c r="EH233" s="19" t="s">
        <v>2146</v>
      </c>
      <c r="EI233" s="22">
        <v>15.0</v>
      </c>
      <c r="EJ233" s="19">
        <v>45.0</v>
      </c>
      <c r="EK233" s="19"/>
      <c r="EL233" s="19" t="s">
        <v>2282</v>
      </c>
      <c r="EM233" s="19" t="s">
        <v>6383</v>
      </c>
      <c r="EN233" s="19" t="s">
        <v>694</v>
      </c>
      <c r="EO233" s="19" t="s">
        <v>6385</v>
      </c>
      <c r="EP233" s="19" t="s">
        <v>2122</v>
      </c>
      <c r="EQ233" s="19" t="s">
        <v>6390</v>
      </c>
      <c r="ER233" s="19"/>
      <c r="ES233" s="19" t="s">
        <v>694</v>
      </c>
      <c r="ET233" s="19" t="s">
        <v>694</v>
      </c>
      <c r="EU233" s="19" t="s">
        <v>6381</v>
      </c>
      <c r="EV233" s="19">
        <v>8099.0</v>
      </c>
      <c r="EW233" s="19" t="s">
        <v>16</v>
      </c>
      <c r="EX233" s="19">
        <v>3.0</v>
      </c>
      <c r="EY233" s="25" t="s">
        <v>693</v>
      </c>
      <c r="EZ233" s="19" t="s">
        <v>2154</v>
      </c>
      <c r="FA233" s="5" t="s">
        <v>6394</v>
      </c>
      <c r="FB233" s="26" t="s">
        <v>2156</v>
      </c>
      <c r="FC233" s="26"/>
    </row>
    <row r="234">
      <c r="A234" s="19" t="s">
        <v>2112</v>
      </c>
      <c r="B234" s="19"/>
      <c r="C234" s="19" t="s">
        <v>2113</v>
      </c>
      <c r="D234" s="19" t="s">
        <v>6395</v>
      </c>
      <c r="E234" s="19" t="s">
        <v>6396</v>
      </c>
      <c r="F234" s="19" t="s">
        <v>6397</v>
      </c>
      <c r="G234" s="19" t="s">
        <v>6398</v>
      </c>
      <c r="H234" s="19" t="s">
        <v>695</v>
      </c>
      <c r="I234" s="19" t="s">
        <v>697</v>
      </c>
      <c r="J234" s="19" t="s">
        <v>6399</v>
      </c>
      <c r="K234" s="19" t="s">
        <v>6400</v>
      </c>
      <c r="L234" s="20">
        <v>45394.0</v>
      </c>
      <c r="M234" s="20">
        <v>45404.0</v>
      </c>
      <c r="N234" s="20">
        <v>45404.0</v>
      </c>
      <c r="O234" s="19" t="s">
        <v>696</v>
      </c>
      <c r="P234" s="19">
        <v>0.0</v>
      </c>
      <c r="Q234" s="19">
        <v>21.0</v>
      </c>
      <c r="R234" s="19">
        <v>7982.0</v>
      </c>
      <c r="S234" s="20" t="s">
        <v>6401</v>
      </c>
      <c r="T234" s="20">
        <v>45461.0</v>
      </c>
      <c r="U234" s="19" t="s">
        <v>6397</v>
      </c>
      <c r="V234" s="19"/>
      <c r="W234" s="19" t="s">
        <v>6402</v>
      </c>
      <c r="X234" s="21">
        <v>0.0</v>
      </c>
      <c r="Y234" s="21">
        <v>10.0</v>
      </c>
      <c r="Z234" s="21">
        <v>3.0</v>
      </c>
      <c r="AA234" s="21">
        <v>0.0</v>
      </c>
      <c r="AB234" s="5">
        <v>13.0</v>
      </c>
      <c r="AC234" s="19">
        <v>5.0</v>
      </c>
      <c r="AD234" s="19">
        <v>5.0</v>
      </c>
      <c r="AE234" s="19">
        <v>5.0</v>
      </c>
      <c r="AF234" s="19">
        <v>5.0</v>
      </c>
      <c r="AG234" s="19">
        <v>5.0</v>
      </c>
      <c r="AH234" s="19">
        <v>5.0</v>
      </c>
      <c r="AI234" s="22">
        <v>15.0</v>
      </c>
      <c r="AJ234" s="19">
        <v>15.0</v>
      </c>
      <c r="AK234" s="19">
        <v>15.0</v>
      </c>
      <c r="AL234" s="19">
        <v>15.0</v>
      </c>
      <c r="AM234" s="19">
        <v>45.0</v>
      </c>
      <c r="AN234" s="19">
        <v>60.0</v>
      </c>
      <c r="AO234" s="19">
        <v>73.0</v>
      </c>
      <c r="AP234" s="19">
        <v>747.0</v>
      </c>
      <c r="AQ234" s="23">
        <v>228.0</v>
      </c>
      <c r="AR234" s="23">
        <v>29.0</v>
      </c>
      <c r="AS234" s="22"/>
      <c r="AT234" s="19" t="s">
        <v>2163</v>
      </c>
      <c r="AU234" s="19" t="s">
        <v>3095</v>
      </c>
      <c r="AV234" s="19" t="s">
        <v>6403</v>
      </c>
      <c r="AW234" s="19"/>
      <c r="AX234" s="20">
        <v>37479.0</v>
      </c>
      <c r="AY234" s="19" t="s">
        <v>2467</v>
      </c>
      <c r="AZ234" s="19" t="s">
        <v>2310</v>
      </c>
      <c r="BA234" s="19" t="s">
        <v>6404</v>
      </c>
      <c r="BB234" s="19" t="s">
        <v>4534</v>
      </c>
      <c r="BC234" s="19" t="s">
        <v>6405</v>
      </c>
      <c r="BD234" s="19" t="s">
        <v>6406</v>
      </c>
      <c r="BE234" s="19" t="s">
        <v>6407</v>
      </c>
      <c r="BF234" s="19">
        <v>1.1964298769E10</v>
      </c>
      <c r="BG234" s="19" t="s">
        <v>2127</v>
      </c>
      <c r="BH234" s="19" t="s">
        <v>2128</v>
      </c>
      <c r="BI234" s="19"/>
      <c r="BJ234" s="19"/>
      <c r="BK234" s="19" t="s">
        <v>16</v>
      </c>
      <c r="BL234" s="19" t="s">
        <v>2113</v>
      </c>
      <c r="BM234" s="19" t="s">
        <v>5411</v>
      </c>
      <c r="BN234" s="19" t="s">
        <v>2401</v>
      </c>
      <c r="BO234" s="19" t="s">
        <v>2473</v>
      </c>
      <c r="BP234" s="19" t="s">
        <v>6408</v>
      </c>
      <c r="BQ234" s="19" t="s">
        <v>2133</v>
      </c>
      <c r="BR234" s="19" t="s">
        <v>2133</v>
      </c>
      <c r="BS234" s="19" t="s">
        <v>2243</v>
      </c>
      <c r="BT234" s="19" t="s">
        <v>38</v>
      </c>
      <c r="BU234" s="19" t="s">
        <v>6409</v>
      </c>
      <c r="BV234" s="19"/>
      <c r="BW234" s="19"/>
      <c r="BX234" s="19"/>
      <c r="BY234" s="19" t="s">
        <v>2113</v>
      </c>
      <c r="BZ234" s="19" t="s">
        <v>2113</v>
      </c>
      <c r="CA234" s="19" t="s">
        <v>2113</v>
      </c>
      <c r="CB234" s="19" t="s">
        <v>2113</v>
      </c>
      <c r="CC234" s="19"/>
      <c r="CD234" s="19" t="s">
        <v>2137</v>
      </c>
      <c r="CE234" s="19" t="s">
        <v>16</v>
      </c>
      <c r="CF234" s="19"/>
      <c r="CG234" s="19"/>
      <c r="CH234" s="19" t="s">
        <v>16</v>
      </c>
      <c r="CI234" s="21">
        <v>0.0</v>
      </c>
      <c r="CJ234" s="19" t="s">
        <v>17</v>
      </c>
      <c r="CK234" s="19"/>
      <c r="CL234" s="19"/>
      <c r="CM234" s="19" t="s">
        <v>2138</v>
      </c>
      <c r="CN234" s="19" t="s">
        <v>2475</v>
      </c>
      <c r="CO234" s="19"/>
      <c r="CP234" s="19"/>
      <c r="CQ234" s="19" t="s">
        <v>2113</v>
      </c>
      <c r="CR234" s="19"/>
      <c r="CS234" s="19"/>
      <c r="CT234" s="19" t="s">
        <v>2113</v>
      </c>
      <c r="CU234" s="19" t="s">
        <v>2113</v>
      </c>
      <c r="CV234" s="19" t="s">
        <v>2141</v>
      </c>
      <c r="CW234" s="19"/>
      <c r="CX234" s="19"/>
      <c r="CY234" s="19" t="s">
        <v>2113</v>
      </c>
      <c r="CZ234" s="19" t="s">
        <v>2113</v>
      </c>
      <c r="DA234" s="19" t="s">
        <v>16</v>
      </c>
      <c r="DB234" s="19" t="s">
        <v>17</v>
      </c>
      <c r="DC234" s="19" t="s">
        <v>2477</v>
      </c>
      <c r="DD234" s="19" t="s">
        <v>2113</v>
      </c>
      <c r="DE234" s="19" t="s">
        <v>2113</v>
      </c>
      <c r="DF234" s="19" t="s">
        <v>2826</v>
      </c>
      <c r="DG234" s="19" t="s">
        <v>2433</v>
      </c>
      <c r="DH234" s="19" t="s">
        <v>2144</v>
      </c>
      <c r="DI234" s="24">
        <v>45533.0</v>
      </c>
      <c r="DJ234" s="19" t="s">
        <v>2133</v>
      </c>
      <c r="DK234" s="19" t="s">
        <v>2145</v>
      </c>
      <c r="DL234" s="19" t="s">
        <v>2146</v>
      </c>
      <c r="DM234" s="19" t="s">
        <v>2147</v>
      </c>
      <c r="DN234" s="19">
        <v>17.0</v>
      </c>
      <c r="DO234" s="19">
        <v>17.0</v>
      </c>
      <c r="DP234" s="19" t="s">
        <v>6410</v>
      </c>
      <c r="DQ234" s="19" t="s">
        <v>6411</v>
      </c>
      <c r="DR234" s="19" t="s">
        <v>6412</v>
      </c>
      <c r="DS234" s="19" t="s">
        <v>2151</v>
      </c>
      <c r="DT234" s="19" t="s">
        <v>2186</v>
      </c>
      <c r="DU234" s="19"/>
      <c r="DV234" s="19"/>
      <c r="DW234" s="19" t="s">
        <v>2153</v>
      </c>
      <c r="DX234" s="19">
        <v>12.0</v>
      </c>
      <c r="DY234" s="19">
        <v>10.0</v>
      </c>
      <c r="DZ234" s="19">
        <v>0.0</v>
      </c>
      <c r="EA234" s="19">
        <v>10.0</v>
      </c>
      <c r="EB234" s="19">
        <v>0.0</v>
      </c>
      <c r="EC234" s="19">
        <v>0.0</v>
      </c>
      <c r="ED234" s="19" t="s">
        <v>2133</v>
      </c>
      <c r="EE234" s="24">
        <v>45533.0</v>
      </c>
      <c r="EF234" s="19" t="s">
        <v>2133</v>
      </c>
      <c r="EG234" s="19" t="s">
        <v>2145</v>
      </c>
      <c r="EH234" s="19" t="s">
        <v>2146</v>
      </c>
      <c r="EI234" s="22">
        <v>15.0</v>
      </c>
      <c r="EJ234" s="19">
        <v>45.0</v>
      </c>
      <c r="EK234" s="19" t="s">
        <v>2113</v>
      </c>
      <c r="EL234" s="19" t="s">
        <v>2163</v>
      </c>
      <c r="EM234" s="19" t="s">
        <v>3095</v>
      </c>
      <c r="EN234" s="19" t="s">
        <v>697</v>
      </c>
      <c r="EO234" s="19" t="s">
        <v>2467</v>
      </c>
      <c r="EP234" s="19" t="s">
        <v>2310</v>
      </c>
      <c r="EQ234" s="19" t="s">
        <v>2475</v>
      </c>
      <c r="ER234" s="19"/>
      <c r="ES234" s="19" t="s">
        <v>697</v>
      </c>
      <c r="ET234" s="19" t="s">
        <v>697</v>
      </c>
      <c r="EU234" s="19" t="s">
        <v>6400</v>
      </c>
      <c r="EV234" s="19">
        <v>7982.0</v>
      </c>
      <c r="EW234" s="19" t="s">
        <v>16</v>
      </c>
      <c r="EX234" s="19">
        <v>3.0</v>
      </c>
      <c r="EY234" s="25" t="s">
        <v>696</v>
      </c>
      <c r="EZ234" s="19" t="s">
        <v>2154</v>
      </c>
      <c r="FA234" s="5" t="s">
        <v>6413</v>
      </c>
      <c r="FB234" s="26" t="s">
        <v>2156</v>
      </c>
      <c r="FC234" s="26"/>
    </row>
    <row r="235">
      <c r="A235" s="19" t="s">
        <v>2112</v>
      </c>
      <c r="B235" s="19"/>
      <c r="C235" s="19" t="s">
        <v>2113</v>
      </c>
      <c r="D235" s="19" t="s">
        <v>698</v>
      </c>
      <c r="E235" s="19" t="s">
        <v>6414</v>
      </c>
      <c r="F235" s="19" t="s">
        <v>698</v>
      </c>
      <c r="G235" s="19"/>
      <c r="H235" s="19" t="s">
        <v>698</v>
      </c>
      <c r="I235" s="19" t="s">
        <v>700</v>
      </c>
      <c r="J235" s="19" t="s">
        <v>6415</v>
      </c>
      <c r="K235" s="19" t="s">
        <v>6416</v>
      </c>
      <c r="L235" s="20">
        <v>45460.0</v>
      </c>
      <c r="M235" s="20">
        <v>45462.0</v>
      </c>
      <c r="N235" s="20">
        <v>45462.0</v>
      </c>
      <c r="O235" s="19" t="s">
        <v>699</v>
      </c>
      <c r="P235" s="19">
        <v>0.0</v>
      </c>
      <c r="Q235" s="19">
        <v>19.0</v>
      </c>
      <c r="R235" s="19">
        <v>7239.0</v>
      </c>
      <c r="S235" s="20" t="s">
        <v>6417</v>
      </c>
      <c r="T235" s="20">
        <v>45461.0</v>
      </c>
      <c r="U235" s="19" t="s">
        <v>698</v>
      </c>
      <c r="V235" s="19"/>
      <c r="W235" s="19"/>
      <c r="X235" s="21">
        <v>0.0</v>
      </c>
      <c r="Y235" s="21">
        <v>10.0</v>
      </c>
      <c r="Z235" s="21">
        <v>3.0</v>
      </c>
      <c r="AA235" s="21">
        <v>0.0</v>
      </c>
      <c r="AB235" s="5">
        <v>13.0</v>
      </c>
      <c r="AC235" s="19">
        <v>5.0</v>
      </c>
      <c r="AD235" s="19">
        <v>5.0</v>
      </c>
      <c r="AE235" s="19">
        <v>5.0</v>
      </c>
      <c r="AF235" s="19">
        <v>5.0</v>
      </c>
      <c r="AG235" s="19">
        <v>5.0</v>
      </c>
      <c r="AH235" s="19">
        <v>5.0</v>
      </c>
      <c r="AI235" s="22">
        <v>15.0</v>
      </c>
      <c r="AJ235" s="19">
        <v>15.0</v>
      </c>
      <c r="AK235" s="19">
        <v>15.0</v>
      </c>
      <c r="AL235" s="19">
        <v>15.0</v>
      </c>
      <c r="AM235" s="19">
        <v>45.0</v>
      </c>
      <c r="AN235" s="19">
        <v>60.0</v>
      </c>
      <c r="AO235" s="19">
        <v>73.0</v>
      </c>
      <c r="AP235" s="19">
        <v>779.0</v>
      </c>
      <c r="AQ235" s="23">
        <v>229.0</v>
      </c>
      <c r="AR235" s="23">
        <v>13.0</v>
      </c>
      <c r="AS235" s="22"/>
      <c r="AT235" s="19" t="s">
        <v>2163</v>
      </c>
      <c r="AU235" s="19" t="s">
        <v>6418</v>
      </c>
      <c r="AV235" s="19" t="s">
        <v>6419</v>
      </c>
      <c r="AW235" s="19" t="s">
        <v>2701</v>
      </c>
      <c r="AX235" s="20">
        <v>38222.0</v>
      </c>
      <c r="AY235" s="19" t="s">
        <v>3537</v>
      </c>
      <c r="AZ235" s="19" t="s">
        <v>2310</v>
      </c>
      <c r="BA235" s="19" t="s">
        <v>6420</v>
      </c>
      <c r="BB235" s="19" t="s">
        <v>6421</v>
      </c>
      <c r="BC235" s="19" t="s">
        <v>6422</v>
      </c>
      <c r="BD235" s="19" t="s">
        <v>6423</v>
      </c>
      <c r="BE235" s="19" t="s">
        <v>6424</v>
      </c>
      <c r="BF235" s="19">
        <v>1.1966082363E10</v>
      </c>
      <c r="BG235" s="19" t="s">
        <v>2127</v>
      </c>
      <c r="BH235" s="19" t="s">
        <v>2128</v>
      </c>
      <c r="BI235" s="19"/>
      <c r="BJ235" s="19"/>
      <c r="BK235" s="19" t="s">
        <v>16</v>
      </c>
      <c r="BL235" s="19" t="s">
        <v>2113</v>
      </c>
      <c r="BM235" s="19" t="s">
        <v>5411</v>
      </c>
      <c r="BN235" s="19" t="s">
        <v>17</v>
      </c>
      <c r="BO235" s="19" t="s">
        <v>2473</v>
      </c>
      <c r="BP235" s="19" t="s">
        <v>6425</v>
      </c>
      <c r="BQ235" s="19" t="s">
        <v>2133</v>
      </c>
      <c r="BR235" s="19" t="s">
        <v>2133</v>
      </c>
      <c r="BS235" s="19" t="s">
        <v>2243</v>
      </c>
      <c r="BT235" s="19" t="s">
        <v>222</v>
      </c>
      <c r="BU235" s="19" t="s">
        <v>6426</v>
      </c>
      <c r="BV235" s="19"/>
      <c r="BW235" s="19"/>
      <c r="BX235" s="19"/>
      <c r="BY235" s="19" t="s">
        <v>2113</v>
      </c>
      <c r="BZ235" s="19" t="s">
        <v>2113</v>
      </c>
      <c r="CA235" s="19"/>
      <c r="CB235" s="19"/>
      <c r="CC235" s="19" t="s">
        <v>2113</v>
      </c>
      <c r="CD235" s="19" t="s">
        <v>2137</v>
      </c>
      <c r="CE235" s="19" t="s">
        <v>16</v>
      </c>
      <c r="CF235" s="19"/>
      <c r="CG235" s="19"/>
      <c r="CH235" s="19" t="s">
        <v>16</v>
      </c>
      <c r="CI235" s="21">
        <v>0.0</v>
      </c>
      <c r="CJ235" s="19" t="s">
        <v>17</v>
      </c>
      <c r="CK235" s="19"/>
      <c r="CL235" s="19"/>
      <c r="CM235" s="19" t="s">
        <v>2138</v>
      </c>
      <c r="CN235" s="19" t="s">
        <v>3544</v>
      </c>
      <c r="CO235" s="19"/>
      <c r="CP235" s="19"/>
      <c r="CQ235" s="19"/>
      <c r="CR235" s="19"/>
      <c r="CS235" s="19"/>
      <c r="CT235" s="19" t="s">
        <v>2113</v>
      </c>
      <c r="CU235" s="19" t="s">
        <v>2113</v>
      </c>
      <c r="CV235" s="19" t="s">
        <v>2141</v>
      </c>
      <c r="CW235" s="19" t="s">
        <v>2113</v>
      </c>
      <c r="CX235" s="19" t="s">
        <v>2113</v>
      </c>
      <c r="CY235" s="19" t="s">
        <v>2113</v>
      </c>
      <c r="CZ235" s="19" t="s">
        <v>2113</v>
      </c>
      <c r="DA235" s="19" t="s">
        <v>16</v>
      </c>
      <c r="DB235" s="19" t="s">
        <v>17</v>
      </c>
      <c r="DC235" s="19" t="s">
        <v>2146</v>
      </c>
      <c r="DD235" s="19" t="s">
        <v>2113</v>
      </c>
      <c r="DE235" s="19" t="s">
        <v>2113</v>
      </c>
      <c r="DF235" s="19" t="s">
        <v>2433</v>
      </c>
      <c r="DG235" s="19" t="s">
        <v>3222</v>
      </c>
      <c r="DH235" s="19" t="s">
        <v>2144</v>
      </c>
      <c r="DI235" s="24">
        <v>45531.0</v>
      </c>
      <c r="DJ235" s="19" t="s">
        <v>2133</v>
      </c>
      <c r="DK235" s="19" t="s">
        <v>2271</v>
      </c>
      <c r="DL235" s="19" t="s">
        <v>2146</v>
      </c>
      <c r="DM235" s="19" t="s">
        <v>2827</v>
      </c>
      <c r="DN235" s="19">
        <v>14.0</v>
      </c>
      <c r="DO235" s="19">
        <v>14.0</v>
      </c>
      <c r="DP235" s="19" t="s">
        <v>6427</v>
      </c>
      <c r="DQ235" s="19" t="s">
        <v>6428</v>
      </c>
      <c r="DR235" s="19" t="s">
        <v>6429</v>
      </c>
      <c r="DS235" s="19" t="s">
        <v>2151</v>
      </c>
      <c r="DT235" s="19" t="s">
        <v>2301</v>
      </c>
      <c r="DU235" s="19"/>
      <c r="DV235" s="19"/>
      <c r="DW235" s="19" t="s">
        <v>2153</v>
      </c>
      <c r="DX235" s="19">
        <v>12.0</v>
      </c>
      <c r="DY235" s="19">
        <v>10.0</v>
      </c>
      <c r="DZ235" s="19">
        <v>0.0</v>
      </c>
      <c r="EA235" s="19">
        <v>10.0</v>
      </c>
      <c r="EB235" s="19">
        <v>0.0</v>
      </c>
      <c r="EC235" s="19">
        <v>0.0</v>
      </c>
      <c r="ED235" s="19" t="s">
        <v>2133</v>
      </c>
      <c r="EE235" s="24">
        <v>45531.0</v>
      </c>
      <c r="EF235" s="19" t="s">
        <v>2133</v>
      </c>
      <c r="EG235" s="19" t="s">
        <v>2271</v>
      </c>
      <c r="EH235" s="19" t="s">
        <v>2146</v>
      </c>
      <c r="EI235" s="22">
        <v>15.0</v>
      </c>
      <c r="EJ235" s="19">
        <v>45.0</v>
      </c>
      <c r="EK235" s="19" t="s">
        <v>2113</v>
      </c>
      <c r="EL235" s="19" t="s">
        <v>2163</v>
      </c>
      <c r="EM235" s="19" t="s">
        <v>6418</v>
      </c>
      <c r="EN235" s="19" t="s">
        <v>700</v>
      </c>
      <c r="EO235" s="19" t="s">
        <v>3537</v>
      </c>
      <c r="EP235" s="19" t="s">
        <v>2310</v>
      </c>
      <c r="EQ235" s="19" t="s">
        <v>3544</v>
      </c>
      <c r="ER235" s="19"/>
      <c r="ES235" s="19" t="s">
        <v>700</v>
      </c>
      <c r="ET235" s="19" t="s">
        <v>700</v>
      </c>
      <c r="EU235" s="19" t="s">
        <v>6416</v>
      </c>
      <c r="EV235" s="19">
        <v>7239.0</v>
      </c>
      <c r="EW235" s="19" t="s">
        <v>16</v>
      </c>
      <c r="EX235" s="19">
        <v>3.0</v>
      </c>
      <c r="EY235" s="25" t="s">
        <v>699</v>
      </c>
      <c r="EZ235" s="19" t="s">
        <v>2154</v>
      </c>
      <c r="FA235" s="5" t="s">
        <v>6430</v>
      </c>
      <c r="FB235" s="26" t="s">
        <v>2156</v>
      </c>
      <c r="FC235" s="26"/>
    </row>
    <row r="236">
      <c r="A236" s="19" t="s">
        <v>2112</v>
      </c>
      <c r="B236" s="19"/>
      <c r="C236" s="19" t="s">
        <v>2113</v>
      </c>
      <c r="D236" s="19" t="s">
        <v>701</v>
      </c>
      <c r="E236" s="19" t="s">
        <v>6431</v>
      </c>
      <c r="F236" s="19" t="s">
        <v>701</v>
      </c>
      <c r="G236" s="19"/>
      <c r="H236" s="19" t="s">
        <v>701</v>
      </c>
      <c r="I236" s="19" t="s">
        <v>703</v>
      </c>
      <c r="J236" s="19" t="s">
        <v>6432</v>
      </c>
      <c r="K236" s="19" t="s">
        <v>6433</v>
      </c>
      <c r="L236" s="20">
        <v>45446.0</v>
      </c>
      <c r="M236" s="20">
        <v>45447.0</v>
      </c>
      <c r="N236" s="20">
        <v>45447.0</v>
      </c>
      <c r="O236" s="19" t="s">
        <v>702</v>
      </c>
      <c r="P236" s="19">
        <v>0.0</v>
      </c>
      <c r="Q236" s="19">
        <v>26.0</v>
      </c>
      <c r="R236" s="19">
        <v>9705.0</v>
      </c>
      <c r="S236" s="20" t="s">
        <v>6434</v>
      </c>
      <c r="T236" s="20">
        <v>45461.0</v>
      </c>
      <c r="U236" s="19" t="s">
        <v>701</v>
      </c>
      <c r="V236" s="19"/>
      <c r="W236" s="19"/>
      <c r="X236" s="21">
        <v>0.0</v>
      </c>
      <c r="Y236" s="21">
        <v>10.0</v>
      </c>
      <c r="Z236" s="21">
        <v>5.0</v>
      </c>
      <c r="AA236" s="21">
        <v>0.0</v>
      </c>
      <c r="AB236" s="5">
        <v>15.0</v>
      </c>
      <c r="AC236" s="19">
        <v>5.0</v>
      </c>
      <c r="AD236" s="19">
        <v>4.0</v>
      </c>
      <c r="AE236" s="19">
        <v>4.0</v>
      </c>
      <c r="AF236" s="19">
        <v>5.0</v>
      </c>
      <c r="AG236" s="19">
        <v>4.0</v>
      </c>
      <c r="AH236" s="19">
        <v>4.0</v>
      </c>
      <c r="AI236" s="22">
        <v>12.84375</v>
      </c>
      <c r="AJ236" s="19">
        <v>15.0</v>
      </c>
      <c r="AK236" s="19">
        <v>15.0</v>
      </c>
      <c r="AL236" s="19">
        <v>15.0</v>
      </c>
      <c r="AM236" s="19">
        <v>45.0</v>
      </c>
      <c r="AN236" s="19">
        <v>57.8</v>
      </c>
      <c r="AO236" s="19">
        <v>72.8</v>
      </c>
      <c r="AP236" s="19">
        <v>410.0</v>
      </c>
      <c r="AQ236" s="23">
        <v>230.0</v>
      </c>
      <c r="AR236" s="23">
        <v>26.0</v>
      </c>
      <c r="AS236" s="22"/>
      <c r="AT236" s="19" t="s">
        <v>2282</v>
      </c>
      <c r="AU236" s="19" t="s">
        <v>6435</v>
      </c>
      <c r="AV236" s="19" t="s">
        <v>6436</v>
      </c>
      <c r="AW236" s="19" t="s">
        <v>2257</v>
      </c>
      <c r="AX236" s="20">
        <v>35756.0</v>
      </c>
      <c r="AY236" s="19" t="s">
        <v>5405</v>
      </c>
      <c r="AZ236" s="19" t="s">
        <v>2122</v>
      </c>
      <c r="BA236" s="19" t="s">
        <v>6437</v>
      </c>
      <c r="BB236" s="19" t="s">
        <v>6438</v>
      </c>
      <c r="BC236" s="19" t="s">
        <v>6439</v>
      </c>
      <c r="BD236" s="19" t="s">
        <v>6440</v>
      </c>
      <c r="BE236" s="19" t="s">
        <v>6441</v>
      </c>
      <c r="BF236" s="19">
        <v>1.1970349529E10</v>
      </c>
      <c r="BG236" s="19" t="s">
        <v>2127</v>
      </c>
      <c r="BH236" s="19" t="s">
        <v>2128</v>
      </c>
      <c r="BI236" s="19"/>
      <c r="BJ236" s="19" t="s">
        <v>2128</v>
      </c>
      <c r="BK236" s="19" t="s">
        <v>16</v>
      </c>
      <c r="BL236" s="19"/>
      <c r="BM236" s="19" t="s">
        <v>5411</v>
      </c>
      <c r="BN236" s="19" t="s">
        <v>5646</v>
      </c>
      <c r="BO236" s="19" t="s">
        <v>2132</v>
      </c>
      <c r="BP236" s="19"/>
      <c r="BQ236" s="19" t="s">
        <v>2133</v>
      </c>
      <c r="BR236" s="19" t="s">
        <v>2133</v>
      </c>
      <c r="BS236" s="19" t="s">
        <v>2134</v>
      </c>
      <c r="BT236" s="19" t="s">
        <v>15</v>
      </c>
      <c r="BU236" s="19" t="s">
        <v>6442</v>
      </c>
      <c r="BV236" s="19"/>
      <c r="BW236" s="19" t="s">
        <v>2113</v>
      </c>
      <c r="BX236" s="19"/>
      <c r="BY236" s="19"/>
      <c r="BZ236" s="19"/>
      <c r="CA236" s="19"/>
      <c r="CB236" s="19" t="s">
        <v>2113</v>
      </c>
      <c r="CC236" s="19"/>
      <c r="CD236" s="19" t="s">
        <v>2137</v>
      </c>
      <c r="CE236" s="19" t="s">
        <v>16</v>
      </c>
      <c r="CF236" s="19"/>
      <c r="CG236" s="19"/>
      <c r="CH236" s="19" t="s">
        <v>16</v>
      </c>
      <c r="CI236" s="21">
        <v>0.0</v>
      </c>
      <c r="CJ236" s="19" t="s">
        <v>16</v>
      </c>
      <c r="CK236" s="19"/>
      <c r="CL236" s="19"/>
      <c r="CM236" s="19" t="s">
        <v>2344</v>
      </c>
      <c r="CN236" s="19" t="s">
        <v>2139</v>
      </c>
      <c r="CO236" s="19"/>
      <c r="CP236" s="19" t="s">
        <v>2134</v>
      </c>
      <c r="CQ236" s="19"/>
      <c r="CR236" s="19"/>
      <c r="CS236" s="19"/>
      <c r="CT236" s="19" t="s">
        <v>2113</v>
      </c>
      <c r="CU236" s="19" t="s">
        <v>2113</v>
      </c>
      <c r="CV236" s="19" t="s">
        <v>2141</v>
      </c>
      <c r="CW236" s="19" t="s">
        <v>2113</v>
      </c>
      <c r="CX236" s="19" t="s">
        <v>2113</v>
      </c>
      <c r="CY236" s="19"/>
      <c r="CZ236" s="19"/>
      <c r="DA236" s="19" t="s">
        <v>16</v>
      </c>
      <c r="DB236" s="19" t="s">
        <v>16</v>
      </c>
      <c r="DC236" s="19" t="s">
        <v>2406</v>
      </c>
      <c r="DD236" s="19" t="s">
        <v>2113</v>
      </c>
      <c r="DE236" s="19" t="s">
        <v>2113</v>
      </c>
      <c r="DF236" s="19" t="s">
        <v>3163</v>
      </c>
      <c r="DG236" s="19" t="s">
        <v>3484</v>
      </c>
      <c r="DH236" s="19" t="s">
        <v>2144</v>
      </c>
      <c r="DI236" s="24">
        <v>45525.0</v>
      </c>
      <c r="DJ236" s="19" t="s">
        <v>2133</v>
      </c>
      <c r="DK236" s="19" t="s">
        <v>2271</v>
      </c>
      <c r="DL236" s="19" t="s">
        <v>2146</v>
      </c>
      <c r="DM236" s="19" t="s">
        <v>2408</v>
      </c>
      <c r="DN236" s="19">
        <v>10.0</v>
      </c>
      <c r="DO236" s="19">
        <v>10.0</v>
      </c>
      <c r="DP236" s="19" t="s">
        <v>6443</v>
      </c>
      <c r="DQ236" s="19" t="s">
        <v>6444</v>
      </c>
      <c r="DR236" s="19" t="s">
        <v>6445</v>
      </c>
      <c r="DS236" s="19" t="s">
        <v>2365</v>
      </c>
      <c r="DT236" s="19" t="s">
        <v>2209</v>
      </c>
      <c r="DU236" s="19"/>
      <c r="DV236" s="19"/>
      <c r="DW236" s="19" t="s">
        <v>2153</v>
      </c>
      <c r="DX236" s="19">
        <v>8.0</v>
      </c>
      <c r="DY236" s="19">
        <v>10.0</v>
      </c>
      <c r="DZ236" s="19">
        <v>0.0</v>
      </c>
      <c r="EA236" s="19">
        <v>10.0</v>
      </c>
      <c r="EB236" s="19">
        <v>0.0</v>
      </c>
      <c r="EC236" s="19">
        <v>0.0</v>
      </c>
      <c r="ED236" s="19" t="s">
        <v>2133</v>
      </c>
      <c r="EE236" s="24">
        <v>45525.0</v>
      </c>
      <c r="EF236" s="19" t="s">
        <v>2133</v>
      </c>
      <c r="EG236" s="19" t="s">
        <v>2271</v>
      </c>
      <c r="EH236" s="19" t="s">
        <v>2146</v>
      </c>
      <c r="EI236" s="22">
        <v>12.84375</v>
      </c>
      <c r="EJ236" s="19">
        <v>45.0</v>
      </c>
      <c r="EK236" s="19"/>
      <c r="EL236" s="19" t="s">
        <v>2282</v>
      </c>
      <c r="EM236" s="19" t="s">
        <v>6435</v>
      </c>
      <c r="EN236" s="19" t="s">
        <v>703</v>
      </c>
      <c r="EO236" s="19" t="s">
        <v>5405</v>
      </c>
      <c r="EP236" s="19" t="s">
        <v>2122</v>
      </c>
      <c r="EQ236" s="19" t="s">
        <v>2139</v>
      </c>
      <c r="ER236" s="19"/>
      <c r="ES236" s="19" t="s">
        <v>703</v>
      </c>
      <c r="ET236" s="19" t="s">
        <v>703</v>
      </c>
      <c r="EU236" s="19" t="s">
        <v>6433</v>
      </c>
      <c r="EV236" s="19">
        <v>9705.0</v>
      </c>
      <c r="EW236" s="19" t="s">
        <v>16</v>
      </c>
      <c r="EX236" s="19">
        <v>5.0</v>
      </c>
      <c r="EY236" s="25" t="s">
        <v>702</v>
      </c>
      <c r="EZ236" s="19" t="s">
        <v>2154</v>
      </c>
      <c r="FA236" s="5" t="s">
        <v>6446</v>
      </c>
      <c r="FB236" s="26" t="s">
        <v>2156</v>
      </c>
      <c r="FC236" s="26"/>
    </row>
    <row r="237">
      <c r="A237" s="19" t="s">
        <v>2112</v>
      </c>
      <c r="B237" s="19"/>
      <c r="C237" s="19" t="s">
        <v>2113</v>
      </c>
      <c r="D237" s="19" t="s">
        <v>704</v>
      </c>
      <c r="E237" s="19" t="s">
        <v>6447</v>
      </c>
      <c r="F237" s="19" t="s">
        <v>704</v>
      </c>
      <c r="G237" s="19"/>
      <c r="H237" s="19" t="s">
        <v>704</v>
      </c>
      <c r="I237" s="19" t="s">
        <v>706</v>
      </c>
      <c r="J237" s="19" t="s">
        <v>6448</v>
      </c>
      <c r="K237" s="19" t="s">
        <v>6449</v>
      </c>
      <c r="L237" s="20">
        <v>45397.0</v>
      </c>
      <c r="M237" s="20">
        <v>45411.0</v>
      </c>
      <c r="N237" s="20">
        <v>45411.0</v>
      </c>
      <c r="O237" s="19" t="s">
        <v>705</v>
      </c>
      <c r="P237" s="19">
        <v>0.0</v>
      </c>
      <c r="Q237" s="19">
        <v>21.0</v>
      </c>
      <c r="R237" s="19">
        <v>7956.0</v>
      </c>
      <c r="S237" s="20" t="s">
        <v>6450</v>
      </c>
      <c r="T237" s="20">
        <v>45461.0</v>
      </c>
      <c r="U237" s="19" t="s">
        <v>704</v>
      </c>
      <c r="V237" s="19"/>
      <c r="W237" s="19"/>
      <c r="X237" s="21">
        <v>0.0</v>
      </c>
      <c r="Y237" s="21">
        <v>10.0</v>
      </c>
      <c r="Z237" s="21">
        <v>5.0</v>
      </c>
      <c r="AA237" s="21">
        <v>0.0</v>
      </c>
      <c r="AB237" s="5">
        <v>15.0</v>
      </c>
      <c r="AC237" s="19">
        <v>4.4</v>
      </c>
      <c r="AD237" s="19">
        <v>4.4</v>
      </c>
      <c r="AE237" s="19">
        <v>4.4</v>
      </c>
      <c r="AF237" s="19">
        <v>4.0</v>
      </c>
      <c r="AG237" s="19">
        <v>3.8</v>
      </c>
      <c r="AH237" s="19">
        <v>4.4</v>
      </c>
      <c r="AI237" s="22">
        <v>12.825000000000001</v>
      </c>
      <c r="AJ237" s="19">
        <v>15.0</v>
      </c>
      <c r="AK237" s="19">
        <v>15.0</v>
      </c>
      <c r="AL237" s="19">
        <v>15.0</v>
      </c>
      <c r="AM237" s="19">
        <v>45.0</v>
      </c>
      <c r="AN237" s="19">
        <v>57.8</v>
      </c>
      <c r="AO237" s="19">
        <v>72.8</v>
      </c>
      <c r="AP237" s="19">
        <v>476.0</v>
      </c>
      <c r="AQ237" s="23">
        <v>231.0</v>
      </c>
      <c r="AR237" s="23">
        <v>30.0</v>
      </c>
      <c r="AS237" s="22"/>
      <c r="AT237" s="19" t="s">
        <v>2282</v>
      </c>
      <c r="AU237" s="19" t="s">
        <v>6451</v>
      </c>
      <c r="AV237" s="19" t="s">
        <v>6452</v>
      </c>
      <c r="AW237" s="19"/>
      <c r="AX237" s="20">
        <v>37505.0</v>
      </c>
      <c r="AY237" s="19" t="s">
        <v>2196</v>
      </c>
      <c r="AZ237" s="19" t="s">
        <v>2445</v>
      </c>
      <c r="BA237" s="19" t="s">
        <v>6453</v>
      </c>
      <c r="BB237" s="19" t="s">
        <v>5763</v>
      </c>
      <c r="BC237" s="19" t="s">
        <v>6454</v>
      </c>
      <c r="BD237" s="19" t="s">
        <v>6455</v>
      </c>
      <c r="BE237" s="19" t="s">
        <v>6448</v>
      </c>
      <c r="BF237" s="19">
        <v>1.1933358323E10</v>
      </c>
      <c r="BG237" s="19" t="s">
        <v>2127</v>
      </c>
      <c r="BH237" s="19" t="s">
        <v>2128</v>
      </c>
      <c r="BI237" s="19"/>
      <c r="BJ237" s="19" t="s">
        <v>2128</v>
      </c>
      <c r="BK237" s="19" t="s">
        <v>17</v>
      </c>
      <c r="BL237" s="19"/>
      <c r="BM237" s="19" t="s">
        <v>5411</v>
      </c>
      <c r="BN237" s="19" t="s">
        <v>17</v>
      </c>
      <c r="BO237" s="19" t="s">
        <v>2132</v>
      </c>
      <c r="BP237" s="19"/>
      <c r="BQ237" s="19" t="s">
        <v>2174</v>
      </c>
      <c r="BR237" s="19" t="s">
        <v>2174</v>
      </c>
      <c r="BS237" s="19" t="s">
        <v>2134</v>
      </c>
      <c r="BT237" s="19" t="s">
        <v>21</v>
      </c>
      <c r="BU237" s="19" t="s">
        <v>6456</v>
      </c>
      <c r="BV237" s="19"/>
      <c r="BW237" s="19"/>
      <c r="BX237" s="19" t="s">
        <v>2113</v>
      </c>
      <c r="BY237" s="19" t="s">
        <v>2113</v>
      </c>
      <c r="BZ237" s="19"/>
      <c r="CA237" s="19"/>
      <c r="CB237" s="19" t="s">
        <v>2113</v>
      </c>
      <c r="CC237" s="19"/>
      <c r="CD237" s="19" t="s">
        <v>2137</v>
      </c>
      <c r="CE237" s="19" t="s">
        <v>16</v>
      </c>
      <c r="CF237" s="19"/>
      <c r="CG237" s="19"/>
      <c r="CH237" s="19" t="s">
        <v>16</v>
      </c>
      <c r="CI237" s="21">
        <v>0.0</v>
      </c>
      <c r="CJ237" s="19" t="s">
        <v>16</v>
      </c>
      <c r="CK237" s="19"/>
      <c r="CL237" s="19"/>
      <c r="CM237" s="19" t="s">
        <v>2138</v>
      </c>
      <c r="CN237" s="19" t="s">
        <v>2204</v>
      </c>
      <c r="CO237" s="19"/>
      <c r="CP237" s="19" t="s">
        <v>2225</v>
      </c>
      <c r="CQ237" s="19"/>
      <c r="CR237" s="19" t="s">
        <v>2113</v>
      </c>
      <c r="CS237" s="19" t="s">
        <v>2113</v>
      </c>
      <c r="CT237" s="19"/>
      <c r="CU237" s="19"/>
      <c r="CV237" s="19" t="s">
        <v>2141</v>
      </c>
      <c r="CW237" s="19"/>
      <c r="CX237" s="19"/>
      <c r="CY237" s="19" t="s">
        <v>2113</v>
      </c>
      <c r="CZ237" s="19" t="s">
        <v>2113</v>
      </c>
      <c r="DA237" s="19" t="s">
        <v>16</v>
      </c>
      <c r="DB237" s="19" t="s">
        <v>16</v>
      </c>
      <c r="DC237" s="19" t="s">
        <v>3856</v>
      </c>
      <c r="DD237" s="19"/>
      <c r="DE237" s="19"/>
      <c r="DF237" s="19" t="s">
        <v>2181</v>
      </c>
      <c r="DG237" s="19" t="s">
        <v>2514</v>
      </c>
      <c r="DH237" s="19" t="s">
        <v>2144</v>
      </c>
      <c r="DI237" s="24">
        <v>45531.0</v>
      </c>
      <c r="DJ237" s="19" t="s">
        <v>2174</v>
      </c>
      <c r="DK237" s="19" t="s">
        <v>2271</v>
      </c>
      <c r="DL237" s="19" t="s">
        <v>2183</v>
      </c>
      <c r="DM237" s="19"/>
      <c r="DN237" s="19">
        <v>8.0</v>
      </c>
      <c r="DO237" s="19">
        <v>8.0</v>
      </c>
      <c r="DP237" s="19" t="s">
        <v>6457</v>
      </c>
      <c r="DQ237" s="19" t="s">
        <v>6458</v>
      </c>
      <c r="DR237" s="19" t="s">
        <v>6459</v>
      </c>
      <c r="DS237" s="19" t="s">
        <v>2151</v>
      </c>
      <c r="DT237" s="19" t="s">
        <v>2186</v>
      </c>
      <c r="DU237" s="19"/>
      <c r="DV237" s="19"/>
      <c r="DW237" s="19" t="s">
        <v>2153</v>
      </c>
      <c r="DX237" s="19">
        <v>14.0</v>
      </c>
      <c r="DY237" s="19">
        <v>10.0</v>
      </c>
      <c r="DZ237" s="19">
        <v>0.0</v>
      </c>
      <c r="EA237" s="19">
        <v>10.0</v>
      </c>
      <c r="EB237" s="19">
        <v>0.0</v>
      </c>
      <c r="EC237" s="19">
        <v>0.0</v>
      </c>
      <c r="ED237" s="19" t="s">
        <v>2174</v>
      </c>
      <c r="EE237" s="24">
        <v>45531.0</v>
      </c>
      <c r="EF237" s="19" t="s">
        <v>2174</v>
      </c>
      <c r="EG237" s="19" t="s">
        <v>2271</v>
      </c>
      <c r="EH237" s="19" t="s">
        <v>2183</v>
      </c>
      <c r="EI237" s="22">
        <v>12.825000000000001</v>
      </c>
      <c r="EJ237" s="19">
        <v>45.0</v>
      </c>
      <c r="EK237" s="19"/>
      <c r="EL237" s="19" t="s">
        <v>2282</v>
      </c>
      <c r="EM237" s="19" t="s">
        <v>6451</v>
      </c>
      <c r="EN237" s="19" t="s">
        <v>706</v>
      </c>
      <c r="EO237" s="19" t="s">
        <v>2196</v>
      </c>
      <c r="EP237" s="19" t="s">
        <v>2445</v>
      </c>
      <c r="EQ237" s="19" t="s">
        <v>2204</v>
      </c>
      <c r="ER237" s="19"/>
      <c r="ES237" s="19" t="s">
        <v>706</v>
      </c>
      <c r="ET237" s="19" t="s">
        <v>706</v>
      </c>
      <c r="EU237" s="19" t="s">
        <v>6449</v>
      </c>
      <c r="EV237" s="19">
        <v>7956.0</v>
      </c>
      <c r="EW237" s="19" t="s">
        <v>16</v>
      </c>
      <c r="EX237" s="19">
        <v>5.0</v>
      </c>
      <c r="EY237" s="25" t="s">
        <v>705</v>
      </c>
      <c r="EZ237" s="19" t="s">
        <v>2154</v>
      </c>
      <c r="FA237" s="5" t="s">
        <v>6460</v>
      </c>
      <c r="FB237" s="26" t="s">
        <v>2156</v>
      </c>
      <c r="FC237" s="26"/>
    </row>
    <row r="238">
      <c r="A238" s="19" t="s">
        <v>2112</v>
      </c>
      <c r="B238" s="19"/>
      <c r="C238" s="19" t="s">
        <v>2113</v>
      </c>
      <c r="D238" s="19" t="s">
        <v>6461</v>
      </c>
      <c r="E238" s="19" t="s">
        <v>6462</v>
      </c>
      <c r="F238" s="19" t="s">
        <v>6461</v>
      </c>
      <c r="G238" s="19"/>
      <c r="H238" s="19" t="s">
        <v>707</v>
      </c>
      <c r="I238" s="19" t="s">
        <v>709</v>
      </c>
      <c r="J238" s="19" t="s">
        <v>6463</v>
      </c>
      <c r="K238" s="19" t="s">
        <v>6464</v>
      </c>
      <c r="L238" s="20">
        <v>45446.0</v>
      </c>
      <c r="M238" s="20">
        <v>45447.0</v>
      </c>
      <c r="N238" s="20">
        <v>45447.0</v>
      </c>
      <c r="O238" s="19" t="s">
        <v>708</v>
      </c>
      <c r="P238" s="19">
        <v>0.0</v>
      </c>
      <c r="Q238" s="19">
        <v>24.0</v>
      </c>
      <c r="R238" s="19">
        <v>8863.0</v>
      </c>
      <c r="S238" s="20" t="s">
        <v>6465</v>
      </c>
      <c r="T238" s="20">
        <v>45461.0</v>
      </c>
      <c r="U238" s="19" t="s">
        <v>6461</v>
      </c>
      <c r="V238" s="19"/>
      <c r="W238" s="19"/>
      <c r="X238" s="21">
        <v>0.0</v>
      </c>
      <c r="Y238" s="21">
        <v>10.0</v>
      </c>
      <c r="Z238" s="21">
        <v>5.0</v>
      </c>
      <c r="AA238" s="21">
        <v>0.0</v>
      </c>
      <c r="AB238" s="5">
        <v>15.0</v>
      </c>
      <c r="AC238" s="19">
        <v>4.25</v>
      </c>
      <c r="AD238" s="19">
        <v>4.25</v>
      </c>
      <c r="AE238" s="19">
        <v>4.75</v>
      </c>
      <c r="AF238" s="19">
        <v>4.75</v>
      </c>
      <c r="AG238" s="19">
        <v>3.75</v>
      </c>
      <c r="AH238" s="19">
        <v>4.75</v>
      </c>
      <c r="AI238" s="22">
        <v>13.3125</v>
      </c>
      <c r="AJ238" s="19">
        <v>15.0</v>
      </c>
      <c r="AK238" s="19">
        <v>15.0</v>
      </c>
      <c r="AL238" s="19">
        <v>14.5</v>
      </c>
      <c r="AM238" s="19">
        <v>44.5</v>
      </c>
      <c r="AN238" s="19">
        <v>57.8</v>
      </c>
      <c r="AO238" s="19">
        <v>72.8</v>
      </c>
      <c r="AP238" s="19">
        <v>436.0</v>
      </c>
      <c r="AQ238" s="23">
        <v>232.0</v>
      </c>
      <c r="AR238" s="23">
        <v>31.0</v>
      </c>
      <c r="AS238" s="22"/>
      <c r="AT238" s="19" t="s">
        <v>2117</v>
      </c>
      <c r="AU238" s="19" t="s">
        <v>6466</v>
      </c>
      <c r="AV238" s="19" t="s">
        <v>6467</v>
      </c>
      <c r="AW238" s="19"/>
      <c r="AX238" s="20">
        <v>36598.0</v>
      </c>
      <c r="AY238" s="19" t="s">
        <v>2167</v>
      </c>
      <c r="AZ238" s="19" t="s">
        <v>2122</v>
      </c>
      <c r="BA238" s="19" t="s">
        <v>6468</v>
      </c>
      <c r="BB238" s="19" t="s">
        <v>6469</v>
      </c>
      <c r="BC238" s="19" t="s">
        <v>6470</v>
      </c>
      <c r="BD238" s="19" t="s">
        <v>6471</v>
      </c>
      <c r="BE238" s="19"/>
      <c r="BF238" s="19"/>
      <c r="BG238" s="19" t="s">
        <v>2127</v>
      </c>
      <c r="BH238" s="19" t="s">
        <v>2128</v>
      </c>
      <c r="BI238" s="19"/>
      <c r="BJ238" s="19" t="s">
        <v>2128</v>
      </c>
      <c r="BK238" s="19" t="s">
        <v>17</v>
      </c>
      <c r="BL238" s="19" t="s">
        <v>2113</v>
      </c>
      <c r="BM238" s="19" t="s">
        <v>5411</v>
      </c>
      <c r="BN238" s="19" t="s">
        <v>17</v>
      </c>
      <c r="BO238" s="19" t="s">
        <v>2132</v>
      </c>
      <c r="BP238" s="19" t="s">
        <v>6472</v>
      </c>
      <c r="BQ238" s="19" t="s">
        <v>2174</v>
      </c>
      <c r="BR238" s="19" t="s">
        <v>2174</v>
      </c>
      <c r="BS238" s="19" t="s">
        <v>2243</v>
      </c>
      <c r="BT238" s="19" t="s">
        <v>21</v>
      </c>
      <c r="BU238" s="19" t="s">
        <v>6473</v>
      </c>
      <c r="BV238" s="19"/>
      <c r="BW238" s="19"/>
      <c r="BX238" s="19"/>
      <c r="BY238" s="19"/>
      <c r="BZ238" s="19"/>
      <c r="CA238" s="19"/>
      <c r="CB238" s="19" t="s">
        <v>2113</v>
      </c>
      <c r="CC238" s="19"/>
      <c r="CD238" s="19" t="s">
        <v>2137</v>
      </c>
      <c r="CE238" s="19" t="s">
        <v>16</v>
      </c>
      <c r="CF238" s="19"/>
      <c r="CG238" s="19"/>
      <c r="CH238" s="19" t="s">
        <v>16</v>
      </c>
      <c r="CI238" s="21">
        <v>0.0</v>
      </c>
      <c r="CJ238" s="19" t="s">
        <v>16</v>
      </c>
      <c r="CK238" s="19"/>
      <c r="CL238" s="19"/>
      <c r="CM238" s="19" t="s">
        <v>3102</v>
      </c>
      <c r="CN238" s="19" t="s">
        <v>2176</v>
      </c>
      <c r="CO238" s="19" t="s">
        <v>2177</v>
      </c>
      <c r="CP238" s="19" t="s">
        <v>2178</v>
      </c>
      <c r="CQ238" s="19"/>
      <c r="CR238" s="19" t="s">
        <v>2113</v>
      </c>
      <c r="CS238" s="19" t="s">
        <v>2113</v>
      </c>
      <c r="CT238" s="19" t="s">
        <v>2113</v>
      </c>
      <c r="CU238" s="19" t="s">
        <v>2113</v>
      </c>
      <c r="CV238" s="19" t="s">
        <v>2179</v>
      </c>
      <c r="CW238" s="19" t="s">
        <v>2113</v>
      </c>
      <c r="CX238" s="19" t="s">
        <v>2113</v>
      </c>
      <c r="CY238" s="19" t="s">
        <v>2113</v>
      </c>
      <c r="CZ238" s="19" t="s">
        <v>2113</v>
      </c>
      <c r="DA238" s="19" t="s">
        <v>16</v>
      </c>
      <c r="DB238" s="19" t="s">
        <v>16</v>
      </c>
      <c r="DC238" s="19" t="s">
        <v>2180</v>
      </c>
      <c r="DD238" s="19" t="s">
        <v>2113</v>
      </c>
      <c r="DE238" s="19" t="s">
        <v>2113</v>
      </c>
      <c r="DF238" s="19" t="s">
        <v>2181</v>
      </c>
      <c r="DG238" s="19" t="s">
        <v>2769</v>
      </c>
      <c r="DH238" s="19" t="s">
        <v>2144</v>
      </c>
      <c r="DI238" s="24">
        <v>45517.0</v>
      </c>
      <c r="DJ238" s="19" t="s">
        <v>2174</v>
      </c>
      <c r="DK238" s="19" t="s">
        <v>2271</v>
      </c>
      <c r="DL238" s="19" t="s">
        <v>2183</v>
      </c>
      <c r="DM238" s="19" t="s">
        <v>2515</v>
      </c>
      <c r="DN238" s="19">
        <v>2.0</v>
      </c>
      <c r="DO238" s="19">
        <v>2.0</v>
      </c>
      <c r="DP238" s="19"/>
      <c r="DQ238" s="19"/>
      <c r="DR238" s="19"/>
      <c r="DS238" s="19" t="s">
        <v>2151</v>
      </c>
      <c r="DT238" s="19" t="s">
        <v>2366</v>
      </c>
      <c r="DU238" s="19" t="s">
        <v>6474</v>
      </c>
      <c r="DV238" s="19"/>
      <c r="DW238" s="19" t="s">
        <v>2153</v>
      </c>
      <c r="DX238" s="19">
        <v>13.0</v>
      </c>
      <c r="DY238" s="19">
        <v>10.0</v>
      </c>
      <c r="DZ238" s="19">
        <v>0.0</v>
      </c>
      <c r="EA238" s="19">
        <v>10.0</v>
      </c>
      <c r="EB238" s="19">
        <v>0.0</v>
      </c>
      <c r="EC238" s="19">
        <v>0.0</v>
      </c>
      <c r="ED238" s="19" t="s">
        <v>2174</v>
      </c>
      <c r="EE238" s="24">
        <v>45517.0</v>
      </c>
      <c r="EF238" s="19" t="s">
        <v>2174</v>
      </c>
      <c r="EG238" s="19" t="s">
        <v>2271</v>
      </c>
      <c r="EH238" s="19" t="s">
        <v>2183</v>
      </c>
      <c r="EI238" s="22">
        <v>13.3125</v>
      </c>
      <c r="EJ238" s="19">
        <v>44.5</v>
      </c>
      <c r="EK238" s="19"/>
      <c r="EL238" s="19" t="s">
        <v>2117</v>
      </c>
      <c r="EM238" s="19" t="s">
        <v>6466</v>
      </c>
      <c r="EN238" s="19" t="s">
        <v>709</v>
      </c>
      <c r="EO238" s="19" t="s">
        <v>2167</v>
      </c>
      <c r="EP238" s="19" t="s">
        <v>2122</v>
      </c>
      <c r="EQ238" s="19" t="s">
        <v>2176</v>
      </c>
      <c r="ER238" s="19" t="s">
        <v>2177</v>
      </c>
      <c r="ES238" s="19" t="s">
        <v>709</v>
      </c>
      <c r="ET238" s="19" t="s">
        <v>709</v>
      </c>
      <c r="EU238" s="19" t="s">
        <v>6464</v>
      </c>
      <c r="EV238" s="19">
        <v>8863.0</v>
      </c>
      <c r="EW238" s="19" t="s">
        <v>16</v>
      </c>
      <c r="EX238" s="19">
        <v>5.0</v>
      </c>
      <c r="EY238" s="25" t="s">
        <v>708</v>
      </c>
      <c r="EZ238" s="19" t="s">
        <v>2154</v>
      </c>
      <c r="FA238" s="5" t="s">
        <v>6475</v>
      </c>
      <c r="FB238" s="26" t="s">
        <v>2156</v>
      </c>
      <c r="FC238" s="26"/>
    </row>
    <row r="239" hidden="1">
      <c r="A239" s="27" t="s">
        <v>2156</v>
      </c>
      <c r="B239" s="27"/>
      <c r="C239" s="27" t="s">
        <v>2113</v>
      </c>
      <c r="D239" s="27" t="s">
        <v>6476</v>
      </c>
      <c r="E239" s="27" t="s">
        <v>6477</v>
      </c>
      <c r="F239" s="27" t="s">
        <v>6478</v>
      </c>
      <c r="G239" s="27" t="s">
        <v>6479</v>
      </c>
      <c r="H239" s="27" t="s">
        <v>6480</v>
      </c>
      <c r="I239" s="27" t="s">
        <v>6481</v>
      </c>
      <c r="J239" s="27" t="s">
        <v>6482</v>
      </c>
      <c r="K239" s="27" t="s">
        <v>6483</v>
      </c>
      <c r="L239" s="28">
        <v>45445.0</v>
      </c>
      <c r="M239" s="28">
        <v>45446.0</v>
      </c>
      <c r="N239" s="28">
        <v>45446.0</v>
      </c>
      <c r="O239" s="27" t="s">
        <v>6484</v>
      </c>
      <c r="P239" s="27">
        <v>0.0</v>
      </c>
      <c r="Q239" s="27">
        <v>27.0</v>
      </c>
      <c r="R239" s="27">
        <v>9910.0</v>
      </c>
      <c r="S239" s="28" t="s">
        <v>6485</v>
      </c>
      <c r="T239" s="28">
        <v>45461.0</v>
      </c>
      <c r="U239" s="27" t="s">
        <v>6478</v>
      </c>
      <c r="V239" s="27"/>
      <c r="W239" s="27"/>
      <c r="X239" s="29">
        <v>0.0</v>
      </c>
      <c r="Y239" s="29">
        <v>10.0</v>
      </c>
      <c r="Z239" s="29">
        <v>4.0</v>
      </c>
      <c r="AA239" s="29">
        <v>2.0</v>
      </c>
      <c r="AB239" s="30">
        <v>16.0</v>
      </c>
      <c r="AC239" s="27">
        <v>4.0</v>
      </c>
      <c r="AD239" s="27">
        <v>4.0</v>
      </c>
      <c r="AE239" s="27">
        <v>4.0</v>
      </c>
      <c r="AF239" s="27">
        <v>3.5</v>
      </c>
      <c r="AG239" s="27">
        <v>4.0</v>
      </c>
      <c r="AH239" s="27">
        <v>4.0</v>
      </c>
      <c r="AI239" s="31">
        <v>11.8125</v>
      </c>
      <c r="AJ239" s="27">
        <v>15.0</v>
      </c>
      <c r="AK239" s="27">
        <v>15.0</v>
      </c>
      <c r="AL239" s="27">
        <v>15.0</v>
      </c>
      <c r="AM239" s="27">
        <v>45.0</v>
      </c>
      <c r="AN239" s="27">
        <v>56.8</v>
      </c>
      <c r="AO239" s="27">
        <v>72.8</v>
      </c>
      <c r="AP239" s="27">
        <v>380.0</v>
      </c>
      <c r="AQ239" s="19">
        <v>238.0</v>
      </c>
      <c r="AR239" s="27">
        <v>16.0</v>
      </c>
      <c r="AS239" s="31"/>
      <c r="AT239" s="27" t="s">
        <v>2163</v>
      </c>
      <c r="AU239" s="27" t="s">
        <v>6486</v>
      </c>
      <c r="AV239" s="27" t="s">
        <v>6487</v>
      </c>
      <c r="AW239" s="27" t="s">
        <v>2701</v>
      </c>
      <c r="AX239" s="28">
        <v>35551.0</v>
      </c>
      <c r="AY239" s="27" t="s">
        <v>2309</v>
      </c>
      <c r="AZ239" s="27" t="s">
        <v>2554</v>
      </c>
      <c r="BA239" s="27" t="s">
        <v>6488</v>
      </c>
      <c r="BB239" s="27" t="s">
        <v>6489</v>
      </c>
      <c r="BC239" s="27" t="s">
        <v>6490</v>
      </c>
      <c r="BD239" s="27" t="s">
        <v>6491</v>
      </c>
      <c r="BE239" s="27" t="s">
        <v>6482</v>
      </c>
      <c r="BF239" s="27">
        <v>1.1945721667E10</v>
      </c>
      <c r="BG239" s="27" t="s">
        <v>2127</v>
      </c>
      <c r="BH239" s="27" t="s">
        <v>2128</v>
      </c>
      <c r="BI239" s="27"/>
      <c r="BJ239" s="27"/>
      <c r="BK239" s="27" t="s">
        <v>16</v>
      </c>
      <c r="BL239" s="27"/>
      <c r="BM239" s="27" t="s">
        <v>5411</v>
      </c>
      <c r="BN239" s="27" t="s">
        <v>2451</v>
      </c>
      <c r="BO239" s="27" t="s">
        <v>2317</v>
      </c>
      <c r="BP239" s="27" t="s">
        <v>6492</v>
      </c>
      <c r="BQ239" s="27" t="s">
        <v>2318</v>
      </c>
      <c r="BR239" s="27" t="s">
        <v>2318</v>
      </c>
      <c r="BS239" s="27" t="s">
        <v>2134</v>
      </c>
      <c r="BT239" s="27" t="s">
        <v>42</v>
      </c>
      <c r="BU239" s="27" t="s">
        <v>6493</v>
      </c>
      <c r="BV239" s="27"/>
      <c r="BW239" s="27"/>
      <c r="BX239" s="27"/>
      <c r="BY239" s="27" t="s">
        <v>2113</v>
      </c>
      <c r="BZ239" s="27"/>
      <c r="CA239" s="27"/>
      <c r="CB239" s="27" t="s">
        <v>2113</v>
      </c>
      <c r="CC239" s="27"/>
      <c r="CD239" s="27" t="s">
        <v>2137</v>
      </c>
      <c r="CE239" s="27" t="s">
        <v>16</v>
      </c>
      <c r="CF239" s="27"/>
      <c r="CG239" s="27"/>
      <c r="CH239" s="27" t="s">
        <v>16</v>
      </c>
      <c r="CI239" s="29">
        <v>0.0</v>
      </c>
      <c r="CJ239" s="27" t="s">
        <v>17</v>
      </c>
      <c r="CK239" s="27"/>
      <c r="CL239" s="27"/>
      <c r="CM239" s="27" t="s">
        <v>2344</v>
      </c>
      <c r="CN239" s="27" t="s">
        <v>2321</v>
      </c>
      <c r="CO239" s="27"/>
      <c r="CP239" s="27"/>
      <c r="CQ239" s="27"/>
      <c r="CR239" s="27"/>
      <c r="CS239" s="27"/>
      <c r="CT239" s="27"/>
      <c r="CU239" s="27"/>
      <c r="CV239" s="27" t="s">
        <v>2141</v>
      </c>
      <c r="CW239" s="27" t="s">
        <v>2113</v>
      </c>
      <c r="CX239" s="27" t="s">
        <v>2113</v>
      </c>
      <c r="CY239" s="27"/>
      <c r="CZ239" s="27"/>
      <c r="DA239" s="27" t="s">
        <v>16</v>
      </c>
      <c r="DB239" s="27" t="s">
        <v>17</v>
      </c>
      <c r="DC239" s="27" t="s">
        <v>2324</v>
      </c>
      <c r="DD239" s="27" t="s">
        <v>2113</v>
      </c>
      <c r="DE239" s="27" t="s">
        <v>2113</v>
      </c>
      <c r="DF239" s="27" t="s">
        <v>2207</v>
      </c>
      <c r="DG239" s="27" t="s">
        <v>2712</v>
      </c>
      <c r="DH239" s="27" t="s">
        <v>2144</v>
      </c>
      <c r="DI239" s="36">
        <v>45518.0</v>
      </c>
      <c r="DJ239" s="27" t="s">
        <v>2325</v>
      </c>
      <c r="DK239" s="27" t="s">
        <v>2271</v>
      </c>
      <c r="DL239" s="27" t="s">
        <v>2326</v>
      </c>
      <c r="DM239" s="27"/>
      <c r="DN239" s="27">
        <v>4.0</v>
      </c>
      <c r="DO239" s="27">
        <v>4.0</v>
      </c>
      <c r="DP239" s="27" t="s">
        <v>6494</v>
      </c>
      <c r="DQ239" s="27" t="s">
        <v>6495</v>
      </c>
      <c r="DR239" s="27" t="s">
        <v>6496</v>
      </c>
      <c r="DS239" s="27" t="s">
        <v>2185</v>
      </c>
      <c r="DT239" s="27" t="s">
        <v>2301</v>
      </c>
      <c r="DU239" s="27"/>
      <c r="DV239" s="27"/>
      <c r="DW239" s="27" t="s">
        <v>2188</v>
      </c>
      <c r="DX239" s="27">
        <v>5.0</v>
      </c>
      <c r="DY239" s="27">
        <v>10.0</v>
      </c>
      <c r="DZ239" s="27">
        <v>2.0</v>
      </c>
      <c r="EA239" s="27">
        <v>10.0</v>
      </c>
      <c r="EB239" s="27">
        <v>0.0</v>
      </c>
      <c r="EC239" s="27">
        <v>0.0</v>
      </c>
      <c r="ED239" s="27" t="s">
        <v>2325</v>
      </c>
      <c r="EE239" s="36">
        <v>45518.0</v>
      </c>
      <c r="EF239" s="27" t="s">
        <v>2325</v>
      </c>
      <c r="EG239" s="27" t="s">
        <v>2271</v>
      </c>
      <c r="EH239" s="27" t="s">
        <v>2326</v>
      </c>
      <c r="EI239" s="31">
        <v>11.8125</v>
      </c>
      <c r="EJ239" s="27">
        <v>45.0</v>
      </c>
      <c r="EK239" s="27" t="s">
        <v>2113</v>
      </c>
      <c r="EL239" s="27" t="s">
        <v>2163</v>
      </c>
      <c r="EM239" s="27" t="s">
        <v>6486</v>
      </c>
      <c r="EN239" s="27" t="s">
        <v>6481</v>
      </c>
      <c r="EO239" s="27" t="s">
        <v>2309</v>
      </c>
      <c r="EP239" s="27" t="s">
        <v>2554</v>
      </c>
      <c r="EQ239" s="27" t="s">
        <v>2321</v>
      </c>
      <c r="ER239" s="27"/>
      <c r="ES239" s="27" t="s">
        <v>6481</v>
      </c>
      <c r="ET239" s="27" t="s">
        <v>6481</v>
      </c>
      <c r="EU239" s="27" t="s">
        <v>6483</v>
      </c>
      <c r="EV239" s="27">
        <v>9910.0</v>
      </c>
      <c r="EW239" s="27" t="s">
        <v>16</v>
      </c>
      <c r="EX239" s="27">
        <v>4.0</v>
      </c>
      <c r="EY239" s="37" t="s">
        <v>6484</v>
      </c>
      <c r="EZ239" s="27" t="s">
        <v>2154</v>
      </c>
      <c r="FA239" s="30" t="s">
        <v>6497</v>
      </c>
      <c r="FB239" s="26" t="s">
        <v>2633</v>
      </c>
      <c r="FC239" s="26" t="s">
        <v>2634</v>
      </c>
    </row>
    <row r="240">
      <c r="A240" s="19" t="s">
        <v>2112</v>
      </c>
      <c r="B240" s="19"/>
      <c r="C240" s="19" t="s">
        <v>2113</v>
      </c>
      <c r="D240" s="19" t="s">
        <v>710</v>
      </c>
      <c r="E240" s="19" t="s">
        <v>6498</v>
      </c>
      <c r="F240" s="19" t="s">
        <v>710</v>
      </c>
      <c r="G240" s="19"/>
      <c r="H240" s="19" t="s">
        <v>710</v>
      </c>
      <c r="I240" s="19" t="s">
        <v>712</v>
      </c>
      <c r="J240" s="19" t="s">
        <v>6499</v>
      </c>
      <c r="K240" s="19" t="s">
        <v>6500</v>
      </c>
      <c r="L240" s="20">
        <v>45394.0</v>
      </c>
      <c r="M240" s="20">
        <v>45404.0</v>
      </c>
      <c r="N240" s="20">
        <v>45404.0</v>
      </c>
      <c r="O240" s="19" t="s">
        <v>711</v>
      </c>
      <c r="P240" s="19">
        <v>0.0</v>
      </c>
      <c r="Q240" s="19">
        <v>25.0</v>
      </c>
      <c r="R240" s="19">
        <v>9282.0</v>
      </c>
      <c r="S240" s="20" t="s">
        <v>6501</v>
      </c>
      <c r="T240" s="20">
        <v>45461.0</v>
      </c>
      <c r="U240" s="19" t="s">
        <v>710</v>
      </c>
      <c r="V240" s="19"/>
      <c r="W240" s="19"/>
      <c r="X240" s="21">
        <v>0.0</v>
      </c>
      <c r="Y240" s="21">
        <v>10.0</v>
      </c>
      <c r="Z240" s="21">
        <v>5.0</v>
      </c>
      <c r="AA240" s="21">
        <v>0.0</v>
      </c>
      <c r="AB240" s="5">
        <v>15.0</v>
      </c>
      <c r="AC240" s="19">
        <v>4.2</v>
      </c>
      <c r="AD240" s="19">
        <v>4.4</v>
      </c>
      <c r="AE240" s="19">
        <v>4.4</v>
      </c>
      <c r="AF240" s="19">
        <v>4.4</v>
      </c>
      <c r="AG240" s="19">
        <v>3.4</v>
      </c>
      <c r="AH240" s="19">
        <v>4.2</v>
      </c>
      <c r="AI240" s="22">
        <v>12.65625</v>
      </c>
      <c r="AJ240" s="19">
        <v>15.0</v>
      </c>
      <c r="AK240" s="19">
        <v>15.0</v>
      </c>
      <c r="AL240" s="19">
        <v>15.0</v>
      </c>
      <c r="AM240" s="19">
        <v>45.0</v>
      </c>
      <c r="AN240" s="19">
        <v>57.7</v>
      </c>
      <c r="AO240" s="19">
        <v>72.7</v>
      </c>
      <c r="AP240" s="19">
        <v>423.0</v>
      </c>
      <c r="AQ240" s="23">
        <v>233.0</v>
      </c>
      <c r="AR240" s="23">
        <v>20.0</v>
      </c>
      <c r="AS240" s="22"/>
      <c r="AT240" s="19" t="s">
        <v>2117</v>
      </c>
      <c r="AU240" s="19" t="s">
        <v>6502</v>
      </c>
      <c r="AV240" s="19" t="s">
        <v>6503</v>
      </c>
      <c r="AW240" s="19"/>
      <c r="AX240" s="20">
        <v>36179.0</v>
      </c>
      <c r="AY240" s="19" t="s">
        <v>2487</v>
      </c>
      <c r="AZ240" s="19" t="s">
        <v>2122</v>
      </c>
      <c r="BA240" s="19" t="s">
        <v>6504</v>
      </c>
      <c r="BB240" s="19" t="s">
        <v>6505</v>
      </c>
      <c r="BC240" s="19" t="s">
        <v>6506</v>
      </c>
      <c r="BD240" s="19" t="s">
        <v>6507</v>
      </c>
      <c r="BE240" s="19" t="s">
        <v>6508</v>
      </c>
      <c r="BF240" s="19">
        <v>1.1964790612E10</v>
      </c>
      <c r="BG240" s="19" t="s">
        <v>2127</v>
      </c>
      <c r="BH240" s="19" t="s">
        <v>2128</v>
      </c>
      <c r="BI240" s="19"/>
      <c r="BJ240" s="19"/>
      <c r="BK240" s="19" t="s">
        <v>16</v>
      </c>
      <c r="BL240" s="19"/>
      <c r="BM240" s="19" t="s">
        <v>5411</v>
      </c>
      <c r="BN240" s="19" t="s">
        <v>2708</v>
      </c>
      <c r="BO240" s="19" t="s">
        <v>2132</v>
      </c>
      <c r="BP240" s="19" t="s">
        <v>6509</v>
      </c>
      <c r="BQ240" s="19" t="s">
        <v>2325</v>
      </c>
      <c r="BR240" s="19" t="s">
        <v>2325</v>
      </c>
      <c r="BS240" s="19" t="s">
        <v>2243</v>
      </c>
      <c r="BT240" s="19" t="s">
        <v>59</v>
      </c>
      <c r="BU240" s="19" t="s">
        <v>6510</v>
      </c>
      <c r="BV240" s="19"/>
      <c r="BW240" s="19" t="s">
        <v>2113</v>
      </c>
      <c r="BX240" s="19"/>
      <c r="BY240" s="19"/>
      <c r="BZ240" s="19"/>
      <c r="CA240" s="19"/>
      <c r="CB240" s="19" t="s">
        <v>2113</v>
      </c>
      <c r="CC240" s="19"/>
      <c r="CD240" s="19" t="s">
        <v>2137</v>
      </c>
      <c r="CE240" s="19" t="s">
        <v>16</v>
      </c>
      <c r="CF240" s="19"/>
      <c r="CG240" s="19"/>
      <c r="CH240" s="19" t="s">
        <v>16</v>
      </c>
      <c r="CI240" s="21">
        <v>0.0</v>
      </c>
      <c r="CJ240" s="19" t="s">
        <v>16</v>
      </c>
      <c r="CK240" s="19"/>
      <c r="CL240" s="19"/>
      <c r="CM240" s="19" t="s">
        <v>2344</v>
      </c>
      <c r="CN240" s="19" t="s">
        <v>2431</v>
      </c>
      <c r="CO240" s="19"/>
      <c r="CP240" s="19"/>
      <c r="CQ240" s="19"/>
      <c r="CR240" s="19" t="s">
        <v>2113</v>
      </c>
      <c r="CS240" s="19" t="s">
        <v>2113</v>
      </c>
      <c r="CT240" s="19"/>
      <c r="CU240" s="19"/>
      <c r="CV240" s="19" t="s">
        <v>2141</v>
      </c>
      <c r="CW240" s="19"/>
      <c r="CX240" s="19"/>
      <c r="CY240" s="19" t="s">
        <v>2113</v>
      </c>
      <c r="CZ240" s="19" t="s">
        <v>2113</v>
      </c>
      <c r="DA240" s="19" t="s">
        <v>16</v>
      </c>
      <c r="DB240" s="19" t="s">
        <v>16</v>
      </c>
      <c r="DC240" s="19" t="s">
        <v>3892</v>
      </c>
      <c r="DD240" s="19" t="s">
        <v>2113</v>
      </c>
      <c r="DE240" s="19" t="s">
        <v>2113</v>
      </c>
      <c r="DF240" s="19" t="s">
        <v>2497</v>
      </c>
      <c r="DG240" s="19" t="s">
        <v>3222</v>
      </c>
      <c r="DH240" s="19" t="s">
        <v>2144</v>
      </c>
      <c r="DI240" s="24">
        <v>45525.0</v>
      </c>
      <c r="DJ240" s="19" t="s">
        <v>2325</v>
      </c>
      <c r="DK240" s="19" t="s">
        <v>2145</v>
      </c>
      <c r="DL240" s="19" t="s">
        <v>2326</v>
      </c>
      <c r="DM240" s="19"/>
      <c r="DN240" s="19">
        <v>9.0</v>
      </c>
      <c r="DO240" s="19">
        <v>9.0</v>
      </c>
      <c r="DP240" s="19" t="s">
        <v>6511</v>
      </c>
      <c r="DQ240" s="19" t="s">
        <v>6512</v>
      </c>
      <c r="DR240" s="19" t="s">
        <v>6513</v>
      </c>
      <c r="DS240" s="19" t="s">
        <v>2365</v>
      </c>
      <c r="DT240" s="19" t="s">
        <v>2229</v>
      </c>
      <c r="DU240" s="19"/>
      <c r="DV240" s="19"/>
      <c r="DW240" s="19" t="s">
        <v>2479</v>
      </c>
      <c r="DX240" s="19">
        <v>11.0</v>
      </c>
      <c r="DY240" s="19">
        <v>10.0</v>
      </c>
      <c r="DZ240" s="19">
        <v>0.0</v>
      </c>
      <c r="EA240" s="19">
        <v>10.0</v>
      </c>
      <c r="EB240" s="19">
        <v>0.0</v>
      </c>
      <c r="EC240" s="19">
        <v>0.0</v>
      </c>
      <c r="ED240" s="19" t="s">
        <v>2325</v>
      </c>
      <c r="EE240" s="24">
        <v>45525.0</v>
      </c>
      <c r="EF240" s="19" t="s">
        <v>2325</v>
      </c>
      <c r="EG240" s="19" t="s">
        <v>2145</v>
      </c>
      <c r="EH240" s="19" t="s">
        <v>2326</v>
      </c>
      <c r="EI240" s="22">
        <v>12.65625</v>
      </c>
      <c r="EJ240" s="19">
        <v>45.0</v>
      </c>
      <c r="EK240" s="19"/>
      <c r="EL240" s="19" t="s">
        <v>2117</v>
      </c>
      <c r="EM240" s="19" t="s">
        <v>6502</v>
      </c>
      <c r="EN240" s="19" t="s">
        <v>712</v>
      </c>
      <c r="EO240" s="19" t="s">
        <v>2487</v>
      </c>
      <c r="EP240" s="19" t="s">
        <v>2122</v>
      </c>
      <c r="EQ240" s="19" t="s">
        <v>2431</v>
      </c>
      <c r="ER240" s="19"/>
      <c r="ES240" s="19" t="s">
        <v>712</v>
      </c>
      <c r="ET240" s="19" t="s">
        <v>712</v>
      </c>
      <c r="EU240" s="19" t="s">
        <v>6500</v>
      </c>
      <c r="EV240" s="19">
        <v>9282.0</v>
      </c>
      <c r="EW240" s="19" t="s">
        <v>16</v>
      </c>
      <c r="EX240" s="19">
        <v>5.0</v>
      </c>
      <c r="EY240" s="25" t="s">
        <v>711</v>
      </c>
      <c r="EZ240" s="19" t="s">
        <v>2154</v>
      </c>
      <c r="FA240" s="5" t="s">
        <v>6514</v>
      </c>
      <c r="FB240" s="26" t="s">
        <v>2156</v>
      </c>
      <c r="FC240" s="26"/>
    </row>
    <row r="241">
      <c r="A241" s="19" t="s">
        <v>2112</v>
      </c>
      <c r="B241" s="19"/>
      <c r="C241" s="19" t="s">
        <v>2113</v>
      </c>
      <c r="D241" s="19" t="s">
        <v>713</v>
      </c>
      <c r="E241" s="19" t="s">
        <v>6515</v>
      </c>
      <c r="F241" s="19" t="s">
        <v>6516</v>
      </c>
      <c r="G241" s="19" t="s">
        <v>6517</v>
      </c>
      <c r="H241" s="19" t="s">
        <v>713</v>
      </c>
      <c r="I241" s="19" t="s">
        <v>715</v>
      </c>
      <c r="J241" s="19" t="s">
        <v>6518</v>
      </c>
      <c r="K241" s="19" t="s">
        <v>6519</v>
      </c>
      <c r="L241" s="20">
        <v>45428.0</v>
      </c>
      <c r="M241" s="20">
        <v>45429.0</v>
      </c>
      <c r="N241" s="20">
        <v>45429.0</v>
      </c>
      <c r="O241" s="19" t="s">
        <v>714</v>
      </c>
      <c r="P241" s="19">
        <v>0.0</v>
      </c>
      <c r="Q241" s="19">
        <v>21.0</v>
      </c>
      <c r="R241" s="19">
        <v>8030.0</v>
      </c>
      <c r="S241" s="20" t="s">
        <v>6520</v>
      </c>
      <c r="T241" s="20">
        <v>45461.0</v>
      </c>
      <c r="U241" s="19" t="s">
        <v>6516</v>
      </c>
      <c r="V241" s="19"/>
      <c r="W241" s="19" t="s">
        <v>6521</v>
      </c>
      <c r="X241" s="21">
        <v>0.0</v>
      </c>
      <c r="Y241" s="21">
        <v>10.0</v>
      </c>
      <c r="Z241" s="21">
        <v>5.0</v>
      </c>
      <c r="AA241" s="21">
        <v>0.0</v>
      </c>
      <c r="AB241" s="5">
        <v>15.0</v>
      </c>
      <c r="AC241" s="19">
        <v>4.0</v>
      </c>
      <c r="AD241" s="19">
        <v>5.0</v>
      </c>
      <c r="AE241" s="19">
        <v>4.0</v>
      </c>
      <c r="AF241" s="19">
        <v>4.0</v>
      </c>
      <c r="AG241" s="19">
        <v>4.0</v>
      </c>
      <c r="AH241" s="19">
        <v>4.0</v>
      </c>
      <c r="AI241" s="22">
        <v>12.65625</v>
      </c>
      <c r="AJ241" s="19">
        <v>15.0</v>
      </c>
      <c r="AK241" s="19">
        <v>15.0</v>
      </c>
      <c r="AL241" s="19">
        <v>15.0</v>
      </c>
      <c r="AM241" s="19">
        <v>45.0</v>
      </c>
      <c r="AN241" s="19">
        <v>57.7</v>
      </c>
      <c r="AO241" s="19">
        <v>72.7</v>
      </c>
      <c r="AP241" s="19">
        <v>471.0</v>
      </c>
      <c r="AQ241" s="23">
        <v>234.0</v>
      </c>
      <c r="AR241" s="23">
        <v>32.0</v>
      </c>
      <c r="AS241" s="22"/>
      <c r="AT241" s="19" t="s">
        <v>2117</v>
      </c>
      <c r="AU241" s="19" t="s">
        <v>2164</v>
      </c>
      <c r="AV241" s="19" t="s">
        <v>6522</v>
      </c>
      <c r="AW241" s="19" t="s">
        <v>2257</v>
      </c>
      <c r="AX241" s="20">
        <v>37431.0</v>
      </c>
      <c r="AY241" s="19" t="s">
        <v>2167</v>
      </c>
      <c r="AZ241" s="19" t="s">
        <v>2122</v>
      </c>
      <c r="BA241" s="19" t="s">
        <v>6523</v>
      </c>
      <c r="BB241" s="19" t="s">
        <v>3199</v>
      </c>
      <c r="BC241" s="19" t="s">
        <v>6524</v>
      </c>
      <c r="BD241" s="19" t="s">
        <v>6525</v>
      </c>
      <c r="BE241" s="19" t="s">
        <v>6518</v>
      </c>
      <c r="BF241" s="19">
        <v>1.1982574303E10</v>
      </c>
      <c r="BG241" s="19" t="s">
        <v>2127</v>
      </c>
      <c r="BH241" s="19" t="s">
        <v>2128</v>
      </c>
      <c r="BI241" s="19"/>
      <c r="BJ241" s="19" t="s">
        <v>2427</v>
      </c>
      <c r="BK241" s="19" t="s">
        <v>17</v>
      </c>
      <c r="BL241" s="19" t="s">
        <v>2113</v>
      </c>
      <c r="BM241" s="19" t="s">
        <v>5411</v>
      </c>
      <c r="BN241" s="19" t="s">
        <v>17</v>
      </c>
      <c r="BO241" s="19" t="s">
        <v>2132</v>
      </c>
      <c r="BP241" s="19"/>
      <c r="BQ241" s="19" t="s">
        <v>2174</v>
      </c>
      <c r="BR241" s="19" t="s">
        <v>2174</v>
      </c>
      <c r="BS241" s="19" t="s">
        <v>2243</v>
      </c>
      <c r="BT241" s="19" t="s">
        <v>21</v>
      </c>
      <c r="BU241" s="19" t="s">
        <v>5521</v>
      </c>
      <c r="BV241" s="19"/>
      <c r="BW241" s="19"/>
      <c r="BX241" s="19" t="s">
        <v>2113</v>
      </c>
      <c r="BY241" s="19" t="s">
        <v>2113</v>
      </c>
      <c r="BZ241" s="19" t="s">
        <v>2113</v>
      </c>
      <c r="CA241" s="19" t="s">
        <v>2113</v>
      </c>
      <c r="CB241" s="19" t="s">
        <v>2113</v>
      </c>
      <c r="CC241" s="19"/>
      <c r="CD241" s="19" t="s">
        <v>2137</v>
      </c>
      <c r="CE241" s="19" t="s">
        <v>16</v>
      </c>
      <c r="CF241" s="19"/>
      <c r="CG241" s="19"/>
      <c r="CH241" s="19" t="s">
        <v>16</v>
      </c>
      <c r="CI241" s="21">
        <v>0.0</v>
      </c>
      <c r="CJ241" s="19" t="s">
        <v>17</v>
      </c>
      <c r="CK241" s="19"/>
      <c r="CL241" s="19"/>
      <c r="CM241" s="19" t="s">
        <v>2344</v>
      </c>
      <c r="CN241" s="19" t="s">
        <v>2176</v>
      </c>
      <c r="CO241" s="19"/>
      <c r="CP241" s="19" t="s">
        <v>2178</v>
      </c>
      <c r="CQ241" s="19"/>
      <c r="CR241" s="19"/>
      <c r="CS241" s="19"/>
      <c r="CT241" s="19" t="s">
        <v>2113</v>
      </c>
      <c r="CU241" s="19" t="s">
        <v>2113</v>
      </c>
      <c r="CV241" s="19" t="s">
        <v>2141</v>
      </c>
      <c r="CW241" s="19"/>
      <c r="CX241" s="19"/>
      <c r="CY241" s="19" t="s">
        <v>2113</v>
      </c>
      <c r="CZ241" s="19" t="s">
        <v>2113</v>
      </c>
      <c r="DA241" s="19" t="s">
        <v>16</v>
      </c>
      <c r="DB241" s="19" t="s">
        <v>17</v>
      </c>
      <c r="DC241" s="19" t="s">
        <v>2181</v>
      </c>
      <c r="DD241" s="19" t="s">
        <v>2113</v>
      </c>
      <c r="DE241" s="19" t="s">
        <v>2113</v>
      </c>
      <c r="DF241" s="19" t="s">
        <v>2180</v>
      </c>
      <c r="DG241" s="19" t="s">
        <v>2345</v>
      </c>
      <c r="DH241" s="19" t="s">
        <v>2144</v>
      </c>
      <c r="DI241" s="24">
        <v>45525.0</v>
      </c>
      <c r="DJ241" s="19" t="s">
        <v>2174</v>
      </c>
      <c r="DK241" s="19" t="s">
        <v>2271</v>
      </c>
      <c r="DL241" s="19" t="s">
        <v>2183</v>
      </c>
      <c r="DM241" s="19" t="s">
        <v>2249</v>
      </c>
      <c r="DN241" s="19">
        <v>10.0</v>
      </c>
      <c r="DO241" s="19">
        <v>10.0</v>
      </c>
      <c r="DP241" s="19" t="s">
        <v>6526</v>
      </c>
      <c r="DQ241" s="19" t="s">
        <v>6527</v>
      </c>
      <c r="DR241" s="19" t="s">
        <v>6528</v>
      </c>
      <c r="DS241" s="19" t="s">
        <v>2151</v>
      </c>
      <c r="DT241" s="19" t="s">
        <v>2350</v>
      </c>
      <c r="DU241" s="19"/>
      <c r="DV241" s="19"/>
      <c r="DW241" s="19" t="s">
        <v>2153</v>
      </c>
      <c r="DX241" s="19">
        <v>13.0</v>
      </c>
      <c r="DY241" s="19">
        <v>10.0</v>
      </c>
      <c r="DZ241" s="19">
        <v>0.0</v>
      </c>
      <c r="EA241" s="19">
        <v>10.0</v>
      </c>
      <c r="EB241" s="19">
        <v>0.0</v>
      </c>
      <c r="EC241" s="19">
        <v>0.0</v>
      </c>
      <c r="ED241" s="19" t="s">
        <v>2174</v>
      </c>
      <c r="EE241" s="24">
        <v>45525.0</v>
      </c>
      <c r="EF241" s="19" t="s">
        <v>2174</v>
      </c>
      <c r="EG241" s="19" t="s">
        <v>2271</v>
      </c>
      <c r="EH241" s="19" t="s">
        <v>2183</v>
      </c>
      <c r="EI241" s="22">
        <v>12.65625</v>
      </c>
      <c r="EJ241" s="19">
        <v>45.0</v>
      </c>
      <c r="EK241" s="19" t="s">
        <v>2113</v>
      </c>
      <c r="EL241" s="19" t="s">
        <v>2117</v>
      </c>
      <c r="EM241" s="19" t="s">
        <v>2164</v>
      </c>
      <c r="EN241" s="19" t="s">
        <v>715</v>
      </c>
      <c r="EO241" s="19" t="s">
        <v>2167</v>
      </c>
      <c r="EP241" s="19" t="s">
        <v>2122</v>
      </c>
      <c r="EQ241" s="19" t="s">
        <v>2176</v>
      </c>
      <c r="ER241" s="19"/>
      <c r="ES241" s="19" t="s">
        <v>715</v>
      </c>
      <c r="ET241" s="19" t="s">
        <v>715</v>
      </c>
      <c r="EU241" s="19" t="s">
        <v>6519</v>
      </c>
      <c r="EV241" s="19">
        <v>8030.0</v>
      </c>
      <c r="EW241" s="19" t="s">
        <v>16</v>
      </c>
      <c r="EX241" s="19">
        <v>5.0</v>
      </c>
      <c r="EY241" s="25" t="s">
        <v>714</v>
      </c>
      <c r="EZ241" s="19" t="s">
        <v>2154</v>
      </c>
      <c r="FA241" s="5" t="s">
        <v>6529</v>
      </c>
      <c r="FB241" s="26" t="s">
        <v>2156</v>
      </c>
      <c r="FC241" s="26"/>
    </row>
    <row r="242">
      <c r="A242" s="19" t="s">
        <v>2156</v>
      </c>
      <c r="B242" s="19"/>
      <c r="C242" s="19" t="s">
        <v>2113</v>
      </c>
      <c r="D242" s="19" t="s">
        <v>716</v>
      </c>
      <c r="E242" s="19" t="s">
        <v>6530</v>
      </c>
      <c r="F242" s="19" t="s">
        <v>716</v>
      </c>
      <c r="G242" s="19"/>
      <c r="H242" s="19" t="s">
        <v>716</v>
      </c>
      <c r="I242" s="19" t="s">
        <v>718</v>
      </c>
      <c r="J242" s="19" t="s">
        <v>6531</v>
      </c>
      <c r="K242" s="19" t="s">
        <v>6532</v>
      </c>
      <c r="L242" s="20">
        <v>45404.0</v>
      </c>
      <c r="M242" s="20">
        <v>45411.0</v>
      </c>
      <c r="N242" s="20">
        <v>45411.0</v>
      </c>
      <c r="O242" s="19" t="s">
        <v>717</v>
      </c>
      <c r="P242" s="19">
        <v>0.0</v>
      </c>
      <c r="Q242" s="19">
        <v>26.0</v>
      </c>
      <c r="R242" s="19">
        <v>9609.0</v>
      </c>
      <c r="S242" s="20" t="s">
        <v>6533</v>
      </c>
      <c r="T242" s="20">
        <v>45461.0</v>
      </c>
      <c r="U242" s="19" t="s">
        <v>716</v>
      </c>
      <c r="V242" s="19"/>
      <c r="W242" s="19"/>
      <c r="X242" s="21">
        <v>0.0</v>
      </c>
      <c r="Y242" s="21">
        <v>10.0</v>
      </c>
      <c r="Z242" s="21">
        <v>4.0</v>
      </c>
      <c r="AA242" s="21">
        <v>0.0</v>
      </c>
      <c r="AB242" s="5">
        <v>14.0</v>
      </c>
      <c r="AC242" s="19">
        <v>4.5</v>
      </c>
      <c r="AD242" s="19">
        <v>4.5</v>
      </c>
      <c r="AE242" s="19">
        <v>4.5</v>
      </c>
      <c r="AF242" s="19">
        <v>4.5</v>
      </c>
      <c r="AG242" s="19">
        <v>4.5</v>
      </c>
      <c r="AH242" s="19">
        <v>5.0</v>
      </c>
      <c r="AI242" s="22">
        <v>13.6875</v>
      </c>
      <c r="AJ242" s="19">
        <v>15.0</v>
      </c>
      <c r="AK242" s="19">
        <v>15.0</v>
      </c>
      <c r="AL242" s="19">
        <v>15.0</v>
      </c>
      <c r="AM242" s="19">
        <v>45.0</v>
      </c>
      <c r="AN242" s="19">
        <v>58.7</v>
      </c>
      <c r="AO242" s="19">
        <v>72.7</v>
      </c>
      <c r="AP242" s="19">
        <v>585.0</v>
      </c>
      <c r="AQ242" s="23">
        <v>235.0</v>
      </c>
      <c r="AR242" s="23">
        <v>17.0</v>
      </c>
      <c r="AS242" s="22"/>
      <c r="AT242" s="19" t="s">
        <v>2163</v>
      </c>
      <c r="AU242" s="19" t="s">
        <v>6534</v>
      </c>
      <c r="AV242" s="19" t="s">
        <v>6535</v>
      </c>
      <c r="AW242" s="19" t="s">
        <v>3923</v>
      </c>
      <c r="AX242" s="20">
        <v>35852.0</v>
      </c>
      <c r="AY242" s="19" t="s">
        <v>2702</v>
      </c>
      <c r="AZ242" s="19" t="s">
        <v>2310</v>
      </c>
      <c r="BA242" s="19" t="s">
        <v>6536</v>
      </c>
      <c r="BB242" s="19" t="s">
        <v>6537</v>
      </c>
      <c r="BC242" s="19" t="s">
        <v>6538</v>
      </c>
      <c r="BD242" s="19" t="s">
        <v>6539</v>
      </c>
      <c r="BE242" s="19" t="s">
        <v>6531</v>
      </c>
      <c r="BF242" s="19" t="s">
        <v>6540</v>
      </c>
      <c r="BG242" s="19" t="s">
        <v>2127</v>
      </c>
      <c r="BH242" s="19" t="s">
        <v>2128</v>
      </c>
      <c r="BI242" s="19"/>
      <c r="BJ242" s="19" t="s">
        <v>2128</v>
      </c>
      <c r="BK242" s="19" t="s">
        <v>17</v>
      </c>
      <c r="BL242" s="19"/>
      <c r="BM242" s="19" t="s">
        <v>5411</v>
      </c>
      <c r="BN242" s="19" t="s">
        <v>17</v>
      </c>
      <c r="BO242" s="19" t="s">
        <v>2317</v>
      </c>
      <c r="BP242" s="19"/>
      <c r="BQ242" s="19" t="s">
        <v>2318</v>
      </c>
      <c r="BR242" s="19" t="s">
        <v>2318</v>
      </c>
      <c r="BS242" s="19" t="s">
        <v>2134</v>
      </c>
      <c r="BT242" s="19" t="s">
        <v>42</v>
      </c>
      <c r="BU242" s="19" t="s">
        <v>6541</v>
      </c>
      <c r="BV242" s="19"/>
      <c r="BW242" s="19" t="s">
        <v>2113</v>
      </c>
      <c r="BX242" s="19"/>
      <c r="BY242" s="19"/>
      <c r="BZ242" s="19"/>
      <c r="CA242" s="19"/>
      <c r="CB242" s="19" t="s">
        <v>2113</v>
      </c>
      <c r="CC242" s="19"/>
      <c r="CD242" s="19" t="s">
        <v>2137</v>
      </c>
      <c r="CE242" s="19" t="s">
        <v>16</v>
      </c>
      <c r="CF242" s="19"/>
      <c r="CG242" s="19"/>
      <c r="CH242" s="19" t="s">
        <v>16</v>
      </c>
      <c r="CI242" s="21">
        <v>0.0</v>
      </c>
      <c r="CJ242" s="19" t="s">
        <v>17</v>
      </c>
      <c r="CK242" s="19"/>
      <c r="CL242" s="19"/>
      <c r="CM242" s="19" t="s">
        <v>2138</v>
      </c>
      <c r="CN242" s="19" t="s">
        <v>2321</v>
      </c>
      <c r="CO242" s="19"/>
      <c r="CP242" s="19" t="s">
        <v>2225</v>
      </c>
      <c r="CQ242" s="19"/>
      <c r="CR242" s="19"/>
      <c r="CS242" s="19"/>
      <c r="CT242" s="19"/>
      <c r="CU242" s="19"/>
      <c r="CV242" s="19" t="s">
        <v>2141</v>
      </c>
      <c r="CW242" s="19"/>
      <c r="CX242" s="19"/>
      <c r="CY242" s="19" t="s">
        <v>2113</v>
      </c>
      <c r="CZ242" s="19" t="s">
        <v>2113</v>
      </c>
      <c r="DA242" s="19" t="s">
        <v>16</v>
      </c>
      <c r="DB242" s="19" t="s">
        <v>17</v>
      </c>
      <c r="DC242" s="19" t="s">
        <v>2324</v>
      </c>
      <c r="DD242" s="19" t="s">
        <v>2113</v>
      </c>
      <c r="DE242" s="19" t="s">
        <v>2113</v>
      </c>
      <c r="DF242" s="19" t="s">
        <v>2433</v>
      </c>
      <c r="DG242" s="19" t="s">
        <v>5828</v>
      </c>
      <c r="DH242" s="19" t="s">
        <v>2144</v>
      </c>
      <c r="DI242" s="24">
        <v>45518.0</v>
      </c>
      <c r="DJ242" s="19" t="s">
        <v>2325</v>
      </c>
      <c r="DK242" s="19" t="s">
        <v>2145</v>
      </c>
      <c r="DL242" s="19" t="s">
        <v>2326</v>
      </c>
      <c r="DM242" s="19"/>
      <c r="DN242" s="19">
        <v>3.0</v>
      </c>
      <c r="DO242" s="19">
        <v>3.0</v>
      </c>
      <c r="DP242" s="19" t="s">
        <v>6542</v>
      </c>
      <c r="DQ242" s="19" t="s">
        <v>6543</v>
      </c>
      <c r="DR242" s="19" t="s">
        <v>6544</v>
      </c>
      <c r="DS242" s="19" t="s">
        <v>2185</v>
      </c>
      <c r="DT242" s="19" t="s">
        <v>2301</v>
      </c>
      <c r="DU242" s="19"/>
      <c r="DV242" s="19"/>
      <c r="DW242" s="19" t="s">
        <v>2188</v>
      </c>
      <c r="DX242" s="19">
        <v>5.0</v>
      </c>
      <c r="DY242" s="19">
        <v>10.0</v>
      </c>
      <c r="DZ242" s="19">
        <v>0.0</v>
      </c>
      <c r="EA242" s="19">
        <v>10.0</v>
      </c>
      <c r="EB242" s="19">
        <v>0.0</v>
      </c>
      <c r="EC242" s="19">
        <v>0.0</v>
      </c>
      <c r="ED242" s="19" t="s">
        <v>2325</v>
      </c>
      <c r="EE242" s="24">
        <v>45518.0</v>
      </c>
      <c r="EF242" s="19" t="s">
        <v>2325</v>
      </c>
      <c r="EG242" s="19" t="s">
        <v>2145</v>
      </c>
      <c r="EH242" s="19" t="s">
        <v>2326</v>
      </c>
      <c r="EI242" s="22">
        <v>13.6875</v>
      </c>
      <c r="EJ242" s="19">
        <v>45.0</v>
      </c>
      <c r="EK242" s="19" t="s">
        <v>2113</v>
      </c>
      <c r="EL242" s="19" t="s">
        <v>2163</v>
      </c>
      <c r="EM242" s="19" t="s">
        <v>6534</v>
      </c>
      <c r="EN242" s="19" t="s">
        <v>718</v>
      </c>
      <c r="EO242" s="19" t="s">
        <v>2702</v>
      </c>
      <c r="EP242" s="19" t="s">
        <v>2310</v>
      </c>
      <c r="EQ242" s="19" t="s">
        <v>2321</v>
      </c>
      <c r="ER242" s="19"/>
      <c r="ES242" s="19" t="s">
        <v>718</v>
      </c>
      <c r="ET242" s="19" t="s">
        <v>718</v>
      </c>
      <c r="EU242" s="19" t="s">
        <v>6532</v>
      </c>
      <c r="EV242" s="19">
        <v>9609.0</v>
      </c>
      <c r="EW242" s="19" t="s">
        <v>16</v>
      </c>
      <c r="EX242" s="19">
        <v>4.0</v>
      </c>
      <c r="EY242" s="25" t="s">
        <v>717</v>
      </c>
      <c r="EZ242" s="19" t="s">
        <v>2154</v>
      </c>
      <c r="FA242" s="5" t="s">
        <v>6545</v>
      </c>
      <c r="FB242" s="26" t="s">
        <v>2156</v>
      </c>
      <c r="FC242" s="26"/>
    </row>
    <row r="243">
      <c r="A243" s="19" t="s">
        <v>2112</v>
      </c>
      <c r="B243" s="19"/>
      <c r="C243" s="19" t="s">
        <v>2113</v>
      </c>
      <c r="D243" s="19" t="s">
        <v>6546</v>
      </c>
      <c r="E243" s="19" t="s">
        <v>6547</v>
      </c>
      <c r="F243" s="19" t="s">
        <v>719</v>
      </c>
      <c r="G243" s="19" t="s">
        <v>6548</v>
      </c>
      <c r="H243" s="19" t="s">
        <v>719</v>
      </c>
      <c r="I243" s="19" t="s">
        <v>721</v>
      </c>
      <c r="J243" s="19" t="s">
        <v>6549</v>
      </c>
      <c r="K243" s="19" t="s">
        <v>6550</v>
      </c>
      <c r="L243" s="20">
        <v>45456.0</v>
      </c>
      <c r="M243" s="20">
        <v>45457.0</v>
      </c>
      <c r="N243" s="20">
        <v>45457.0</v>
      </c>
      <c r="O243" s="19" t="s">
        <v>720</v>
      </c>
      <c r="P243" s="19">
        <v>0.0</v>
      </c>
      <c r="Q243" s="19">
        <v>23.0</v>
      </c>
      <c r="R243" s="19">
        <v>8748.0</v>
      </c>
      <c r="S243" s="20" t="s">
        <v>6551</v>
      </c>
      <c r="T243" s="20">
        <v>45461.0</v>
      </c>
      <c r="U243" s="19" t="s">
        <v>719</v>
      </c>
      <c r="V243" s="19"/>
      <c r="W243" s="19"/>
      <c r="X243" s="21">
        <v>0.0</v>
      </c>
      <c r="Y243" s="21">
        <v>10.0</v>
      </c>
      <c r="Z243" s="21">
        <v>1.0</v>
      </c>
      <c r="AA243" s="21">
        <v>2.0</v>
      </c>
      <c r="AB243" s="5">
        <v>13.0</v>
      </c>
      <c r="AC243" s="19">
        <v>4.8</v>
      </c>
      <c r="AD243" s="19">
        <v>5.0</v>
      </c>
      <c r="AE243" s="19">
        <v>5.0</v>
      </c>
      <c r="AF243" s="19">
        <v>5.0</v>
      </c>
      <c r="AG243" s="19">
        <v>4.6</v>
      </c>
      <c r="AH243" s="19">
        <v>4.8</v>
      </c>
      <c r="AI243" s="22">
        <v>14.68125</v>
      </c>
      <c r="AJ243" s="19">
        <v>15.0</v>
      </c>
      <c r="AK243" s="19">
        <v>15.0</v>
      </c>
      <c r="AL243" s="19">
        <v>15.0</v>
      </c>
      <c r="AM243" s="19">
        <v>45.0</v>
      </c>
      <c r="AN243" s="19">
        <v>59.7</v>
      </c>
      <c r="AO243" s="19">
        <v>72.7</v>
      </c>
      <c r="AP243" s="19">
        <v>825.0</v>
      </c>
      <c r="AQ243" s="23">
        <v>236.0</v>
      </c>
      <c r="AR243" s="23">
        <v>21.0</v>
      </c>
      <c r="AS243" s="22"/>
      <c r="AT243" s="19" t="s">
        <v>2163</v>
      </c>
      <c r="AU243" s="19" t="s">
        <v>6552</v>
      </c>
      <c r="AV243" s="19" t="s">
        <v>6553</v>
      </c>
      <c r="AW243" s="19" t="s">
        <v>2701</v>
      </c>
      <c r="AX243" s="20">
        <v>36713.0</v>
      </c>
      <c r="AY243" s="19" t="s">
        <v>3632</v>
      </c>
      <c r="AZ243" s="19" t="s">
        <v>2554</v>
      </c>
      <c r="BA243" s="19" t="s">
        <v>6554</v>
      </c>
      <c r="BB243" s="19" t="s">
        <v>3985</v>
      </c>
      <c r="BC243" s="19" t="s">
        <v>6555</v>
      </c>
      <c r="BD243" s="19" t="s">
        <v>6556</v>
      </c>
      <c r="BE243" s="19" t="s">
        <v>6557</v>
      </c>
      <c r="BF243" s="19">
        <v>6.1995372442E10</v>
      </c>
      <c r="BG243" s="19" t="s">
        <v>2127</v>
      </c>
      <c r="BH243" s="19" t="s">
        <v>2128</v>
      </c>
      <c r="BI243" s="19"/>
      <c r="BJ243" s="19"/>
      <c r="BK243" s="19" t="s">
        <v>16</v>
      </c>
      <c r="BL243" s="19"/>
      <c r="BM243" s="19" t="s">
        <v>5411</v>
      </c>
      <c r="BN243" s="19" t="s">
        <v>3888</v>
      </c>
      <c r="BO243" s="19" t="s">
        <v>3082</v>
      </c>
      <c r="BP243" s="19" t="s">
        <v>6558</v>
      </c>
      <c r="BQ243" s="19" t="s">
        <v>2325</v>
      </c>
      <c r="BR243" s="19" t="s">
        <v>2325</v>
      </c>
      <c r="BS243" s="19" t="s">
        <v>2134</v>
      </c>
      <c r="BT243" s="19" t="s">
        <v>118</v>
      </c>
      <c r="BU243" s="19" t="s">
        <v>6559</v>
      </c>
      <c r="BV243" s="19"/>
      <c r="BW243" s="19" t="s">
        <v>2113</v>
      </c>
      <c r="BX243" s="19"/>
      <c r="BY243" s="19"/>
      <c r="BZ243" s="19"/>
      <c r="CA243" s="19"/>
      <c r="CB243" s="19" t="s">
        <v>2113</v>
      </c>
      <c r="CC243" s="19"/>
      <c r="CD243" s="19" t="s">
        <v>2137</v>
      </c>
      <c r="CE243" s="19" t="s">
        <v>16</v>
      </c>
      <c r="CF243" s="19"/>
      <c r="CG243" s="19"/>
      <c r="CH243" s="19" t="s">
        <v>16</v>
      </c>
      <c r="CI243" s="21">
        <v>0.0</v>
      </c>
      <c r="CJ243" s="19" t="s">
        <v>17</v>
      </c>
      <c r="CK243" s="19"/>
      <c r="CL243" s="19"/>
      <c r="CM243" s="19" t="s">
        <v>2344</v>
      </c>
      <c r="CN243" s="19" t="s">
        <v>3503</v>
      </c>
      <c r="CO243" s="19"/>
      <c r="CP243" s="19"/>
      <c r="CQ243" s="19"/>
      <c r="CR243" s="19"/>
      <c r="CS243" s="19"/>
      <c r="CT243" s="19" t="s">
        <v>2113</v>
      </c>
      <c r="CU243" s="19" t="s">
        <v>2113</v>
      </c>
      <c r="CV243" s="19" t="s">
        <v>2179</v>
      </c>
      <c r="CW243" s="19"/>
      <c r="CX243" s="19"/>
      <c r="CY243" s="19" t="s">
        <v>2113</v>
      </c>
      <c r="CZ243" s="19" t="s">
        <v>2113</v>
      </c>
      <c r="DA243" s="19" t="s">
        <v>16</v>
      </c>
      <c r="DB243" s="19" t="s">
        <v>17</v>
      </c>
      <c r="DC243" s="19" t="s">
        <v>3221</v>
      </c>
      <c r="DD243" s="19" t="s">
        <v>2113</v>
      </c>
      <c r="DE243" s="19" t="s">
        <v>2113</v>
      </c>
      <c r="DF243" s="19" t="s">
        <v>2602</v>
      </c>
      <c r="DG243" s="19" t="s">
        <v>2433</v>
      </c>
      <c r="DH243" s="19" t="s">
        <v>2144</v>
      </c>
      <c r="DI243" s="24">
        <v>45525.0</v>
      </c>
      <c r="DJ243" s="19" t="s">
        <v>2325</v>
      </c>
      <c r="DK243" s="19" t="s">
        <v>2145</v>
      </c>
      <c r="DL243" s="19" t="s">
        <v>2326</v>
      </c>
      <c r="DM243" s="19"/>
      <c r="DN243" s="19">
        <v>9.0</v>
      </c>
      <c r="DO243" s="19">
        <v>9.0</v>
      </c>
      <c r="DP243" s="19"/>
      <c r="DQ243" s="19"/>
      <c r="DR243" s="19"/>
      <c r="DS243" s="19" t="s">
        <v>2365</v>
      </c>
      <c r="DT243" s="19" t="s">
        <v>2301</v>
      </c>
      <c r="DU243" s="19" t="s">
        <v>6560</v>
      </c>
      <c r="DV243" s="19"/>
      <c r="DW243" s="19" t="s">
        <v>2479</v>
      </c>
      <c r="DX243" s="19">
        <v>11.0</v>
      </c>
      <c r="DY243" s="19">
        <v>10.0</v>
      </c>
      <c r="DZ243" s="19">
        <v>2.0</v>
      </c>
      <c r="EA243" s="19">
        <v>10.0</v>
      </c>
      <c r="EB243" s="19">
        <v>0.0</v>
      </c>
      <c r="EC243" s="19">
        <v>0.0</v>
      </c>
      <c r="ED243" s="19" t="s">
        <v>2325</v>
      </c>
      <c r="EE243" s="24">
        <v>45525.0</v>
      </c>
      <c r="EF243" s="19" t="s">
        <v>2325</v>
      </c>
      <c r="EG243" s="19" t="s">
        <v>2145</v>
      </c>
      <c r="EH243" s="19" t="s">
        <v>2326</v>
      </c>
      <c r="EI243" s="22">
        <v>14.68125</v>
      </c>
      <c r="EJ243" s="19">
        <v>45.0</v>
      </c>
      <c r="EK243" s="19" t="s">
        <v>2113</v>
      </c>
      <c r="EL243" s="19" t="s">
        <v>2163</v>
      </c>
      <c r="EM243" s="19" t="s">
        <v>6552</v>
      </c>
      <c r="EN243" s="19" t="s">
        <v>721</v>
      </c>
      <c r="EO243" s="19" t="s">
        <v>3632</v>
      </c>
      <c r="EP243" s="19" t="s">
        <v>2554</v>
      </c>
      <c r="EQ243" s="19" t="s">
        <v>3503</v>
      </c>
      <c r="ER243" s="19"/>
      <c r="ES243" s="19" t="s">
        <v>721</v>
      </c>
      <c r="ET243" s="19" t="s">
        <v>721</v>
      </c>
      <c r="EU243" s="19" t="s">
        <v>6550</v>
      </c>
      <c r="EV243" s="19">
        <v>8748.0</v>
      </c>
      <c r="EW243" s="19" t="s">
        <v>16</v>
      </c>
      <c r="EX243" s="19">
        <v>1.0</v>
      </c>
      <c r="EY243" s="25" t="s">
        <v>720</v>
      </c>
      <c r="EZ243" s="19" t="s">
        <v>2154</v>
      </c>
      <c r="FA243" s="5" t="s">
        <v>6561</v>
      </c>
      <c r="FB243" s="26" t="s">
        <v>2156</v>
      </c>
      <c r="FC243" s="26"/>
    </row>
    <row r="244">
      <c r="A244" s="19" t="s">
        <v>2156</v>
      </c>
      <c r="B244" s="19"/>
      <c r="C244" s="19" t="s">
        <v>2113</v>
      </c>
      <c r="D244" s="19" t="s">
        <v>722</v>
      </c>
      <c r="E244" s="19" t="s">
        <v>6562</v>
      </c>
      <c r="F244" s="19" t="s">
        <v>722</v>
      </c>
      <c r="G244" s="19"/>
      <c r="H244" s="19" t="s">
        <v>722</v>
      </c>
      <c r="I244" s="19" t="s">
        <v>724</v>
      </c>
      <c r="J244" s="19" t="s">
        <v>6563</v>
      </c>
      <c r="K244" s="19" t="s">
        <v>6564</v>
      </c>
      <c r="L244" s="20">
        <v>45460.0</v>
      </c>
      <c r="M244" s="20">
        <v>45462.0</v>
      </c>
      <c r="N244" s="20">
        <v>45462.0</v>
      </c>
      <c r="O244" s="19" t="s">
        <v>723</v>
      </c>
      <c r="P244" s="19">
        <v>0.0</v>
      </c>
      <c r="Q244" s="19">
        <v>19.0</v>
      </c>
      <c r="R244" s="19">
        <v>7138.0</v>
      </c>
      <c r="S244" s="20" t="s">
        <v>6565</v>
      </c>
      <c r="T244" s="20">
        <v>45461.0</v>
      </c>
      <c r="U244" s="19" t="s">
        <v>722</v>
      </c>
      <c r="V244" s="19"/>
      <c r="W244" s="19"/>
      <c r="X244" s="21">
        <v>0.0</v>
      </c>
      <c r="Y244" s="21">
        <v>10.0</v>
      </c>
      <c r="Z244" s="21">
        <v>5.0</v>
      </c>
      <c r="AA244" s="21">
        <v>0.0</v>
      </c>
      <c r="AB244" s="5">
        <v>15.0</v>
      </c>
      <c r="AC244" s="19">
        <v>4.0</v>
      </c>
      <c r="AD244" s="19">
        <v>4.0</v>
      </c>
      <c r="AE244" s="19">
        <v>5.0</v>
      </c>
      <c r="AF244" s="19">
        <v>4.0</v>
      </c>
      <c r="AG244" s="19">
        <v>3.0</v>
      </c>
      <c r="AH244" s="19">
        <v>4.5</v>
      </c>
      <c r="AI244" s="22">
        <v>12.5625</v>
      </c>
      <c r="AJ244" s="19">
        <v>15.0</v>
      </c>
      <c r="AK244" s="19">
        <v>15.0</v>
      </c>
      <c r="AL244" s="19">
        <v>15.0</v>
      </c>
      <c r="AM244" s="19">
        <v>45.0</v>
      </c>
      <c r="AN244" s="19">
        <v>57.6</v>
      </c>
      <c r="AO244" s="19">
        <v>72.6</v>
      </c>
      <c r="AP244" s="19">
        <v>529.0</v>
      </c>
      <c r="AQ244" s="23">
        <v>237.0</v>
      </c>
      <c r="AR244" s="23">
        <v>21.0</v>
      </c>
      <c r="AS244" s="22"/>
      <c r="AT244" s="19" t="s">
        <v>2282</v>
      </c>
      <c r="AU244" s="19" t="s">
        <v>6566</v>
      </c>
      <c r="AV244" s="19" t="s">
        <v>6567</v>
      </c>
      <c r="AW244" s="19" t="s">
        <v>6568</v>
      </c>
      <c r="AX244" s="20">
        <v>38323.0</v>
      </c>
      <c r="AY244" s="19" t="s">
        <v>2421</v>
      </c>
      <c r="AZ244" s="19" t="s">
        <v>2310</v>
      </c>
      <c r="BA244" s="19" t="s">
        <v>6569</v>
      </c>
      <c r="BB244" s="19" t="s">
        <v>5778</v>
      </c>
      <c r="BC244" s="19" t="s">
        <v>6570</v>
      </c>
      <c r="BD244" s="19" t="s">
        <v>6571</v>
      </c>
      <c r="BE244" s="19" t="s">
        <v>6563</v>
      </c>
      <c r="BF244" s="19" t="s">
        <v>6572</v>
      </c>
      <c r="BG244" s="19" t="s">
        <v>2127</v>
      </c>
      <c r="BH244" s="19" t="s">
        <v>2128</v>
      </c>
      <c r="BI244" s="19"/>
      <c r="BJ244" s="19"/>
      <c r="BK244" s="19" t="s">
        <v>16</v>
      </c>
      <c r="BL244" s="19" t="s">
        <v>2113</v>
      </c>
      <c r="BM244" s="19" t="s">
        <v>5796</v>
      </c>
      <c r="BN244" s="19" t="s">
        <v>2172</v>
      </c>
      <c r="BO244" s="19" t="s">
        <v>2132</v>
      </c>
      <c r="BP244" s="19"/>
      <c r="BQ244" s="19" t="s">
        <v>2325</v>
      </c>
      <c r="BR244" s="19" t="s">
        <v>2325</v>
      </c>
      <c r="BS244" s="19" t="s">
        <v>2134</v>
      </c>
      <c r="BT244" s="19" t="s">
        <v>59</v>
      </c>
      <c r="BU244" s="19" t="s">
        <v>2319</v>
      </c>
      <c r="BV244" s="19"/>
      <c r="BW244" s="19"/>
      <c r="BX244" s="19"/>
      <c r="BY244" s="19"/>
      <c r="BZ244" s="19"/>
      <c r="CA244" s="19"/>
      <c r="CB244" s="19" t="s">
        <v>2113</v>
      </c>
      <c r="CC244" s="19"/>
      <c r="CD244" s="19" t="s">
        <v>2137</v>
      </c>
      <c r="CE244" s="19" t="s">
        <v>16</v>
      </c>
      <c r="CF244" s="19"/>
      <c r="CG244" s="19"/>
      <c r="CH244" s="19" t="s">
        <v>16</v>
      </c>
      <c r="CI244" s="21">
        <v>0.0</v>
      </c>
      <c r="CJ244" s="19" t="s">
        <v>16</v>
      </c>
      <c r="CK244" s="19"/>
      <c r="CL244" s="19"/>
      <c r="CM244" s="19" t="s">
        <v>2344</v>
      </c>
      <c r="CN244" s="19" t="s">
        <v>2431</v>
      </c>
      <c r="CO244" s="19"/>
      <c r="CP244" s="19"/>
      <c r="CQ244" s="19"/>
      <c r="CR244" s="19" t="s">
        <v>2113</v>
      </c>
      <c r="CS244" s="19" t="s">
        <v>2113</v>
      </c>
      <c r="CT244" s="19" t="s">
        <v>2113</v>
      </c>
      <c r="CU244" s="19" t="s">
        <v>2113</v>
      </c>
      <c r="CV244" s="19" t="s">
        <v>2141</v>
      </c>
      <c r="CW244" s="19"/>
      <c r="CX244" s="19"/>
      <c r="CY244" s="19"/>
      <c r="CZ244" s="19"/>
      <c r="DA244" s="19" t="s">
        <v>16</v>
      </c>
      <c r="DB244" s="19" t="s">
        <v>16</v>
      </c>
      <c r="DC244" s="19" t="s">
        <v>2653</v>
      </c>
      <c r="DD244" s="19" t="s">
        <v>2113</v>
      </c>
      <c r="DE244" s="19" t="s">
        <v>2113</v>
      </c>
      <c r="DF244" s="19" t="s">
        <v>3163</v>
      </c>
      <c r="DG244" s="19" t="s">
        <v>2497</v>
      </c>
      <c r="DH244" s="19" t="s">
        <v>2144</v>
      </c>
      <c r="DI244" s="24">
        <v>45519.0</v>
      </c>
      <c r="DJ244" s="19" t="s">
        <v>2325</v>
      </c>
      <c r="DK244" s="19" t="s">
        <v>2145</v>
      </c>
      <c r="DL244" s="19" t="s">
        <v>2326</v>
      </c>
      <c r="DM244" s="19"/>
      <c r="DN244" s="19">
        <v>5.0</v>
      </c>
      <c r="DO244" s="19">
        <v>5.0</v>
      </c>
      <c r="DP244" s="19" t="s">
        <v>6573</v>
      </c>
      <c r="DQ244" s="19" t="s">
        <v>6574</v>
      </c>
      <c r="DR244" s="19" t="s">
        <v>6575</v>
      </c>
      <c r="DS244" s="19" t="s">
        <v>2185</v>
      </c>
      <c r="DT244" s="19" t="s">
        <v>2209</v>
      </c>
      <c r="DU244" s="19"/>
      <c r="DV244" s="19"/>
      <c r="DW244" s="19" t="s">
        <v>2153</v>
      </c>
      <c r="DX244" s="19">
        <v>3.0</v>
      </c>
      <c r="DY244" s="19">
        <v>10.0</v>
      </c>
      <c r="DZ244" s="19">
        <v>0.0</v>
      </c>
      <c r="EA244" s="19">
        <v>10.0</v>
      </c>
      <c r="EB244" s="19">
        <v>0.0</v>
      </c>
      <c r="EC244" s="19">
        <v>0.0</v>
      </c>
      <c r="ED244" s="19" t="s">
        <v>2325</v>
      </c>
      <c r="EE244" s="24">
        <v>45519.0</v>
      </c>
      <c r="EF244" s="19" t="s">
        <v>2325</v>
      </c>
      <c r="EG244" s="19" t="s">
        <v>2145</v>
      </c>
      <c r="EH244" s="19" t="s">
        <v>2326</v>
      </c>
      <c r="EI244" s="22">
        <v>12.5625</v>
      </c>
      <c r="EJ244" s="19">
        <v>45.0</v>
      </c>
      <c r="EK244" s="19"/>
      <c r="EL244" s="19" t="s">
        <v>2282</v>
      </c>
      <c r="EM244" s="19" t="s">
        <v>6566</v>
      </c>
      <c r="EN244" s="19" t="s">
        <v>724</v>
      </c>
      <c r="EO244" s="19" t="s">
        <v>2421</v>
      </c>
      <c r="EP244" s="19" t="s">
        <v>2310</v>
      </c>
      <c r="EQ244" s="19" t="s">
        <v>2431</v>
      </c>
      <c r="ER244" s="19"/>
      <c r="ES244" s="19" t="s">
        <v>724</v>
      </c>
      <c r="ET244" s="19" t="s">
        <v>724</v>
      </c>
      <c r="EU244" s="19" t="s">
        <v>6564</v>
      </c>
      <c r="EV244" s="19">
        <v>7138.0</v>
      </c>
      <c r="EW244" s="19" t="s">
        <v>16</v>
      </c>
      <c r="EX244" s="19">
        <v>5.0</v>
      </c>
      <c r="EY244" s="25" t="s">
        <v>723</v>
      </c>
      <c r="EZ244" s="19" t="s">
        <v>2154</v>
      </c>
      <c r="FA244" s="5" t="s">
        <v>6576</v>
      </c>
      <c r="FB244" s="26" t="s">
        <v>2156</v>
      </c>
      <c r="FC244" s="26"/>
    </row>
    <row r="245">
      <c r="A245" s="19" t="s">
        <v>2112</v>
      </c>
      <c r="B245" s="19"/>
      <c r="C245" s="19" t="s">
        <v>2113</v>
      </c>
      <c r="D245" s="19" t="s">
        <v>725</v>
      </c>
      <c r="E245" s="19" t="s">
        <v>6577</v>
      </c>
      <c r="F245" s="19" t="s">
        <v>725</v>
      </c>
      <c r="G245" s="19"/>
      <c r="H245" s="19" t="s">
        <v>725</v>
      </c>
      <c r="I245" s="19" t="s">
        <v>727</v>
      </c>
      <c r="J245" s="19" t="s">
        <v>6578</v>
      </c>
      <c r="K245" s="19" t="s">
        <v>6579</v>
      </c>
      <c r="L245" s="20">
        <v>45446.0</v>
      </c>
      <c r="M245" s="20">
        <v>45447.0</v>
      </c>
      <c r="N245" s="20">
        <v>45447.0</v>
      </c>
      <c r="O245" s="19" t="s">
        <v>726</v>
      </c>
      <c r="P245" s="19">
        <v>0.0</v>
      </c>
      <c r="Q245" s="19">
        <v>26.0</v>
      </c>
      <c r="R245" s="19">
        <v>9535.0</v>
      </c>
      <c r="S245" s="20" t="s">
        <v>6580</v>
      </c>
      <c r="T245" s="20">
        <v>45461.0</v>
      </c>
      <c r="U245" s="19" t="s">
        <v>725</v>
      </c>
      <c r="V245" s="19"/>
      <c r="W245" s="19"/>
      <c r="X245" s="21">
        <v>0.0</v>
      </c>
      <c r="Y245" s="21">
        <v>10.0</v>
      </c>
      <c r="Z245" s="21">
        <v>3.0</v>
      </c>
      <c r="AA245" s="21">
        <v>0.0</v>
      </c>
      <c r="AB245" s="5">
        <v>13.0</v>
      </c>
      <c r="AC245" s="19">
        <v>5.0</v>
      </c>
      <c r="AD245" s="19">
        <v>5.0</v>
      </c>
      <c r="AE245" s="19">
        <v>5.0</v>
      </c>
      <c r="AF245" s="19">
        <v>4.0</v>
      </c>
      <c r="AG245" s="19">
        <v>5.0</v>
      </c>
      <c r="AH245" s="19">
        <v>5.0</v>
      </c>
      <c r="AI245" s="22">
        <v>14.625</v>
      </c>
      <c r="AJ245" s="19">
        <v>15.0</v>
      </c>
      <c r="AK245" s="19">
        <v>15.0</v>
      </c>
      <c r="AL245" s="19">
        <v>15.0</v>
      </c>
      <c r="AM245" s="19">
        <v>45.0</v>
      </c>
      <c r="AN245" s="19">
        <v>59.6</v>
      </c>
      <c r="AO245" s="19">
        <v>72.6</v>
      </c>
      <c r="AP245" s="19">
        <v>688.0</v>
      </c>
      <c r="AQ245" s="23">
        <v>238.0</v>
      </c>
      <c r="AR245" s="23">
        <v>14.0</v>
      </c>
      <c r="AS245" s="22"/>
      <c r="AT245" s="19" t="s">
        <v>2282</v>
      </c>
      <c r="AU245" s="19" t="s">
        <v>6581</v>
      </c>
      <c r="AV245" s="19" t="s">
        <v>6582</v>
      </c>
      <c r="AW245" s="19" t="s">
        <v>6583</v>
      </c>
      <c r="AX245" s="20">
        <v>35926.0</v>
      </c>
      <c r="AY245" s="19" t="s">
        <v>3537</v>
      </c>
      <c r="AZ245" s="19" t="s">
        <v>2310</v>
      </c>
      <c r="BA245" s="19" t="s">
        <v>6584</v>
      </c>
      <c r="BB245" s="19" t="s">
        <v>6585</v>
      </c>
      <c r="BC245" s="19" t="s">
        <v>6586</v>
      </c>
      <c r="BD245" s="19" t="s">
        <v>6587</v>
      </c>
      <c r="BE245" s="19" t="s">
        <v>6588</v>
      </c>
      <c r="BF245" s="19">
        <v>1.1978409236E10</v>
      </c>
      <c r="BG245" s="19" t="s">
        <v>2127</v>
      </c>
      <c r="BH245" s="19" t="s">
        <v>2128</v>
      </c>
      <c r="BI245" s="19"/>
      <c r="BJ245" s="19"/>
      <c r="BK245" s="19" t="s">
        <v>16</v>
      </c>
      <c r="BL245" s="19"/>
      <c r="BM245" s="19" t="s">
        <v>5411</v>
      </c>
      <c r="BN245" s="19" t="s">
        <v>17</v>
      </c>
      <c r="BO245" s="19" t="s">
        <v>2473</v>
      </c>
      <c r="BP245" s="19" t="s">
        <v>6589</v>
      </c>
      <c r="BQ245" s="19" t="s">
        <v>2133</v>
      </c>
      <c r="BR245" s="19" t="s">
        <v>2133</v>
      </c>
      <c r="BS245" s="19" t="s">
        <v>2243</v>
      </c>
      <c r="BT245" s="19" t="s">
        <v>222</v>
      </c>
      <c r="BU245" s="19" t="s">
        <v>6590</v>
      </c>
      <c r="BV245" s="19"/>
      <c r="BW245" s="19"/>
      <c r="BX245" s="19"/>
      <c r="BY245" s="19" t="s">
        <v>2113</v>
      </c>
      <c r="BZ245" s="19" t="s">
        <v>2113</v>
      </c>
      <c r="CA245" s="19"/>
      <c r="CB245" s="19" t="s">
        <v>2113</v>
      </c>
      <c r="CC245" s="19" t="s">
        <v>2113</v>
      </c>
      <c r="CD245" s="19" t="s">
        <v>2137</v>
      </c>
      <c r="CE245" s="19" t="s">
        <v>16</v>
      </c>
      <c r="CF245" s="19"/>
      <c r="CG245" s="19"/>
      <c r="CH245" s="19" t="s">
        <v>16</v>
      </c>
      <c r="CI245" s="21">
        <v>0.0</v>
      </c>
      <c r="CJ245" s="19" t="s">
        <v>16</v>
      </c>
      <c r="CK245" s="19"/>
      <c r="CL245" s="19"/>
      <c r="CM245" s="19" t="s">
        <v>2138</v>
      </c>
      <c r="CN245" s="19" t="s">
        <v>3544</v>
      </c>
      <c r="CO245" s="19"/>
      <c r="CP245" s="19"/>
      <c r="CQ245" s="19"/>
      <c r="CR245" s="19" t="s">
        <v>2113</v>
      </c>
      <c r="CS245" s="19" t="s">
        <v>2113</v>
      </c>
      <c r="CT245" s="19" t="s">
        <v>2113</v>
      </c>
      <c r="CU245" s="19" t="s">
        <v>2113</v>
      </c>
      <c r="CV245" s="19" t="s">
        <v>2141</v>
      </c>
      <c r="CW245" s="19" t="s">
        <v>2113</v>
      </c>
      <c r="CX245" s="19" t="s">
        <v>2113</v>
      </c>
      <c r="CY245" s="19" t="s">
        <v>2113</v>
      </c>
      <c r="CZ245" s="19" t="s">
        <v>2113</v>
      </c>
      <c r="DA245" s="19" t="s">
        <v>16</v>
      </c>
      <c r="DB245" s="19" t="s">
        <v>16</v>
      </c>
      <c r="DC245" s="19" t="s">
        <v>2146</v>
      </c>
      <c r="DD245" s="19" t="s">
        <v>2113</v>
      </c>
      <c r="DE245" s="19" t="s">
        <v>2113</v>
      </c>
      <c r="DF245" s="19" t="s">
        <v>6591</v>
      </c>
      <c r="DG245" s="19" t="s">
        <v>6592</v>
      </c>
      <c r="DH245" s="19" t="s">
        <v>2144</v>
      </c>
      <c r="DI245" s="24">
        <v>45526.0</v>
      </c>
      <c r="DJ245" s="19" t="s">
        <v>2133</v>
      </c>
      <c r="DK245" s="19" t="s">
        <v>2145</v>
      </c>
      <c r="DL245" s="19" t="s">
        <v>2146</v>
      </c>
      <c r="DM245" s="19" t="s">
        <v>3338</v>
      </c>
      <c r="DN245" s="19">
        <v>11.0</v>
      </c>
      <c r="DO245" s="19">
        <v>11.0</v>
      </c>
      <c r="DP245" s="19" t="s">
        <v>6593</v>
      </c>
      <c r="DQ245" s="19" t="s">
        <v>6594</v>
      </c>
      <c r="DR245" s="19" t="s">
        <v>6595</v>
      </c>
      <c r="DS245" s="19" t="s">
        <v>2365</v>
      </c>
      <c r="DT245" s="19" t="s">
        <v>2301</v>
      </c>
      <c r="DU245" s="19"/>
      <c r="DV245" s="19"/>
      <c r="DW245" s="19" t="s">
        <v>2153</v>
      </c>
      <c r="DX245" s="19">
        <v>8.0</v>
      </c>
      <c r="DY245" s="19">
        <v>10.0</v>
      </c>
      <c r="DZ245" s="19">
        <v>0.0</v>
      </c>
      <c r="EA245" s="19">
        <v>10.0</v>
      </c>
      <c r="EB245" s="19">
        <v>0.0</v>
      </c>
      <c r="EC245" s="19">
        <v>0.0</v>
      </c>
      <c r="ED245" s="19" t="s">
        <v>2133</v>
      </c>
      <c r="EE245" s="24">
        <v>45526.0</v>
      </c>
      <c r="EF245" s="19" t="s">
        <v>2133</v>
      </c>
      <c r="EG245" s="19" t="s">
        <v>2145</v>
      </c>
      <c r="EH245" s="19" t="s">
        <v>2146</v>
      </c>
      <c r="EI245" s="22">
        <v>14.625</v>
      </c>
      <c r="EJ245" s="19">
        <v>45.0</v>
      </c>
      <c r="EK245" s="19"/>
      <c r="EL245" s="19" t="s">
        <v>2282</v>
      </c>
      <c r="EM245" s="19" t="s">
        <v>6581</v>
      </c>
      <c r="EN245" s="19" t="s">
        <v>727</v>
      </c>
      <c r="EO245" s="19" t="s">
        <v>3537</v>
      </c>
      <c r="EP245" s="19" t="s">
        <v>2310</v>
      </c>
      <c r="EQ245" s="19" t="s">
        <v>3544</v>
      </c>
      <c r="ER245" s="19"/>
      <c r="ES245" s="19" t="s">
        <v>727</v>
      </c>
      <c r="ET245" s="19" t="s">
        <v>727</v>
      </c>
      <c r="EU245" s="19" t="s">
        <v>6579</v>
      </c>
      <c r="EV245" s="19">
        <v>9535.0</v>
      </c>
      <c r="EW245" s="19" t="s">
        <v>16</v>
      </c>
      <c r="EX245" s="19">
        <v>3.0</v>
      </c>
      <c r="EY245" s="25" t="s">
        <v>726</v>
      </c>
      <c r="EZ245" s="19" t="s">
        <v>2154</v>
      </c>
      <c r="FA245" s="5" t="s">
        <v>6596</v>
      </c>
      <c r="FB245" s="26" t="s">
        <v>2156</v>
      </c>
      <c r="FC245" s="26"/>
    </row>
    <row r="246">
      <c r="A246" s="19" t="s">
        <v>2112</v>
      </c>
      <c r="B246" s="19"/>
      <c r="C246" s="19" t="s">
        <v>2113</v>
      </c>
      <c r="D246" s="19" t="s">
        <v>6597</v>
      </c>
      <c r="E246" s="19" t="s">
        <v>6598</v>
      </c>
      <c r="F246" s="19" t="s">
        <v>6599</v>
      </c>
      <c r="G246" s="19" t="s">
        <v>6600</v>
      </c>
      <c r="H246" s="19" t="s">
        <v>728</v>
      </c>
      <c r="I246" s="19" t="s">
        <v>730</v>
      </c>
      <c r="J246" s="19" t="s">
        <v>6601</v>
      </c>
      <c r="K246" s="19" t="s">
        <v>6602</v>
      </c>
      <c r="L246" s="20">
        <v>45397.0</v>
      </c>
      <c r="M246" s="20">
        <v>45411.0</v>
      </c>
      <c r="N246" s="20">
        <v>45411.0</v>
      </c>
      <c r="O246" s="19" t="s">
        <v>729</v>
      </c>
      <c r="P246" s="19">
        <v>0.0</v>
      </c>
      <c r="Q246" s="19">
        <v>23.0</v>
      </c>
      <c r="R246" s="19">
        <v>8431.0</v>
      </c>
      <c r="S246" s="20" t="s">
        <v>6603</v>
      </c>
      <c r="T246" s="20">
        <v>45461.0</v>
      </c>
      <c r="U246" s="19" t="s">
        <v>6599</v>
      </c>
      <c r="V246" s="19"/>
      <c r="W246" s="19"/>
      <c r="X246" s="21">
        <v>0.0</v>
      </c>
      <c r="Y246" s="21">
        <v>10.0</v>
      </c>
      <c r="Z246" s="21">
        <v>3.0</v>
      </c>
      <c r="AA246" s="21">
        <v>0.0</v>
      </c>
      <c r="AB246" s="5">
        <v>13.0</v>
      </c>
      <c r="AC246" s="19">
        <v>5.0</v>
      </c>
      <c r="AD246" s="19">
        <v>5.0</v>
      </c>
      <c r="AE246" s="19">
        <v>5.0</v>
      </c>
      <c r="AF246" s="19">
        <v>5.0</v>
      </c>
      <c r="AG246" s="19">
        <v>5.0</v>
      </c>
      <c r="AH246" s="19">
        <v>4.0</v>
      </c>
      <c r="AI246" s="22">
        <v>14.625</v>
      </c>
      <c r="AJ246" s="19">
        <v>15.0</v>
      </c>
      <c r="AK246" s="19">
        <v>15.0</v>
      </c>
      <c r="AL246" s="19">
        <v>15.0</v>
      </c>
      <c r="AM246" s="19">
        <v>45.0</v>
      </c>
      <c r="AN246" s="19">
        <v>59.6</v>
      </c>
      <c r="AO246" s="19">
        <v>72.6</v>
      </c>
      <c r="AP246" s="19">
        <v>720.0</v>
      </c>
      <c r="AQ246" s="23">
        <v>239.0</v>
      </c>
      <c r="AR246" s="23">
        <v>30.0</v>
      </c>
      <c r="AS246" s="22"/>
      <c r="AT246" s="19" t="s">
        <v>2117</v>
      </c>
      <c r="AU246" s="19" t="s">
        <v>3095</v>
      </c>
      <c r="AV246" s="19" t="s">
        <v>6604</v>
      </c>
      <c r="AW246" s="19" t="s">
        <v>6605</v>
      </c>
      <c r="AX246" s="20">
        <v>37030.0</v>
      </c>
      <c r="AY246" s="19" t="s">
        <v>2467</v>
      </c>
      <c r="AZ246" s="19" t="s">
        <v>2310</v>
      </c>
      <c r="BA246" s="19" t="s">
        <v>6606</v>
      </c>
      <c r="BB246" s="19" t="s">
        <v>6605</v>
      </c>
      <c r="BC246" s="19" t="s">
        <v>6607</v>
      </c>
      <c r="BD246" s="19" t="s">
        <v>6608</v>
      </c>
      <c r="BE246" s="19" t="s">
        <v>6609</v>
      </c>
      <c r="BF246" s="19">
        <v>1.1960662363E10</v>
      </c>
      <c r="BG246" s="19" t="s">
        <v>2127</v>
      </c>
      <c r="BH246" s="19" t="s">
        <v>2128</v>
      </c>
      <c r="BI246" s="19"/>
      <c r="BJ246" s="19"/>
      <c r="BK246" s="19" t="s">
        <v>17</v>
      </c>
      <c r="BL246" s="19"/>
      <c r="BM246" s="19" t="s">
        <v>5563</v>
      </c>
      <c r="BN246" s="19" t="s">
        <v>17</v>
      </c>
      <c r="BO246" s="19" t="s">
        <v>2473</v>
      </c>
      <c r="BP246" s="19" t="s">
        <v>6610</v>
      </c>
      <c r="BQ246" s="19" t="s">
        <v>2133</v>
      </c>
      <c r="BR246" s="19" t="s">
        <v>2133</v>
      </c>
      <c r="BS246" s="19" t="s">
        <v>2243</v>
      </c>
      <c r="BT246" s="19" t="s">
        <v>38</v>
      </c>
      <c r="BU246" s="19" t="s">
        <v>6611</v>
      </c>
      <c r="BV246" s="19"/>
      <c r="BW246" s="19"/>
      <c r="BX246" s="19"/>
      <c r="BY246" s="19" t="s">
        <v>2113</v>
      </c>
      <c r="BZ246" s="19" t="s">
        <v>2113</v>
      </c>
      <c r="CA246" s="19" t="s">
        <v>2113</v>
      </c>
      <c r="CB246" s="19" t="s">
        <v>2113</v>
      </c>
      <c r="CC246" s="19" t="s">
        <v>2113</v>
      </c>
      <c r="CD246" s="19" t="s">
        <v>2137</v>
      </c>
      <c r="CE246" s="19" t="s">
        <v>16</v>
      </c>
      <c r="CF246" s="19"/>
      <c r="CG246" s="19"/>
      <c r="CH246" s="19" t="s">
        <v>16</v>
      </c>
      <c r="CI246" s="21">
        <v>0.0</v>
      </c>
      <c r="CJ246" s="19" t="s">
        <v>17</v>
      </c>
      <c r="CK246" s="19"/>
      <c r="CL246" s="19" t="s">
        <v>2113</v>
      </c>
      <c r="CM246" s="19" t="s">
        <v>3102</v>
      </c>
      <c r="CN246" s="19" t="s">
        <v>2475</v>
      </c>
      <c r="CO246" s="19"/>
      <c r="CP246" s="19" t="s">
        <v>6612</v>
      </c>
      <c r="CQ246" s="19"/>
      <c r="CR246" s="19" t="s">
        <v>2113</v>
      </c>
      <c r="CS246" s="19" t="s">
        <v>2113</v>
      </c>
      <c r="CT246" s="19"/>
      <c r="CU246" s="19"/>
      <c r="CV246" s="19" t="s">
        <v>2141</v>
      </c>
      <c r="CW246" s="19"/>
      <c r="CX246" s="19"/>
      <c r="CY246" s="19"/>
      <c r="CZ246" s="19"/>
      <c r="DA246" s="19" t="s">
        <v>16</v>
      </c>
      <c r="DB246" s="19" t="s">
        <v>17</v>
      </c>
      <c r="DC246" s="19" t="s">
        <v>2477</v>
      </c>
      <c r="DD246" s="19" t="s">
        <v>2113</v>
      </c>
      <c r="DE246" s="19" t="s">
        <v>2113</v>
      </c>
      <c r="DF246" s="19" t="s">
        <v>2142</v>
      </c>
      <c r="DG246" s="19" t="s">
        <v>2578</v>
      </c>
      <c r="DH246" s="19" t="s">
        <v>2144</v>
      </c>
      <c r="DI246" s="24">
        <v>45525.0</v>
      </c>
      <c r="DJ246" s="19" t="s">
        <v>2133</v>
      </c>
      <c r="DK246" s="19" t="s">
        <v>2271</v>
      </c>
      <c r="DL246" s="19" t="s">
        <v>2146</v>
      </c>
      <c r="DM246" s="19" t="s">
        <v>2408</v>
      </c>
      <c r="DN246" s="19">
        <v>10.0</v>
      </c>
      <c r="DO246" s="19">
        <v>10.0</v>
      </c>
      <c r="DP246" s="19" t="s">
        <v>6613</v>
      </c>
      <c r="DQ246" s="19" t="s">
        <v>6614</v>
      </c>
      <c r="DR246" s="19" t="s">
        <v>6615</v>
      </c>
      <c r="DS246" s="19" t="s">
        <v>2365</v>
      </c>
      <c r="DT246" s="19" t="s">
        <v>2350</v>
      </c>
      <c r="DU246" s="19"/>
      <c r="DV246" s="19"/>
      <c r="DW246" s="19" t="s">
        <v>2153</v>
      </c>
      <c r="DX246" s="19">
        <v>8.0</v>
      </c>
      <c r="DY246" s="19">
        <v>10.0</v>
      </c>
      <c r="DZ246" s="19">
        <v>0.0</v>
      </c>
      <c r="EA246" s="19">
        <v>10.0</v>
      </c>
      <c r="EB246" s="19">
        <v>0.0</v>
      </c>
      <c r="EC246" s="19">
        <v>0.0</v>
      </c>
      <c r="ED246" s="19" t="s">
        <v>2133</v>
      </c>
      <c r="EE246" s="24">
        <v>45525.0</v>
      </c>
      <c r="EF246" s="19" t="s">
        <v>2133</v>
      </c>
      <c r="EG246" s="19" t="s">
        <v>2271</v>
      </c>
      <c r="EH246" s="19" t="s">
        <v>2146</v>
      </c>
      <c r="EI246" s="22">
        <v>14.625</v>
      </c>
      <c r="EJ246" s="19">
        <v>45.0</v>
      </c>
      <c r="EK246" s="19" t="s">
        <v>2113</v>
      </c>
      <c r="EL246" s="19" t="s">
        <v>2117</v>
      </c>
      <c r="EM246" s="19" t="s">
        <v>3095</v>
      </c>
      <c r="EN246" s="19" t="s">
        <v>730</v>
      </c>
      <c r="EO246" s="19" t="s">
        <v>2467</v>
      </c>
      <c r="EP246" s="19" t="s">
        <v>2310</v>
      </c>
      <c r="EQ246" s="19" t="s">
        <v>2475</v>
      </c>
      <c r="ER246" s="19"/>
      <c r="ES246" s="19" t="s">
        <v>730</v>
      </c>
      <c r="ET246" s="19" t="s">
        <v>730</v>
      </c>
      <c r="EU246" s="19" t="s">
        <v>6602</v>
      </c>
      <c r="EV246" s="19">
        <v>8431.0</v>
      </c>
      <c r="EW246" s="19" t="s">
        <v>16</v>
      </c>
      <c r="EX246" s="19">
        <v>3.0</v>
      </c>
      <c r="EY246" s="25" t="s">
        <v>729</v>
      </c>
      <c r="EZ246" s="19" t="s">
        <v>2154</v>
      </c>
      <c r="FA246" s="5" t="s">
        <v>6616</v>
      </c>
      <c r="FB246" s="26" t="s">
        <v>2156</v>
      </c>
      <c r="FC246" s="26"/>
    </row>
    <row r="247">
      <c r="A247" s="19" t="s">
        <v>2112</v>
      </c>
      <c r="B247" s="19"/>
      <c r="C247" s="19" t="s">
        <v>2113</v>
      </c>
      <c r="D247" s="19" t="s">
        <v>731</v>
      </c>
      <c r="E247" s="19" t="s">
        <v>731</v>
      </c>
      <c r="F247" s="19" t="s">
        <v>731</v>
      </c>
      <c r="G247" s="19"/>
      <c r="H247" s="19" t="s">
        <v>731</v>
      </c>
      <c r="I247" s="19" t="s">
        <v>733</v>
      </c>
      <c r="J247" s="19" t="s">
        <v>6617</v>
      </c>
      <c r="K247" s="19" t="s">
        <v>6618</v>
      </c>
      <c r="L247" s="20">
        <v>45422.0</v>
      </c>
      <c r="M247" s="20">
        <v>45428.0</v>
      </c>
      <c r="N247" s="20">
        <v>45428.0</v>
      </c>
      <c r="O247" s="19" t="s">
        <v>732</v>
      </c>
      <c r="P247" s="19">
        <v>0.0</v>
      </c>
      <c r="Q247" s="19">
        <v>22.0</v>
      </c>
      <c r="R247" s="19">
        <v>8152.0</v>
      </c>
      <c r="S247" s="20" t="s">
        <v>6619</v>
      </c>
      <c r="T247" s="20">
        <v>45461.0</v>
      </c>
      <c r="U247" s="19" t="s">
        <v>731</v>
      </c>
      <c r="V247" s="19"/>
      <c r="W247" s="19"/>
      <c r="X247" s="21">
        <v>0.0</v>
      </c>
      <c r="Y247" s="21">
        <v>10.0</v>
      </c>
      <c r="Z247" s="21">
        <v>3.0</v>
      </c>
      <c r="AA247" s="21">
        <v>0.0</v>
      </c>
      <c r="AB247" s="5">
        <v>13.0</v>
      </c>
      <c r="AC247" s="19">
        <v>5.0</v>
      </c>
      <c r="AD247" s="19">
        <v>5.0</v>
      </c>
      <c r="AE247" s="19">
        <v>5.0</v>
      </c>
      <c r="AF247" s="19">
        <v>4.0</v>
      </c>
      <c r="AG247" s="19">
        <v>5.0</v>
      </c>
      <c r="AH247" s="19">
        <v>5.0</v>
      </c>
      <c r="AI247" s="22">
        <v>14.625</v>
      </c>
      <c r="AJ247" s="19">
        <v>15.0</v>
      </c>
      <c r="AK247" s="19">
        <v>15.0</v>
      </c>
      <c r="AL247" s="19">
        <v>15.0</v>
      </c>
      <c r="AM247" s="19">
        <v>45.0</v>
      </c>
      <c r="AN247" s="19">
        <v>59.6</v>
      </c>
      <c r="AO247" s="19">
        <v>72.6</v>
      </c>
      <c r="AP247" s="19">
        <v>729.0</v>
      </c>
      <c r="AQ247" s="23">
        <v>240.0</v>
      </c>
      <c r="AR247" s="23">
        <v>15.0</v>
      </c>
      <c r="AS247" s="22"/>
      <c r="AT247" s="19" t="s">
        <v>2163</v>
      </c>
      <c r="AU247" s="19" t="s">
        <v>6620</v>
      </c>
      <c r="AV247" s="19" t="s">
        <v>6621</v>
      </c>
      <c r="AW247" s="19"/>
      <c r="AX247" s="20">
        <v>37309.0</v>
      </c>
      <c r="AY247" s="19" t="s">
        <v>3537</v>
      </c>
      <c r="AZ247" s="19" t="s">
        <v>2310</v>
      </c>
      <c r="BA247" s="19" t="s">
        <v>6622</v>
      </c>
      <c r="BB247" s="19" t="s">
        <v>6623</v>
      </c>
      <c r="BC247" s="19" t="s">
        <v>6624</v>
      </c>
      <c r="BD247" s="19" t="s">
        <v>6625</v>
      </c>
      <c r="BE247" s="19" t="s">
        <v>6626</v>
      </c>
      <c r="BF247" s="19">
        <v>1.1966023719E10</v>
      </c>
      <c r="BG247" s="19" t="s">
        <v>2127</v>
      </c>
      <c r="BH247" s="19" t="s">
        <v>2128</v>
      </c>
      <c r="BI247" s="19"/>
      <c r="BJ247" s="19" t="s">
        <v>2128</v>
      </c>
      <c r="BK247" s="19" t="s">
        <v>17</v>
      </c>
      <c r="BL247" s="19"/>
      <c r="BM247" s="19" t="s">
        <v>5411</v>
      </c>
      <c r="BN247" s="19" t="s">
        <v>2172</v>
      </c>
      <c r="BO247" s="19" t="s">
        <v>2473</v>
      </c>
      <c r="BP247" s="19"/>
      <c r="BQ247" s="19" t="s">
        <v>2133</v>
      </c>
      <c r="BR247" s="19" t="s">
        <v>2133</v>
      </c>
      <c r="BS247" s="19" t="s">
        <v>2134</v>
      </c>
      <c r="BT247" s="19" t="s">
        <v>222</v>
      </c>
      <c r="BU247" s="19"/>
      <c r="BV247" s="19"/>
      <c r="BW247" s="19" t="s">
        <v>2113</v>
      </c>
      <c r="BX247" s="19"/>
      <c r="BY247" s="19"/>
      <c r="BZ247" s="19"/>
      <c r="CA247" s="19"/>
      <c r="CB247" s="19" t="s">
        <v>2113</v>
      </c>
      <c r="CC247" s="19"/>
      <c r="CD247" s="19" t="s">
        <v>2137</v>
      </c>
      <c r="CE247" s="19" t="s">
        <v>16</v>
      </c>
      <c r="CF247" s="19"/>
      <c r="CG247" s="19"/>
      <c r="CH247" s="19" t="s">
        <v>16</v>
      </c>
      <c r="CI247" s="21">
        <v>0.0</v>
      </c>
      <c r="CJ247" s="19" t="s">
        <v>17</v>
      </c>
      <c r="CK247" s="19"/>
      <c r="CL247" s="19"/>
      <c r="CM247" s="19" t="s">
        <v>2138</v>
      </c>
      <c r="CN247" s="19" t="s">
        <v>3544</v>
      </c>
      <c r="CO247" s="19"/>
      <c r="CP247" s="19" t="s">
        <v>2267</v>
      </c>
      <c r="CQ247" s="19"/>
      <c r="CR247" s="19"/>
      <c r="CS247" s="19"/>
      <c r="CT247" s="19"/>
      <c r="CU247" s="19"/>
      <c r="CV247" s="19" t="s">
        <v>2141</v>
      </c>
      <c r="CW247" s="19"/>
      <c r="CX247" s="19"/>
      <c r="CY247" s="19" t="s">
        <v>2113</v>
      </c>
      <c r="CZ247" s="19" t="s">
        <v>2113</v>
      </c>
      <c r="DA247" s="19" t="s">
        <v>16</v>
      </c>
      <c r="DB247" s="19" t="s">
        <v>17</v>
      </c>
      <c r="DC247" s="19" t="s">
        <v>2142</v>
      </c>
      <c r="DD247" s="19" t="s">
        <v>2113</v>
      </c>
      <c r="DE247" s="19" t="s">
        <v>2113</v>
      </c>
      <c r="DF247" s="19" t="s">
        <v>3163</v>
      </c>
      <c r="DG247" s="19" t="s">
        <v>4467</v>
      </c>
      <c r="DH247" s="19" t="s">
        <v>2144</v>
      </c>
      <c r="DI247" s="24">
        <v>45526.0</v>
      </c>
      <c r="DJ247" s="19" t="s">
        <v>2133</v>
      </c>
      <c r="DK247" s="19" t="s">
        <v>2145</v>
      </c>
      <c r="DL247" s="19" t="s">
        <v>2146</v>
      </c>
      <c r="DM247" s="19" t="s">
        <v>3338</v>
      </c>
      <c r="DN247" s="19">
        <v>11.0</v>
      </c>
      <c r="DO247" s="19">
        <v>11.0</v>
      </c>
      <c r="DP247" s="19" t="s">
        <v>6627</v>
      </c>
      <c r="DQ247" s="19" t="s">
        <v>6628</v>
      </c>
      <c r="DR247" s="19" t="s">
        <v>6629</v>
      </c>
      <c r="DS247" s="19" t="s">
        <v>2365</v>
      </c>
      <c r="DT247" s="19" t="s">
        <v>2301</v>
      </c>
      <c r="DU247" s="19"/>
      <c r="DV247" s="19"/>
      <c r="DW247" s="19" t="s">
        <v>2153</v>
      </c>
      <c r="DX247" s="19">
        <v>8.0</v>
      </c>
      <c r="DY247" s="19">
        <v>10.0</v>
      </c>
      <c r="DZ247" s="19">
        <v>0.0</v>
      </c>
      <c r="EA247" s="19">
        <v>10.0</v>
      </c>
      <c r="EB247" s="19">
        <v>0.0</v>
      </c>
      <c r="EC247" s="19">
        <v>0.0</v>
      </c>
      <c r="ED247" s="19" t="s">
        <v>2133</v>
      </c>
      <c r="EE247" s="24">
        <v>45526.0</v>
      </c>
      <c r="EF247" s="19" t="s">
        <v>2133</v>
      </c>
      <c r="EG247" s="19" t="s">
        <v>2145</v>
      </c>
      <c r="EH247" s="19" t="s">
        <v>2146</v>
      </c>
      <c r="EI247" s="22">
        <v>14.625</v>
      </c>
      <c r="EJ247" s="19">
        <v>45.0</v>
      </c>
      <c r="EK247" s="19" t="s">
        <v>2113</v>
      </c>
      <c r="EL247" s="19" t="s">
        <v>2163</v>
      </c>
      <c r="EM247" s="19" t="s">
        <v>6620</v>
      </c>
      <c r="EN247" s="19" t="s">
        <v>733</v>
      </c>
      <c r="EO247" s="19" t="s">
        <v>3537</v>
      </c>
      <c r="EP247" s="19" t="s">
        <v>2310</v>
      </c>
      <c r="EQ247" s="19" t="s">
        <v>3544</v>
      </c>
      <c r="ER247" s="19"/>
      <c r="ES247" s="19" t="s">
        <v>733</v>
      </c>
      <c r="ET247" s="19" t="s">
        <v>733</v>
      </c>
      <c r="EU247" s="19" t="s">
        <v>6618</v>
      </c>
      <c r="EV247" s="19">
        <v>8152.0</v>
      </c>
      <c r="EW247" s="19" t="s">
        <v>16</v>
      </c>
      <c r="EX247" s="19">
        <v>3.0</v>
      </c>
      <c r="EY247" s="25" t="s">
        <v>732</v>
      </c>
      <c r="EZ247" s="19" t="s">
        <v>2154</v>
      </c>
      <c r="FA247" s="5" t="s">
        <v>6630</v>
      </c>
      <c r="FB247" s="26" t="s">
        <v>2156</v>
      </c>
      <c r="FC247" s="26"/>
    </row>
    <row r="248">
      <c r="A248" s="19" t="s">
        <v>2112</v>
      </c>
      <c r="B248" s="19"/>
      <c r="C248" s="19" t="s">
        <v>2113</v>
      </c>
      <c r="D248" s="19" t="s">
        <v>6631</v>
      </c>
      <c r="E248" s="19" t="s">
        <v>6631</v>
      </c>
      <c r="F248" s="19" t="s">
        <v>6631</v>
      </c>
      <c r="G248" s="19"/>
      <c r="H248" s="19" t="s">
        <v>734</v>
      </c>
      <c r="I248" s="19" t="s">
        <v>736</v>
      </c>
      <c r="J248" s="19" t="s">
        <v>6632</v>
      </c>
      <c r="K248" s="19" t="s">
        <v>6633</v>
      </c>
      <c r="L248" s="20">
        <v>45425.0</v>
      </c>
      <c r="M248" s="20">
        <v>45428.0</v>
      </c>
      <c r="N248" s="20">
        <v>45428.0</v>
      </c>
      <c r="O248" s="19" t="s">
        <v>735</v>
      </c>
      <c r="P248" s="19">
        <v>0.0</v>
      </c>
      <c r="Q248" s="19">
        <v>22.0</v>
      </c>
      <c r="R248" s="19">
        <v>8128.0</v>
      </c>
      <c r="S248" s="20" t="s">
        <v>6634</v>
      </c>
      <c r="T248" s="20">
        <v>45461.0</v>
      </c>
      <c r="U248" s="19" t="s">
        <v>6631</v>
      </c>
      <c r="V248" s="19"/>
      <c r="W248" s="19" t="s">
        <v>6635</v>
      </c>
      <c r="X248" s="21">
        <v>0.0</v>
      </c>
      <c r="Y248" s="21">
        <v>10.0</v>
      </c>
      <c r="Z248" s="21">
        <v>3.0</v>
      </c>
      <c r="AA248" s="21">
        <v>0.0</v>
      </c>
      <c r="AB248" s="5">
        <v>13.0</v>
      </c>
      <c r="AC248" s="19">
        <v>5.0</v>
      </c>
      <c r="AD248" s="19">
        <v>5.0</v>
      </c>
      <c r="AE248" s="19">
        <v>5.0</v>
      </c>
      <c r="AF248" s="19">
        <v>5.0</v>
      </c>
      <c r="AG248" s="19">
        <v>5.0</v>
      </c>
      <c r="AH248" s="19">
        <v>4.0</v>
      </c>
      <c r="AI248" s="22">
        <v>14.625</v>
      </c>
      <c r="AJ248" s="19">
        <v>15.0</v>
      </c>
      <c r="AK248" s="19">
        <v>15.0</v>
      </c>
      <c r="AL248" s="19">
        <v>15.0</v>
      </c>
      <c r="AM248" s="19">
        <v>45.0</v>
      </c>
      <c r="AN248" s="19">
        <v>59.6</v>
      </c>
      <c r="AO248" s="19">
        <v>72.6</v>
      </c>
      <c r="AP248" s="19">
        <v>733.0</v>
      </c>
      <c r="AQ248" s="23">
        <v>241.0</v>
      </c>
      <c r="AR248" s="23">
        <v>16.0</v>
      </c>
      <c r="AS248" s="22"/>
      <c r="AT248" s="19" t="s">
        <v>2163</v>
      </c>
      <c r="AU248" s="19" t="s">
        <v>6636</v>
      </c>
      <c r="AV248" s="19" t="s">
        <v>6637</v>
      </c>
      <c r="AW248" s="19"/>
      <c r="AX248" s="20">
        <v>37333.0</v>
      </c>
      <c r="AY248" s="19" t="s">
        <v>3905</v>
      </c>
      <c r="AZ248" s="19" t="s">
        <v>2122</v>
      </c>
      <c r="BA248" s="19" t="s">
        <v>6638</v>
      </c>
      <c r="BB248" s="19" t="s">
        <v>6639</v>
      </c>
      <c r="BC248" s="19" t="s">
        <v>6640</v>
      </c>
      <c r="BD248" s="19" t="s">
        <v>6641</v>
      </c>
      <c r="BE248" s="19" t="s">
        <v>6642</v>
      </c>
      <c r="BF248" s="19">
        <v>1.1985342535E10</v>
      </c>
      <c r="BG248" s="19" t="s">
        <v>2127</v>
      </c>
      <c r="BH248" s="19" t="s">
        <v>2128</v>
      </c>
      <c r="BI248" s="19"/>
      <c r="BJ248" s="19"/>
      <c r="BK248" s="19" t="s">
        <v>16</v>
      </c>
      <c r="BL248" s="19" t="s">
        <v>2113</v>
      </c>
      <c r="BM248" s="19" t="s">
        <v>5411</v>
      </c>
      <c r="BN248" s="19" t="s">
        <v>2401</v>
      </c>
      <c r="BO248" s="19" t="s">
        <v>2473</v>
      </c>
      <c r="BP248" s="19"/>
      <c r="BQ248" s="19" t="s">
        <v>2133</v>
      </c>
      <c r="BR248" s="19" t="s">
        <v>2133</v>
      </c>
      <c r="BS248" s="19" t="s">
        <v>2243</v>
      </c>
      <c r="BT248" s="19" t="s">
        <v>222</v>
      </c>
      <c r="BU248" s="19" t="s">
        <v>6643</v>
      </c>
      <c r="BV248" s="19"/>
      <c r="BW248" s="19"/>
      <c r="BX248" s="19"/>
      <c r="BY248" s="19"/>
      <c r="BZ248" s="19"/>
      <c r="CA248" s="19"/>
      <c r="CB248" s="19"/>
      <c r="CC248" s="19"/>
      <c r="CD248" s="19" t="s">
        <v>2137</v>
      </c>
      <c r="CE248" s="19" t="s">
        <v>16</v>
      </c>
      <c r="CF248" s="19"/>
      <c r="CG248" s="19"/>
      <c r="CH248" s="19" t="s">
        <v>16</v>
      </c>
      <c r="CI248" s="21">
        <v>0.0</v>
      </c>
      <c r="CJ248" s="19" t="s">
        <v>17</v>
      </c>
      <c r="CK248" s="19"/>
      <c r="CL248" s="19"/>
      <c r="CM248" s="19"/>
      <c r="CN248" s="19" t="s">
        <v>3544</v>
      </c>
      <c r="CO248" s="19"/>
      <c r="CP248" s="19"/>
      <c r="CQ248" s="19"/>
      <c r="CR248" s="19"/>
      <c r="CS248" s="19"/>
      <c r="CT248" s="19" t="s">
        <v>2113</v>
      </c>
      <c r="CU248" s="19" t="s">
        <v>2113</v>
      </c>
      <c r="CV248" s="19" t="s">
        <v>2141</v>
      </c>
      <c r="CW248" s="19"/>
      <c r="CX248" s="19"/>
      <c r="CY248" s="19" t="s">
        <v>2113</v>
      </c>
      <c r="CZ248" s="19" t="s">
        <v>2113</v>
      </c>
      <c r="DA248" s="19" t="s">
        <v>16</v>
      </c>
      <c r="DB248" s="19" t="s">
        <v>17</v>
      </c>
      <c r="DC248" s="19" t="s">
        <v>2146</v>
      </c>
      <c r="DD248" s="19" t="s">
        <v>2113</v>
      </c>
      <c r="DE248" s="19" t="s">
        <v>2113</v>
      </c>
      <c r="DF248" s="19" t="s">
        <v>2671</v>
      </c>
      <c r="DG248" s="19" t="s">
        <v>2578</v>
      </c>
      <c r="DH248" s="19" t="s">
        <v>2144</v>
      </c>
      <c r="DI248" s="24">
        <v>45525.0</v>
      </c>
      <c r="DJ248" s="19" t="s">
        <v>2133</v>
      </c>
      <c r="DK248" s="19" t="s">
        <v>2271</v>
      </c>
      <c r="DL248" s="19" t="s">
        <v>2146</v>
      </c>
      <c r="DM248" s="19" t="s">
        <v>2408</v>
      </c>
      <c r="DN248" s="19">
        <v>10.0</v>
      </c>
      <c r="DO248" s="19">
        <v>10.0</v>
      </c>
      <c r="DP248" s="19" t="s">
        <v>6644</v>
      </c>
      <c r="DQ248" s="19" t="s">
        <v>6645</v>
      </c>
      <c r="DR248" s="19" t="s">
        <v>6646</v>
      </c>
      <c r="DS248" s="19" t="s">
        <v>2365</v>
      </c>
      <c r="DT248" s="19" t="s">
        <v>2229</v>
      </c>
      <c r="DU248" s="19"/>
      <c r="DV248" s="19"/>
      <c r="DW248" s="19" t="s">
        <v>2153</v>
      </c>
      <c r="DX248" s="19">
        <v>8.0</v>
      </c>
      <c r="DY248" s="19">
        <v>10.0</v>
      </c>
      <c r="DZ248" s="19">
        <v>0.0</v>
      </c>
      <c r="EA248" s="19">
        <v>10.0</v>
      </c>
      <c r="EB248" s="19">
        <v>0.0</v>
      </c>
      <c r="EC248" s="19">
        <v>0.0</v>
      </c>
      <c r="ED248" s="19" t="s">
        <v>2133</v>
      </c>
      <c r="EE248" s="24">
        <v>45525.0</v>
      </c>
      <c r="EF248" s="19" t="s">
        <v>2133</v>
      </c>
      <c r="EG248" s="19" t="s">
        <v>2271</v>
      </c>
      <c r="EH248" s="19" t="s">
        <v>2146</v>
      </c>
      <c r="EI248" s="22">
        <v>14.625</v>
      </c>
      <c r="EJ248" s="19">
        <v>45.0</v>
      </c>
      <c r="EK248" s="19" t="s">
        <v>2113</v>
      </c>
      <c r="EL248" s="19" t="s">
        <v>2163</v>
      </c>
      <c r="EM248" s="19" t="s">
        <v>6636</v>
      </c>
      <c r="EN248" s="19" t="s">
        <v>736</v>
      </c>
      <c r="EO248" s="19" t="s">
        <v>3905</v>
      </c>
      <c r="EP248" s="19" t="s">
        <v>2122</v>
      </c>
      <c r="EQ248" s="19" t="s">
        <v>3544</v>
      </c>
      <c r="ER248" s="19"/>
      <c r="ES248" s="19" t="s">
        <v>736</v>
      </c>
      <c r="ET248" s="19" t="s">
        <v>736</v>
      </c>
      <c r="EU248" s="19" t="s">
        <v>6633</v>
      </c>
      <c r="EV248" s="19">
        <v>8128.0</v>
      </c>
      <c r="EW248" s="19" t="s">
        <v>16</v>
      </c>
      <c r="EX248" s="19">
        <v>3.0</v>
      </c>
      <c r="EY248" s="25" t="s">
        <v>735</v>
      </c>
      <c r="EZ248" s="19" t="s">
        <v>2154</v>
      </c>
      <c r="FA248" s="5" t="s">
        <v>6647</v>
      </c>
      <c r="FB248" s="26" t="s">
        <v>2156</v>
      </c>
      <c r="FC248" s="26"/>
    </row>
    <row r="249">
      <c r="A249" s="19" t="s">
        <v>2112</v>
      </c>
      <c r="B249" s="19"/>
      <c r="C249" s="19" t="s">
        <v>2113</v>
      </c>
      <c r="D249" s="19" t="s">
        <v>737</v>
      </c>
      <c r="E249" s="19" t="s">
        <v>6648</v>
      </c>
      <c r="F249" s="19" t="s">
        <v>737</v>
      </c>
      <c r="G249" s="19"/>
      <c r="H249" s="19" t="s">
        <v>737</v>
      </c>
      <c r="I249" s="19" t="s">
        <v>739</v>
      </c>
      <c r="J249" s="19" t="s">
        <v>6649</v>
      </c>
      <c r="K249" s="19" t="s">
        <v>6650</v>
      </c>
      <c r="L249" s="20">
        <v>45457.0</v>
      </c>
      <c r="M249" s="20">
        <v>45460.0</v>
      </c>
      <c r="N249" s="20">
        <v>45460.0</v>
      </c>
      <c r="O249" s="19" t="s">
        <v>738</v>
      </c>
      <c r="P249" s="19">
        <v>0.0</v>
      </c>
      <c r="Q249" s="19">
        <v>26.0</v>
      </c>
      <c r="R249" s="19">
        <v>9554.0</v>
      </c>
      <c r="S249" s="20" t="s">
        <v>6651</v>
      </c>
      <c r="T249" s="20">
        <v>45461.0</v>
      </c>
      <c r="U249" s="19" t="s">
        <v>737</v>
      </c>
      <c r="V249" s="19"/>
      <c r="W249" s="19" t="s">
        <v>2131</v>
      </c>
      <c r="X249" s="21">
        <v>0.0</v>
      </c>
      <c r="Y249" s="21">
        <v>10.0</v>
      </c>
      <c r="Z249" s="21">
        <v>5.0</v>
      </c>
      <c r="AA249" s="21">
        <v>0.0</v>
      </c>
      <c r="AB249" s="5">
        <v>15.0</v>
      </c>
      <c r="AC249" s="19">
        <v>4.2</v>
      </c>
      <c r="AD249" s="19">
        <v>4.4</v>
      </c>
      <c r="AE249" s="19">
        <v>4.0</v>
      </c>
      <c r="AF249" s="19">
        <v>4.6</v>
      </c>
      <c r="AG249" s="19">
        <v>3.8</v>
      </c>
      <c r="AH249" s="19">
        <v>4.0</v>
      </c>
      <c r="AI249" s="22">
        <v>12.50625</v>
      </c>
      <c r="AJ249" s="19">
        <v>15.0</v>
      </c>
      <c r="AK249" s="19">
        <v>15.0</v>
      </c>
      <c r="AL249" s="19">
        <v>15.0</v>
      </c>
      <c r="AM249" s="19">
        <v>45.0</v>
      </c>
      <c r="AN249" s="19">
        <v>57.5</v>
      </c>
      <c r="AO249" s="19">
        <v>72.5</v>
      </c>
      <c r="AP249" s="19">
        <v>417.0</v>
      </c>
      <c r="AQ249" s="23">
        <v>242.0</v>
      </c>
      <c r="AR249" s="23">
        <v>33.0</v>
      </c>
      <c r="AS249" s="22"/>
      <c r="AT249" s="19" t="s">
        <v>2117</v>
      </c>
      <c r="AU249" s="19" t="s">
        <v>6652</v>
      </c>
      <c r="AV249" s="19" t="s">
        <v>6653</v>
      </c>
      <c r="AW249" s="19" t="s">
        <v>3383</v>
      </c>
      <c r="AX249" s="20">
        <v>35907.0</v>
      </c>
      <c r="AY249" s="19" t="s">
        <v>5516</v>
      </c>
      <c r="AZ249" s="19" t="s">
        <v>2310</v>
      </c>
      <c r="BA249" s="19" t="s">
        <v>6654</v>
      </c>
      <c r="BB249" s="19" t="s">
        <v>2685</v>
      </c>
      <c r="BC249" s="19" t="s">
        <v>6655</v>
      </c>
      <c r="BD249" s="19" t="s">
        <v>6656</v>
      </c>
      <c r="BE249" s="19" t="s">
        <v>6649</v>
      </c>
      <c r="BF249" s="19">
        <v>1.1910125115E10</v>
      </c>
      <c r="BG249" s="19" t="s">
        <v>2127</v>
      </c>
      <c r="BH249" s="19" t="s">
        <v>2128</v>
      </c>
      <c r="BI249" s="19"/>
      <c r="BJ249" s="19" t="s">
        <v>2427</v>
      </c>
      <c r="BK249" s="19" t="s">
        <v>17</v>
      </c>
      <c r="BL249" s="19" t="s">
        <v>2113</v>
      </c>
      <c r="BM249" s="19" t="s">
        <v>5411</v>
      </c>
      <c r="BN249" s="19" t="s">
        <v>17</v>
      </c>
      <c r="BO249" s="19" t="s">
        <v>2132</v>
      </c>
      <c r="BP249" s="19"/>
      <c r="BQ249" s="19" t="s">
        <v>2174</v>
      </c>
      <c r="BR249" s="19" t="s">
        <v>2174</v>
      </c>
      <c r="BS249" s="19" t="s">
        <v>2134</v>
      </c>
      <c r="BT249" s="19" t="s">
        <v>21</v>
      </c>
      <c r="BU249" s="19" t="s">
        <v>6290</v>
      </c>
      <c r="BV249" s="19"/>
      <c r="BW249" s="19"/>
      <c r="BX249" s="19"/>
      <c r="BY249" s="19" t="s">
        <v>2113</v>
      </c>
      <c r="BZ249" s="19" t="s">
        <v>2113</v>
      </c>
      <c r="CA249" s="19" t="s">
        <v>2113</v>
      </c>
      <c r="CB249" s="19" t="s">
        <v>2113</v>
      </c>
      <c r="CC249" s="19"/>
      <c r="CD249" s="19" t="s">
        <v>2137</v>
      </c>
      <c r="CE249" s="19" t="s">
        <v>16</v>
      </c>
      <c r="CF249" s="19"/>
      <c r="CG249" s="19"/>
      <c r="CH249" s="19" t="s">
        <v>16</v>
      </c>
      <c r="CI249" s="21">
        <v>0.0</v>
      </c>
      <c r="CJ249" s="19" t="s">
        <v>17</v>
      </c>
      <c r="CK249" s="19"/>
      <c r="CL249" s="19"/>
      <c r="CM249" s="19" t="s">
        <v>2138</v>
      </c>
      <c r="CN249" s="19" t="s">
        <v>2176</v>
      </c>
      <c r="CO249" s="19"/>
      <c r="CP249" s="19" t="s">
        <v>2140</v>
      </c>
      <c r="CQ249" s="19" t="s">
        <v>2113</v>
      </c>
      <c r="CR249" s="19"/>
      <c r="CS249" s="19"/>
      <c r="CT249" s="19"/>
      <c r="CU249" s="19"/>
      <c r="CV249" s="19" t="s">
        <v>2141</v>
      </c>
      <c r="CW249" s="19"/>
      <c r="CX249" s="19"/>
      <c r="CY249" s="19" t="s">
        <v>2113</v>
      </c>
      <c r="CZ249" s="19" t="s">
        <v>2113</v>
      </c>
      <c r="DA249" s="19" t="s">
        <v>16</v>
      </c>
      <c r="DB249" s="19" t="s">
        <v>17</v>
      </c>
      <c r="DC249" s="19" t="s">
        <v>2180</v>
      </c>
      <c r="DD249" s="19" t="s">
        <v>2113</v>
      </c>
      <c r="DE249" s="19" t="s">
        <v>2113</v>
      </c>
      <c r="DF249" s="19" t="s">
        <v>3255</v>
      </c>
      <c r="DG249" s="19" t="s">
        <v>2602</v>
      </c>
      <c r="DH249" s="19" t="s">
        <v>2144</v>
      </c>
      <c r="DI249" s="24">
        <v>45531.0</v>
      </c>
      <c r="DJ249" s="19" t="s">
        <v>2174</v>
      </c>
      <c r="DK249" s="19" t="s">
        <v>2271</v>
      </c>
      <c r="DL249" s="19" t="s">
        <v>2183</v>
      </c>
      <c r="DM249" s="19"/>
      <c r="DN249" s="19">
        <v>8.0</v>
      </c>
      <c r="DO249" s="19">
        <v>8.0</v>
      </c>
      <c r="DP249" s="19" t="s">
        <v>6657</v>
      </c>
      <c r="DQ249" s="19" t="s">
        <v>6658</v>
      </c>
      <c r="DR249" s="19" t="s">
        <v>6659</v>
      </c>
      <c r="DS249" s="19" t="s">
        <v>2151</v>
      </c>
      <c r="DT249" s="19" t="s">
        <v>2186</v>
      </c>
      <c r="DU249" s="19"/>
      <c r="DV249" s="19"/>
      <c r="DW249" s="19" t="s">
        <v>2153</v>
      </c>
      <c r="DX249" s="19">
        <v>14.0</v>
      </c>
      <c r="DY249" s="19">
        <v>10.0</v>
      </c>
      <c r="DZ249" s="19">
        <v>0.0</v>
      </c>
      <c r="EA249" s="19">
        <v>10.0</v>
      </c>
      <c r="EB249" s="19">
        <v>0.0</v>
      </c>
      <c r="EC249" s="19">
        <v>0.0</v>
      </c>
      <c r="ED249" s="19" t="s">
        <v>2174</v>
      </c>
      <c r="EE249" s="24">
        <v>45531.0</v>
      </c>
      <c r="EF249" s="19" t="s">
        <v>2174</v>
      </c>
      <c r="EG249" s="19" t="s">
        <v>2271</v>
      </c>
      <c r="EH249" s="19" t="s">
        <v>2183</v>
      </c>
      <c r="EI249" s="22">
        <v>12.50625</v>
      </c>
      <c r="EJ249" s="19">
        <v>45.0</v>
      </c>
      <c r="EK249" s="19" t="s">
        <v>2113</v>
      </c>
      <c r="EL249" s="19" t="s">
        <v>2117</v>
      </c>
      <c r="EM249" s="19" t="s">
        <v>6652</v>
      </c>
      <c r="EN249" s="19" t="s">
        <v>739</v>
      </c>
      <c r="EO249" s="19" t="s">
        <v>5516</v>
      </c>
      <c r="EP249" s="19" t="s">
        <v>2310</v>
      </c>
      <c r="EQ249" s="19" t="s">
        <v>2176</v>
      </c>
      <c r="ER249" s="19"/>
      <c r="ES249" s="19" t="s">
        <v>739</v>
      </c>
      <c r="ET249" s="19" t="s">
        <v>739</v>
      </c>
      <c r="EU249" s="19" t="s">
        <v>6650</v>
      </c>
      <c r="EV249" s="19">
        <v>9554.0</v>
      </c>
      <c r="EW249" s="19" t="s">
        <v>16</v>
      </c>
      <c r="EX249" s="19">
        <v>5.0</v>
      </c>
      <c r="EY249" s="25" t="s">
        <v>738</v>
      </c>
      <c r="EZ249" s="19" t="s">
        <v>2154</v>
      </c>
      <c r="FA249" s="5" t="s">
        <v>6660</v>
      </c>
      <c r="FB249" s="26" t="s">
        <v>2156</v>
      </c>
      <c r="FC249" s="26"/>
    </row>
    <row r="250">
      <c r="A250" s="19" t="s">
        <v>2112</v>
      </c>
      <c r="B250" s="19"/>
      <c r="C250" s="19" t="s">
        <v>2113</v>
      </c>
      <c r="D250" s="19" t="s">
        <v>740</v>
      </c>
      <c r="E250" s="19" t="s">
        <v>6661</v>
      </c>
      <c r="F250" s="19" t="s">
        <v>740</v>
      </c>
      <c r="G250" s="19"/>
      <c r="H250" s="19" t="s">
        <v>740</v>
      </c>
      <c r="I250" s="19" t="s">
        <v>742</v>
      </c>
      <c r="J250" s="19" t="s">
        <v>6662</v>
      </c>
      <c r="K250" s="19" t="s">
        <v>6663</v>
      </c>
      <c r="L250" s="20">
        <v>45460.0</v>
      </c>
      <c r="M250" s="20">
        <v>45462.0</v>
      </c>
      <c r="N250" s="20">
        <v>45462.0</v>
      </c>
      <c r="O250" s="19" t="s">
        <v>741</v>
      </c>
      <c r="P250" s="19">
        <v>0.0</v>
      </c>
      <c r="Q250" s="19">
        <v>22.0</v>
      </c>
      <c r="R250" s="19">
        <v>8248.0</v>
      </c>
      <c r="S250" s="20" t="s">
        <v>6664</v>
      </c>
      <c r="T250" s="20">
        <v>45461.0</v>
      </c>
      <c r="U250" s="19" t="s">
        <v>740</v>
      </c>
      <c r="V250" s="19"/>
      <c r="W250" s="19" t="s">
        <v>6665</v>
      </c>
      <c r="X250" s="21">
        <v>0.0</v>
      </c>
      <c r="Y250" s="21">
        <v>10.0</v>
      </c>
      <c r="Z250" s="21">
        <v>5.0</v>
      </c>
      <c r="AA250" s="21">
        <v>0.0</v>
      </c>
      <c r="AB250" s="5">
        <v>15.0</v>
      </c>
      <c r="AC250" s="19">
        <v>4.0</v>
      </c>
      <c r="AD250" s="19">
        <v>4.0</v>
      </c>
      <c r="AE250" s="19">
        <v>4.4</v>
      </c>
      <c r="AF250" s="19">
        <v>4.6</v>
      </c>
      <c r="AG250" s="19">
        <v>3.6</v>
      </c>
      <c r="AH250" s="19">
        <v>4.0</v>
      </c>
      <c r="AI250" s="22">
        <v>12.375</v>
      </c>
      <c r="AJ250" s="19">
        <v>15.0</v>
      </c>
      <c r="AK250" s="19">
        <v>15.0</v>
      </c>
      <c r="AL250" s="19">
        <v>15.0</v>
      </c>
      <c r="AM250" s="19">
        <v>45.0</v>
      </c>
      <c r="AN250" s="19">
        <v>57.4</v>
      </c>
      <c r="AO250" s="19">
        <v>72.4</v>
      </c>
      <c r="AP250" s="19">
        <v>463.0</v>
      </c>
      <c r="AQ250" s="23">
        <v>243.0</v>
      </c>
      <c r="AR250" s="23">
        <v>34.0</v>
      </c>
      <c r="AS250" s="22"/>
      <c r="AT250" s="19" t="s">
        <v>2163</v>
      </c>
      <c r="AU250" s="19" t="s">
        <v>2335</v>
      </c>
      <c r="AV250" s="19" t="s">
        <v>6666</v>
      </c>
      <c r="AW250" s="19"/>
      <c r="AX250" s="20">
        <v>37213.0</v>
      </c>
      <c r="AY250" s="19" t="s">
        <v>2338</v>
      </c>
      <c r="AZ250" s="19" t="s">
        <v>2122</v>
      </c>
      <c r="BA250" s="19" t="s">
        <v>6667</v>
      </c>
      <c r="BB250" s="19" t="s">
        <v>6668</v>
      </c>
      <c r="BC250" s="19" t="s">
        <v>6669</v>
      </c>
      <c r="BD250" s="19" t="s">
        <v>6670</v>
      </c>
      <c r="BE250" s="19" t="s">
        <v>6662</v>
      </c>
      <c r="BF250" s="19">
        <v>1.1936197879E10</v>
      </c>
      <c r="BG250" s="19" t="s">
        <v>2127</v>
      </c>
      <c r="BH250" s="19" t="s">
        <v>2128</v>
      </c>
      <c r="BI250" s="19"/>
      <c r="BJ250" s="19"/>
      <c r="BK250" s="19" t="s">
        <v>16</v>
      </c>
      <c r="BL250" s="19" t="s">
        <v>2113</v>
      </c>
      <c r="BM250" s="19" t="s">
        <v>5796</v>
      </c>
      <c r="BN250" s="19" t="s">
        <v>17</v>
      </c>
      <c r="BO250" s="19" t="s">
        <v>2132</v>
      </c>
      <c r="BP250" s="19"/>
      <c r="BQ250" s="19" t="s">
        <v>2174</v>
      </c>
      <c r="BR250" s="19" t="s">
        <v>2174</v>
      </c>
      <c r="BS250" s="19" t="s">
        <v>2134</v>
      </c>
      <c r="BT250" s="19" t="s">
        <v>21</v>
      </c>
      <c r="BU250" s="19" t="s">
        <v>6671</v>
      </c>
      <c r="BV250" s="19"/>
      <c r="BW250" s="19"/>
      <c r="BX250" s="19"/>
      <c r="BY250" s="19" t="s">
        <v>2113</v>
      </c>
      <c r="BZ250" s="19" t="s">
        <v>2113</v>
      </c>
      <c r="CA250" s="19" t="s">
        <v>2113</v>
      </c>
      <c r="CB250" s="19" t="s">
        <v>2113</v>
      </c>
      <c r="CC250" s="19"/>
      <c r="CD250" s="19" t="s">
        <v>2137</v>
      </c>
      <c r="CE250" s="19" t="s">
        <v>16</v>
      </c>
      <c r="CF250" s="19"/>
      <c r="CG250" s="19"/>
      <c r="CH250" s="19" t="s">
        <v>16</v>
      </c>
      <c r="CI250" s="21">
        <v>0.0</v>
      </c>
      <c r="CJ250" s="19" t="s">
        <v>17</v>
      </c>
      <c r="CK250" s="19"/>
      <c r="CL250" s="19"/>
      <c r="CM250" s="19" t="s">
        <v>2344</v>
      </c>
      <c r="CN250" s="19" t="s">
        <v>2204</v>
      </c>
      <c r="CO250" s="19"/>
      <c r="CP250" s="19" t="s">
        <v>2134</v>
      </c>
      <c r="CQ250" s="19"/>
      <c r="CR250" s="19" t="s">
        <v>2113</v>
      </c>
      <c r="CS250" s="19" t="s">
        <v>2113</v>
      </c>
      <c r="CT250" s="19" t="s">
        <v>2113</v>
      </c>
      <c r="CU250" s="19" t="s">
        <v>2113</v>
      </c>
      <c r="CV250" s="19" t="s">
        <v>2141</v>
      </c>
      <c r="CW250" s="19" t="s">
        <v>2113</v>
      </c>
      <c r="CX250" s="19" t="s">
        <v>2113</v>
      </c>
      <c r="CY250" s="19" t="s">
        <v>2113</v>
      </c>
      <c r="CZ250" s="19" t="s">
        <v>2113</v>
      </c>
      <c r="DA250" s="19" t="s">
        <v>16</v>
      </c>
      <c r="DB250" s="19" t="s">
        <v>17</v>
      </c>
      <c r="DC250" s="19" t="s">
        <v>2270</v>
      </c>
      <c r="DD250" s="19" t="s">
        <v>2113</v>
      </c>
      <c r="DE250" s="19" t="s">
        <v>2113</v>
      </c>
      <c r="DF250" s="19" t="s">
        <v>2804</v>
      </c>
      <c r="DG250" s="19" t="s">
        <v>2433</v>
      </c>
      <c r="DH250" s="19" t="s">
        <v>2144</v>
      </c>
      <c r="DI250" s="24">
        <v>45519.0</v>
      </c>
      <c r="DJ250" s="19" t="s">
        <v>2174</v>
      </c>
      <c r="DK250" s="19" t="s">
        <v>2271</v>
      </c>
      <c r="DL250" s="19" t="s">
        <v>2183</v>
      </c>
      <c r="DM250" s="19" t="s">
        <v>2272</v>
      </c>
      <c r="DN250" s="19">
        <v>6.0</v>
      </c>
      <c r="DO250" s="19">
        <v>6.0</v>
      </c>
      <c r="DP250" s="19" t="s">
        <v>6672</v>
      </c>
      <c r="DQ250" s="19" t="s">
        <v>6673</v>
      </c>
      <c r="DR250" s="19" t="s">
        <v>6674</v>
      </c>
      <c r="DS250" s="19" t="s">
        <v>2151</v>
      </c>
      <c r="DT250" s="19" t="s">
        <v>2229</v>
      </c>
      <c r="DU250" s="19"/>
      <c r="DV250" s="19"/>
      <c r="DW250" s="19" t="s">
        <v>2153</v>
      </c>
      <c r="DX250" s="19">
        <v>14.0</v>
      </c>
      <c r="DY250" s="19">
        <v>10.0</v>
      </c>
      <c r="DZ250" s="19">
        <v>0.0</v>
      </c>
      <c r="EA250" s="19">
        <v>10.0</v>
      </c>
      <c r="EB250" s="19">
        <v>0.0</v>
      </c>
      <c r="EC250" s="19">
        <v>0.0</v>
      </c>
      <c r="ED250" s="19" t="s">
        <v>2174</v>
      </c>
      <c r="EE250" s="24">
        <v>45519.0</v>
      </c>
      <c r="EF250" s="19" t="s">
        <v>2174</v>
      </c>
      <c r="EG250" s="19" t="s">
        <v>2271</v>
      </c>
      <c r="EH250" s="19" t="s">
        <v>2183</v>
      </c>
      <c r="EI250" s="22">
        <v>12.375</v>
      </c>
      <c r="EJ250" s="19">
        <v>45.0</v>
      </c>
      <c r="EK250" s="19" t="s">
        <v>2113</v>
      </c>
      <c r="EL250" s="19" t="s">
        <v>2163</v>
      </c>
      <c r="EM250" s="19" t="s">
        <v>2335</v>
      </c>
      <c r="EN250" s="19" t="s">
        <v>742</v>
      </c>
      <c r="EO250" s="19" t="s">
        <v>2338</v>
      </c>
      <c r="EP250" s="19" t="s">
        <v>2122</v>
      </c>
      <c r="EQ250" s="19" t="s">
        <v>2204</v>
      </c>
      <c r="ER250" s="19"/>
      <c r="ES250" s="19" t="s">
        <v>742</v>
      </c>
      <c r="ET250" s="19" t="s">
        <v>742</v>
      </c>
      <c r="EU250" s="19" t="s">
        <v>6663</v>
      </c>
      <c r="EV250" s="19">
        <v>8248.0</v>
      </c>
      <c r="EW250" s="19" t="s">
        <v>16</v>
      </c>
      <c r="EX250" s="19">
        <v>5.0</v>
      </c>
      <c r="EY250" s="25" t="s">
        <v>741</v>
      </c>
      <c r="EZ250" s="19" t="s">
        <v>2154</v>
      </c>
      <c r="FA250" s="5" t="s">
        <v>6675</v>
      </c>
      <c r="FB250" s="26" t="s">
        <v>2156</v>
      </c>
      <c r="FC250" s="26"/>
    </row>
    <row r="251">
      <c r="A251" s="19" t="s">
        <v>2112</v>
      </c>
      <c r="B251" s="19"/>
      <c r="C251" s="19" t="s">
        <v>2113</v>
      </c>
      <c r="D251" s="19" t="s">
        <v>6676</v>
      </c>
      <c r="E251" s="19" t="s">
        <v>6677</v>
      </c>
      <c r="F251" s="19" t="s">
        <v>743</v>
      </c>
      <c r="G251" s="19" t="s">
        <v>6678</v>
      </c>
      <c r="H251" s="19" t="s">
        <v>743</v>
      </c>
      <c r="I251" s="19" t="s">
        <v>745</v>
      </c>
      <c r="J251" s="19" t="s">
        <v>6679</v>
      </c>
      <c r="K251" s="19" t="s">
        <v>6680</v>
      </c>
      <c r="L251" s="20">
        <v>45441.0</v>
      </c>
      <c r="M251" s="20">
        <v>45441.0</v>
      </c>
      <c r="N251" s="20">
        <v>45441.0</v>
      </c>
      <c r="O251" s="19" t="s">
        <v>744</v>
      </c>
      <c r="P251" s="19">
        <v>0.0</v>
      </c>
      <c r="Q251" s="19">
        <v>20.0</v>
      </c>
      <c r="R251" s="19">
        <v>7524.0</v>
      </c>
      <c r="S251" s="20" t="s">
        <v>6681</v>
      </c>
      <c r="T251" s="20">
        <v>45461.0</v>
      </c>
      <c r="U251" s="19" t="s">
        <v>743</v>
      </c>
      <c r="V251" s="19"/>
      <c r="W251" s="19"/>
      <c r="X251" s="21">
        <v>0.0</v>
      </c>
      <c r="Y251" s="21">
        <v>10.0</v>
      </c>
      <c r="Z251" s="21">
        <v>5.0</v>
      </c>
      <c r="AA251" s="21">
        <v>0.0</v>
      </c>
      <c r="AB251" s="5">
        <v>15.0</v>
      </c>
      <c r="AC251" s="19">
        <v>4.2</v>
      </c>
      <c r="AD251" s="19">
        <v>3.6</v>
      </c>
      <c r="AE251" s="19">
        <v>4.4</v>
      </c>
      <c r="AF251" s="19">
        <v>4.4</v>
      </c>
      <c r="AG251" s="19">
        <v>3.6</v>
      </c>
      <c r="AH251" s="19">
        <v>4.6</v>
      </c>
      <c r="AI251" s="22">
        <v>12.356250000000001</v>
      </c>
      <c r="AJ251" s="19">
        <v>15.0</v>
      </c>
      <c r="AK251" s="19">
        <v>15.0</v>
      </c>
      <c r="AL251" s="19">
        <v>15.0</v>
      </c>
      <c r="AM251" s="19">
        <v>45.0</v>
      </c>
      <c r="AN251" s="19">
        <v>57.4</v>
      </c>
      <c r="AO251" s="19">
        <v>72.4</v>
      </c>
      <c r="AP251" s="19">
        <v>500.0</v>
      </c>
      <c r="AQ251" s="23">
        <v>244.0</v>
      </c>
      <c r="AR251" s="23">
        <v>35.0</v>
      </c>
      <c r="AS251" s="22"/>
      <c r="AT251" s="19" t="s">
        <v>2282</v>
      </c>
      <c r="AU251" s="19" t="s">
        <v>6682</v>
      </c>
      <c r="AV251" s="19" t="s">
        <v>6683</v>
      </c>
      <c r="AW251" s="19" t="s">
        <v>6684</v>
      </c>
      <c r="AX251" s="20">
        <v>37937.0</v>
      </c>
      <c r="AY251" s="19" t="s">
        <v>2167</v>
      </c>
      <c r="AZ251" s="19" t="s">
        <v>2122</v>
      </c>
      <c r="BA251" s="19" t="s">
        <v>6685</v>
      </c>
      <c r="BB251" s="19" t="s">
        <v>6686</v>
      </c>
      <c r="BC251" s="19" t="s">
        <v>6687</v>
      </c>
      <c r="BD251" s="19" t="s">
        <v>6688</v>
      </c>
      <c r="BE251" s="19" t="s">
        <v>6679</v>
      </c>
      <c r="BF251" s="19">
        <v>1.1949214286E10</v>
      </c>
      <c r="BG251" s="19" t="s">
        <v>2127</v>
      </c>
      <c r="BH251" s="19" t="s">
        <v>2128</v>
      </c>
      <c r="BI251" s="19"/>
      <c r="BJ251" s="19"/>
      <c r="BK251" s="19" t="s">
        <v>16</v>
      </c>
      <c r="BL251" s="19"/>
      <c r="BM251" s="19" t="s">
        <v>5411</v>
      </c>
      <c r="BN251" s="19" t="s">
        <v>17</v>
      </c>
      <c r="BO251" s="19" t="s">
        <v>2132</v>
      </c>
      <c r="BP251" s="19"/>
      <c r="BQ251" s="19" t="s">
        <v>2174</v>
      </c>
      <c r="BR251" s="19" t="s">
        <v>2174</v>
      </c>
      <c r="BS251" s="19" t="s">
        <v>2134</v>
      </c>
      <c r="BT251" s="19" t="s">
        <v>21</v>
      </c>
      <c r="BU251" s="19" t="s">
        <v>6689</v>
      </c>
      <c r="BV251" s="19"/>
      <c r="BW251" s="19" t="s">
        <v>2113</v>
      </c>
      <c r="BX251" s="19"/>
      <c r="BY251" s="19"/>
      <c r="BZ251" s="19"/>
      <c r="CA251" s="19"/>
      <c r="CB251" s="19" t="s">
        <v>2113</v>
      </c>
      <c r="CC251" s="19"/>
      <c r="CD251" s="19" t="s">
        <v>2137</v>
      </c>
      <c r="CE251" s="19" t="s">
        <v>16</v>
      </c>
      <c r="CF251" s="19"/>
      <c r="CG251" s="19"/>
      <c r="CH251" s="19" t="s">
        <v>16</v>
      </c>
      <c r="CI251" s="21">
        <v>0.0</v>
      </c>
      <c r="CJ251" s="19" t="s">
        <v>16</v>
      </c>
      <c r="CK251" s="19"/>
      <c r="CL251" s="19"/>
      <c r="CM251" s="19" t="s">
        <v>2344</v>
      </c>
      <c r="CN251" s="19" t="s">
        <v>2176</v>
      </c>
      <c r="CO251" s="19"/>
      <c r="CP251" s="19" t="s">
        <v>2178</v>
      </c>
      <c r="CQ251" s="19"/>
      <c r="CR251" s="19"/>
      <c r="CS251" s="19"/>
      <c r="CT251" s="19" t="s">
        <v>2113</v>
      </c>
      <c r="CU251" s="19" t="s">
        <v>2113</v>
      </c>
      <c r="CV251" s="19" t="s">
        <v>2141</v>
      </c>
      <c r="CW251" s="19" t="s">
        <v>2113</v>
      </c>
      <c r="CX251" s="19" t="s">
        <v>2113</v>
      </c>
      <c r="CY251" s="19" t="s">
        <v>2113</v>
      </c>
      <c r="CZ251" s="19" t="s">
        <v>2113</v>
      </c>
      <c r="DA251" s="19" t="s">
        <v>16</v>
      </c>
      <c r="DB251" s="19" t="s">
        <v>16</v>
      </c>
      <c r="DC251" s="19" t="s">
        <v>2226</v>
      </c>
      <c r="DD251" s="19" t="s">
        <v>2113</v>
      </c>
      <c r="DE251" s="19" t="s">
        <v>2113</v>
      </c>
      <c r="DF251" s="19" t="s">
        <v>2345</v>
      </c>
      <c r="DG251" s="19" t="s">
        <v>2182</v>
      </c>
      <c r="DH251" s="19" t="s">
        <v>2144</v>
      </c>
      <c r="DI251" s="24">
        <v>45518.0</v>
      </c>
      <c r="DJ251" s="19" t="s">
        <v>2174</v>
      </c>
      <c r="DK251" s="19" t="s">
        <v>2145</v>
      </c>
      <c r="DL251" s="19" t="s">
        <v>2183</v>
      </c>
      <c r="DM251" s="19" t="s">
        <v>2228</v>
      </c>
      <c r="DN251" s="19">
        <v>3.0</v>
      </c>
      <c r="DO251" s="19">
        <v>3.0</v>
      </c>
      <c r="DP251" s="19" t="s">
        <v>6690</v>
      </c>
      <c r="DQ251" s="19" t="s">
        <v>6691</v>
      </c>
      <c r="DR251" s="19" t="s">
        <v>6692</v>
      </c>
      <c r="DS251" s="19" t="s">
        <v>2151</v>
      </c>
      <c r="DT251" s="19" t="s">
        <v>2229</v>
      </c>
      <c r="DU251" s="19"/>
      <c r="DV251" s="19"/>
      <c r="DW251" s="19" t="s">
        <v>2153</v>
      </c>
      <c r="DX251" s="19">
        <v>13.0</v>
      </c>
      <c r="DY251" s="19">
        <v>10.0</v>
      </c>
      <c r="DZ251" s="19">
        <v>0.0</v>
      </c>
      <c r="EA251" s="19">
        <v>10.0</v>
      </c>
      <c r="EB251" s="19">
        <v>0.0</v>
      </c>
      <c r="EC251" s="19">
        <v>0.0</v>
      </c>
      <c r="ED251" s="19" t="s">
        <v>2174</v>
      </c>
      <c r="EE251" s="24">
        <v>45518.0</v>
      </c>
      <c r="EF251" s="19" t="s">
        <v>2174</v>
      </c>
      <c r="EG251" s="19" t="s">
        <v>2145</v>
      </c>
      <c r="EH251" s="19" t="s">
        <v>2183</v>
      </c>
      <c r="EI251" s="22">
        <v>12.356250000000001</v>
      </c>
      <c r="EJ251" s="19">
        <v>45.0</v>
      </c>
      <c r="EK251" s="19"/>
      <c r="EL251" s="19" t="s">
        <v>2282</v>
      </c>
      <c r="EM251" s="19" t="s">
        <v>6682</v>
      </c>
      <c r="EN251" s="19" t="s">
        <v>745</v>
      </c>
      <c r="EO251" s="19" t="s">
        <v>2167</v>
      </c>
      <c r="EP251" s="19" t="s">
        <v>2122</v>
      </c>
      <c r="EQ251" s="19" t="s">
        <v>2176</v>
      </c>
      <c r="ER251" s="19"/>
      <c r="ES251" s="19" t="s">
        <v>745</v>
      </c>
      <c r="ET251" s="19" t="s">
        <v>745</v>
      </c>
      <c r="EU251" s="19" t="s">
        <v>6680</v>
      </c>
      <c r="EV251" s="19">
        <v>7524.0</v>
      </c>
      <c r="EW251" s="19" t="s">
        <v>16</v>
      </c>
      <c r="EX251" s="19">
        <v>5.0</v>
      </c>
      <c r="EY251" s="25" t="s">
        <v>744</v>
      </c>
      <c r="EZ251" s="19" t="s">
        <v>2154</v>
      </c>
      <c r="FA251" s="5" t="s">
        <v>6693</v>
      </c>
      <c r="FB251" s="26" t="s">
        <v>2156</v>
      </c>
      <c r="FC251" s="26"/>
    </row>
    <row r="252">
      <c r="A252" s="19" t="s">
        <v>17</v>
      </c>
      <c r="B252" s="19"/>
      <c r="C252" s="19" t="s">
        <v>2113</v>
      </c>
      <c r="D252" s="19" t="s">
        <v>6694</v>
      </c>
      <c r="E252" s="19" t="s">
        <v>6695</v>
      </c>
      <c r="F252" s="19" t="s">
        <v>6696</v>
      </c>
      <c r="G252" s="19" t="s">
        <v>6697</v>
      </c>
      <c r="H252" s="19" t="s">
        <v>746</v>
      </c>
      <c r="I252" s="19" t="s">
        <v>748</v>
      </c>
      <c r="J252" s="19" t="s">
        <v>6698</v>
      </c>
      <c r="K252" s="19" t="s">
        <v>6699</v>
      </c>
      <c r="L252" s="20">
        <v>45450.0</v>
      </c>
      <c r="M252" s="20">
        <v>45450.0</v>
      </c>
      <c r="N252" s="20">
        <v>45450.0</v>
      </c>
      <c r="O252" s="19" t="s">
        <v>747</v>
      </c>
      <c r="P252" s="19">
        <v>0.0</v>
      </c>
      <c r="Q252" s="19">
        <v>21.0</v>
      </c>
      <c r="R252" s="19">
        <v>8019.0</v>
      </c>
      <c r="S252" s="20" t="s">
        <v>6700</v>
      </c>
      <c r="T252" s="20">
        <v>45461.0</v>
      </c>
      <c r="U252" s="19" t="s">
        <v>6696</v>
      </c>
      <c r="V252" s="19"/>
      <c r="W252" s="19"/>
      <c r="X252" s="21">
        <v>0.0</v>
      </c>
      <c r="Y252" s="21">
        <v>10.0</v>
      </c>
      <c r="Z252" s="21">
        <v>3.0</v>
      </c>
      <c r="AA252" s="21">
        <v>0.0</v>
      </c>
      <c r="AB252" s="5">
        <v>13.0</v>
      </c>
      <c r="AC252" s="19">
        <v>4.5</v>
      </c>
      <c r="AD252" s="19">
        <v>5.0</v>
      </c>
      <c r="AE252" s="19">
        <v>5.0</v>
      </c>
      <c r="AF252" s="19">
        <v>4.5</v>
      </c>
      <c r="AG252" s="19">
        <v>5.0</v>
      </c>
      <c r="AH252" s="19">
        <v>4.5</v>
      </c>
      <c r="AI252" s="22">
        <v>14.390625</v>
      </c>
      <c r="AJ252" s="19">
        <v>15.0</v>
      </c>
      <c r="AK252" s="19">
        <v>15.0</v>
      </c>
      <c r="AL252" s="19">
        <v>15.0</v>
      </c>
      <c r="AM252" s="19">
        <v>45.0</v>
      </c>
      <c r="AN252" s="19">
        <v>59.4</v>
      </c>
      <c r="AO252" s="19">
        <v>72.4</v>
      </c>
      <c r="AP252" s="19">
        <v>743.0</v>
      </c>
      <c r="AQ252" s="23">
        <v>245.0</v>
      </c>
      <c r="AR252" s="23">
        <v>16.0</v>
      </c>
      <c r="AS252" s="22"/>
      <c r="AT252" s="19" t="s">
        <v>2117</v>
      </c>
      <c r="AU252" s="19" t="s">
        <v>6701</v>
      </c>
      <c r="AV252" s="19" t="s">
        <v>6702</v>
      </c>
      <c r="AW252" s="19" t="s">
        <v>6703</v>
      </c>
      <c r="AX252" s="20">
        <v>37442.0</v>
      </c>
      <c r="AY252" s="19" t="s">
        <v>3826</v>
      </c>
      <c r="AZ252" s="19" t="s">
        <v>2310</v>
      </c>
      <c r="BA252" s="19" t="s">
        <v>6704</v>
      </c>
      <c r="BB252" s="19" t="s">
        <v>6705</v>
      </c>
      <c r="BC252" s="19" t="s">
        <v>6706</v>
      </c>
      <c r="BD252" s="19" t="s">
        <v>6707</v>
      </c>
      <c r="BE252" s="19" t="s">
        <v>6708</v>
      </c>
      <c r="BF252" s="19" t="s">
        <v>2177</v>
      </c>
      <c r="BG252" s="19" t="s">
        <v>2127</v>
      </c>
      <c r="BH252" s="19" t="s">
        <v>2128</v>
      </c>
      <c r="BI252" s="19"/>
      <c r="BJ252" s="19"/>
      <c r="BK252" s="19" t="s">
        <v>16</v>
      </c>
      <c r="BL252" s="19"/>
      <c r="BM252" s="19" t="s">
        <v>5411</v>
      </c>
      <c r="BN252" s="19" t="s">
        <v>2172</v>
      </c>
      <c r="BO252" s="19" t="s">
        <v>2473</v>
      </c>
      <c r="BP252" s="19" t="s">
        <v>6709</v>
      </c>
      <c r="BQ252" s="19" t="s">
        <v>3832</v>
      </c>
      <c r="BR252" s="19" t="s">
        <v>3832</v>
      </c>
      <c r="BS252" s="19" t="s">
        <v>2134</v>
      </c>
      <c r="BT252" s="19" t="s">
        <v>268</v>
      </c>
      <c r="BU252" s="19"/>
      <c r="BV252" s="19"/>
      <c r="BW252" s="19" t="s">
        <v>2113</v>
      </c>
      <c r="BX252" s="19"/>
      <c r="BY252" s="19"/>
      <c r="BZ252" s="19"/>
      <c r="CA252" s="19"/>
      <c r="CB252" s="19" t="s">
        <v>2113</v>
      </c>
      <c r="CC252" s="19"/>
      <c r="CD252" s="19" t="s">
        <v>2137</v>
      </c>
      <c r="CE252" s="19" t="s">
        <v>16</v>
      </c>
      <c r="CF252" s="19"/>
      <c r="CG252" s="19"/>
      <c r="CH252" s="19" t="s">
        <v>16</v>
      </c>
      <c r="CI252" s="21">
        <v>0.0</v>
      </c>
      <c r="CJ252" s="19" t="s">
        <v>17</v>
      </c>
      <c r="CK252" s="19"/>
      <c r="CL252" s="19"/>
      <c r="CM252" s="19" t="s">
        <v>2138</v>
      </c>
      <c r="CN252" s="19" t="s">
        <v>3835</v>
      </c>
      <c r="CO252" s="19"/>
      <c r="CP252" s="19"/>
      <c r="CQ252" s="19"/>
      <c r="CR252" s="19" t="s">
        <v>2113</v>
      </c>
      <c r="CS252" s="19" t="s">
        <v>2113</v>
      </c>
      <c r="CT252" s="19" t="s">
        <v>2113</v>
      </c>
      <c r="CU252" s="19" t="s">
        <v>2113</v>
      </c>
      <c r="CV252" s="19" t="s">
        <v>2141</v>
      </c>
      <c r="CW252" s="19" t="s">
        <v>2113</v>
      </c>
      <c r="CX252" s="19" t="s">
        <v>2113</v>
      </c>
      <c r="CY252" s="19" t="s">
        <v>2113</v>
      </c>
      <c r="CZ252" s="19" t="s">
        <v>2113</v>
      </c>
      <c r="DA252" s="19" t="s">
        <v>16</v>
      </c>
      <c r="DB252" s="19" t="s">
        <v>17</v>
      </c>
      <c r="DC252" s="19" t="s">
        <v>3836</v>
      </c>
      <c r="DD252" s="19" t="s">
        <v>2113</v>
      </c>
      <c r="DE252" s="19" t="s">
        <v>2113</v>
      </c>
      <c r="DF252" s="19" t="s">
        <v>5145</v>
      </c>
      <c r="DG252" s="19" t="s">
        <v>4084</v>
      </c>
      <c r="DH252" s="19" t="s">
        <v>2144</v>
      </c>
      <c r="DI252" s="24">
        <v>45519.0</v>
      </c>
      <c r="DJ252" s="19" t="s">
        <v>3257</v>
      </c>
      <c r="DK252" s="19" t="s">
        <v>2271</v>
      </c>
      <c r="DL252" s="19" t="s">
        <v>2207</v>
      </c>
      <c r="DM252" s="22" t="s">
        <v>5286</v>
      </c>
      <c r="DN252" s="19">
        <v>3.0</v>
      </c>
      <c r="DO252" s="19">
        <v>3.0</v>
      </c>
      <c r="DP252" s="19" t="s">
        <v>6710</v>
      </c>
      <c r="DQ252" s="19" t="s">
        <v>6711</v>
      </c>
      <c r="DR252" s="19" t="s">
        <v>6712</v>
      </c>
      <c r="DS252" s="19" t="s">
        <v>2185</v>
      </c>
      <c r="DT252" s="19" t="s">
        <v>2350</v>
      </c>
      <c r="DU252" s="19"/>
      <c r="DV252" s="19"/>
      <c r="DW252" s="19" t="s">
        <v>2153</v>
      </c>
      <c r="DX252" s="19">
        <v>2.0</v>
      </c>
      <c r="DY252" s="19">
        <v>10.0</v>
      </c>
      <c r="DZ252" s="19">
        <v>0.0</v>
      </c>
      <c r="EA252" s="19">
        <v>10.0</v>
      </c>
      <c r="EB252" s="19">
        <v>0.0</v>
      </c>
      <c r="EC252" s="19">
        <v>0.0</v>
      </c>
      <c r="ED252" s="19" t="s">
        <v>3257</v>
      </c>
      <c r="EE252" s="24">
        <v>45519.0</v>
      </c>
      <c r="EF252" s="19" t="s">
        <v>3257</v>
      </c>
      <c r="EG252" s="19" t="s">
        <v>2271</v>
      </c>
      <c r="EH252" s="19" t="s">
        <v>2207</v>
      </c>
      <c r="EI252" s="22">
        <v>14.390625</v>
      </c>
      <c r="EJ252" s="19">
        <v>45.0</v>
      </c>
      <c r="EK252" s="19" t="s">
        <v>2113</v>
      </c>
      <c r="EL252" s="19" t="s">
        <v>2117</v>
      </c>
      <c r="EM252" s="19" t="s">
        <v>6701</v>
      </c>
      <c r="EN252" s="19" t="s">
        <v>748</v>
      </c>
      <c r="EO252" s="19" t="s">
        <v>3826</v>
      </c>
      <c r="EP252" s="19" t="s">
        <v>2310</v>
      </c>
      <c r="EQ252" s="19" t="s">
        <v>3835</v>
      </c>
      <c r="ER252" s="19"/>
      <c r="ES252" s="19" t="s">
        <v>748</v>
      </c>
      <c r="ET252" s="19" t="s">
        <v>748</v>
      </c>
      <c r="EU252" s="19" t="s">
        <v>6699</v>
      </c>
      <c r="EV252" s="19">
        <v>8019.0</v>
      </c>
      <c r="EW252" s="19" t="s">
        <v>16</v>
      </c>
      <c r="EX252" s="19">
        <v>3.0</v>
      </c>
      <c r="EY252" s="25" t="s">
        <v>747</v>
      </c>
      <c r="EZ252" s="19" t="s">
        <v>2154</v>
      </c>
      <c r="FA252" s="5" t="s">
        <v>6713</v>
      </c>
      <c r="FB252" s="26" t="s">
        <v>2156</v>
      </c>
      <c r="FC252" s="26"/>
    </row>
    <row r="253">
      <c r="A253" s="19" t="s">
        <v>2112</v>
      </c>
      <c r="B253" s="19"/>
      <c r="C253" s="19" t="s">
        <v>2113</v>
      </c>
      <c r="D253" s="19" t="s">
        <v>749</v>
      </c>
      <c r="E253" s="19" t="s">
        <v>6714</v>
      </c>
      <c r="F253" s="19" t="s">
        <v>749</v>
      </c>
      <c r="G253" s="19"/>
      <c r="H253" s="19" t="s">
        <v>749</v>
      </c>
      <c r="I253" s="19" t="s">
        <v>751</v>
      </c>
      <c r="J253" s="19" t="s">
        <v>6715</v>
      </c>
      <c r="K253" s="19" t="s">
        <v>6716</v>
      </c>
      <c r="L253" s="20">
        <v>45446.0</v>
      </c>
      <c r="M253" s="20">
        <v>45447.0</v>
      </c>
      <c r="N253" s="20">
        <v>45447.0</v>
      </c>
      <c r="O253" s="19" t="s">
        <v>750</v>
      </c>
      <c r="P253" s="19">
        <v>0.0</v>
      </c>
      <c r="Q253" s="19">
        <v>20.0</v>
      </c>
      <c r="R253" s="19">
        <v>7487.0</v>
      </c>
      <c r="S253" s="20" t="s">
        <v>6717</v>
      </c>
      <c r="T253" s="20">
        <v>45461.0</v>
      </c>
      <c r="U253" s="19" t="s">
        <v>749</v>
      </c>
      <c r="V253" s="19"/>
      <c r="W253" s="19"/>
      <c r="X253" s="21">
        <v>0.0</v>
      </c>
      <c r="Y253" s="21">
        <v>10.0</v>
      </c>
      <c r="Z253" s="21">
        <v>5.0</v>
      </c>
      <c r="AA253" s="21">
        <v>0.0</v>
      </c>
      <c r="AB253" s="5">
        <v>15.0</v>
      </c>
      <c r="AC253" s="19">
        <v>5.0</v>
      </c>
      <c r="AD253" s="19">
        <v>5.0</v>
      </c>
      <c r="AE253" s="19">
        <v>5.0</v>
      </c>
      <c r="AF253" s="19">
        <v>5.0</v>
      </c>
      <c r="AG253" s="19">
        <v>4.0</v>
      </c>
      <c r="AH253" s="19">
        <v>4.0</v>
      </c>
      <c r="AI253" s="22">
        <v>14.25</v>
      </c>
      <c r="AJ253" s="19">
        <v>14.0</v>
      </c>
      <c r="AK253" s="19">
        <v>14.0</v>
      </c>
      <c r="AL253" s="19">
        <v>15.0</v>
      </c>
      <c r="AM253" s="19">
        <v>43.0</v>
      </c>
      <c r="AN253" s="19">
        <v>57.3</v>
      </c>
      <c r="AO253" s="19">
        <v>72.3</v>
      </c>
      <c r="AP253" s="19">
        <v>503.0</v>
      </c>
      <c r="AQ253" s="23">
        <v>246.0</v>
      </c>
      <c r="AR253" s="23">
        <v>27.0</v>
      </c>
      <c r="AS253" s="22"/>
      <c r="AT253" s="19" t="s">
        <v>2282</v>
      </c>
      <c r="AU253" s="19" t="s">
        <v>6718</v>
      </c>
      <c r="AV253" s="19" t="s">
        <v>6719</v>
      </c>
      <c r="AW253" s="19"/>
      <c r="AX253" s="20">
        <v>37974.0</v>
      </c>
      <c r="AY253" s="19" t="s">
        <v>2121</v>
      </c>
      <c r="AZ253" s="19" t="s">
        <v>2995</v>
      </c>
      <c r="BA253" s="19" t="s">
        <v>6720</v>
      </c>
      <c r="BB253" s="19" t="s">
        <v>2531</v>
      </c>
      <c r="BC253" s="19" t="s">
        <v>6721</v>
      </c>
      <c r="BD253" s="19" t="s">
        <v>6722</v>
      </c>
      <c r="BE253" s="19" t="s">
        <v>6723</v>
      </c>
      <c r="BF253" s="19">
        <v>1.1958084715E10</v>
      </c>
      <c r="BG253" s="19" t="s">
        <v>2127</v>
      </c>
      <c r="BH253" s="19" t="s">
        <v>2128</v>
      </c>
      <c r="BI253" s="19"/>
      <c r="BJ253" s="19" t="s">
        <v>2128</v>
      </c>
      <c r="BK253" s="19" t="s">
        <v>17</v>
      </c>
      <c r="BL253" s="19" t="s">
        <v>2113</v>
      </c>
      <c r="BM253" s="19" t="s">
        <v>5563</v>
      </c>
      <c r="BN253" s="19" t="s">
        <v>2131</v>
      </c>
      <c r="BO253" s="19" t="s">
        <v>2132</v>
      </c>
      <c r="BP253" s="19"/>
      <c r="BQ253" s="19" t="s">
        <v>2133</v>
      </c>
      <c r="BR253" s="19" t="s">
        <v>2133</v>
      </c>
      <c r="BS253" s="19" t="s">
        <v>2134</v>
      </c>
      <c r="BT253" s="19" t="s">
        <v>15</v>
      </c>
      <c r="BU253" s="19" t="s">
        <v>3001</v>
      </c>
      <c r="BV253" s="19"/>
      <c r="BW253" s="19"/>
      <c r="BX253" s="19"/>
      <c r="BY253" s="19"/>
      <c r="BZ253" s="19"/>
      <c r="CA253" s="19"/>
      <c r="CB253" s="19" t="s">
        <v>2113</v>
      </c>
      <c r="CC253" s="19"/>
      <c r="CD253" s="19" t="s">
        <v>2137</v>
      </c>
      <c r="CE253" s="19" t="s">
        <v>16</v>
      </c>
      <c r="CF253" s="19"/>
      <c r="CG253" s="19"/>
      <c r="CH253" s="19" t="s">
        <v>16</v>
      </c>
      <c r="CI253" s="21">
        <v>0.0</v>
      </c>
      <c r="CJ253" s="19" t="s">
        <v>16</v>
      </c>
      <c r="CK253" s="19" t="s">
        <v>2113</v>
      </c>
      <c r="CL253" s="19"/>
      <c r="CM253" s="19" t="s">
        <v>2344</v>
      </c>
      <c r="CN253" s="19" t="s">
        <v>2139</v>
      </c>
      <c r="CO253" s="19"/>
      <c r="CP253" s="19" t="s">
        <v>2178</v>
      </c>
      <c r="CQ253" s="19"/>
      <c r="CR253" s="19" t="s">
        <v>2113</v>
      </c>
      <c r="CS253" s="19" t="s">
        <v>2113</v>
      </c>
      <c r="CT253" s="19"/>
      <c r="CU253" s="19"/>
      <c r="CV253" s="19" t="s">
        <v>2141</v>
      </c>
      <c r="CW253" s="19"/>
      <c r="CX253" s="19"/>
      <c r="CY253" s="19"/>
      <c r="CZ253" s="19"/>
      <c r="DA253" s="19" t="s">
        <v>16</v>
      </c>
      <c r="DB253" s="19" t="s">
        <v>16</v>
      </c>
      <c r="DC253" s="19" t="s">
        <v>4120</v>
      </c>
      <c r="DD253" s="19"/>
      <c r="DE253" s="19"/>
      <c r="DF253" s="19" t="s">
        <v>3782</v>
      </c>
      <c r="DG253" s="19" t="s">
        <v>6592</v>
      </c>
      <c r="DH253" s="19" t="s">
        <v>2144</v>
      </c>
      <c r="DI253" s="24">
        <v>45525.0</v>
      </c>
      <c r="DJ253" s="19" t="s">
        <v>2133</v>
      </c>
      <c r="DK253" s="19" t="s">
        <v>2271</v>
      </c>
      <c r="DL253" s="19" t="s">
        <v>2146</v>
      </c>
      <c r="DM253" s="19" t="s">
        <v>2408</v>
      </c>
      <c r="DN253" s="19">
        <v>10.0</v>
      </c>
      <c r="DO253" s="19">
        <v>10.0</v>
      </c>
      <c r="DP253" s="19" t="s">
        <v>6724</v>
      </c>
      <c r="DQ253" s="19" t="s">
        <v>6725</v>
      </c>
      <c r="DR253" s="19" t="s">
        <v>6726</v>
      </c>
      <c r="DS253" s="19" t="s">
        <v>2365</v>
      </c>
      <c r="DT253" s="19" t="s">
        <v>2152</v>
      </c>
      <c r="DU253" s="19"/>
      <c r="DV253" s="19"/>
      <c r="DW253" s="19" t="s">
        <v>2153</v>
      </c>
      <c r="DX253" s="19">
        <v>7.0</v>
      </c>
      <c r="DY253" s="19">
        <v>10.0</v>
      </c>
      <c r="DZ253" s="19">
        <v>0.0</v>
      </c>
      <c r="EA253" s="19">
        <v>10.0</v>
      </c>
      <c r="EB253" s="19">
        <v>0.0</v>
      </c>
      <c r="EC253" s="19">
        <v>0.0</v>
      </c>
      <c r="ED253" s="19" t="s">
        <v>2133</v>
      </c>
      <c r="EE253" s="24">
        <v>45525.0</v>
      </c>
      <c r="EF253" s="19" t="s">
        <v>2133</v>
      </c>
      <c r="EG253" s="19" t="s">
        <v>2271</v>
      </c>
      <c r="EH253" s="19" t="s">
        <v>2146</v>
      </c>
      <c r="EI253" s="22">
        <v>14.25</v>
      </c>
      <c r="EJ253" s="19">
        <v>43.0</v>
      </c>
      <c r="EK253" s="19"/>
      <c r="EL253" s="19" t="s">
        <v>2282</v>
      </c>
      <c r="EM253" s="19" t="s">
        <v>6718</v>
      </c>
      <c r="EN253" s="19" t="s">
        <v>751</v>
      </c>
      <c r="EO253" s="19" t="s">
        <v>2121</v>
      </c>
      <c r="EP253" s="19" t="s">
        <v>2995</v>
      </c>
      <c r="EQ253" s="19" t="s">
        <v>2139</v>
      </c>
      <c r="ER253" s="19"/>
      <c r="ES253" s="19" t="s">
        <v>751</v>
      </c>
      <c r="ET253" s="19" t="s">
        <v>751</v>
      </c>
      <c r="EU253" s="19" t="s">
        <v>6716</v>
      </c>
      <c r="EV253" s="19">
        <v>7487.0</v>
      </c>
      <c r="EW253" s="19" t="s">
        <v>16</v>
      </c>
      <c r="EX253" s="19">
        <v>5.0</v>
      </c>
      <c r="EY253" s="25" t="s">
        <v>750</v>
      </c>
      <c r="EZ253" s="19" t="s">
        <v>2154</v>
      </c>
      <c r="FA253" s="5" t="s">
        <v>6727</v>
      </c>
      <c r="FB253" s="26" t="s">
        <v>2156</v>
      </c>
      <c r="FC253" s="26"/>
    </row>
    <row r="254">
      <c r="A254" s="19" t="s">
        <v>2156</v>
      </c>
      <c r="B254" s="19"/>
      <c r="C254" s="19" t="s">
        <v>2113</v>
      </c>
      <c r="D254" s="19" t="s">
        <v>752</v>
      </c>
      <c r="E254" s="19" t="s">
        <v>6728</v>
      </c>
      <c r="F254" s="19" t="s">
        <v>752</v>
      </c>
      <c r="G254" s="19"/>
      <c r="H254" s="19" t="s">
        <v>752</v>
      </c>
      <c r="I254" s="19" t="s">
        <v>754</v>
      </c>
      <c r="J254" s="19" t="s">
        <v>6729</v>
      </c>
      <c r="K254" s="19" t="s">
        <v>6730</v>
      </c>
      <c r="L254" s="20">
        <v>45446.0</v>
      </c>
      <c r="M254" s="20">
        <v>45447.0</v>
      </c>
      <c r="N254" s="20">
        <v>45447.0</v>
      </c>
      <c r="O254" s="19" t="s">
        <v>753</v>
      </c>
      <c r="P254" s="19">
        <v>0.0</v>
      </c>
      <c r="Q254" s="19">
        <v>23.0</v>
      </c>
      <c r="R254" s="19">
        <v>8661.0</v>
      </c>
      <c r="S254" s="20" t="s">
        <v>6731</v>
      </c>
      <c r="T254" s="20">
        <v>45461.0</v>
      </c>
      <c r="U254" s="19" t="s">
        <v>752</v>
      </c>
      <c r="V254" s="19"/>
      <c r="W254" s="19"/>
      <c r="X254" s="21">
        <v>0.0</v>
      </c>
      <c r="Y254" s="21">
        <v>10.0</v>
      </c>
      <c r="Z254" s="21">
        <v>4.0</v>
      </c>
      <c r="AA254" s="21">
        <v>3.0</v>
      </c>
      <c r="AB254" s="5">
        <v>17.0</v>
      </c>
      <c r="AC254" s="19">
        <v>4.5</v>
      </c>
      <c r="AD254" s="19">
        <v>4.5</v>
      </c>
      <c r="AE254" s="19">
        <v>4.5</v>
      </c>
      <c r="AF254" s="19">
        <v>4.0</v>
      </c>
      <c r="AG254" s="19">
        <v>4.0</v>
      </c>
      <c r="AH254" s="19">
        <v>5.0</v>
      </c>
      <c r="AI254" s="22">
        <v>13.3125</v>
      </c>
      <c r="AJ254" s="19">
        <v>15.0</v>
      </c>
      <c r="AK254" s="19">
        <v>15.0</v>
      </c>
      <c r="AL254" s="19">
        <v>12.0</v>
      </c>
      <c r="AM254" s="19">
        <v>42.0</v>
      </c>
      <c r="AN254" s="19">
        <v>55.3</v>
      </c>
      <c r="AO254" s="19">
        <v>72.3</v>
      </c>
      <c r="AP254" s="19">
        <v>377.0</v>
      </c>
      <c r="AQ254" s="23">
        <v>247.0</v>
      </c>
      <c r="AR254" s="23">
        <v>18.0</v>
      </c>
      <c r="AS254" s="22"/>
      <c r="AT254" s="19" t="s">
        <v>2117</v>
      </c>
      <c r="AU254" s="19" t="s">
        <v>6732</v>
      </c>
      <c r="AV254" s="19" t="s">
        <v>6733</v>
      </c>
      <c r="AW254" s="19" t="s">
        <v>2466</v>
      </c>
      <c r="AX254" s="20">
        <v>36800.0</v>
      </c>
      <c r="AY254" s="19" t="s">
        <v>2702</v>
      </c>
      <c r="AZ254" s="19" t="s">
        <v>2122</v>
      </c>
      <c r="BA254" s="19" t="s">
        <v>6734</v>
      </c>
      <c r="BB254" s="19" t="s">
        <v>6735</v>
      </c>
      <c r="BC254" s="19" t="s">
        <v>6736</v>
      </c>
      <c r="BD254" s="19" t="s">
        <v>6737</v>
      </c>
      <c r="BE254" s="19"/>
      <c r="BF254" s="19"/>
      <c r="BG254" s="19" t="s">
        <v>2127</v>
      </c>
      <c r="BH254" s="19" t="s">
        <v>2128</v>
      </c>
      <c r="BI254" s="19"/>
      <c r="BJ254" s="19"/>
      <c r="BK254" s="19" t="s">
        <v>16</v>
      </c>
      <c r="BL254" s="19"/>
      <c r="BM254" s="19" t="s">
        <v>5411</v>
      </c>
      <c r="BN254" s="19" t="s">
        <v>5844</v>
      </c>
      <c r="BO254" s="19" t="s">
        <v>2317</v>
      </c>
      <c r="BP254" s="19" t="s">
        <v>6738</v>
      </c>
      <c r="BQ254" s="19" t="s">
        <v>2318</v>
      </c>
      <c r="BR254" s="19" t="s">
        <v>2318</v>
      </c>
      <c r="BS254" s="19" t="s">
        <v>2134</v>
      </c>
      <c r="BT254" s="19" t="s">
        <v>42</v>
      </c>
      <c r="BU254" s="19" t="s">
        <v>6739</v>
      </c>
      <c r="BV254" s="19"/>
      <c r="BW254" s="19" t="s">
        <v>2113</v>
      </c>
      <c r="BX254" s="19"/>
      <c r="BY254" s="19"/>
      <c r="BZ254" s="19"/>
      <c r="CA254" s="19"/>
      <c r="CB254" s="19" t="s">
        <v>2113</v>
      </c>
      <c r="CC254" s="19"/>
      <c r="CD254" s="19" t="s">
        <v>2137</v>
      </c>
      <c r="CE254" s="19" t="s">
        <v>16</v>
      </c>
      <c r="CF254" s="19"/>
      <c r="CG254" s="19"/>
      <c r="CH254" s="19" t="s">
        <v>17</v>
      </c>
      <c r="CI254" s="21">
        <v>3.0</v>
      </c>
      <c r="CJ254" s="19" t="s">
        <v>17</v>
      </c>
      <c r="CK254" s="19"/>
      <c r="CL254" s="19"/>
      <c r="CM254" s="19" t="s">
        <v>2138</v>
      </c>
      <c r="CN254" s="19" t="s">
        <v>2321</v>
      </c>
      <c r="CO254" s="19"/>
      <c r="CP254" s="19"/>
      <c r="CQ254" s="19"/>
      <c r="CR254" s="19" t="s">
        <v>2113</v>
      </c>
      <c r="CS254" s="19" t="s">
        <v>2113</v>
      </c>
      <c r="CT254" s="19" t="s">
        <v>2113</v>
      </c>
      <c r="CU254" s="19" t="s">
        <v>2113</v>
      </c>
      <c r="CV254" s="19" t="s">
        <v>2179</v>
      </c>
      <c r="CW254" s="19" t="s">
        <v>2113</v>
      </c>
      <c r="CX254" s="19" t="s">
        <v>2113</v>
      </c>
      <c r="CY254" s="19"/>
      <c r="CZ254" s="19"/>
      <c r="DA254" s="19" t="s">
        <v>16</v>
      </c>
      <c r="DB254" s="19" t="s">
        <v>17</v>
      </c>
      <c r="DC254" s="19" t="s">
        <v>2322</v>
      </c>
      <c r="DD254" s="19" t="s">
        <v>2113</v>
      </c>
      <c r="DE254" s="19" t="s">
        <v>2113</v>
      </c>
      <c r="DF254" s="19" t="s">
        <v>5024</v>
      </c>
      <c r="DG254" s="19" t="s">
        <v>2982</v>
      </c>
      <c r="DH254" s="19" t="s">
        <v>2144</v>
      </c>
      <c r="DI254" s="24">
        <v>45517.0</v>
      </c>
      <c r="DJ254" s="19" t="s">
        <v>2325</v>
      </c>
      <c r="DK254" s="19" t="s">
        <v>2271</v>
      </c>
      <c r="DL254" s="19" t="s">
        <v>2326</v>
      </c>
      <c r="DM254" s="19"/>
      <c r="DN254" s="19">
        <v>2.0</v>
      </c>
      <c r="DO254" s="19">
        <v>2.0</v>
      </c>
      <c r="DP254" s="19"/>
      <c r="DQ254" s="19"/>
      <c r="DR254" s="19"/>
      <c r="DS254" s="19" t="s">
        <v>2185</v>
      </c>
      <c r="DT254" s="19" t="s">
        <v>2366</v>
      </c>
      <c r="DU254" s="19" t="s">
        <v>6740</v>
      </c>
      <c r="DV254" s="19"/>
      <c r="DW254" s="19" t="s">
        <v>2188</v>
      </c>
      <c r="DX254" s="19">
        <v>5.0</v>
      </c>
      <c r="DY254" s="19">
        <v>10.0</v>
      </c>
      <c r="DZ254" s="19">
        <v>0.0</v>
      </c>
      <c r="EA254" s="19">
        <v>10.0</v>
      </c>
      <c r="EB254" s="19">
        <v>3.0</v>
      </c>
      <c r="EC254" s="19">
        <v>0.0</v>
      </c>
      <c r="ED254" s="19" t="s">
        <v>2325</v>
      </c>
      <c r="EE254" s="24">
        <v>45517.0</v>
      </c>
      <c r="EF254" s="19" t="s">
        <v>2325</v>
      </c>
      <c r="EG254" s="19" t="s">
        <v>2271</v>
      </c>
      <c r="EH254" s="19" t="s">
        <v>2326</v>
      </c>
      <c r="EI254" s="22">
        <v>13.3125</v>
      </c>
      <c r="EJ254" s="19">
        <v>42.0</v>
      </c>
      <c r="EK254" s="19" t="s">
        <v>2113</v>
      </c>
      <c r="EL254" s="19" t="s">
        <v>2117</v>
      </c>
      <c r="EM254" s="19" t="s">
        <v>6732</v>
      </c>
      <c r="EN254" s="19" t="s">
        <v>754</v>
      </c>
      <c r="EO254" s="19" t="s">
        <v>2702</v>
      </c>
      <c r="EP254" s="19" t="s">
        <v>2122</v>
      </c>
      <c r="EQ254" s="19" t="s">
        <v>2321</v>
      </c>
      <c r="ER254" s="19"/>
      <c r="ES254" s="19" t="s">
        <v>754</v>
      </c>
      <c r="ET254" s="19" t="s">
        <v>754</v>
      </c>
      <c r="EU254" s="19" t="s">
        <v>6730</v>
      </c>
      <c r="EV254" s="19">
        <v>8661.0</v>
      </c>
      <c r="EW254" s="19" t="s">
        <v>16</v>
      </c>
      <c r="EX254" s="19">
        <v>4.0</v>
      </c>
      <c r="EY254" s="25" t="s">
        <v>753</v>
      </c>
      <c r="EZ254" s="19" t="s">
        <v>2154</v>
      </c>
      <c r="FA254" s="5" t="s">
        <v>6741</v>
      </c>
      <c r="FB254" s="26" t="s">
        <v>2156</v>
      </c>
      <c r="FC254" s="26"/>
    </row>
    <row r="255">
      <c r="A255" s="19" t="s">
        <v>2112</v>
      </c>
      <c r="B255" s="19"/>
      <c r="C255" s="19" t="s">
        <v>2113</v>
      </c>
      <c r="D255" s="19" t="s">
        <v>6742</v>
      </c>
      <c r="E255" s="19" t="s">
        <v>6743</v>
      </c>
      <c r="F255" s="19" t="s">
        <v>6744</v>
      </c>
      <c r="G255" s="19" t="s">
        <v>6745</v>
      </c>
      <c r="H255" s="19" t="s">
        <v>755</v>
      </c>
      <c r="I255" s="19" t="s">
        <v>757</v>
      </c>
      <c r="J255" s="19" t="s">
        <v>6746</v>
      </c>
      <c r="K255" s="19" t="s">
        <v>6747</v>
      </c>
      <c r="L255" s="20">
        <v>45436.0</v>
      </c>
      <c r="M255" s="20">
        <v>45439.0</v>
      </c>
      <c r="N255" s="20">
        <v>45439.0</v>
      </c>
      <c r="O255" s="19" t="s">
        <v>756</v>
      </c>
      <c r="P255" s="19">
        <v>0.0</v>
      </c>
      <c r="Q255" s="19">
        <v>27.0</v>
      </c>
      <c r="R255" s="19">
        <v>10043.0</v>
      </c>
      <c r="S255" s="20" t="s">
        <v>6748</v>
      </c>
      <c r="T255" s="20">
        <v>45461.0</v>
      </c>
      <c r="U255" s="19" t="s">
        <v>6744</v>
      </c>
      <c r="V255" s="19"/>
      <c r="W255" s="19" t="s">
        <v>6749</v>
      </c>
      <c r="X255" s="21">
        <v>0.0</v>
      </c>
      <c r="Y255" s="21">
        <v>10.0</v>
      </c>
      <c r="Z255" s="21">
        <v>5.0</v>
      </c>
      <c r="AA255" s="21">
        <v>0.0</v>
      </c>
      <c r="AB255" s="5">
        <v>15.0</v>
      </c>
      <c r="AC255" s="19">
        <v>4.0</v>
      </c>
      <c r="AD255" s="19">
        <v>3.8</v>
      </c>
      <c r="AE255" s="19">
        <v>4.0</v>
      </c>
      <c r="AF255" s="19">
        <v>4.6</v>
      </c>
      <c r="AG255" s="19">
        <v>3.8</v>
      </c>
      <c r="AH255" s="19">
        <v>4.6</v>
      </c>
      <c r="AI255" s="22">
        <v>12.243749999999999</v>
      </c>
      <c r="AJ255" s="19">
        <v>15.0</v>
      </c>
      <c r="AK255" s="19">
        <v>15.0</v>
      </c>
      <c r="AL255" s="19">
        <v>15.0</v>
      </c>
      <c r="AM255" s="19">
        <v>45.0</v>
      </c>
      <c r="AN255" s="19">
        <v>57.2</v>
      </c>
      <c r="AO255" s="19">
        <v>72.2</v>
      </c>
      <c r="AP255" s="19">
        <v>406.0</v>
      </c>
      <c r="AQ255" s="23">
        <v>248.0</v>
      </c>
      <c r="AR255" s="23">
        <v>36.0</v>
      </c>
      <c r="AS255" s="22"/>
      <c r="AT255" s="19" t="s">
        <v>2117</v>
      </c>
      <c r="AU255" s="19" t="s">
        <v>6750</v>
      </c>
      <c r="AV255" s="19" t="s">
        <v>6751</v>
      </c>
      <c r="AW255" s="19"/>
      <c r="AX255" s="20">
        <v>35418.0</v>
      </c>
      <c r="AY255" s="19" t="s">
        <v>2167</v>
      </c>
      <c r="AZ255" s="19" t="s">
        <v>2995</v>
      </c>
      <c r="BA255" s="19" t="s">
        <v>6752</v>
      </c>
      <c r="BB255" s="19" t="s">
        <v>6753</v>
      </c>
      <c r="BC255" s="19" t="s">
        <v>6754</v>
      </c>
      <c r="BD255" s="19" t="s">
        <v>6755</v>
      </c>
      <c r="BE255" s="19" t="s">
        <v>6746</v>
      </c>
      <c r="BF255" s="19">
        <v>1.1983100162E10</v>
      </c>
      <c r="BG255" s="19" t="s">
        <v>2127</v>
      </c>
      <c r="BH255" s="19" t="s">
        <v>2128</v>
      </c>
      <c r="BI255" s="19"/>
      <c r="BJ255" s="19"/>
      <c r="BK255" s="19" t="s">
        <v>16</v>
      </c>
      <c r="BL255" s="19"/>
      <c r="BM255" s="19" t="s">
        <v>5563</v>
      </c>
      <c r="BN255" s="19" t="s">
        <v>17</v>
      </c>
      <c r="BO255" s="19" t="s">
        <v>2132</v>
      </c>
      <c r="BP255" s="19"/>
      <c r="BQ255" s="19" t="s">
        <v>2174</v>
      </c>
      <c r="BR255" s="19" t="s">
        <v>2174</v>
      </c>
      <c r="BS255" s="19" t="s">
        <v>2134</v>
      </c>
      <c r="BT255" s="19" t="s">
        <v>21</v>
      </c>
      <c r="BU255" s="19" t="s">
        <v>6756</v>
      </c>
      <c r="BV255" s="19"/>
      <c r="BW255" s="19"/>
      <c r="BX255" s="19"/>
      <c r="BY255" s="19"/>
      <c r="BZ255" s="19"/>
      <c r="CA255" s="19" t="s">
        <v>2113</v>
      </c>
      <c r="CB255" s="19" t="s">
        <v>2113</v>
      </c>
      <c r="CC255" s="19"/>
      <c r="CD255" s="19" t="s">
        <v>2137</v>
      </c>
      <c r="CE255" s="19" t="s">
        <v>16</v>
      </c>
      <c r="CF255" s="19"/>
      <c r="CG255" s="19"/>
      <c r="CH255" s="19" t="s">
        <v>16</v>
      </c>
      <c r="CI255" s="21">
        <v>0.0</v>
      </c>
      <c r="CJ255" s="19" t="s">
        <v>17</v>
      </c>
      <c r="CK255" s="19"/>
      <c r="CL255" s="19"/>
      <c r="CM255" s="19" t="s">
        <v>3102</v>
      </c>
      <c r="CN255" s="19" t="s">
        <v>2176</v>
      </c>
      <c r="CO255" s="19"/>
      <c r="CP255" s="19" t="s">
        <v>2134</v>
      </c>
      <c r="CQ255" s="19"/>
      <c r="CR255" s="19" t="s">
        <v>2113</v>
      </c>
      <c r="CS255" s="19" t="s">
        <v>2113</v>
      </c>
      <c r="CT255" s="19" t="s">
        <v>2113</v>
      </c>
      <c r="CU255" s="19" t="s">
        <v>2113</v>
      </c>
      <c r="CV255" s="19" t="s">
        <v>2141</v>
      </c>
      <c r="CW255" s="19" t="s">
        <v>2113</v>
      </c>
      <c r="CX255" s="19" t="s">
        <v>2113</v>
      </c>
      <c r="CY255" s="19" t="s">
        <v>2113</v>
      </c>
      <c r="CZ255" s="19" t="s">
        <v>2113</v>
      </c>
      <c r="DA255" s="19" t="s">
        <v>16</v>
      </c>
      <c r="DB255" s="19" t="s">
        <v>17</v>
      </c>
      <c r="DC255" s="19" t="s">
        <v>2205</v>
      </c>
      <c r="DD255" s="19" t="s">
        <v>2113</v>
      </c>
      <c r="DE255" s="19" t="s">
        <v>2113</v>
      </c>
      <c r="DF255" s="19" t="s">
        <v>2769</v>
      </c>
      <c r="DG255" s="19" t="s">
        <v>6757</v>
      </c>
      <c r="DH255" s="19" t="s">
        <v>2144</v>
      </c>
      <c r="DI255" s="24">
        <v>45518.0</v>
      </c>
      <c r="DJ255" s="19" t="s">
        <v>2174</v>
      </c>
      <c r="DK255" s="19" t="s">
        <v>2145</v>
      </c>
      <c r="DL255" s="19" t="s">
        <v>2183</v>
      </c>
      <c r="DM255" s="19" t="s">
        <v>2228</v>
      </c>
      <c r="DN255" s="19">
        <v>3.0</v>
      </c>
      <c r="DO255" s="19">
        <v>3.0</v>
      </c>
      <c r="DP255" s="19" t="s">
        <v>6758</v>
      </c>
      <c r="DQ255" s="19" t="s">
        <v>6759</v>
      </c>
      <c r="DR255" s="19" t="s">
        <v>6760</v>
      </c>
      <c r="DS255" s="19" t="s">
        <v>2151</v>
      </c>
      <c r="DT255" s="19" t="s">
        <v>2301</v>
      </c>
      <c r="DU255" s="19"/>
      <c r="DV255" s="19"/>
      <c r="DW255" s="19" t="s">
        <v>2153</v>
      </c>
      <c r="DX255" s="19">
        <v>13.0</v>
      </c>
      <c r="DY255" s="19">
        <v>10.0</v>
      </c>
      <c r="DZ255" s="19">
        <v>0.0</v>
      </c>
      <c r="EA255" s="19">
        <v>10.0</v>
      </c>
      <c r="EB255" s="19">
        <v>0.0</v>
      </c>
      <c r="EC255" s="19">
        <v>0.0</v>
      </c>
      <c r="ED255" s="19" t="s">
        <v>2174</v>
      </c>
      <c r="EE255" s="24">
        <v>45518.0</v>
      </c>
      <c r="EF255" s="19" t="s">
        <v>2174</v>
      </c>
      <c r="EG255" s="19" t="s">
        <v>2145</v>
      </c>
      <c r="EH255" s="19" t="s">
        <v>2183</v>
      </c>
      <c r="EI255" s="22">
        <v>12.243749999999999</v>
      </c>
      <c r="EJ255" s="19">
        <v>45.0</v>
      </c>
      <c r="EK255" s="19" t="s">
        <v>2113</v>
      </c>
      <c r="EL255" s="19" t="s">
        <v>2117</v>
      </c>
      <c r="EM255" s="19" t="s">
        <v>6750</v>
      </c>
      <c r="EN255" s="19" t="s">
        <v>757</v>
      </c>
      <c r="EO255" s="19" t="s">
        <v>2167</v>
      </c>
      <c r="EP255" s="19" t="s">
        <v>2995</v>
      </c>
      <c r="EQ255" s="19" t="s">
        <v>2176</v>
      </c>
      <c r="ER255" s="19"/>
      <c r="ES255" s="19" t="s">
        <v>757</v>
      </c>
      <c r="ET255" s="19" t="s">
        <v>757</v>
      </c>
      <c r="EU255" s="19" t="s">
        <v>6747</v>
      </c>
      <c r="EV255" s="19">
        <v>10043.0</v>
      </c>
      <c r="EW255" s="19" t="s">
        <v>16</v>
      </c>
      <c r="EX255" s="19">
        <v>5.0</v>
      </c>
      <c r="EY255" s="25" t="s">
        <v>756</v>
      </c>
      <c r="EZ255" s="19" t="s">
        <v>2154</v>
      </c>
      <c r="FA255" s="5" t="s">
        <v>6761</v>
      </c>
      <c r="FB255" s="26" t="s">
        <v>2156</v>
      </c>
      <c r="FC255" s="26"/>
    </row>
    <row r="256">
      <c r="A256" s="19" t="s">
        <v>2112</v>
      </c>
      <c r="B256" s="19"/>
      <c r="C256" s="19" t="s">
        <v>2113</v>
      </c>
      <c r="D256" s="19" t="s">
        <v>6762</v>
      </c>
      <c r="E256" s="19" t="s">
        <v>6763</v>
      </c>
      <c r="F256" s="19" t="s">
        <v>6764</v>
      </c>
      <c r="G256" s="19" t="s">
        <v>6765</v>
      </c>
      <c r="H256" s="19" t="s">
        <v>758</v>
      </c>
      <c r="I256" s="19" t="s">
        <v>760</v>
      </c>
      <c r="J256" s="19" t="s">
        <v>6766</v>
      </c>
      <c r="K256" s="19" t="s">
        <v>6767</v>
      </c>
      <c r="L256" s="20">
        <v>45412.0</v>
      </c>
      <c r="M256" s="20">
        <v>45414.0</v>
      </c>
      <c r="N256" s="20">
        <v>45414.0</v>
      </c>
      <c r="O256" s="19" t="s">
        <v>759</v>
      </c>
      <c r="P256" s="19">
        <v>0.0</v>
      </c>
      <c r="Q256" s="19">
        <v>18.0</v>
      </c>
      <c r="R256" s="19">
        <v>6814.0</v>
      </c>
      <c r="S256" s="20" t="s">
        <v>6768</v>
      </c>
      <c r="T256" s="20">
        <v>45461.0</v>
      </c>
      <c r="U256" s="19" t="s">
        <v>6764</v>
      </c>
      <c r="V256" s="19"/>
      <c r="W256" s="19"/>
      <c r="X256" s="21">
        <v>0.0</v>
      </c>
      <c r="Y256" s="21">
        <v>10.0</v>
      </c>
      <c r="Z256" s="21">
        <v>5.0</v>
      </c>
      <c r="AA256" s="21">
        <v>0.0</v>
      </c>
      <c r="AB256" s="5">
        <v>15.0</v>
      </c>
      <c r="AC256" s="19">
        <v>3.6</v>
      </c>
      <c r="AD256" s="19">
        <v>4.0</v>
      </c>
      <c r="AE256" s="19">
        <v>4.4</v>
      </c>
      <c r="AF256" s="19">
        <v>3.6</v>
      </c>
      <c r="AG256" s="19">
        <v>4.0</v>
      </c>
      <c r="AH256" s="19">
        <v>4.4</v>
      </c>
      <c r="AI256" s="22">
        <v>12.1125</v>
      </c>
      <c r="AJ256" s="19">
        <v>15.0</v>
      </c>
      <c r="AK256" s="19">
        <v>15.0</v>
      </c>
      <c r="AL256" s="19">
        <v>15.0</v>
      </c>
      <c r="AM256" s="19">
        <v>45.0</v>
      </c>
      <c r="AN256" s="19">
        <v>57.1</v>
      </c>
      <c r="AO256" s="19">
        <v>72.1</v>
      </c>
      <c r="AP256" s="19">
        <v>545.0</v>
      </c>
      <c r="AQ256" s="23">
        <v>249.0</v>
      </c>
      <c r="AR256" s="23">
        <v>22.0</v>
      </c>
      <c r="AS256" s="22"/>
      <c r="AT256" s="19" t="s">
        <v>2117</v>
      </c>
      <c r="AU256" s="19" t="s">
        <v>6769</v>
      </c>
      <c r="AV256" s="19" t="s">
        <v>6770</v>
      </c>
      <c r="AW256" s="19"/>
      <c r="AX256" s="20">
        <v>38647.0</v>
      </c>
      <c r="AY256" s="19" t="s">
        <v>2258</v>
      </c>
      <c r="AZ256" s="19" t="s">
        <v>2445</v>
      </c>
      <c r="BA256" s="19" t="s">
        <v>6771</v>
      </c>
      <c r="BB256" s="19" t="s">
        <v>3664</v>
      </c>
      <c r="BC256" s="19" t="s">
        <v>6772</v>
      </c>
      <c r="BD256" s="19" t="s">
        <v>6773</v>
      </c>
      <c r="BE256" s="19" t="s">
        <v>6766</v>
      </c>
      <c r="BF256" s="19">
        <v>1.1945470751E10</v>
      </c>
      <c r="BG256" s="19" t="s">
        <v>2127</v>
      </c>
      <c r="BH256" s="19" t="s">
        <v>2128</v>
      </c>
      <c r="BI256" s="19"/>
      <c r="BJ256" s="19"/>
      <c r="BK256" s="19" t="s">
        <v>16</v>
      </c>
      <c r="BL256" s="19"/>
      <c r="BM256" s="19" t="s">
        <v>5411</v>
      </c>
      <c r="BN256" s="19" t="s">
        <v>2172</v>
      </c>
      <c r="BO256" s="19" t="s">
        <v>2132</v>
      </c>
      <c r="BP256" s="19" t="s">
        <v>6774</v>
      </c>
      <c r="BQ256" s="19" t="s">
        <v>2174</v>
      </c>
      <c r="BR256" s="19" t="s">
        <v>2174</v>
      </c>
      <c r="BS256" s="19" t="s">
        <v>2134</v>
      </c>
      <c r="BT256" s="19" t="s">
        <v>34</v>
      </c>
      <c r="BU256" s="19"/>
      <c r="BV256" s="19"/>
      <c r="BW256" s="19"/>
      <c r="BX256" s="19"/>
      <c r="BY256" s="19"/>
      <c r="BZ256" s="19" t="s">
        <v>2113</v>
      </c>
      <c r="CA256" s="19" t="s">
        <v>2113</v>
      </c>
      <c r="CB256" s="19" t="s">
        <v>2113</v>
      </c>
      <c r="CC256" s="19"/>
      <c r="CD256" s="19" t="s">
        <v>2137</v>
      </c>
      <c r="CE256" s="19" t="s">
        <v>16</v>
      </c>
      <c r="CF256" s="19"/>
      <c r="CG256" s="19"/>
      <c r="CH256" s="19" t="s">
        <v>16</v>
      </c>
      <c r="CI256" s="21">
        <v>0.0</v>
      </c>
      <c r="CJ256" s="19" t="s">
        <v>17</v>
      </c>
      <c r="CK256" s="19"/>
      <c r="CL256" s="19"/>
      <c r="CM256" s="19" t="s">
        <v>2138</v>
      </c>
      <c r="CN256" s="19" t="s">
        <v>2266</v>
      </c>
      <c r="CO256" s="19"/>
      <c r="CP256" s="19"/>
      <c r="CQ256" s="19"/>
      <c r="CR256" s="19" t="s">
        <v>2113</v>
      </c>
      <c r="CS256" s="19" t="s">
        <v>2113</v>
      </c>
      <c r="CT256" s="19" t="s">
        <v>2113</v>
      </c>
      <c r="CU256" s="19" t="s">
        <v>2113</v>
      </c>
      <c r="CV256" s="19" t="s">
        <v>2179</v>
      </c>
      <c r="CW256" s="19" t="s">
        <v>2113</v>
      </c>
      <c r="CX256" s="19" t="s">
        <v>2113</v>
      </c>
      <c r="CY256" s="19" t="s">
        <v>2113</v>
      </c>
      <c r="CZ256" s="19" t="s">
        <v>2113</v>
      </c>
      <c r="DA256" s="19" t="s">
        <v>16</v>
      </c>
      <c r="DB256" s="19" t="s">
        <v>17</v>
      </c>
      <c r="DC256" s="19" t="s">
        <v>2227</v>
      </c>
      <c r="DD256" s="19" t="s">
        <v>2113</v>
      </c>
      <c r="DE256" s="19" t="s">
        <v>2113</v>
      </c>
      <c r="DF256" s="19" t="s">
        <v>2433</v>
      </c>
      <c r="DG256" s="19" t="s">
        <v>2268</v>
      </c>
      <c r="DH256" s="19" t="s">
        <v>2144</v>
      </c>
      <c r="DI256" s="24">
        <v>45519.0</v>
      </c>
      <c r="DJ256" s="19" t="s">
        <v>2174</v>
      </c>
      <c r="DK256" s="19" t="s">
        <v>2271</v>
      </c>
      <c r="DL256" s="19" t="s">
        <v>2183</v>
      </c>
      <c r="DM256" s="19" t="s">
        <v>2272</v>
      </c>
      <c r="DN256" s="19">
        <v>6.0</v>
      </c>
      <c r="DO256" s="19">
        <v>6.0</v>
      </c>
      <c r="DP256" s="19"/>
      <c r="DQ256" s="19"/>
      <c r="DR256" s="19"/>
      <c r="DS256" s="19" t="s">
        <v>2151</v>
      </c>
      <c r="DT256" s="19" t="s">
        <v>2209</v>
      </c>
      <c r="DU256" s="19" t="s">
        <v>6775</v>
      </c>
      <c r="DV256" s="19"/>
      <c r="DW256" s="19" t="s">
        <v>2153</v>
      </c>
      <c r="DX256" s="19">
        <v>14.0</v>
      </c>
      <c r="DY256" s="19">
        <v>10.0</v>
      </c>
      <c r="DZ256" s="19">
        <v>0.0</v>
      </c>
      <c r="EA256" s="19">
        <v>10.0</v>
      </c>
      <c r="EB256" s="19">
        <v>0.0</v>
      </c>
      <c r="EC256" s="19">
        <v>0.0</v>
      </c>
      <c r="ED256" s="19" t="s">
        <v>2174</v>
      </c>
      <c r="EE256" s="24">
        <v>45519.0</v>
      </c>
      <c r="EF256" s="19" t="s">
        <v>2174</v>
      </c>
      <c r="EG256" s="19" t="s">
        <v>2271</v>
      </c>
      <c r="EH256" s="19" t="s">
        <v>2183</v>
      </c>
      <c r="EI256" s="22">
        <v>12.1125</v>
      </c>
      <c r="EJ256" s="19">
        <v>45.0</v>
      </c>
      <c r="EK256" s="19" t="s">
        <v>2113</v>
      </c>
      <c r="EL256" s="19" t="s">
        <v>2117</v>
      </c>
      <c r="EM256" s="19" t="s">
        <v>6769</v>
      </c>
      <c r="EN256" s="19" t="s">
        <v>760</v>
      </c>
      <c r="EO256" s="19" t="s">
        <v>2258</v>
      </c>
      <c r="EP256" s="19" t="s">
        <v>2445</v>
      </c>
      <c r="EQ256" s="19" t="s">
        <v>2266</v>
      </c>
      <c r="ER256" s="19"/>
      <c r="ES256" s="19" t="s">
        <v>760</v>
      </c>
      <c r="ET256" s="19" t="s">
        <v>760</v>
      </c>
      <c r="EU256" s="19" t="s">
        <v>6767</v>
      </c>
      <c r="EV256" s="19">
        <v>6814.0</v>
      </c>
      <c r="EW256" s="19" t="s">
        <v>16</v>
      </c>
      <c r="EX256" s="19">
        <v>5.0</v>
      </c>
      <c r="EY256" s="25" t="s">
        <v>759</v>
      </c>
      <c r="EZ256" s="19" t="s">
        <v>2154</v>
      </c>
      <c r="FA256" s="5" t="s">
        <v>6776</v>
      </c>
      <c r="FB256" s="26" t="s">
        <v>2156</v>
      </c>
      <c r="FC256" s="26"/>
    </row>
    <row r="257">
      <c r="A257" s="19" t="s">
        <v>2112</v>
      </c>
      <c r="B257" s="19"/>
      <c r="C257" s="19" t="s">
        <v>2113</v>
      </c>
      <c r="D257" s="19" t="s">
        <v>761</v>
      </c>
      <c r="E257" s="19" t="s">
        <v>6777</v>
      </c>
      <c r="F257" s="19" t="s">
        <v>761</v>
      </c>
      <c r="G257" s="19"/>
      <c r="H257" s="19" t="s">
        <v>761</v>
      </c>
      <c r="I257" s="19" t="s">
        <v>763</v>
      </c>
      <c r="J257" s="19" t="s">
        <v>6778</v>
      </c>
      <c r="K257" s="19" t="s">
        <v>6779</v>
      </c>
      <c r="L257" s="20">
        <v>45445.0</v>
      </c>
      <c r="M257" s="20">
        <v>45446.0</v>
      </c>
      <c r="N257" s="20">
        <v>45446.0</v>
      </c>
      <c r="O257" s="19" t="s">
        <v>762</v>
      </c>
      <c r="P257" s="19">
        <v>0.0</v>
      </c>
      <c r="Q257" s="19">
        <v>21.0</v>
      </c>
      <c r="R257" s="19">
        <v>7788.0</v>
      </c>
      <c r="S257" s="20" t="s">
        <v>6780</v>
      </c>
      <c r="T257" s="20">
        <v>45461.0</v>
      </c>
      <c r="U257" s="19" t="s">
        <v>761</v>
      </c>
      <c r="V257" s="19"/>
      <c r="W257" s="19"/>
      <c r="X257" s="21">
        <v>0.0</v>
      </c>
      <c r="Y257" s="21">
        <v>10.0</v>
      </c>
      <c r="Z257" s="21">
        <v>5.0</v>
      </c>
      <c r="AA257" s="21">
        <v>0.0</v>
      </c>
      <c r="AB257" s="5">
        <v>15.0</v>
      </c>
      <c r="AC257" s="19">
        <v>4.1</v>
      </c>
      <c r="AD257" s="19">
        <v>3.6</v>
      </c>
      <c r="AE257" s="19">
        <v>4.1</v>
      </c>
      <c r="AF257" s="19">
        <v>4.1</v>
      </c>
      <c r="AG257" s="19">
        <v>4.1</v>
      </c>
      <c r="AH257" s="19">
        <v>4.3</v>
      </c>
      <c r="AI257" s="22">
        <v>12.046875</v>
      </c>
      <c r="AJ257" s="19">
        <v>15.0</v>
      </c>
      <c r="AK257" s="19">
        <v>15.0</v>
      </c>
      <c r="AL257" s="19">
        <v>15.0</v>
      </c>
      <c r="AM257" s="19">
        <v>45.0</v>
      </c>
      <c r="AN257" s="19">
        <v>57.0</v>
      </c>
      <c r="AO257" s="19">
        <v>72.0</v>
      </c>
      <c r="AP257" s="19">
        <v>480.0</v>
      </c>
      <c r="AQ257" s="23">
        <v>250.0</v>
      </c>
      <c r="AR257" s="23">
        <v>23.0</v>
      </c>
      <c r="AS257" s="22"/>
      <c r="AT257" s="19" t="s">
        <v>2117</v>
      </c>
      <c r="AU257" s="19" t="s">
        <v>6781</v>
      </c>
      <c r="AV257" s="19" t="s">
        <v>6782</v>
      </c>
      <c r="AW257" s="19" t="s">
        <v>2466</v>
      </c>
      <c r="AX257" s="20">
        <v>37673.0</v>
      </c>
      <c r="AY257" s="19" t="s">
        <v>2358</v>
      </c>
      <c r="AZ257" s="19" t="s">
        <v>2445</v>
      </c>
      <c r="BA257" s="19" t="s">
        <v>6783</v>
      </c>
      <c r="BB257" s="19" t="s">
        <v>6784</v>
      </c>
      <c r="BC257" s="19" t="s">
        <v>6785</v>
      </c>
      <c r="BD257" s="19" t="s">
        <v>6786</v>
      </c>
      <c r="BE257" s="19" t="s">
        <v>6778</v>
      </c>
      <c r="BF257" s="19">
        <v>1.1949708232E10</v>
      </c>
      <c r="BG257" s="19" t="s">
        <v>2127</v>
      </c>
      <c r="BH257" s="19" t="s">
        <v>2128</v>
      </c>
      <c r="BI257" s="19"/>
      <c r="BJ257" s="19"/>
      <c r="BK257" s="19" t="s">
        <v>16</v>
      </c>
      <c r="BL257" s="19"/>
      <c r="BM257" s="19" t="s">
        <v>5411</v>
      </c>
      <c r="BN257" s="19" t="s">
        <v>17</v>
      </c>
      <c r="BO257" s="19" t="s">
        <v>2132</v>
      </c>
      <c r="BP257" s="19"/>
      <c r="BQ257" s="19" t="s">
        <v>2174</v>
      </c>
      <c r="BR257" s="19" t="s">
        <v>2174</v>
      </c>
      <c r="BS257" s="19" t="s">
        <v>2243</v>
      </c>
      <c r="BT257" s="19" t="s">
        <v>34</v>
      </c>
      <c r="BU257" s="19" t="s">
        <v>6787</v>
      </c>
      <c r="BV257" s="19"/>
      <c r="BW257" s="19"/>
      <c r="BX257" s="19"/>
      <c r="BY257" s="19" t="s">
        <v>2113</v>
      </c>
      <c r="BZ257" s="19" t="s">
        <v>2113</v>
      </c>
      <c r="CA257" s="19"/>
      <c r="CB257" s="19" t="s">
        <v>2113</v>
      </c>
      <c r="CC257" s="19"/>
      <c r="CD257" s="19" t="s">
        <v>2137</v>
      </c>
      <c r="CE257" s="19" t="s">
        <v>16</v>
      </c>
      <c r="CF257" s="19"/>
      <c r="CG257" s="19"/>
      <c r="CH257" s="19" t="s">
        <v>16</v>
      </c>
      <c r="CI257" s="21">
        <v>0.0</v>
      </c>
      <c r="CJ257" s="19" t="s">
        <v>17</v>
      </c>
      <c r="CK257" s="19"/>
      <c r="CL257" s="19"/>
      <c r="CM257" s="19"/>
      <c r="CN257" s="19" t="s">
        <v>2266</v>
      </c>
      <c r="CO257" s="19"/>
      <c r="CP257" s="19"/>
      <c r="CQ257" s="19"/>
      <c r="CR257" s="19" t="s">
        <v>2113</v>
      </c>
      <c r="CS257" s="19" t="s">
        <v>2113</v>
      </c>
      <c r="CT257" s="19"/>
      <c r="CU257" s="19"/>
      <c r="CV257" s="19" t="s">
        <v>2141</v>
      </c>
      <c r="CW257" s="19"/>
      <c r="CX257" s="19"/>
      <c r="CY257" s="19"/>
      <c r="CZ257" s="19"/>
      <c r="DA257" s="19" t="s">
        <v>16</v>
      </c>
      <c r="DB257" s="19" t="s">
        <v>17</v>
      </c>
      <c r="DC257" s="19" t="s">
        <v>2785</v>
      </c>
      <c r="DD257" s="19"/>
      <c r="DE257" s="19"/>
      <c r="DF257" s="19" t="s">
        <v>2270</v>
      </c>
      <c r="DG257" s="19" t="s">
        <v>5450</v>
      </c>
      <c r="DH257" s="19" t="s">
        <v>2144</v>
      </c>
      <c r="DI257" s="24">
        <v>45526.0</v>
      </c>
      <c r="DJ257" s="19" t="s">
        <v>2174</v>
      </c>
      <c r="DK257" s="19" t="s">
        <v>2145</v>
      </c>
      <c r="DL257" s="19" t="s">
        <v>2183</v>
      </c>
      <c r="DM257" s="19"/>
      <c r="DN257" s="19">
        <v>11.0</v>
      </c>
      <c r="DO257" s="19">
        <v>11.0</v>
      </c>
      <c r="DP257" s="19" t="s">
        <v>6788</v>
      </c>
      <c r="DQ257" s="19" t="s">
        <v>6789</v>
      </c>
      <c r="DR257" s="19" t="s">
        <v>6790</v>
      </c>
      <c r="DS257" s="19" t="s">
        <v>2151</v>
      </c>
      <c r="DT257" s="19" t="s">
        <v>2209</v>
      </c>
      <c r="DU257" s="19"/>
      <c r="DV257" s="19"/>
      <c r="DW257" s="19" t="s">
        <v>2479</v>
      </c>
      <c r="DX257" s="19">
        <v>16.0</v>
      </c>
      <c r="DY257" s="19">
        <v>10.0</v>
      </c>
      <c r="DZ257" s="19">
        <v>0.0</v>
      </c>
      <c r="EA257" s="19">
        <v>10.0</v>
      </c>
      <c r="EB257" s="19">
        <v>0.0</v>
      </c>
      <c r="EC257" s="19">
        <v>0.0</v>
      </c>
      <c r="ED257" s="19" t="s">
        <v>2174</v>
      </c>
      <c r="EE257" s="24">
        <v>45526.0</v>
      </c>
      <c r="EF257" s="19" t="s">
        <v>2174</v>
      </c>
      <c r="EG257" s="19" t="s">
        <v>2145</v>
      </c>
      <c r="EH257" s="19" t="s">
        <v>2183</v>
      </c>
      <c r="EI257" s="22">
        <v>12.046875</v>
      </c>
      <c r="EJ257" s="19">
        <v>45.0</v>
      </c>
      <c r="EK257" s="19" t="s">
        <v>2113</v>
      </c>
      <c r="EL257" s="19" t="s">
        <v>2117</v>
      </c>
      <c r="EM257" s="19" t="s">
        <v>6781</v>
      </c>
      <c r="EN257" s="19" t="s">
        <v>763</v>
      </c>
      <c r="EO257" s="19" t="s">
        <v>2358</v>
      </c>
      <c r="EP257" s="19" t="s">
        <v>2445</v>
      </c>
      <c r="EQ257" s="19" t="s">
        <v>2266</v>
      </c>
      <c r="ER257" s="19"/>
      <c r="ES257" s="19" t="s">
        <v>763</v>
      </c>
      <c r="ET257" s="19" t="s">
        <v>763</v>
      </c>
      <c r="EU257" s="19" t="s">
        <v>6779</v>
      </c>
      <c r="EV257" s="19">
        <v>7788.0</v>
      </c>
      <c r="EW257" s="19" t="s">
        <v>16</v>
      </c>
      <c r="EX257" s="19">
        <v>5.0</v>
      </c>
      <c r="EY257" s="25" t="s">
        <v>762</v>
      </c>
      <c r="EZ257" s="19" t="s">
        <v>2154</v>
      </c>
      <c r="FA257" s="5" t="s">
        <v>6791</v>
      </c>
      <c r="FB257" s="26" t="s">
        <v>2156</v>
      </c>
      <c r="FC257" s="26"/>
    </row>
    <row r="258">
      <c r="A258" s="19" t="s">
        <v>2112</v>
      </c>
      <c r="B258" s="19"/>
      <c r="C258" s="19" t="s">
        <v>2113</v>
      </c>
      <c r="D258" s="19" t="s">
        <v>6792</v>
      </c>
      <c r="E258" s="19" t="s">
        <v>6793</v>
      </c>
      <c r="F258" s="19" t="s">
        <v>6794</v>
      </c>
      <c r="G258" s="19" t="s">
        <v>6795</v>
      </c>
      <c r="H258" s="19" t="s">
        <v>764</v>
      </c>
      <c r="I258" s="19" t="s">
        <v>766</v>
      </c>
      <c r="J258" s="19" t="s">
        <v>6796</v>
      </c>
      <c r="K258" s="19" t="s">
        <v>6797</v>
      </c>
      <c r="L258" s="20">
        <v>45459.0</v>
      </c>
      <c r="M258" s="20">
        <v>45460.0</v>
      </c>
      <c r="N258" s="20">
        <v>45460.0</v>
      </c>
      <c r="O258" s="19" t="s">
        <v>765</v>
      </c>
      <c r="P258" s="19">
        <v>0.0</v>
      </c>
      <c r="Q258" s="19">
        <v>24.0</v>
      </c>
      <c r="R258" s="19">
        <v>8802.0</v>
      </c>
      <c r="S258" s="20" t="s">
        <v>6798</v>
      </c>
      <c r="T258" s="20">
        <v>45461.0</v>
      </c>
      <c r="U258" s="19" t="s">
        <v>6794</v>
      </c>
      <c r="V258" s="19"/>
      <c r="W258" s="19"/>
      <c r="X258" s="21">
        <v>0.0</v>
      </c>
      <c r="Y258" s="21">
        <v>10.0</v>
      </c>
      <c r="Z258" s="21">
        <v>5.0</v>
      </c>
      <c r="AA258" s="21">
        <v>0.0</v>
      </c>
      <c r="AB258" s="5">
        <v>15.0</v>
      </c>
      <c r="AC258" s="19">
        <v>4.0</v>
      </c>
      <c r="AD258" s="19">
        <v>4.0</v>
      </c>
      <c r="AE258" s="19">
        <v>4.0</v>
      </c>
      <c r="AF258" s="19">
        <v>4.0</v>
      </c>
      <c r="AG258" s="19">
        <v>4.0</v>
      </c>
      <c r="AH258" s="19">
        <v>4.0</v>
      </c>
      <c r="AI258" s="22">
        <v>12.0</v>
      </c>
      <c r="AJ258" s="19">
        <v>15.0</v>
      </c>
      <c r="AK258" s="19">
        <v>15.0</v>
      </c>
      <c r="AL258" s="19">
        <v>15.0</v>
      </c>
      <c r="AM258" s="19">
        <v>45.0</v>
      </c>
      <c r="AN258" s="19">
        <v>57.0</v>
      </c>
      <c r="AO258" s="19">
        <v>72.0</v>
      </c>
      <c r="AP258" s="19">
        <v>439.0</v>
      </c>
      <c r="AQ258" s="23">
        <v>251.0</v>
      </c>
      <c r="AR258" s="23">
        <v>28.0</v>
      </c>
      <c r="AS258" s="22"/>
      <c r="AT258" s="19" t="s">
        <v>2282</v>
      </c>
      <c r="AU258" s="19" t="s">
        <v>6799</v>
      </c>
      <c r="AV258" s="19" t="s">
        <v>6800</v>
      </c>
      <c r="AW258" s="19" t="s">
        <v>2466</v>
      </c>
      <c r="AX258" s="20">
        <v>36659.0</v>
      </c>
      <c r="AY258" s="19" t="s">
        <v>2121</v>
      </c>
      <c r="AZ258" s="19" t="s">
        <v>2310</v>
      </c>
      <c r="BA258" s="19" t="s">
        <v>6801</v>
      </c>
      <c r="BB258" s="19" t="s">
        <v>6802</v>
      </c>
      <c r="BC258" s="19" t="s">
        <v>6803</v>
      </c>
      <c r="BD258" s="19" t="s">
        <v>6804</v>
      </c>
      <c r="BE258" s="19" t="s">
        <v>6805</v>
      </c>
      <c r="BF258" s="19">
        <v>1.1976795381E10</v>
      </c>
      <c r="BG258" s="19" t="s">
        <v>2127</v>
      </c>
      <c r="BH258" s="19" t="s">
        <v>2128</v>
      </c>
      <c r="BI258" s="19"/>
      <c r="BJ258" s="19"/>
      <c r="BK258" s="19" t="s">
        <v>16</v>
      </c>
      <c r="BL258" s="19"/>
      <c r="BM258" s="19" t="s">
        <v>5411</v>
      </c>
      <c r="BN258" s="19" t="s">
        <v>2172</v>
      </c>
      <c r="BO258" s="19" t="s">
        <v>2132</v>
      </c>
      <c r="BP258" s="19" t="s">
        <v>6806</v>
      </c>
      <c r="BQ258" s="19" t="s">
        <v>2133</v>
      </c>
      <c r="BR258" s="19" t="s">
        <v>2133</v>
      </c>
      <c r="BS258" s="19" t="s">
        <v>2134</v>
      </c>
      <c r="BT258" s="19" t="s">
        <v>15</v>
      </c>
      <c r="BU258" s="19" t="s">
        <v>2177</v>
      </c>
      <c r="BV258" s="19"/>
      <c r="BW258" s="19" t="s">
        <v>2113</v>
      </c>
      <c r="BX258" s="19"/>
      <c r="BY258" s="19"/>
      <c r="BZ258" s="19"/>
      <c r="CA258" s="19"/>
      <c r="CB258" s="19" t="s">
        <v>2113</v>
      </c>
      <c r="CC258" s="19"/>
      <c r="CD258" s="19" t="s">
        <v>2137</v>
      </c>
      <c r="CE258" s="19" t="s">
        <v>16</v>
      </c>
      <c r="CF258" s="19"/>
      <c r="CG258" s="19"/>
      <c r="CH258" s="19" t="s">
        <v>16</v>
      </c>
      <c r="CI258" s="21">
        <v>0.0</v>
      </c>
      <c r="CJ258" s="19" t="s">
        <v>16</v>
      </c>
      <c r="CK258" s="19"/>
      <c r="CL258" s="19"/>
      <c r="CM258" s="19" t="s">
        <v>2138</v>
      </c>
      <c r="CN258" s="19" t="s">
        <v>2139</v>
      </c>
      <c r="CO258" s="19"/>
      <c r="CP258" s="19"/>
      <c r="CQ258" s="19"/>
      <c r="CR258" s="19"/>
      <c r="CS258" s="19"/>
      <c r="CT258" s="19"/>
      <c r="CU258" s="19"/>
      <c r="CV258" s="19" t="s">
        <v>2141</v>
      </c>
      <c r="CW258" s="19"/>
      <c r="CX258" s="19"/>
      <c r="CY258" s="19"/>
      <c r="CZ258" s="19"/>
      <c r="DA258" s="19" t="s">
        <v>16</v>
      </c>
      <c r="DB258" s="19" t="s">
        <v>16</v>
      </c>
      <c r="DC258" s="19" t="s">
        <v>2142</v>
      </c>
      <c r="DD258" s="19" t="s">
        <v>2113</v>
      </c>
      <c r="DE258" s="19" t="s">
        <v>2113</v>
      </c>
      <c r="DF258" s="19" t="s">
        <v>2406</v>
      </c>
      <c r="DG258" s="19" t="s">
        <v>2477</v>
      </c>
      <c r="DH258" s="19" t="s">
        <v>2144</v>
      </c>
      <c r="DI258" s="24">
        <v>45526.0</v>
      </c>
      <c r="DJ258" s="19" t="s">
        <v>2133</v>
      </c>
      <c r="DK258" s="19" t="s">
        <v>2271</v>
      </c>
      <c r="DL258" s="19" t="s">
        <v>2146</v>
      </c>
      <c r="DM258" s="19" t="s">
        <v>2805</v>
      </c>
      <c r="DN258" s="19">
        <v>12.0</v>
      </c>
      <c r="DO258" s="19">
        <v>12.0</v>
      </c>
      <c r="DP258" s="19" t="s">
        <v>6807</v>
      </c>
      <c r="DQ258" s="19" t="s">
        <v>6808</v>
      </c>
      <c r="DR258" s="19" t="s">
        <v>6809</v>
      </c>
      <c r="DS258" s="19" t="s">
        <v>2365</v>
      </c>
      <c r="DT258" s="19" t="s">
        <v>2152</v>
      </c>
      <c r="DU258" s="19"/>
      <c r="DV258" s="19"/>
      <c r="DW258" s="19" t="s">
        <v>2153</v>
      </c>
      <c r="DX258" s="19">
        <v>7.0</v>
      </c>
      <c r="DY258" s="19">
        <v>10.0</v>
      </c>
      <c r="DZ258" s="19">
        <v>0.0</v>
      </c>
      <c r="EA258" s="19">
        <v>10.0</v>
      </c>
      <c r="EB258" s="19">
        <v>0.0</v>
      </c>
      <c r="EC258" s="19">
        <v>0.0</v>
      </c>
      <c r="ED258" s="19" t="s">
        <v>2133</v>
      </c>
      <c r="EE258" s="24">
        <v>45526.0</v>
      </c>
      <c r="EF258" s="19" t="s">
        <v>2133</v>
      </c>
      <c r="EG258" s="19" t="s">
        <v>2271</v>
      </c>
      <c r="EH258" s="19" t="s">
        <v>2146</v>
      </c>
      <c r="EI258" s="22">
        <v>12.0</v>
      </c>
      <c r="EJ258" s="19">
        <v>45.0</v>
      </c>
      <c r="EK258" s="19"/>
      <c r="EL258" s="19" t="s">
        <v>2282</v>
      </c>
      <c r="EM258" s="19" t="s">
        <v>6799</v>
      </c>
      <c r="EN258" s="19" t="s">
        <v>766</v>
      </c>
      <c r="EO258" s="19" t="s">
        <v>2121</v>
      </c>
      <c r="EP258" s="19" t="s">
        <v>2310</v>
      </c>
      <c r="EQ258" s="19" t="s">
        <v>2139</v>
      </c>
      <c r="ER258" s="19"/>
      <c r="ES258" s="19" t="s">
        <v>766</v>
      </c>
      <c r="ET258" s="19" t="s">
        <v>766</v>
      </c>
      <c r="EU258" s="19" t="s">
        <v>6797</v>
      </c>
      <c r="EV258" s="19">
        <v>8802.0</v>
      </c>
      <c r="EW258" s="19" t="s">
        <v>16</v>
      </c>
      <c r="EX258" s="19">
        <v>5.0</v>
      </c>
      <c r="EY258" s="25" t="s">
        <v>765</v>
      </c>
      <c r="EZ258" s="19" t="s">
        <v>2154</v>
      </c>
      <c r="FA258" s="5" t="s">
        <v>6810</v>
      </c>
      <c r="FB258" s="26" t="s">
        <v>2156</v>
      </c>
      <c r="FC258" s="26"/>
    </row>
    <row r="259">
      <c r="A259" s="19" t="s">
        <v>2112</v>
      </c>
      <c r="B259" s="19"/>
      <c r="C259" s="19" t="s">
        <v>2113</v>
      </c>
      <c r="D259" s="19" t="s">
        <v>6811</v>
      </c>
      <c r="E259" s="19" t="s">
        <v>6812</v>
      </c>
      <c r="F259" s="19" t="s">
        <v>6811</v>
      </c>
      <c r="G259" s="19"/>
      <c r="H259" s="19" t="s">
        <v>767</v>
      </c>
      <c r="I259" s="19" t="s">
        <v>769</v>
      </c>
      <c r="J259" s="19" t="s">
        <v>6813</v>
      </c>
      <c r="K259" s="19" t="s">
        <v>6814</v>
      </c>
      <c r="L259" s="20">
        <v>45443.0</v>
      </c>
      <c r="M259" s="20">
        <v>45446.0</v>
      </c>
      <c r="N259" s="20">
        <v>45446.0</v>
      </c>
      <c r="O259" s="19" t="s">
        <v>768</v>
      </c>
      <c r="P259" s="19">
        <v>0.0</v>
      </c>
      <c r="Q259" s="19">
        <v>19.0</v>
      </c>
      <c r="R259" s="19">
        <v>7126.0</v>
      </c>
      <c r="S259" s="20" t="s">
        <v>6815</v>
      </c>
      <c r="T259" s="20">
        <v>45461.0</v>
      </c>
      <c r="U259" s="19" t="s">
        <v>6811</v>
      </c>
      <c r="V259" s="19"/>
      <c r="W259" s="19"/>
      <c r="X259" s="21">
        <v>0.0</v>
      </c>
      <c r="Y259" s="21">
        <v>10.0</v>
      </c>
      <c r="Z259" s="21">
        <v>5.0</v>
      </c>
      <c r="AA259" s="21">
        <v>0.0</v>
      </c>
      <c r="AB259" s="5">
        <v>15.0</v>
      </c>
      <c r="AC259" s="19">
        <v>5.0</v>
      </c>
      <c r="AD259" s="19">
        <v>5.0</v>
      </c>
      <c r="AE259" s="19">
        <v>5.0</v>
      </c>
      <c r="AF259" s="19">
        <v>5.0</v>
      </c>
      <c r="AG259" s="19">
        <v>5.0</v>
      </c>
      <c r="AH259" s="19">
        <v>5.0</v>
      </c>
      <c r="AI259" s="22">
        <v>15.0</v>
      </c>
      <c r="AJ259" s="19">
        <v>15.0</v>
      </c>
      <c r="AK259" s="19">
        <v>14.0</v>
      </c>
      <c r="AL259" s="19">
        <v>13.0</v>
      </c>
      <c r="AM259" s="19">
        <v>42.0</v>
      </c>
      <c r="AN259" s="19">
        <v>57.0</v>
      </c>
      <c r="AO259" s="19">
        <v>72.0</v>
      </c>
      <c r="AP259" s="19">
        <v>530.0</v>
      </c>
      <c r="AQ259" s="23">
        <v>252.0</v>
      </c>
      <c r="AR259" s="23">
        <v>31.0</v>
      </c>
      <c r="AS259" s="22"/>
      <c r="AT259" s="19" t="s">
        <v>2117</v>
      </c>
      <c r="AU259" s="19" t="s">
        <v>6816</v>
      </c>
      <c r="AV259" s="19" t="s">
        <v>6817</v>
      </c>
      <c r="AW259" s="19"/>
      <c r="AX259" s="20">
        <v>38335.0</v>
      </c>
      <c r="AY259" s="19" t="s">
        <v>2286</v>
      </c>
      <c r="AZ259" s="19" t="s">
        <v>2310</v>
      </c>
      <c r="BA259" s="19" t="s">
        <v>6818</v>
      </c>
      <c r="BB259" s="19" t="s">
        <v>6819</v>
      </c>
      <c r="BC259" s="19" t="s">
        <v>6820</v>
      </c>
      <c r="BD259" s="19" t="s">
        <v>6821</v>
      </c>
      <c r="BE259" s="19" t="s">
        <v>6822</v>
      </c>
      <c r="BF259" s="19">
        <v>1.1951362845E10</v>
      </c>
      <c r="BG259" s="19" t="s">
        <v>2127</v>
      </c>
      <c r="BH259" s="19" t="s">
        <v>2128</v>
      </c>
      <c r="BI259" s="19"/>
      <c r="BJ259" s="19"/>
      <c r="BK259" s="19" t="s">
        <v>16</v>
      </c>
      <c r="BL259" s="19"/>
      <c r="BM259" s="19" t="s">
        <v>5411</v>
      </c>
      <c r="BN259" s="19" t="s">
        <v>2172</v>
      </c>
      <c r="BO259" s="19" t="s">
        <v>2132</v>
      </c>
      <c r="BP259" s="19"/>
      <c r="BQ259" s="19" t="s">
        <v>2133</v>
      </c>
      <c r="BR259" s="19" t="s">
        <v>2133</v>
      </c>
      <c r="BS259" s="19" t="s">
        <v>2134</v>
      </c>
      <c r="BT259" s="19" t="s">
        <v>38</v>
      </c>
      <c r="BU259" s="19" t="s">
        <v>4099</v>
      </c>
      <c r="BV259" s="19"/>
      <c r="BW259" s="19" t="s">
        <v>2113</v>
      </c>
      <c r="BX259" s="19"/>
      <c r="BY259" s="19"/>
      <c r="BZ259" s="19"/>
      <c r="CA259" s="19"/>
      <c r="CB259" s="19" t="s">
        <v>2113</v>
      </c>
      <c r="CC259" s="19"/>
      <c r="CD259" s="19" t="s">
        <v>2137</v>
      </c>
      <c r="CE259" s="19" t="s">
        <v>16</v>
      </c>
      <c r="CF259" s="19"/>
      <c r="CG259" s="19"/>
      <c r="CH259" s="19" t="s">
        <v>16</v>
      </c>
      <c r="CI259" s="21">
        <v>0.0</v>
      </c>
      <c r="CJ259" s="19" t="s">
        <v>17</v>
      </c>
      <c r="CK259" s="19"/>
      <c r="CL259" s="19"/>
      <c r="CM259" s="19" t="s">
        <v>2138</v>
      </c>
      <c r="CN259" s="19" t="s">
        <v>2294</v>
      </c>
      <c r="CO259" s="19"/>
      <c r="CP259" s="19"/>
      <c r="CQ259" s="19"/>
      <c r="CR259" s="19" t="s">
        <v>2113</v>
      </c>
      <c r="CS259" s="19" t="s">
        <v>2113</v>
      </c>
      <c r="CT259" s="19"/>
      <c r="CU259" s="19"/>
      <c r="CV259" s="19" t="s">
        <v>2179</v>
      </c>
      <c r="CW259" s="19" t="s">
        <v>2113</v>
      </c>
      <c r="CX259" s="19" t="s">
        <v>2113</v>
      </c>
      <c r="CY259" s="19"/>
      <c r="CZ259" s="19"/>
      <c r="DA259" s="19" t="s">
        <v>16</v>
      </c>
      <c r="DB259" s="19" t="s">
        <v>17</v>
      </c>
      <c r="DC259" s="19" t="s">
        <v>3525</v>
      </c>
      <c r="DD259" s="19"/>
      <c r="DE259" s="19"/>
      <c r="DF259" s="19" t="s">
        <v>2601</v>
      </c>
      <c r="DG259" s="19" t="s">
        <v>2297</v>
      </c>
      <c r="DH259" s="19" t="s">
        <v>2144</v>
      </c>
      <c r="DI259" s="24">
        <v>45533.0</v>
      </c>
      <c r="DJ259" s="19" t="s">
        <v>2133</v>
      </c>
      <c r="DK259" s="19" t="s">
        <v>2145</v>
      </c>
      <c r="DL259" s="19" t="s">
        <v>2146</v>
      </c>
      <c r="DM259" s="19" t="s">
        <v>2147</v>
      </c>
      <c r="DN259" s="19">
        <v>17.0</v>
      </c>
      <c r="DO259" s="19">
        <v>17.0</v>
      </c>
      <c r="DP259" s="19"/>
      <c r="DQ259" s="19"/>
      <c r="DR259" s="19"/>
      <c r="DS259" s="19" t="s">
        <v>2151</v>
      </c>
      <c r="DT259" s="19" t="s">
        <v>2186</v>
      </c>
      <c r="DU259" s="19" t="s">
        <v>6823</v>
      </c>
      <c r="DV259" s="19"/>
      <c r="DW259" s="19" t="s">
        <v>2153</v>
      </c>
      <c r="DX259" s="19">
        <v>12.0</v>
      </c>
      <c r="DY259" s="19">
        <v>10.0</v>
      </c>
      <c r="DZ259" s="19">
        <v>0.0</v>
      </c>
      <c r="EA259" s="19">
        <v>10.0</v>
      </c>
      <c r="EB259" s="19">
        <v>0.0</v>
      </c>
      <c r="EC259" s="19">
        <v>0.0</v>
      </c>
      <c r="ED259" s="19" t="s">
        <v>2133</v>
      </c>
      <c r="EE259" s="24">
        <v>45533.0</v>
      </c>
      <c r="EF259" s="19" t="s">
        <v>2133</v>
      </c>
      <c r="EG259" s="19" t="s">
        <v>2145</v>
      </c>
      <c r="EH259" s="19" t="s">
        <v>2146</v>
      </c>
      <c r="EI259" s="22">
        <v>15.0</v>
      </c>
      <c r="EJ259" s="19">
        <v>42.0</v>
      </c>
      <c r="EK259" s="19" t="s">
        <v>2113</v>
      </c>
      <c r="EL259" s="19" t="s">
        <v>2117</v>
      </c>
      <c r="EM259" s="19" t="s">
        <v>6816</v>
      </c>
      <c r="EN259" s="19" t="s">
        <v>769</v>
      </c>
      <c r="EO259" s="19" t="s">
        <v>2286</v>
      </c>
      <c r="EP259" s="19" t="s">
        <v>2310</v>
      </c>
      <c r="EQ259" s="19" t="s">
        <v>2294</v>
      </c>
      <c r="ER259" s="19"/>
      <c r="ES259" s="19" t="s">
        <v>769</v>
      </c>
      <c r="ET259" s="19" t="s">
        <v>769</v>
      </c>
      <c r="EU259" s="19" t="s">
        <v>6814</v>
      </c>
      <c r="EV259" s="19">
        <v>7126.0</v>
      </c>
      <c r="EW259" s="19" t="s">
        <v>16</v>
      </c>
      <c r="EX259" s="19">
        <v>5.0</v>
      </c>
      <c r="EY259" s="25" t="s">
        <v>768</v>
      </c>
      <c r="EZ259" s="19" t="s">
        <v>2154</v>
      </c>
      <c r="FA259" s="5" t="s">
        <v>6824</v>
      </c>
      <c r="FB259" s="26" t="s">
        <v>2156</v>
      </c>
      <c r="FC259" s="26"/>
    </row>
    <row r="260">
      <c r="A260" s="19" t="s">
        <v>2156</v>
      </c>
      <c r="B260" s="19"/>
      <c r="C260" s="19" t="s">
        <v>2113</v>
      </c>
      <c r="D260" s="19" t="s">
        <v>6825</v>
      </c>
      <c r="E260" s="19" t="s">
        <v>6825</v>
      </c>
      <c r="F260" s="19" t="s">
        <v>6826</v>
      </c>
      <c r="G260" s="19" t="s">
        <v>6826</v>
      </c>
      <c r="H260" s="19" t="s">
        <v>770</v>
      </c>
      <c r="I260" s="19" t="s">
        <v>772</v>
      </c>
      <c r="J260" s="19" t="s">
        <v>6827</v>
      </c>
      <c r="K260" s="19" t="s">
        <v>6828</v>
      </c>
      <c r="L260" s="20">
        <v>45396.0</v>
      </c>
      <c r="M260" s="20">
        <v>45411.0</v>
      </c>
      <c r="N260" s="20">
        <v>45411.0</v>
      </c>
      <c r="O260" s="19" t="s">
        <v>771</v>
      </c>
      <c r="P260" s="19">
        <v>0.0</v>
      </c>
      <c r="Q260" s="19">
        <v>22.0</v>
      </c>
      <c r="R260" s="19">
        <v>8163.0</v>
      </c>
      <c r="S260" s="20" t="s">
        <v>6829</v>
      </c>
      <c r="T260" s="20">
        <v>45461.0</v>
      </c>
      <c r="U260" s="19" t="s">
        <v>6826</v>
      </c>
      <c r="V260" s="19"/>
      <c r="W260" s="19"/>
      <c r="X260" s="21">
        <v>0.0</v>
      </c>
      <c r="Y260" s="21">
        <v>10.0</v>
      </c>
      <c r="Z260" s="21">
        <v>4.0</v>
      </c>
      <c r="AA260" s="21">
        <v>0.0</v>
      </c>
      <c r="AB260" s="5">
        <v>14.0</v>
      </c>
      <c r="AC260" s="19">
        <v>4.5</v>
      </c>
      <c r="AD260" s="19">
        <v>4.0</v>
      </c>
      <c r="AE260" s="19">
        <v>4.5</v>
      </c>
      <c r="AF260" s="19">
        <v>4.5</v>
      </c>
      <c r="AG260" s="19">
        <v>4.5</v>
      </c>
      <c r="AH260" s="19">
        <v>4.0</v>
      </c>
      <c r="AI260" s="22">
        <v>12.984375</v>
      </c>
      <c r="AJ260" s="19">
        <v>15.0</v>
      </c>
      <c r="AK260" s="19">
        <v>15.0</v>
      </c>
      <c r="AL260" s="19">
        <v>15.0</v>
      </c>
      <c r="AM260" s="19">
        <v>45.0</v>
      </c>
      <c r="AN260" s="19">
        <v>58.0</v>
      </c>
      <c r="AO260" s="19">
        <v>72.0</v>
      </c>
      <c r="AP260" s="19">
        <v>613.0</v>
      </c>
      <c r="AQ260" s="23">
        <v>253.0</v>
      </c>
      <c r="AR260" s="23">
        <v>19.0</v>
      </c>
      <c r="AS260" s="22"/>
      <c r="AT260" s="19" t="s">
        <v>2282</v>
      </c>
      <c r="AU260" s="19" t="s">
        <v>6830</v>
      </c>
      <c r="AV260" s="19" t="s">
        <v>6831</v>
      </c>
      <c r="AW260" s="19" t="s">
        <v>6832</v>
      </c>
      <c r="AX260" s="20">
        <v>37298.0</v>
      </c>
      <c r="AY260" s="19" t="s">
        <v>2702</v>
      </c>
      <c r="AZ260" s="19" t="s">
        <v>2122</v>
      </c>
      <c r="BA260" s="19" t="s">
        <v>6833</v>
      </c>
      <c r="BB260" s="19" t="s">
        <v>6255</v>
      </c>
      <c r="BC260" s="19" t="s">
        <v>6834</v>
      </c>
      <c r="BD260" s="19" t="s">
        <v>6835</v>
      </c>
      <c r="BE260" s="19" t="s">
        <v>6827</v>
      </c>
      <c r="BF260" s="19" t="s">
        <v>6836</v>
      </c>
      <c r="BG260" s="19" t="s">
        <v>2127</v>
      </c>
      <c r="BH260" s="19" t="s">
        <v>2128</v>
      </c>
      <c r="BI260" s="19"/>
      <c r="BJ260" s="19" t="s">
        <v>2427</v>
      </c>
      <c r="BK260" s="19" t="s">
        <v>17</v>
      </c>
      <c r="BL260" s="19"/>
      <c r="BM260" s="19" t="s">
        <v>5411</v>
      </c>
      <c r="BN260" s="19" t="s">
        <v>17</v>
      </c>
      <c r="BO260" s="19" t="s">
        <v>2317</v>
      </c>
      <c r="BP260" s="19" t="s">
        <v>6837</v>
      </c>
      <c r="BQ260" s="19" t="s">
        <v>2318</v>
      </c>
      <c r="BR260" s="19" t="s">
        <v>2318</v>
      </c>
      <c r="BS260" s="19" t="s">
        <v>2134</v>
      </c>
      <c r="BT260" s="19" t="s">
        <v>42</v>
      </c>
      <c r="BU260" s="19" t="s">
        <v>6838</v>
      </c>
      <c r="BV260" s="19"/>
      <c r="BW260" s="19" t="s">
        <v>2113</v>
      </c>
      <c r="BX260" s="19"/>
      <c r="BY260" s="19"/>
      <c r="BZ260" s="19"/>
      <c r="CA260" s="19"/>
      <c r="CB260" s="19" t="s">
        <v>2113</v>
      </c>
      <c r="CC260" s="19"/>
      <c r="CD260" s="19" t="s">
        <v>2137</v>
      </c>
      <c r="CE260" s="19" t="s">
        <v>16</v>
      </c>
      <c r="CF260" s="19"/>
      <c r="CG260" s="19"/>
      <c r="CH260" s="19" t="s">
        <v>16</v>
      </c>
      <c r="CI260" s="21">
        <v>0.0</v>
      </c>
      <c r="CJ260" s="19" t="s">
        <v>16</v>
      </c>
      <c r="CK260" s="19"/>
      <c r="CL260" s="19"/>
      <c r="CM260" s="19" t="s">
        <v>2138</v>
      </c>
      <c r="CN260" s="19" t="s">
        <v>2321</v>
      </c>
      <c r="CO260" s="19"/>
      <c r="CP260" s="19" t="s">
        <v>2225</v>
      </c>
      <c r="CQ260" s="19"/>
      <c r="CR260" s="19"/>
      <c r="CS260" s="19"/>
      <c r="CT260" s="19"/>
      <c r="CU260" s="19"/>
      <c r="CV260" s="19" t="s">
        <v>2141</v>
      </c>
      <c r="CW260" s="19"/>
      <c r="CX260" s="19"/>
      <c r="CY260" s="19" t="s">
        <v>2113</v>
      </c>
      <c r="CZ260" s="19" t="s">
        <v>2113</v>
      </c>
      <c r="DA260" s="19" t="s">
        <v>16</v>
      </c>
      <c r="DB260" s="19" t="s">
        <v>16</v>
      </c>
      <c r="DC260" s="19" t="s">
        <v>2324</v>
      </c>
      <c r="DD260" s="19" t="s">
        <v>2113</v>
      </c>
      <c r="DE260" s="19" t="s">
        <v>2113</v>
      </c>
      <c r="DF260" s="19" t="s">
        <v>2322</v>
      </c>
      <c r="DG260" s="19" t="s">
        <v>2433</v>
      </c>
      <c r="DH260" s="19" t="s">
        <v>2144</v>
      </c>
      <c r="DI260" s="24">
        <v>45518.0</v>
      </c>
      <c r="DJ260" s="19" t="s">
        <v>2325</v>
      </c>
      <c r="DK260" s="19" t="s">
        <v>2145</v>
      </c>
      <c r="DL260" s="19" t="s">
        <v>2326</v>
      </c>
      <c r="DM260" s="19"/>
      <c r="DN260" s="19">
        <v>3.0</v>
      </c>
      <c r="DO260" s="19">
        <v>3.0</v>
      </c>
      <c r="DP260" s="19" t="s">
        <v>6839</v>
      </c>
      <c r="DQ260" s="19" t="s">
        <v>6840</v>
      </c>
      <c r="DR260" s="19" t="s">
        <v>6841</v>
      </c>
      <c r="DS260" s="19" t="s">
        <v>2185</v>
      </c>
      <c r="DT260" s="19" t="s">
        <v>2366</v>
      </c>
      <c r="DU260" s="19"/>
      <c r="DV260" s="19"/>
      <c r="DW260" s="19" t="s">
        <v>2188</v>
      </c>
      <c r="DX260" s="19">
        <v>5.0</v>
      </c>
      <c r="DY260" s="19">
        <v>10.0</v>
      </c>
      <c r="DZ260" s="19">
        <v>0.0</v>
      </c>
      <c r="EA260" s="19">
        <v>10.0</v>
      </c>
      <c r="EB260" s="19">
        <v>0.0</v>
      </c>
      <c r="EC260" s="19">
        <v>0.0</v>
      </c>
      <c r="ED260" s="19" t="s">
        <v>2325</v>
      </c>
      <c r="EE260" s="24">
        <v>45518.0</v>
      </c>
      <c r="EF260" s="19" t="s">
        <v>2325</v>
      </c>
      <c r="EG260" s="19" t="s">
        <v>2145</v>
      </c>
      <c r="EH260" s="19" t="s">
        <v>2326</v>
      </c>
      <c r="EI260" s="22">
        <v>12.984375</v>
      </c>
      <c r="EJ260" s="19">
        <v>45.0</v>
      </c>
      <c r="EK260" s="19"/>
      <c r="EL260" s="19" t="s">
        <v>2282</v>
      </c>
      <c r="EM260" s="19" t="s">
        <v>6830</v>
      </c>
      <c r="EN260" s="19" t="s">
        <v>772</v>
      </c>
      <c r="EO260" s="19" t="s">
        <v>2702</v>
      </c>
      <c r="EP260" s="19" t="s">
        <v>2122</v>
      </c>
      <c r="EQ260" s="19" t="s">
        <v>2321</v>
      </c>
      <c r="ER260" s="19"/>
      <c r="ES260" s="19" t="s">
        <v>772</v>
      </c>
      <c r="ET260" s="19" t="s">
        <v>772</v>
      </c>
      <c r="EU260" s="19" t="s">
        <v>6828</v>
      </c>
      <c r="EV260" s="19">
        <v>8163.0</v>
      </c>
      <c r="EW260" s="19" t="s">
        <v>16</v>
      </c>
      <c r="EX260" s="19">
        <v>4.0</v>
      </c>
      <c r="EY260" s="25" t="s">
        <v>771</v>
      </c>
      <c r="EZ260" s="19" t="s">
        <v>2154</v>
      </c>
      <c r="FA260" s="5" t="s">
        <v>6842</v>
      </c>
      <c r="FB260" s="26" t="s">
        <v>2156</v>
      </c>
      <c r="FC260" s="26"/>
    </row>
    <row r="261">
      <c r="A261" s="19" t="s">
        <v>2156</v>
      </c>
      <c r="B261" s="19"/>
      <c r="C261" s="19" t="s">
        <v>2113</v>
      </c>
      <c r="D261" s="19" t="s">
        <v>773</v>
      </c>
      <c r="E261" s="19" t="s">
        <v>6843</v>
      </c>
      <c r="F261" s="19" t="s">
        <v>773</v>
      </c>
      <c r="G261" s="19"/>
      <c r="H261" s="19" t="s">
        <v>773</v>
      </c>
      <c r="I261" s="23" t="s">
        <v>775</v>
      </c>
      <c r="J261" s="19" t="s">
        <v>6844</v>
      </c>
      <c r="K261" s="19" t="s">
        <v>6845</v>
      </c>
      <c r="L261" s="20">
        <v>45428.0</v>
      </c>
      <c r="M261" s="20">
        <v>45429.0</v>
      </c>
      <c r="N261" s="20">
        <v>45429.0</v>
      </c>
      <c r="O261" s="19" t="s">
        <v>774</v>
      </c>
      <c r="P261" s="19">
        <v>0.0</v>
      </c>
      <c r="Q261" s="19">
        <v>23.0</v>
      </c>
      <c r="R261" s="19">
        <v>8496.0</v>
      </c>
      <c r="S261" s="20" t="s">
        <v>6846</v>
      </c>
      <c r="T261" s="20">
        <v>45461.0</v>
      </c>
      <c r="U261" s="19" t="s">
        <v>773</v>
      </c>
      <c r="V261" s="19"/>
      <c r="W261" s="19"/>
      <c r="X261" s="21">
        <v>0.0</v>
      </c>
      <c r="Y261" s="21">
        <v>10.0</v>
      </c>
      <c r="Z261" s="21">
        <v>4.0</v>
      </c>
      <c r="AA261" s="21">
        <v>0.0</v>
      </c>
      <c r="AB261" s="5">
        <v>14.0</v>
      </c>
      <c r="AC261" s="19">
        <v>5.0</v>
      </c>
      <c r="AD261" s="19">
        <v>5.0</v>
      </c>
      <c r="AE261" s="19">
        <v>5.0</v>
      </c>
      <c r="AF261" s="19">
        <v>5.0</v>
      </c>
      <c r="AG261" s="19">
        <v>5.0</v>
      </c>
      <c r="AH261" s="19">
        <v>5.0</v>
      </c>
      <c r="AI261" s="22">
        <v>15.0</v>
      </c>
      <c r="AJ261" s="19">
        <v>13.0</v>
      </c>
      <c r="AK261" s="19">
        <v>15.0</v>
      </c>
      <c r="AL261" s="19">
        <v>15.0</v>
      </c>
      <c r="AM261" s="19">
        <v>43.0</v>
      </c>
      <c r="AN261" s="19">
        <v>58.0</v>
      </c>
      <c r="AO261" s="19">
        <v>72.0</v>
      </c>
      <c r="AP261" s="19">
        <v>606.0</v>
      </c>
      <c r="AQ261" s="23">
        <v>254.0</v>
      </c>
      <c r="AR261" s="23">
        <v>18.0</v>
      </c>
      <c r="AS261" s="22"/>
      <c r="AT261" s="19" t="s">
        <v>2117</v>
      </c>
      <c r="AU261" s="19" t="s">
        <v>6847</v>
      </c>
      <c r="AV261" s="19" t="s">
        <v>2374</v>
      </c>
      <c r="AW261" s="19"/>
      <c r="AX261" s="20">
        <v>36965.0</v>
      </c>
      <c r="AY261" s="19" t="s">
        <v>2375</v>
      </c>
      <c r="AZ261" s="19" t="s">
        <v>2122</v>
      </c>
      <c r="BA261" s="19" t="s">
        <v>2376</v>
      </c>
      <c r="BB261" s="19" t="s">
        <v>2377</v>
      </c>
      <c r="BC261" s="19" t="s">
        <v>6848</v>
      </c>
      <c r="BD261" s="19" t="s">
        <v>6849</v>
      </c>
      <c r="BE261" s="19" t="s">
        <v>6844</v>
      </c>
      <c r="BF261" s="19">
        <v>1.1941141877E10</v>
      </c>
      <c r="BG261" s="19" t="s">
        <v>2127</v>
      </c>
      <c r="BH261" s="19" t="s">
        <v>2128</v>
      </c>
      <c r="BI261" s="19"/>
      <c r="BJ261" s="19" t="s">
        <v>2128</v>
      </c>
      <c r="BK261" s="19" t="s">
        <v>17</v>
      </c>
      <c r="BL261" s="19"/>
      <c r="BM261" s="19" t="s">
        <v>5411</v>
      </c>
      <c r="BN261" s="19" t="s">
        <v>6850</v>
      </c>
      <c r="BO261" s="19" t="s">
        <v>2317</v>
      </c>
      <c r="BP261" s="19" t="s">
        <v>6851</v>
      </c>
      <c r="BQ261" s="19" t="s">
        <v>2133</v>
      </c>
      <c r="BR261" s="19" t="s">
        <v>2133</v>
      </c>
      <c r="BS261" s="19" t="s">
        <v>2134</v>
      </c>
      <c r="BT261" s="19" t="s">
        <v>52</v>
      </c>
      <c r="BU261" s="19" t="s">
        <v>6852</v>
      </c>
      <c r="BV261" s="19"/>
      <c r="BW261" s="19" t="s">
        <v>2113</v>
      </c>
      <c r="BX261" s="19"/>
      <c r="BY261" s="19"/>
      <c r="BZ261" s="19"/>
      <c r="CA261" s="19"/>
      <c r="CB261" s="19" t="s">
        <v>2113</v>
      </c>
      <c r="CC261" s="19"/>
      <c r="CD261" s="19" t="s">
        <v>2137</v>
      </c>
      <c r="CE261" s="19" t="s">
        <v>16</v>
      </c>
      <c r="CF261" s="19"/>
      <c r="CG261" s="19"/>
      <c r="CH261" s="19" t="s">
        <v>16</v>
      </c>
      <c r="CI261" s="21">
        <v>0.0</v>
      </c>
      <c r="CJ261" s="19" t="s">
        <v>17</v>
      </c>
      <c r="CK261" s="19"/>
      <c r="CL261" s="19"/>
      <c r="CM261" s="19" t="s">
        <v>2138</v>
      </c>
      <c r="CN261" s="19" t="s">
        <v>2382</v>
      </c>
      <c r="CO261" s="19"/>
      <c r="CP261" s="19" t="s">
        <v>2178</v>
      </c>
      <c r="CQ261" s="19"/>
      <c r="CR261" s="19"/>
      <c r="CS261" s="19"/>
      <c r="CT261" s="19"/>
      <c r="CU261" s="19"/>
      <c r="CV261" s="19" t="s">
        <v>2141</v>
      </c>
      <c r="CW261" s="19" t="s">
        <v>2113</v>
      </c>
      <c r="CX261" s="19" t="s">
        <v>2113</v>
      </c>
      <c r="CY261" s="19"/>
      <c r="CZ261" s="19"/>
      <c r="DA261" s="19" t="s">
        <v>16</v>
      </c>
      <c r="DB261" s="19" t="s">
        <v>17</v>
      </c>
      <c r="DC261" s="19" t="s">
        <v>2142</v>
      </c>
      <c r="DD261" s="19" t="s">
        <v>2113</v>
      </c>
      <c r="DE261" s="19" t="s">
        <v>2113</v>
      </c>
      <c r="DF261" s="19" t="s">
        <v>2579</v>
      </c>
      <c r="DG261" s="19" t="s">
        <v>2248</v>
      </c>
      <c r="DH261" s="19" t="s">
        <v>2144</v>
      </c>
      <c r="DI261" s="24">
        <v>45518.0</v>
      </c>
      <c r="DJ261" s="19" t="s">
        <v>2133</v>
      </c>
      <c r="DK261" s="19" t="s">
        <v>2271</v>
      </c>
      <c r="DL261" s="19" t="s">
        <v>2146</v>
      </c>
      <c r="DM261" s="19"/>
      <c r="DN261" s="19">
        <v>4.0</v>
      </c>
      <c r="DO261" s="19">
        <v>4.0</v>
      </c>
      <c r="DP261" s="19" t="s">
        <v>6853</v>
      </c>
      <c r="DQ261" s="19" t="s">
        <v>6854</v>
      </c>
      <c r="DR261" s="19" t="s">
        <v>6855</v>
      </c>
      <c r="DS261" s="19" t="s">
        <v>2365</v>
      </c>
      <c r="DT261" s="19" t="s">
        <v>2186</v>
      </c>
      <c r="DU261" s="19"/>
      <c r="DV261" s="19"/>
      <c r="DW261" s="19" t="s">
        <v>2153</v>
      </c>
      <c r="DX261" s="19">
        <v>8.0</v>
      </c>
      <c r="DY261" s="19">
        <v>10.0</v>
      </c>
      <c r="DZ261" s="19">
        <v>0.0</v>
      </c>
      <c r="EA261" s="19">
        <v>10.0</v>
      </c>
      <c r="EB261" s="19">
        <v>0.0</v>
      </c>
      <c r="EC261" s="19">
        <v>0.0</v>
      </c>
      <c r="ED261" s="19" t="s">
        <v>2133</v>
      </c>
      <c r="EE261" s="24">
        <v>45518.0</v>
      </c>
      <c r="EF261" s="19" t="s">
        <v>2133</v>
      </c>
      <c r="EG261" s="19" t="s">
        <v>2271</v>
      </c>
      <c r="EH261" s="19" t="s">
        <v>2146</v>
      </c>
      <c r="EI261" s="22">
        <v>15.0</v>
      </c>
      <c r="EJ261" s="19">
        <v>43.0</v>
      </c>
      <c r="EK261" s="19" t="s">
        <v>2113</v>
      </c>
      <c r="EL261" s="19" t="s">
        <v>2117</v>
      </c>
      <c r="EM261" s="19" t="s">
        <v>6847</v>
      </c>
      <c r="EN261" s="19" t="s">
        <v>6856</v>
      </c>
      <c r="EO261" s="19" t="s">
        <v>2375</v>
      </c>
      <c r="EP261" s="19" t="s">
        <v>2122</v>
      </c>
      <c r="EQ261" s="19" t="s">
        <v>2382</v>
      </c>
      <c r="ER261" s="19"/>
      <c r="ES261" s="19" t="s">
        <v>6856</v>
      </c>
      <c r="ET261" s="19" t="s">
        <v>6856</v>
      </c>
      <c r="EU261" s="19" t="s">
        <v>6845</v>
      </c>
      <c r="EV261" s="19">
        <v>8496.0</v>
      </c>
      <c r="EW261" s="19" t="s">
        <v>16</v>
      </c>
      <c r="EX261" s="19">
        <v>4.0</v>
      </c>
      <c r="EY261" s="25" t="s">
        <v>774</v>
      </c>
      <c r="EZ261" s="19" t="s">
        <v>2154</v>
      </c>
      <c r="FA261" s="5" t="s">
        <v>6857</v>
      </c>
      <c r="FB261" s="26" t="s">
        <v>2156</v>
      </c>
      <c r="FC261" s="26"/>
    </row>
    <row r="262">
      <c r="A262" s="19" t="s">
        <v>2112</v>
      </c>
      <c r="B262" s="19"/>
      <c r="C262" s="19" t="s">
        <v>2113</v>
      </c>
      <c r="D262" s="19" t="s">
        <v>776</v>
      </c>
      <c r="E262" s="19" t="s">
        <v>6858</v>
      </c>
      <c r="F262" s="19" t="s">
        <v>6859</v>
      </c>
      <c r="G262" s="19" t="s">
        <v>6860</v>
      </c>
      <c r="H262" s="19" t="s">
        <v>776</v>
      </c>
      <c r="I262" s="19" t="s">
        <v>778</v>
      </c>
      <c r="J262" s="19" t="s">
        <v>6861</v>
      </c>
      <c r="K262" s="19" t="s">
        <v>6862</v>
      </c>
      <c r="L262" s="20">
        <v>45447.0</v>
      </c>
      <c r="M262" s="20">
        <v>45447.0</v>
      </c>
      <c r="N262" s="20">
        <v>45447.0</v>
      </c>
      <c r="O262" s="19" t="s">
        <v>777</v>
      </c>
      <c r="P262" s="19">
        <v>0.0</v>
      </c>
      <c r="Q262" s="19">
        <v>27.0</v>
      </c>
      <c r="R262" s="19">
        <v>10192.0</v>
      </c>
      <c r="S262" s="20" t="s">
        <v>6863</v>
      </c>
      <c r="T262" s="20">
        <v>45461.0</v>
      </c>
      <c r="U262" s="19" t="s">
        <v>6859</v>
      </c>
      <c r="V262" s="19"/>
      <c r="W262" s="19"/>
      <c r="X262" s="21">
        <v>0.0</v>
      </c>
      <c r="Y262" s="21">
        <v>10.0</v>
      </c>
      <c r="Z262" s="21">
        <v>2.0</v>
      </c>
      <c r="AA262" s="21">
        <v>0.0</v>
      </c>
      <c r="AB262" s="5">
        <v>12.0</v>
      </c>
      <c r="AC262" s="19">
        <v>5.0</v>
      </c>
      <c r="AD262" s="19">
        <v>5.0</v>
      </c>
      <c r="AE262" s="19">
        <v>5.0</v>
      </c>
      <c r="AF262" s="19">
        <v>5.0</v>
      </c>
      <c r="AG262" s="19">
        <v>5.0</v>
      </c>
      <c r="AH262" s="19">
        <v>5.0</v>
      </c>
      <c r="AI262" s="22">
        <v>15.0</v>
      </c>
      <c r="AJ262" s="19">
        <v>15.0</v>
      </c>
      <c r="AK262" s="19">
        <v>15.0</v>
      </c>
      <c r="AL262" s="19">
        <v>15.0</v>
      </c>
      <c r="AM262" s="19">
        <v>45.0</v>
      </c>
      <c r="AN262" s="19">
        <v>60.0</v>
      </c>
      <c r="AO262" s="19">
        <v>72.0</v>
      </c>
      <c r="AP262" s="19">
        <v>838.0</v>
      </c>
      <c r="AQ262" s="23">
        <v>255.0</v>
      </c>
      <c r="AR262" s="23">
        <v>29.0</v>
      </c>
      <c r="AS262" s="22"/>
      <c r="AT262" s="19" t="s">
        <v>2282</v>
      </c>
      <c r="AU262" s="19" t="s">
        <v>6864</v>
      </c>
      <c r="AV262" s="19" t="s">
        <v>6865</v>
      </c>
      <c r="AW262" s="19"/>
      <c r="AX262" s="20">
        <v>35269.0</v>
      </c>
      <c r="AY262" s="19" t="s">
        <v>3773</v>
      </c>
      <c r="AZ262" s="19" t="s">
        <v>2122</v>
      </c>
      <c r="BA262" s="19" t="s">
        <v>6866</v>
      </c>
      <c r="BB262" s="19" t="s">
        <v>6867</v>
      </c>
      <c r="BC262" s="19" t="s">
        <v>6868</v>
      </c>
      <c r="BD262" s="19" t="s">
        <v>6869</v>
      </c>
      <c r="BE262" s="19" t="s">
        <v>6870</v>
      </c>
      <c r="BF262" s="19">
        <v>1.1998027855E10</v>
      </c>
      <c r="BG262" s="19" t="s">
        <v>2127</v>
      </c>
      <c r="BH262" s="19" t="s">
        <v>2649</v>
      </c>
      <c r="BI262" s="19"/>
      <c r="BJ262" s="19" t="s">
        <v>2128</v>
      </c>
      <c r="BK262" s="19" t="s">
        <v>17</v>
      </c>
      <c r="BL262" s="19"/>
      <c r="BM262" s="19" t="s">
        <v>5563</v>
      </c>
      <c r="BN262" s="19" t="s">
        <v>2401</v>
      </c>
      <c r="BO262" s="19" t="s">
        <v>3199</v>
      </c>
      <c r="BP262" s="19" t="s">
        <v>6871</v>
      </c>
      <c r="BQ262" s="19" t="s">
        <v>2133</v>
      </c>
      <c r="BR262" s="19" t="s">
        <v>2133</v>
      </c>
      <c r="BS262" s="19" t="s">
        <v>2243</v>
      </c>
      <c r="BT262" s="19" t="s">
        <v>15</v>
      </c>
      <c r="BU262" s="19" t="s">
        <v>3001</v>
      </c>
      <c r="BV262" s="19"/>
      <c r="BW262" s="19" t="s">
        <v>2113</v>
      </c>
      <c r="BX262" s="19"/>
      <c r="BY262" s="19"/>
      <c r="BZ262" s="19"/>
      <c r="CA262" s="19"/>
      <c r="CB262" s="19" t="s">
        <v>2113</v>
      </c>
      <c r="CC262" s="19"/>
      <c r="CD262" s="19" t="s">
        <v>2137</v>
      </c>
      <c r="CE262" s="19" t="s">
        <v>16</v>
      </c>
      <c r="CF262" s="19"/>
      <c r="CG262" s="19"/>
      <c r="CH262" s="19" t="s">
        <v>16</v>
      </c>
      <c r="CI262" s="21">
        <v>0.0</v>
      </c>
      <c r="CJ262" s="19" t="s">
        <v>16</v>
      </c>
      <c r="CK262" s="19"/>
      <c r="CL262" s="19"/>
      <c r="CM262" s="19" t="s">
        <v>2138</v>
      </c>
      <c r="CN262" s="19" t="s">
        <v>3202</v>
      </c>
      <c r="CO262" s="19"/>
      <c r="CP262" s="19" t="s">
        <v>2178</v>
      </c>
      <c r="CQ262" s="19"/>
      <c r="CR262" s="19"/>
      <c r="CS262" s="19"/>
      <c r="CT262" s="19"/>
      <c r="CU262" s="19"/>
      <c r="CV262" s="19" t="s">
        <v>2141</v>
      </c>
      <c r="CW262" s="19"/>
      <c r="CX262" s="19"/>
      <c r="CY262" s="19" t="s">
        <v>2113</v>
      </c>
      <c r="CZ262" s="19" t="s">
        <v>2113</v>
      </c>
      <c r="DA262" s="19" t="s">
        <v>16</v>
      </c>
      <c r="DB262" s="19" t="s">
        <v>16</v>
      </c>
      <c r="DC262" s="19" t="s">
        <v>2671</v>
      </c>
      <c r="DD262" s="19" t="s">
        <v>2113</v>
      </c>
      <c r="DE262" s="19" t="s">
        <v>2113</v>
      </c>
      <c r="DF262" s="19" t="s">
        <v>2433</v>
      </c>
      <c r="DG262" s="19" t="s">
        <v>2323</v>
      </c>
      <c r="DH262" s="19" t="s">
        <v>2144</v>
      </c>
      <c r="DI262" s="24">
        <v>45531.0</v>
      </c>
      <c r="DJ262" s="19" t="s">
        <v>2133</v>
      </c>
      <c r="DK262" s="19" t="s">
        <v>2145</v>
      </c>
      <c r="DL262" s="19" t="s">
        <v>2146</v>
      </c>
      <c r="DM262" s="19" t="s">
        <v>3183</v>
      </c>
      <c r="DN262" s="19">
        <v>13.0</v>
      </c>
      <c r="DO262" s="19">
        <v>13.0</v>
      </c>
      <c r="DP262" s="19" t="s">
        <v>6872</v>
      </c>
      <c r="DQ262" s="19" t="s">
        <v>6873</v>
      </c>
      <c r="DR262" s="19" t="s">
        <v>6874</v>
      </c>
      <c r="DS262" s="19" t="s">
        <v>2365</v>
      </c>
      <c r="DT262" s="19" t="s">
        <v>2209</v>
      </c>
      <c r="DU262" s="19"/>
      <c r="DV262" s="19"/>
      <c r="DW262" s="19" t="s">
        <v>2479</v>
      </c>
      <c r="DX262" s="19">
        <v>11.0</v>
      </c>
      <c r="DY262" s="19">
        <v>10.0</v>
      </c>
      <c r="DZ262" s="19">
        <v>0.0</v>
      </c>
      <c r="EA262" s="19">
        <v>10.0</v>
      </c>
      <c r="EB262" s="19">
        <v>0.0</v>
      </c>
      <c r="EC262" s="19">
        <v>0.0</v>
      </c>
      <c r="ED262" s="19" t="s">
        <v>2133</v>
      </c>
      <c r="EE262" s="24">
        <v>45531.0</v>
      </c>
      <c r="EF262" s="19" t="s">
        <v>2133</v>
      </c>
      <c r="EG262" s="19" t="s">
        <v>2145</v>
      </c>
      <c r="EH262" s="19" t="s">
        <v>2146</v>
      </c>
      <c r="EI262" s="22">
        <v>15.0</v>
      </c>
      <c r="EJ262" s="19">
        <v>45.0</v>
      </c>
      <c r="EK262" s="19"/>
      <c r="EL262" s="19" t="s">
        <v>2282</v>
      </c>
      <c r="EM262" s="19" t="s">
        <v>6864</v>
      </c>
      <c r="EN262" s="19" t="s">
        <v>778</v>
      </c>
      <c r="EO262" s="19" t="s">
        <v>3773</v>
      </c>
      <c r="EP262" s="19" t="s">
        <v>2122</v>
      </c>
      <c r="EQ262" s="19" t="s">
        <v>3202</v>
      </c>
      <c r="ER262" s="19"/>
      <c r="ES262" s="19" t="s">
        <v>778</v>
      </c>
      <c r="ET262" s="19" t="s">
        <v>778</v>
      </c>
      <c r="EU262" s="19" t="s">
        <v>6862</v>
      </c>
      <c r="EV262" s="19">
        <v>10192.0</v>
      </c>
      <c r="EW262" s="19" t="s">
        <v>16</v>
      </c>
      <c r="EX262" s="19">
        <v>2.0</v>
      </c>
      <c r="EY262" s="25" t="s">
        <v>777</v>
      </c>
      <c r="EZ262" s="19" t="s">
        <v>2154</v>
      </c>
      <c r="FA262" s="5" t="s">
        <v>6875</v>
      </c>
      <c r="FB262" s="26" t="s">
        <v>2156</v>
      </c>
      <c r="FC262" s="26"/>
    </row>
    <row r="263">
      <c r="A263" s="19" t="s">
        <v>6876</v>
      </c>
      <c r="B263" s="19"/>
      <c r="C263" s="19" t="s">
        <v>2113</v>
      </c>
      <c r="D263" s="19" t="s">
        <v>779</v>
      </c>
      <c r="E263" s="19" t="s">
        <v>6877</v>
      </c>
      <c r="F263" s="19" t="s">
        <v>779</v>
      </c>
      <c r="G263" s="19"/>
      <c r="H263" s="19" t="s">
        <v>779</v>
      </c>
      <c r="I263" s="19" t="s">
        <v>781</v>
      </c>
      <c r="J263" s="19" t="s">
        <v>6878</v>
      </c>
      <c r="K263" s="19" t="s">
        <v>6879</v>
      </c>
      <c r="L263" s="20">
        <v>45395.0</v>
      </c>
      <c r="M263" s="20">
        <v>45404.0</v>
      </c>
      <c r="N263" s="20">
        <v>45404.0</v>
      </c>
      <c r="O263" s="19" t="s">
        <v>780</v>
      </c>
      <c r="P263" s="19">
        <v>0.0</v>
      </c>
      <c r="Q263" s="19">
        <v>24.0</v>
      </c>
      <c r="R263" s="19">
        <v>8778.0</v>
      </c>
      <c r="S263" s="20" t="s">
        <v>6880</v>
      </c>
      <c r="T263" s="20">
        <v>45461.0</v>
      </c>
      <c r="U263" s="19" t="s">
        <v>779</v>
      </c>
      <c r="V263" s="19"/>
      <c r="W263" s="19"/>
      <c r="X263" s="21">
        <v>0.0</v>
      </c>
      <c r="Y263" s="21">
        <v>10.0</v>
      </c>
      <c r="Z263" s="21">
        <v>2.0</v>
      </c>
      <c r="AA263" s="21">
        <v>0.0</v>
      </c>
      <c r="AB263" s="5">
        <v>12.0</v>
      </c>
      <c r="AC263" s="19">
        <v>5.0</v>
      </c>
      <c r="AD263" s="19">
        <v>5.0</v>
      </c>
      <c r="AE263" s="19">
        <v>5.0</v>
      </c>
      <c r="AF263" s="19">
        <v>5.0</v>
      </c>
      <c r="AG263" s="19">
        <v>5.0</v>
      </c>
      <c r="AH263" s="19">
        <v>5.0</v>
      </c>
      <c r="AI263" s="22">
        <v>15.0</v>
      </c>
      <c r="AJ263" s="19">
        <v>15.0</v>
      </c>
      <c r="AK263" s="19">
        <v>15.0</v>
      </c>
      <c r="AL263" s="19">
        <v>15.0</v>
      </c>
      <c r="AM263" s="19">
        <v>45.0</v>
      </c>
      <c r="AN263" s="19">
        <v>60.0</v>
      </c>
      <c r="AO263" s="19">
        <v>72.0</v>
      </c>
      <c r="AP263" s="19">
        <v>854.0</v>
      </c>
      <c r="AQ263" s="23">
        <v>256.0</v>
      </c>
      <c r="AR263" s="23">
        <v>30.0</v>
      </c>
      <c r="AS263" s="22"/>
      <c r="AT263" s="19" t="s">
        <v>2163</v>
      </c>
      <c r="AU263" s="19" t="s">
        <v>6881</v>
      </c>
      <c r="AV263" s="19" t="s">
        <v>6882</v>
      </c>
      <c r="AW263" s="19"/>
      <c r="AX263" s="20">
        <v>36683.0</v>
      </c>
      <c r="AY263" s="19" t="s">
        <v>5121</v>
      </c>
      <c r="AZ263" s="19" t="s">
        <v>2310</v>
      </c>
      <c r="BA263" s="19" t="s">
        <v>6883</v>
      </c>
      <c r="BB263" s="19" t="s">
        <v>6884</v>
      </c>
      <c r="BC263" s="19" t="s">
        <v>6885</v>
      </c>
      <c r="BD263" s="19" t="s">
        <v>6886</v>
      </c>
      <c r="BE263" s="19"/>
      <c r="BF263" s="19"/>
      <c r="BG263" s="19" t="s">
        <v>2127</v>
      </c>
      <c r="BH263" s="19" t="s">
        <v>2128</v>
      </c>
      <c r="BI263" s="19"/>
      <c r="BJ263" s="19"/>
      <c r="BK263" s="19" t="s">
        <v>16</v>
      </c>
      <c r="BL263" s="19"/>
      <c r="BM263" s="19" t="s">
        <v>5411</v>
      </c>
      <c r="BN263" s="19" t="s">
        <v>2172</v>
      </c>
      <c r="BO263" s="19" t="s">
        <v>3199</v>
      </c>
      <c r="BP263" s="19" t="s">
        <v>6887</v>
      </c>
      <c r="BQ263" s="19" t="s">
        <v>2133</v>
      </c>
      <c r="BR263" s="19" t="s">
        <v>2133</v>
      </c>
      <c r="BS263" s="19" t="s">
        <v>2134</v>
      </c>
      <c r="BT263" s="19" t="s">
        <v>15</v>
      </c>
      <c r="BU263" s="19"/>
      <c r="BV263" s="19"/>
      <c r="BW263" s="19"/>
      <c r="BX263" s="19"/>
      <c r="BY263" s="19" t="s">
        <v>2113</v>
      </c>
      <c r="BZ263" s="19" t="s">
        <v>2113</v>
      </c>
      <c r="CA263" s="19"/>
      <c r="CB263" s="19" t="s">
        <v>2113</v>
      </c>
      <c r="CC263" s="19"/>
      <c r="CD263" s="19" t="s">
        <v>2137</v>
      </c>
      <c r="CE263" s="19" t="s">
        <v>16</v>
      </c>
      <c r="CF263" s="19"/>
      <c r="CG263" s="19"/>
      <c r="CH263" s="19" t="s">
        <v>16</v>
      </c>
      <c r="CI263" s="21">
        <v>0.0</v>
      </c>
      <c r="CJ263" s="19" t="s">
        <v>17</v>
      </c>
      <c r="CK263" s="19"/>
      <c r="CL263" s="19" t="s">
        <v>2113</v>
      </c>
      <c r="CM263" s="19" t="s">
        <v>2344</v>
      </c>
      <c r="CN263" s="19" t="s">
        <v>5128</v>
      </c>
      <c r="CO263" s="19"/>
      <c r="CP263" s="19"/>
      <c r="CQ263" s="19"/>
      <c r="CR263" s="19"/>
      <c r="CS263" s="19"/>
      <c r="CT263" s="19" t="s">
        <v>2113</v>
      </c>
      <c r="CU263" s="19" t="s">
        <v>2113</v>
      </c>
      <c r="CV263" s="19" t="s">
        <v>2179</v>
      </c>
      <c r="CW263" s="19"/>
      <c r="CX263" s="19"/>
      <c r="CY263" s="19" t="s">
        <v>2113</v>
      </c>
      <c r="CZ263" s="19" t="s">
        <v>2113</v>
      </c>
      <c r="DA263" s="19" t="s">
        <v>16</v>
      </c>
      <c r="DB263" s="19" t="s">
        <v>17</v>
      </c>
      <c r="DC263" s="19" t="s">
        <v>2826</v>
      </c>
      <c r="DD263" s="19" t="s">
        <v>2113</v>
      </c>
      <c r="DE263" s="19" t="s">
        <v>2113</v>
      </c>
      <c r="DF263" s="19" t="s">
        <v>2406</v>
      </c>
      <c r="DG263" s="19" t="s">
        <v>2407</v>
      </c>
      <c r="DH263" s="19" t="s">
        <v>2580</v>
      </c>
      <c r="DI263" s="24">
        <v>45517.0</v>
      </c>
      <c r="DJ263" s="19" t="s">
        <v>2133</v>
      </c>
      <c r="DK263" s="19" t="s">
        <v>2145</v>
      </c>
      <c r="DL263" s="19" t="s">
        <v>2146</v>
      </c>
      <c r="DM263" s="19" t="s">
        <v>3021</v>
      </c>
      <c r="DN263" s="19">
        <v>1.0</v>
      </c>
      <c r="DO263" s="19">
        <v>1.0</v>
      </c>
      <c r="DP263" s="19"/>
      <c r="DQ263" s="19"/>
      <c r="DR263" s="19"/>
      <c r="DS263" s="19" t="s">
        <v>2365</v>
      </c>
      <c r="DT263" s="19" t="s">
        <v>2366</v>
      </c>
      <c r="DU263" s="19" t="s">
        <v>6888</v>
      </c>
      <c r="DV263" s="19"/>
      <c r="DW263" s="19" t="s">
        <v>2153</v>
      </c>
      <c r="DX263" s="19">
        <v>7.0</v>
      </c>
      <c r="DY263" s="19">
        <v>10.0</v>
      </c>
      <c r="DZ263" s="19">
        <v>0.0</v>
      </c>
      <c r="EA263" s="19">
        <v>10.0</v>
      </c>
      <c r="EB263" s="19">
        <v>0.0</v>
      </c>
      <c r="EC263" s="19">
        <v>0.0</v>
      </c>
      <c r="ED263" s="19" t="s">
        <v>2133</v>
      </c>
      <c r="EE263" s="24">
        <v>45517.0</v>
      </c>
      <c r="EF263" s="19" t="s">
        <v>2133</v>
      </c>
      <c r="EG263" s="19" t="s">
        <v>2145</v>
      </c>
      <c r="EH263" s="19" t="s">
        <v>2146</v>
      </c>
      <c r="EI263" s="22">
        <v>15.0</v>
      </c>
      <c r="EJ263" s="19">
        <v>45.0</v>
      </c>
      <c r="EK263" s="19" t="s">
        <v>2113</v>
      </c>
      <c r="EL263" s="19" t="s">
        <v>2163</v>
      </c>
      <c r="EM263" s="19" t="s">
        <v>6881</v>
      </c>
      <c r="EN263" s="19" t="s">
        <v>781</v>
      </c>
      <c r="EO263" s="19" t="s">
        <v>5121</v>
      </c>
      <c r="EP263" s="19" t="s">
        <v>2310</v>
      </c>
      <c r="EQ263" s="19" t="s">
        <v>5128</v>
      </c>
      <c r="ER263" s="19"/>
      <c r="ES263" s="19" t="s">
        <v>781</v>
      </c>
      <c r="ET263" s="19" t="s">
        <v>781</v>
      </c>
      <c r="EU263" s="19" t="s">
        <v>6879</v>
      </c>
      <c r="EV263" s="19">
        <v>8778.0</v>
      </c>
      <c r="EW263" s="19" t="s">
        <v>16</v>
      </c>
      <c r="EX263" s="19">
        <v>2.0</v>
      </c>
      <c r="EY263" s="25" t="s">
        <v>780</v>
      </c>
      <c r="EZ263" s="19" t="s">
        <v>2154</v>
      </c>
      <c r="FA263" s="5" t="s">
        <v>6889</v>
      </c>
      <c r="FB263" s="26" t="s">
        <v>2156</v>
      </c>
      <c r="FC263" s="26"/>
    </row>
    <row r="264">
      <c r="A264" s="19" t="s">
        <v>2112</v>
      </c>
      <c r="B264" s="19"/>
      <c r="C264" s="19" t="s">
        <v>2113</v>
      </c>
      <c r="D264" s="19" t="s">
        <v>782</v>
      </c>
      <c r="E264" s="19" t="s">
        <v>6890</v>
      </c>
      <c r="F264" s="19" t="s">
        <v>782</v>
      </c>
      <c r="G264" s="19"/>
      <c r="H264" s="19" t="s">
        <v>782</v>
      </c>
      <c r="I264" s="19" t="s">
        <v>784</v>
      </c>
      <c r="J264" s="19" t="s">
        <v>6891</v>
      </c>
      <c r="K264" s="19" t="s">
        <v>6892</v>
      </c>
      <c r="L264" s="20">
        <v>45431.0</v>
      </c>
      <c r="M264" s="20">
        <v>45432.0</v>
      </c>
      <c r="N264" s="20">
        <v>45432.0</v>
      </c>
      <c r="O264" s="19" t="s">
        <v>783</v>
      </c>
      <c r="P264" s="19">
        <v>0.0</v>
      </c>
      <c r="Q264" s="19">
        <v>23.0</v>
      </c>
      <c r="R264" s="19">
        <v>8665.0</v>
      </c>
      <c r="S264" s="20" t="s">
        <v>2990</v>
      </c>
      <c r="T264" s="20">
        <v>45461.0</v>
      </c>
      <c r="U264" s="19" t="s">
        <v>782</v>
      </c>
      <c r="V264" s="19"/>
      <c r="W264" s="19"/>
      <c r="X264" s="21">
        <v>0.0</v>
      </c>
      <c r="Y264" s="21">
        <v>10.0</v>
      </c>
      <c r="Z264" s="21">
        <v>2.0</v>
      </c>
      <c r="AA264" s="21">
        <v>0.0</v>
      </c>
      <c r="AB264" s="5">
        <v>12.0</v>
      </c>
      <c r="AC264" s="19">
        <v>5.0</v>
      </c>
      <c r="AD264" s="19">
        <v>5.0</v>
      </c>
      <c r="AE264" s="19">
        <v>5.0</v>
      </c>
      <c r="AF264" s="19">
        <v>5.0</v>
      </c>
      <c r="AG264" s="19">
        <v>5.0</v>
      </c>
      <c r="AH264" s="19">
        <v>5.0</v>
      </c>
      <c r="AI264" s="22">
        <v>15.0</v>
      </c>
      <c r="AJ264" s="19">
        <v>15.0</v>
      </c>
      <c r="AK264" s="19">
        <v>15.0</v>
      </c>
      <c r="AL264" s="19">
        <v>15.0</v>
      </c>
      <c r="AM264" s="19">
        <v>45.0</v>
      </c>
      <c r="AN264" s="19">
        <v>60.0</v>
      </c>
      <c r="AO264" s="19">
        <v>72.0</v>
      </c>
      <c r="AP264" s="19">
        <v>858.0</v>
      </c>
      <c r="AQ264" s="23">
        <v>257.0</v>
      </c>
      <c r="AR264" s="23">
        <v>17.0</v>
      </c>
      <c r="AS264" s="22"/>
      <c r="AT264" s="19" t="s">
        <v>2163</v>
      </c>
      <c r="AU264" s="19" t="s">
        <v>5461</v>
      </c>
      <c r="AV264" s="19" t="s">
        <v>6893</v>
      </c>
      <c r="AW264" s="19" t="s">
        <v>6894</v>
      </c>
      <c r="AX264" s="20">
        <v>36796.0</v>
      </c>
      <c r="AY264" s="19" t="s">
        <v>5463</v>
      </c>
      <c r="AZ264" s="19" t="s">
        <v>2445</v>
      </c>
      <c r="BA264" s="19" t="s">
        <v>6895</v>
      </c>
      <c r="BB264" s="19" t="s">
        <v>6896</v>
      </c>
      <c r="BC264" s="19" t="s">
        <v>6897</v>
      </c>
      <c r="BD264" s="19" t="s">
        <v>6898</v>
      </c>
      <c r="BE264" s="19" t="s">
        <v>6899</v>
      </c>
      <c r="BF264" s="19">
        <v>1.1994436285E10</v>
      </c>
      <c r="BG264" s="19" t="s">
        <v>2127</v>
      </c>
      <c r="BH264" s="19" t="s">
        <v>2128</v>
      </c>
      <c r="BI264" s="19"/>
      <c r="BJ264" s="19"/>
      <c r="BK264" s="19" t="s">
        <v>16</v>
      </c>
      <c r="BL264" s="19" t="s">
        <v>2113</v>
      </c>
      <c r="BM264" s="19" t="s">
        <v>5563</v>
      </c>
      <c r="BN264" s="19" t="s">
        <v>2401</v>
      </c>
      <c r="BO264" s="19" t="s">
        <v>3199</v>
      </c>
      <c r="BP264" s="19" t="s">
        <v>6900</v>
      </c>
      <c r="BQ264" s="19" t="s">
        <v>2133</v>
      </c>
      <c r="BR264" s="19" t="s">
        <v>2133</v>
      </c>
      <c r="BS264" s="19" t="s">
        <v>2243</v>
      </c>
      <c r="BT264" s="19" t="s">
        <v>222</v>
      </c>
      <c r="BU264" s="19" t="s">
        <v>6901</v>
      </c>
      <c r="BV264" s="19"/>
      <c r="BW264" s="19"/>
      <c r="BX264" s="19"/>
      <c r="BY264" s="19" t="s">
        <v>2113</v>
      </c>
      <c r="BZ264" s="19" t="s">
        <v>2113</v>
      </c>
      <c r="CA264" s="19" t="s">
        <v>2113</v>
      </c>
      <c r="CB264" s="19" t="s">
        <v>2113</v>
      </c>
      <c r="CC264" s="19"/>
      <c r="CD264" s="19" t="s">
        <v>2137</v>
      </c>
      <c r="CE264" s="19" t="s">
        <v>16</v>
      </c>
      <c r="CF264" s="19"/>
      <c r="CG264" s="19"/>
      <c r="CH264" s="19" t="s">
        <v>16</v>
      </c>
      <c r="CI264" s="21">
        <v>0.0</v>
      </c>
      <c r="CJ264" s="19" t="s">
        <v>17</v>
      </c>
      <c r="CK264" s="19"/>
      <c r="CL264" s="19"/>
      <c r="CM264" s="19" t="s">
        <v>2344</v>
      </c>
      <c r="CN264" s="19" t="s">
        <v>4465</v>
      </c>
      <c r="CO264" s="19"/>
      <c r="CP264" s="19"/>
      <c r="CQ264" s="19"/>
      <c r="CR264" s="19"/>
      <c r="CS264" s="19"/>
      <c r="CT264" s="19" t="s">
        <v>2113</v>
      </c>
      <c r="CU264" s="19" t="s">
        <v>2113</v>
      </c>
      <c r="CV264" s="19" t="s">
        <v>2179</v>
      </c>
      <c r="CW264" s="19"/>
      <c r="CX264" s="19"/>
      <c r="CY264" s="19" t="s">
        <v>2113</v>
      </c>
      <c r="CZ264" s="19" t="s">
        <v>2113</v>
      </c>
      <c r="DA264" s="19" t="s">
        <v>16</v>
      </c>
      <c r="DB264" s="19" t="s">
        <v>17</v>
      </c>
      <c r="DC264" s="19" t="s">
        <v>2142</v>
      </c>
      <c r="DD264" s="19" t="s">
        <v>2113</v>
      </c>
      <c r="DE264" s="19" t="s">
        <v>2113</v>
      </c>
      <c r="DF264" s="19" t="s">
        <v>2578</v>
      </c>
      <c r="DG264" s="19" t="s">
        <v>3163</v>
      </c>
      <c r="DH264" s="19" t="s">
        <v>2144</v>
      </c>
      <c r="DI264" s="24">
        <v>45532.0</v>
      </c>
      <c r="DJ264" s="19" t="s">
        <v>2133</v>
      </c>
      <c r="DK264" s="19" t="s">
        <v>2145</v>
      </c>
      <c r="DL264" s="19" t="s">
        <v>2146</v>
      </c>
      <c r="DM264" s="19" t="s">
        <v>4101</v>
      </c>
      <c r="DN264" s="19">
        <v>15.0</v>
      </c>
      <c r="DO264" s="19">
        <v>15.0</v>
      </c>
      <c r="DP264" s="19"/>
      <c r="DQ264" s="19"/>
      <c r="DR264" s="19"/>
      <c r="DS264" s="19" t="s">
        <v>2151</v>
      </c>
      <c r="DT264" s="19" t="s">
        <v>2301</v>
      </c>
      <c r="DU264" s="19" t="s">
        <v>6902</v>
      </c>
      <c r="DV264" s="19"/>
      <c r="DW264" s="19" t="s">
        <v>2153</v>
      </c>
      <c r="DX264" s="19">
        <v>12.0</v>
      </c>
      <c r="DY264" s="19">
        <v>10.0</v>
      </c>
      <c r="DZ264" s="19">
        <v>0.0</v>
      </c>
      <c r="EA264" s="19">
        <v>10.0</v>
      </c>
      <c r="EB264" s="19">
        <v>0.0</v>
      </c>
      <c r="EC264" s="19">
        <v>0.0</v>
      </c>
      <c r="ED264" s="19" t="s">
        <v>2133</v>
      </c>
      <c r="EE264" s="24">
        <v>45532.0</v>
      </c>
      <c r="EF264" s="19" t="s">
        <v>2133</v>
      </c>
      <c r="EG264" s="19" t="s">
        <v>2145</v>
      </c>
      <c r="EH264" s="19" t="s">
        <v>2146</v>
      </c>
      <c r="EI264" s="22">
        <v>15.0</v>
      </c>
      <c r="EJ264" s="19">
        <v>45.0</v>
      </c>
      <c r="EK264" s="19" t="s">
        <v>2113</v>
      </c>
      <c r="EL264" s="19" t="s">
        <v>2163</v>
      </c>
      <c r="EM264" s="19" t="s">
        <v>5461</v>
      </c>
      <c r="EN264" s="19" t="s">
        <v>784</v>
      </c>
      <c r="EO264" s="19" t="s">
        <v>5463</v>
      </c>
      <c r="EP264" s="19" t="s">
        <v>2445</v>
      </c>
      <c r="EQ264" s="19" t="s">
        <v>4465</v>
      </c>
      <c r="ER264" s="19"/>
      <c r="ES264" s="19" t="s">
        <v>784</v>
      </c>
      <c r="ET264" s="19" t="s">
        <v>784</v>
      </c>
      <c r="EU264" s="19" t="s">
        <v>6892</v>
      </c>
      <c r="EV264" s="19">
        <v>8665.0</v>
      </c>
      <c r="EW264" s="19" t="s">
        <v>16</v>
      </c>
      <c r="EX264" s="19">
        <v>2.0</v>
      </c>
      <c r="EY264" s="25" t="s">
        <v>783</v>
      </c>
      <c r="EZ264" s="19" t="s">
        <v>2154</v>
      </c>
      <c r="FA264" s="5" t="s">
        <v>6903</v>
      </c>
      <c r="FB264" s="26" t="s">
        <v>2156</v>
      </c>
      <c r="FC264" s="26"/>
    </row>
    <row r="265">
      <c r="A265" s="19" t="s">
        <v>2112</v>
      </c>
      <c r="B265" s="19"/>
      <c r="C265" s="19" t="s">
        <v>2113</v>
      </c>
      <c r="D265" s="19" t="s">
        <v>6904</v>
      </c>
      <c r="E265" s="19" t="s">
        <v>6905</v>
      </c>
      <c r="F265" s="19" t="s">
        <v>6906</v>
      </c>
      <c r="G265" s="19" t="s">
        <v>6907</v>
      </c>
      <c r="H265" s="19" t="s">
        <v>785</v>
      </c>
      <c r="I265" s="19" t="s">
        <v>787</v>
      </c>
      <c r="J265" s="19" t="s">
        <v>6908</v>
      </c>
      <c r="K265" s="19" t="s">
        <v>6909</v>
      </c>
      <c r="L265" s="20">
        <v>45447.0</v>
      </c>
      <c r="M265" s="20">
        <v>45448.0</v>
      </c>
      <c r="N265" s="20">
        <v>45448.0</v>
      </c>
      <c r="O265" s="19" t="s">
        <v>786</v>
      </c>
      <c r="P265" s="19">
        <v>0.0</v>
      </c>
      <c r="Q265" s="19">
        <v>19.0</v>
      </c>
      <c r="R265" s="19">
        <v>7067.0</v>
      </c>
      <c r="S265" s="20" t="s">
        <v>6910</v>
      </c>
      <c r="T265" s="20">
        <v>45461.0</v>
      </c>
      <c r="U265" s="19" t="s">
        <v>6906</v>
      </c>
      <c r="V265" s="19"/>
      <c r="W265" s="19"/>
      <c r="X265" s="21">
        <v>0.0</v>
      </c>
      <c r="Y265" s="21">
        <v>10.0</v>
      </c>
      <c r="Z265" s="21">
        <v>2.0</v>
      </c>
      <c r="AA265" s="21">
        <v>0.0</v>
      </c>
      <c r="AB265" s="5">
        <v>12.0</v>
      </c>
      <c r="AC265" s="19">
        <v>5.0</v>
      </c>
      <c r="AD265" s="19">
        <v>5.0</v>
      </c>
      <c r="AE265" s="19">
        <v>5.0</v>
      </c>
      <c r="AF265" s="19">
        <v>5.0</v>
      </c>
      <c r="AG265" s="19">
        <v>5.0</v>
      </c>
      <c r="AH265" s="19">
        <v>5.0</v>
      </c>
      <c r="AI265" s="22">
        <v>15.0</v>
      </c>
      <c r="AJ265" s="19">
        <v>15.0</v>
      </c>
      <c r="AK265" s="19">
        <v>15.0</v>
      </c>
      <c r="AL265" s="19">
        <v>15.0</v>
      </c>
      <c r="AM265" s="19">
        <v>45.0</v>
      </c>
      <c r="AN265" s="19">
        <v>60.0</v>
      </c>
      <c r="AO265" s="19">
        <v>72.0</v>
      </c>
      <c r="AP265" s="19">
        <v>891.0</v>
      </c>
      <c r="AQ265" s="23">
        <v>258.0</v>
      </c>
      <c r="AR265" s="23">
        <v>31.0</v>
      </c>
      <c r="AS265" s="22"/>
      <c r="AT265" s="19" t="s">
        <v>2282</v>
      </c>
      <c r="AU265" s="19" t="s">
        <v>6911</v>
      </c>
      <c r="AV265" s="19" t="s">
        <v>6912</v>
      </c>
      <c r="AW265" s="19" t="s">
        <v>6913</v>
      </c>
      <c r="AX265" s="20">
        <v>38394.0</v>
      </c>
      <c r="AY265" s="19" t="s">
        <v>5121</v>
      </c>
      <c r="AZ265" s="19" t="s">
        <v>2122</v>
      </c>
      <c r="BA265" s="19" t="s">
        <v>6914</v>
      </c>
      <c r="BB265" s="19" t="s">
        <v>5859</v>
      </c>
      <c r="BC265" s="19" t="s">
        <v>6915</v>
      </c>
      <c r="BD265" s="19" t="s">
        <v>6916</v>
      </c>
      <c r="BE265" s="19" t="s">
        <v>6917</v>
      </c>
      <c r="BF265" s="19">
        <v>1.1959345885E10</v>
      </c>
      <c r="BG265" s="19" t="s">
        <v>2127</v>
      </c>
      <c r="BH265" s="19" t="s">
        <v>4080</v>
      </c>
      <c r="BI265" s="19"/>
      <c r="BJ265" s="19"/>
      <c r="BK265" s="19" t="s">
        <v>16</v>
      </c>
      <c r="BL265" s="19"/>
      <c r="BM265" s="19" t="s">
        <v>5411</v>
      </c>
      <c r="BN265" s="19" t="s">
        <v>2172</v>
      </c>
      <c r="BO265" s="19" t="s">
        <v>3199</v>
      </c>
      <c r="BP265" s="19"/>
      <c r="BQ265" s="19" t="s">
        <v>2133</v>
      </c>
      <c r="BR265" s="19" t="s">
        <v>2133</v>
      </c>
      <c r="BS265" s="19" t="s">
        <v>2134</v>
      </c>
      <c r="BT265" s="19" t="s">
        <v>15</v>
      </c>
      <c r="BU265" s="19" t="s">
        <v>4099</v>
      </c>
      <c r="BV265" s="19"/>
      <c r="BW265" s="19" t="s">
        <v>2113</v>
      </c>
      <c r="BX265" s="19"/>
      <c r="BY265" s="19"/>
      <c r="BZ265" s="19"/>
      <c r="CA265" s="19"/>
      <c r="CB265" s="19"/>
      <c r="CC265" s="19"/>
      <c r="CD265" s="19" t="s">
        <v>2137</v>
      </c>
      <c r="CE265" s="19" t="s">
        <v>16</v>
      </c>
      <c r="CF265" s="19"/>
      <c r="CG265" s="19"/>
      <c r="CH265" s="19" t="s">
        <v>16</v>
      </c>
      <c r="CI265" s="21">
        <v>0.0</v>
      </c>
      <c r="CJ265" s="19" t="s">
        <v>16</v>
      </c>
      <c r="CK265" s="19"/>
      <c r="CL265" s="19"/>
      <c r="CM265" s="19" t="s">
        <v>2926</v>
      </c>
      <c r="CN265" s="19" t="s">
        <v>5128</v>
      </c>
      <c r="CO265" s="19"/>
      <c r="CP265" s="19"/>
      <c r="CQ265" s="19"/>
      <c r="CR265" s="19"/>
      <c r="CS265" s="19"/>
      <c r="CT265" s="19" t="s">
        <v>2113</v>
      </c>
      <c r="CU265" s="19" t="s">
        <v>2113</v>
      </c>
      <c r="CV265" s="19" t="s">
        <v>2141</v>
      </c>
      <c r="CW265" s="19" t="s">
        <v>2113</v>
      </c>
      <c r="CX265" s="19" t="s">
        <v>2113</v>
      </c>
      <c r="CY265" s="19" t="s">
        <v>2113</v>
      </c>
      <c r="CZ265" s="19" t="s">
        <v>2113</v>
      </c>
      <c r="DA265" s="19" t="s">
        <v>16</v>
      </c>
      <c r="DB265" s="19" t="s">
        <v>16</v>
      </c>
      <c r="DC265" s="19" t="s">
        <v>6592</v>
      </c>
      <c r="DD265" s="19"/>
      <c r="DE265" s="19"/>
      <c r="DF265" s="19" t="s">
        <v>2407</v>
      </c>
      <c r="DG265" s="19" t="s">
        <v>2826</v>
      </c>
      <c r="DH265" s="19" t="s">
        <v>2144</v>
      </c>
      <c r="DI265" s="24">
        <v>45532.0</v>
      </c>
      <c r="DJ265" s="19" t="s">
        <v>2133</v>
      </c>
      <c r="DK265" s="19" t="s">
        <v>2145</v>
      </c>
      <c r="DL265" s="19" t="s">
        <v>2146</v>
      </c>
      <c r="DM265" s="19" t="s">
        <v>4101</v>
      </c>
      <c r="DN265" s="19">
        <v>15.0</v>
      </c>
      <c r="DO265" s="19">
        <v>15.0</v>
      </c>
      <c r="DP265" s="19" t="s">
        <v>6918</v>
      </c>
      <c r="DQ265" s="19" t="s">
        <v>6919</v>
      </c>
      <c r="DR265" s="19" t="s">
        <v>6920</v>
      </c>
      <c r="DS265" s="19" t="s">
        <v>2365</v>
      </c>
      <c r="DT265" s="19" t="s">
        <v>2152</v>
      </c>
      <c r="DU265" s="19"/>
      <c r="DV265" s="19"/>
      <c r="DW265" s="19" t="s">
        <v>2479</v>
      </c>
      <c r="DX265" s="19">
        <v>11.0</v>
      </c>
      <c r="DY265" s="19">
        <v>10.0</v>
      </c>
      <c r="DZ265" s="19">
        <v>0.0</v>
      </c>
      <c r="EA265" s="19">
        <v>10.0</v>
      </c>
      <c r="EB265" s="19">
        <v>0.0</v>
      </c>
      <c r="EC265" s="19">
        <v>0.0</v>
      </c>
      <c r="ED265" s="19" t="s">
        <v>2133</v>
      </c>
      <c r="EE265" s="24">
        <v>45532.0</v>
      </c>
      <c r="EF265" s="19" t="s">
        <v>2133</v>
      </c>
      <c r="EG265" s="19" t="s">
        <v>2145</v>
      </c>
      <c r="EH265" s="19" t="s">
        <v>2146</v>
      </c>
      <c r="EI265" s="22">
        <v>15.0</v>
      </c>
      <c r="EJ265" s="19">
        <v>45.0</v>
      </c>
      <c r="EK265" s="19"/>
      <c r="EL265" s="19" t="s">
        <v>2282</v>
      </c>
      <c r="EM265" s="19" t="s">
        <v>6911</v>
      </c>
      <c r="EN265" s="19" t="s">
        <v>787</v>
      </c>
      <c r="EO265" s="19" t="s">
        <v>5121</v>
      </c>
      <c r="EP265" s="19" t="s">
        <v>2122</v>
      </c>
      <c r="EQ265" s="19" t="s">
        <v>5128</v>
      </c>
      <c r="ER265" s="19"/>
      <c r="ES265" s="19" t="s">
        <v>787</v>
      </c>
      <c r="ET265" s="19" t="s">
        <v>787</v>
      </c>
      <c r="EU265" s="19" t="s">
        <v>6909</v>
      </c>
      <c r="EV265" s="19">
        <v>7067.0</v>
      </c>
      <c r="EW265" s="19" t="s">
        <v>16</v>
      </c>
      <c r="EX265" s="19">
        <v>2.0</v>
      </c>
      <c r="EY265" s="25" t="s">
        <v>786</v>
      </c>
      <c r="EZ265" s="19" t="s">
        <v>2154</v>
      </c>
      <c r="FA265" s="5" t="s">
        <v>6921</v>
      </c>
      <c r="FB265" s="26" t="s">
        <v>2156</v>
      </c>
      <c r="FC265" s="26"/>
    </row>
    <row r="266">
      <c r="A266" s="19" t="s">
        <v>2112</v>
      </c>
      <c r="B266" s="19"/>
      <c r="C266" s="19" t="s">
        <v>2113</v>
      </c>
      <c r="D266" s="19" t="s">
        <v>6922</v>
      </c>
      <c r="E266" s="19" t="s">
        <v>6923</v>
      </c>
      <c r="F266" s="19" t="s">
        <v>6924</v>
      </c>
      <c r="G266" s="19" t="s">
        <v>6925</v>
      </c>
      <c r="H266" s="19" t="s">
        <v>788</v>
      </c>
      <c r="I266" s="19" t="s">
        <v>790</v>
      </c>
      <c r="J266" s="19" t="s">
        <v>6926</v>
      </c>
      <c r="K266" s="19" t="s">
        <v>6927</v>
      </c>
      <c r="L266" s="20">
        <v>45404.0</v>
      </c>
      <c r="M266" s="20">
        <v>45411.0</v>
      </c>
      <c r="N266" s="20">
        <v>45411.0</v>
      </c>
      <c r="O266" s="19" t="s">
        <v>789</v>
      </c>
      <c r="P266" s="19">
        <v>0.0</v>
      </c>
      <c r="Q266" s="19">
        <v>18.0</v>
      </c>
      <c r="R266" s="19">
        <v>6713.0</v>
      </c>
      <c r="S266" s="20" t="s">
        <v>6928</v>
      </c>
      <c r="T266" s="20">
        <v>45461.0</v>
      </c>
      <c r="U266" s="19" t="s">
        <v>6924</v>
      </c>
      <c r="V266" s="19"/>
      <c r="W266" s="19"/>
      <c r="X266" s="21">
        <v>0.0</v>
      </c>
      <c r="Y266" s="21">
        <v>10.0</v>
      </c>
      <c r="Z266" s="21">
        <v>2.0</v>
      </c>
      <c r="AA266" s="21">
        <v>0.0</v>
      </c>
      <c r="AB266" s="5">
        <v>12.0</v>
      </c>
      <c r="AC266" s="19">
        <v>5.0</v>
      </c>
      <c r="AD266" s="19">
        <v>5.0</v>
      </c>
      <c r="AE266" s="19">
        <v>5.0</v>
      </c>
      <c r="AF266" s="19">
        <v>5.0</v>
      </c>
      <c r="AG266" s="19">
        <v>5.0</v>
      </c>
      <c r="AH266" s="19">
        <v>5.0</v>
      </c>
      <c r="AI266" s="22">
        <v>15.0</v>
      </c>
      <c r="AJ266" s="19">
        <v>15.0</v>
      </c>
      <c r="AK266" s="19">
        <v>15.0</v>
      </c>
      <c r="AL266" s="19">
        <v>15.0</v>
      </c>
      <c r="AM266" s="19">
        <v>45.0</v>
      </c>
      <c r="AN266" s="19">
        <v>60.0</v>
      </c>
      <c r="AO266" s="19">
        <v>72.0</v>
      </c>
      <c r="AP266" s="19">
        <v>906.0</v>
      </c>
      <c r="AQ266" s="23">
        <v>259.0</v>
      </c>
      <c r="AR266" s="23">
        <v>18.0</v>
      </c>
      <c r="AS266" s="22"/>
      <c r="AT266" s="19" t="s">
        <v>2282</v>
      </c>
      <c r="AU266" s="19" t="s">
        <v>6929</v>
      </c>
      <c r="AV266" s="19" t="s">
        <v>6930</v>
      </c>
      <c r="AW266" s="19" t="s">
        <v>6931</v>
      </c>
      <c r="AX266" s="20">
        <v>38748.0</v>
      </c>
      <c r="AY266" s="19" t="s">
        <v>6932</v>
      </c>
      <c r="AZ266" s="19" t="s">
        <v>2122</v>
      </c>
      <c r="BA266" s="19" t="s">
        <v>6933</v>
      </c>
      <c r="BB266" s="19" t="s">
        <v>6934</v>
      </c>
      <c r="BC266" s="19" t="s">
        <v>6935</v>
      </c>
      <c r="BD266" s="19" t="s">
        <v>6936</v>
      </c>
      <c r="BE266" s="19" t="s">
        <v>6937</v>
      </c>
      <c r="BF266" s="19">
        <v>1.9989968214E10</v>
      </c>
      <c r="BG266" s="19" t="s">
        <v>2127</v>
      </c>
      <c r="BH266" s="19" t="s">
        <v>2128</v>
      </c>
      <c r="BI266" s="19"/>
      <c r="BJ266" s="19" t="s">
        <v>2128</v>
      </c>
      <c r="BK266" s="19" t="s">
        <v>17</v>
      </c>
      <c r="BL266" s="19" t="s">
        <v>2113</v>
      </c>
      <c r="BM266" s="19" t="s">
        <v>5563</v>
      </c>
      <c r="BN266" s="19" t="s">
        <v>2172</v>
      </c>
      <c r="BO266" s="19" t="s">
        <v>3199</v>
      </c>
      <c r="BP266" s="19"/>
      <c r="BQ266" s="19" t="s">
        <v>2133</v>
      </c>
      <c r="BR266" s="19" t="s">
        <v>2133</v>
      </c>
      <c r="BS266" s="19" t="s">
        <v>2134</v>
      </c>
      <c r="BT266" s="19" t="s">
        <v>222</v>
      </c>
      <c r="BU266" s="19" t="s">
        <v>4099</v>
      </c>
      <c r="BV266" s="19"/>
      <c r="BW266" s="19"/>
      <c r="BX266" s="19"/>
      <c r="BY266" s="19" t="s">
        <v>2113</v>
      </c>
      <c r="BZ266" s="19" t="s">
        <v>2113</v>
      </c>
      <c r="CA266" s="19"/>
      <c r="CB266" s="19" t="s">
        <v>2113</v>
      </c>
      <c r="CC266" s="19"/>
      <c r="CD266" s="19" t="s">
        <v>2137</v>
      </c>
      <c r="CE266" s="19" t="s">
        <v>16</v>
      </c>
      <c r="CF266" s="19"/>
      <c r="CG266" s="19"/>
      <c r="CH266" s="19" t="s">
        <v>16</v>
      </c>
      <c r="CI266" s="21">
        <v>0.0</v>
      </c>
      <c r="CJ266" s="19" t="s">
        <v>16</v>
      </c>
      <c r="CK266" s="19"/>
      <c r="CL266" s="19"/>
      <c r="CM266" s="19" t="s">
        <v>2926</v>
      </c>
      <c r="CN266" s="19" t="s">
        <v>4465</v>
      </c>
      <c r="CO266" s="19"/>
      <c r="CP266" s="19" t="s">
        <v>2225</v>
      </c>
      <c r="CQ266" s="19"/>
      <c r="CR266" s="19" t="s">
        <v>2113</v>
      </c>
      <c r="CS266" s="19" t="s">
        <v>2113</v>
      </c>
      <c r="CT266" s="19" t="s">
        <v>2113</v>
      </c>
      <c r="CU266" s="19" t="s">
        <v>2113</v>
      </c>
      <c r="CV266" s="19" t="s">
        <v>2141</v>
      </c>
      <c r="CW266" s="19" t="s">
        <v>2113</v>
      </c>
      <c r="CX266" s="19" t="s">
        <v>2113</v>
      </c>
      <c r="CY266" s="19" t="s">
        <v>2113</v>
      </c>
      <c r="CZ266" s="19" t="s">
        <v>2113</v>
      </c>
      <c r="DA266" s="19" t="s">
        <v>16</v>
      </c>
      <c r="DB266" s="19" t="s">
        <v>16</v>
      </c>
      <c r="DC266" s="19" t="s">
        <v>2146</v>
      </c>
      <c r="DD266" s="19" t="s">
        <v>2113</v>
      </c>
      <c r="DE266" s="19" t="s">
        <v>2113</v>
      </c>
      <c r="DF266" s="19" t="s">
        <v>2323</v>
      </c>
      <c r="DG266" s="19" t="s">
        <v>2433</v>
      </c>
      <c r="DH266" s="19" t="s">
        <v>2144</v>
      </c>
      <c r="DI266" s="24">
        <v>45524.0</v>
      </c>
      <c r="DJ266" s="19" t="s">
        <v>2133</v>
      </c>
      <c r="DK266" s="19" t="s">
        <v>2271</v>
      </c>
      <c r="DL266" s="19" t="s">
        <v>2146</v>
      </c>
      <c r="DM266" s="19" t="s">
        <v>2628</v>
      </c>
      <c r="DN266" s="19">
        <v>8.0</v>
      </c>
      <c r="DO266" s="19">
        <v>8.0</v>
      </c>
      <c r="DP266" s="19" t="s">
        <v>6938</v>
      </c>
      <c r="DQ266" s="19" t="s">
        <v>6939</v>
      </c>
      <c r="DR266" s="19" t="s">
        <v>6940</v>
      </c>
      <c r="DS266" s="19" t="s">
        <v>2365</v>
      </c>
      <c r="DT266" s="19" t="s">
        <v>2209</v>
      </c>
      <c r="DU266" s="19"/>
      <c r="DV266" s="19"/>
      <c r="DW266" s="19" t="s">
        <v>2153</v>
      </c>
      <c r="DX266" s="19">
        <v>7.0</v>
      </c>
      <c r="DY266" s="19">
        <v>10.0</v>
      </c>
      <c r="DZ266" s="19">
        <v>0.0</v>
      </c>
      <c r="EA266" s="19">
        <v>10.0</v>
      </c>
      <c r="EB266" s="19">
        <v>0.0</v>
      </c>
      <c r="EC266" s="19">
        <v>0.0</v>
      </c>
      <c r="ED266" s="19" t="s">
        <v>2133</v>
      </c>
      <c r="EE266" s="24">
        <v>45524.0</v>
      </c>
      <c r="EF266" s="19" t="s">
        <v>2133</v>
      </c>
      <c r="EG266" s="19" t="s">
        <v>2271</v>
      </c>
      <c r="EH266" s="19" t="s">
        <v>2146</v>
      </c>
      <c r="EI266" s="22">
        <v>15.0</v>
      </c>
      <c r="EJ266" s="19">
        <v>45.0</v>
      </c>
      <c r="EK266" s="19"/>
      <c r="EL266" s="19" t="s">
        <v>2282</v>
      </c>
      <c r="EM266" s="19" t="s">
        <v>6929</v>
      </c>
      <c r="EN266" s="19" t="s">
        <v>790</v>
      </c>
      <c r="EO266" s="19" t="s">
        <v>6932</v>
      </c>
      <c r="EP266" s="19" t="s">
        <v>2122</v>
      </c>
      <c r="EQ266" s="19" t="s">
        <v>4465</v>
      </c>
      <c r="ER266" s="19"/>
      <c r="ES266" s="19" t="s">
        <v>790</v>
      </c>
      <c r="ET266" s="19" t="s">
        <v>790</v>
      </c>
      <c r="EU266" s="19" t="s">
        <v>6927</v>
      </c>
      <c r="EV266" s="19">
        <v>6713.0</v>
      </c>
      <c r="EW266" s="19" t="s">
        <v>16</v>
      </c>
      <c r="EX266" s="19">
        <v>2.0</v>
      </c>
      <c r="EY266" s="25" t="s">
        <v>789</v>
      </c>
      <c r="EZ266" s="19" t="s">
        <v>2154</v>
      </c>
      <c r="FA266" s="5" t="s">
        <v>6941</v>
      </c>
      <c r="FB266" s="26" t="s">
        <v>2156</v>
      </c>
      <c r="FC266" s="26"/>
    </row>
    <row r="267">
      <c r="A267" s="19" t="s">
        <v>2112</v>
      </c>
      <c r="B267" s="19"/>
      <c r="C267" s="19" t="s">
        <v>2113</v>
      </c>
      <c r="D267" s="19" t="s">
        <v>791</v>
      </c>
      <c r="E267" s="19" t="s">
        <v>6942</v>
      </c>
      <c r="F267" s="19" t="s">
        <v>791</v>
      </c>
      <c r="G267" s="19"/>
      <c r="H267" s="19" t="s">
        <v>791</v>
      </c>
      <c r="I267" s="19" t="s">
        <v>793</v>
      </c>
      <c r="J267" s="19" t="s">
        <v>6943</v>
      </c>
      <c r="K267" s="19" t="s">
        <v>6944</v>
      </c>
      <c r="L267" s="20">
        <v>45396.0</v>
      </c>
      <c r="M267" s="20">
        <v>45411.0</v>
      </c>
      <c r="N267" s="20">
        <v>45411.0</v>
      </c>
      <c r="O267" s="19" t="s">
        <v>792</v>
      </c>
      <c r="P267" s="19">
        <v>0.0</v>
      </c>
      <c r="Q267" s="19">
        <v>20.0</v>
      </c>
      <c r="R267" s="19">
        <v>7659.0</v>
      </c>
      <c r="S267" s="20" t="s">
        <v>6945</v>
      </c>
      <c r="T267" s="20">
        <v>45461.0</v>
      </c>
      <c r="U267" s="19" t="s">
        <v>791</v>
      </c>
      <c r="V267" s="19"/>
      <c r="W267" s="19"/>
      <c r="X267" s="21">
        <v>0.0</v>
      </c>
      <c r="Y267" s="21">
        <v>10.0</v>
      </c>
      <c r="Z267" s="21">
        <v>5.0</v>
      </c>
      <c r="AA267" s="21">
        <v>0.0</v>
      </c>
      <c r="AB267" s="5">
        <v>15.0</v>
      </c>
      <c r="AC267" s="19">
        <v>4.0</v>
      </c>
      <c r="AD267" s="19">
        <v>4.2</v>
      </c>
      <c r="AE267" s="19">
        <v>4.0</v>
      </c>
      <c r="AF267" s="19">
        <v>3.8</v>
      </c>
      <c r="AG267" s="19">
        <v>3.4</v>
      </c>
      <c r="AH267" s="19">
        <v>4.2</v>
      </c>
      <c r="AI267" s="22">
        <v>11.90625</v>
      </c>
      <c r="AJ267" s="19">
        <v>15.0</v>
      </c>
      <c r="AK267" s="19">
        <v>15.0</v>
      </c>
      <c r="AL267" s="19">
        <v>15.0</v>
      </c>
      <c r="AM267" s="19">
        <v>45.0</v>
      </c>
      <c r="AN267" s="19">
        <v>56.9</v>
      </c>
      <c r="AO267" s="19">
        <v>71.9</v>
      </c>
      <c r="AP267" s="19">
        <v>490.0</v>
      </c>
      <c r="AQ267" s="23">
        <v>260.0</v>
      </c>
      <c r="AR267" s="23">
        <v>24.0</v>
      </c>
      <c r="AS267" s="22"/>
      <c r="AT267" s="19" t="s">
        <v>2117</v>
      </c>
      <c r="AU267" s="19" t="s">
        <v>6946</v>
      </c>
      <c r="AV267" s="19" t="s">
        <v>6947</v>
      </c>
      <c r="AW267" s="19" t="s">
        <v>6948</v>
      </c>
      <c r="AX267" s="20">
        <v>37802.0</v>
      </c>
      <c r="AY267" s="19" t="s">
        <v>2358</v>
      </c>
      <c r="AZ267" s="19" t="s">
        <v>2122</v>
      </c>
      <c r="BA267" s="19" t="s">
        <v>6949</v>
      </c>
      <c r="BB267" s="19" t="s">
        <v>6950</v>
      </c>
      <c r="BC267" s="19" t="s">
        <v>6951</v>
      </c>
      <c r="BD267" s="19" t="s">
        <v>6952</v>
      </c>
      <c r="BE267" s="19" t="s">
        <v>6953</v>
      </c>
      <c r="BF267" s="19">
        <v>1.1979742309E10</v>
      </c>
      <c r="BG267" s="19" t="s">
        <v>2127</v>
      </c>
      <c r="BH267" s="19" t="s">
        <v>2128</v>
      </c>
      <c r="BI267" s="19"/>
      <c r="BJ267" s="19" t="s">
        <v>2427</v>
      </c>
      <c r="BK267" s="19" t="s">
        <v>17</v>
      </c>
      <c r="BL267" s="19"/>
      <c r="BM267" s="19" t="s">
        <v>5411</v>
      </c>
      <c r="BN267" s="19" t="s">
        <v>17</v>
      </c>
      <c r="BO267" s="19" t="s">
        <v>2132</v>
      </c>
      <c r="BP267" s="19" t="s">
        <v>6954</v>
      </c>
      <c r="BQ267" s="19" t="s">
        <v>2174</v>
      </c>
      <c r="BR267" s="19" t="s">
        <v>2174</v>
      </c>
      <c r="BS267" s="19" t="s">
        <v>2134</v>
      </c>
      <c r="BT267" s="19" t="s">
        <v>34</v>
      </c>
      <c r="BU267" s="19" t="s">
        <v>6955</v>
      </c>
      <c r="BV267" s="19"/>
      <c r="BW267" s="19"/>
      <c r="BX267" s="19"/>
      <c r="BY267" s="19" t="s">
        <v>2113</v>
      </c>
      <c r="BZ267" s="19"/>
      <c r="CA267" s="19"/>
      <c r="CB267" s="19" t="s">
        <v>2113</v>
      </c>
      <c r="CC267" s="19"/>
      <c r="CD267" s="19" t="s">
        <v>2137</v>
      </c>
      <c r="CE267" s="19" t="s">
        <v>16</v>
      </c>
      <c r="CF267" s="19"/>
      <c r="CG267" s="19"/>
      <c r="CH267" s="19" t="s">
        <v>16</v>
      </c>
      <c r="CI267" s="21">
        <v>0.0</v>
      </c>
      <c r="CJ267" s="19" t="s">
        <v>17</v>
      </c>
      <c r="CK267" s="19"/>
      <c r="CL267" s="19"/>
      <c r="CM267" s="19" t="s">
        <v>2344</v>
      </c>
      <c r="CN267" s="19" t="s">
        <v>2266</v>
      </c>
      <c r="CO267" s="19"/>
      <c r="CP267" s="19" t="s">
        <v>2140</v>
      </c>
      <c r="CQ267" s="19"/>
      <c r="CR267" s="19" t="s">
        <v>2113</v>
      </c>
      <c r="CS267" s="19" t="s">
        <v>2113</v>
      </c>
      <c r="CT267" s="19" t="s">
        <v>2113</v>
      </c>
      <c r="CU267" s="19" t="s">
        <v>2113</v>
      </c>
      <c r="CV267" s="19" t="s">
        <v>2141</v>
      </c>
      <c r="CW267" s="19" t="s">
        <v>2113</v>
      </c>
      <c r="CX267" s="19" t="s">
        <v>2113</v>
      </c>
      <c r="CY267" s="19" t="s">
        <v>2113</v>
      </c>
      <c r="CZ267" s="19" t="s">
        <v>2113</v>
      </c>
      <c r="DA267" s="19" t="s">
        <v>16</v>
      </c>
      <c r="DB267" s="19" t="s">
        <v>17</v>
      </c>
      <c r="DC267" s="19" t="s">
        <v>2270</v>
      </c>
      <c r="DD267" s="19" t="s">
        <v>2113</v>
      </c>
      <c r="DE267" s="19" t="s">
        <v>2113</v>
      </c>
      <c r="DF267" s="19" t="s">
        <v>4466</v>
      </c>
      <c r="DG267" s="19" t="s">
        <v>2207</v>
      </c>
      <c r="DH267" s="19" t="s">
        <v>2144</v>
      </c>
      <c r="DI267" s="24">
        <v>45531.0</v>
      </c>
      <c r="DJ267" s="19" t="s">
        <v>2174</v>
      </c>
      <c r="DK267" s="19" t="s">
        <v>2271</v>
      </c>
      <c r="DL267" s="19" t="s">
        <v>2183</v>
      </c>
      <c r="DM267" s="19"/>
      <c r="DN267" s="19">
        <v>8.0</v>
      </c>
      <c r="DO267" s="19">
        <v>8.0</v>
      </c>
      <c r="DP267" s="19" t="s">
        <v>6956</v>
      </c>
      <c r="DQ267" s="19" t="s">
        <v>6957</v>
      </c>
      <c r="DR267" s="19" t="s">
        <v>6958</v>
      </c>
      <c r="DS267" s="19" t="s">
        <v>2151</v>
      </c>
      <c r="DT267" s="19" t="s">
        <v>2152</v>
      </c>
      <c r="DU267" s="19"/>
      <c r="DV267" s="19"/>
      <c r="DW267" s="19" t="s">
        <v>2153</v>
      </c>
      <c r="DX267" s="19">
        <v>14.0</v>
      </c>
      <c r="DY267" s="19">
        <v>10.0</v>
      </c>
      <c r="DZ267" s="19">
        <v>0.0</v>
      </c>
      <c r="EA267" s="19">
        <v>10.0</v>
      </c>
      <c r="EB267" s="19">
        <v>0.0</v>
      </c>
      <c r="EC267" s="19">
        <v>0.0</v>
      </c>
      <c r="ED267" s="19" t="s">
        <v>2174</v>
      </c>
      <c r="EE267" s="24">
        <v>45531.0</v>
      </c>
      <c r="EF267" s="19" t="s">
        <v>2174</v>
      </c>
      <c r="EG267" s="19" t="s">
        <v>2271</v>
      </c>
      <c r="EH267" s="19" t="s">
        <v>2183</v>
      </c>
      <c r="EI267" s="22">
        <v>11.90625</v>
      </c>
      <c r="EJ267" s="19">
        <v>45.0</v>
      </c>
      <c r="EK267" s="19" t="s">
        <v>2113</v>
      </c>
      <c r="EL267" s="19" t="s">
        <v>2117</v>
      </c>
      <c r="EM267" s="19" t="s">
        <v>6946</v>
      </c>
      <c r="EN267" s="19" t="s">
        <v>793</v>
      </c>
      <c r="EO267" s="19" t="s">
        <v>2358</v>
      </c>
      <c r="EP267" s="19" t="s">
        <v>2122</v>
      </c>
      <c r="EQ267" s="19" t="s">
        <v>2266</v>
      </c>
      <c r="ER267" s="19"/>
      <c r="ES267" s="19" t="s">
        <v>793</v>
      </c>
      <c r="ET267" s="19" t="s">
        <v>793</v>
      </c>
      <c r="EU267" s="19" t="s">
        <v>6944</v>
      </c>
      <c r="EV267" s="19">
        <v>7659.0</v>
      </c>
      <c r="EW267" s="19" t="s">
        <v>16</v>
      </c>
      <c r="EX267" s="19">
        <v>5.0</v>
      </c>
      <c r="EY267" s="25" t="s">
        <v>792</v>
      </c>
      <c r="EZ267" s="19" t="s">
        <v>2154</v>
      </c>
      <c r="FA267" s="5" t="s">
        <v>6959</v>
      </c>
      <c r="FB267" s="26" t="s">
        <v>2156</v>
      </c>
      <c r="FC267" s="26"/>
    </row>
    <row r="268">
      <c r="A268" s="19" t="s">
        <v>2112</v>
      </c>
      <c r="B268" s="19"/>
      <c r="C268" s="19" t="s">
        <v>2113</v>
      </c>
      <c r="D268" s="19" t="s">
        <v>794</v>
      </c>
      <c r="E268" s="19" t="s">
        <v>794</v>
      </c>
      <c r="F268" s="19" t="s">
        <v>794</v>
      </c>
      <c r="G268" s="19"/>
      <c r="H268" s="19" t="s">
        <v>794</v>
      </c>
      <c r="I268" s="19" t="s">
        <v>796</v>
      </c>
      <c r="J268" s="19" t="s">
        <v>6960</v>
      </c>
      <c r="K268" s="19" t="s">
        <v>6961</v>
      </c>
      <c r="L268" s="20">
        <v>45420.0</v>
      </c>
      <c r="M268" s="20">
        <v>45428.0</v>
      </c>
      <c r="N268" s="20">
        <v>45428.0</v>
      </c>
      <c r="O268" s="19" t="s">
        <v>795</v>
      </c>
      <c r="P268" s="19">
        <v>0.0</v>
      </c>
      <c r="Q268" s="19">
        <v>19.0</v>
      </c>
      <c r="R268" s="19">
        <v>7182.0</v>
      </c>
      <c r="S268" s="20" t="s">
        <v>6962</v>
      </c>
      <c r="T268" s="20">
        <v>45461.0</v>
      </c>
      <c r="U268" s="19" t="s">
        <v>794</v>
      </c>
      <c r="V268" s="19"/>
      <c r="W268" s="19"/>
      <c r="X268" s="21">
        <v>0.0</v>
      </c>
      <c r="Y268" s="21">
        <v>10.0</v>
      </c>
      <c r="Z268" s="21">
        <v>5.0</v>
      </c>
      <c r="AA268" s="21">
        <v>0.0</v>
      </c>
      <c r="AB268" s="5">
        <v>15.0</v>
      </c>
      <c r="AC268" s="19">
        <v>4.5</v>
      </c>
      <c r="AD268" s="19">
        <v>4.0</v>
      </c>
      <c r="AE268" s="19">
        <v>4.0</v>
      </c>
      <c r="AF268" s="19">
        <v>4.5</v>
      </c>
      <c r="AG268" s="19">
        <v>3.0</v>
      </c>
      <c r="AH268" s="19">
        <v>3.5</v>
      </c>
      <c r="AI268" s="22">
        <v>11.859375</v>
      </c>
      <c r="AJ268" s="19">
        <v>15.0</v>
      </c>
      <c r="AK268" s="19">
        <v>15.0</v>
      </c>
      <c r="AL268" s="19">
        <v>15.0</v>
      </c>
      <c r="AM268" s="19">
        <v>45.0</v>
      </c>
      <c r="AN268" s="19">
        <v>56.9</v>
      </c>
      <c r="AO268" s="19">
        <v>71.9</v>
      </c>
      <c r="AP268" s="19">
        <v>525.0</v>
      </c>
      <c r="AQ268" s="23">
        <v>261.0</v>
      </c>
      <c r="AR268" s="23">
        <v>20.0</v>
      </c>
      <c r="AS268" s="19"/>
      <c r="AT268" s="19" t="s">
        <v>2163</v>
      </c>
      <c r="AU268" s="19" t="s">
        <v>4679</v>
      </c>
      <c r="AV268" s="19" t="s">
        <v>6963</v>
      </c>
      <c r="AW268" s="19"/>
      <c r="AX268" s="20">
        <v>38279.0</v>
      </c>
      <c r="AY268" s="19" t="s">
        <v>2529</v>
      </c>
      <c r="AZ268" s="19" t="s">
        <v>2310</v>
      </c>
      <c r="BA268" s="19" t="s">
        <v>6964</v>
      </c>
      <c r="BB268" s="19" t="s">
        <v>6211</v>
      </c>
      <c r="BC268" s="19" t="s">
        <v>6965</v>
      </c>
      <c r="BD268" s="19" t="s">
        <v>6966</v>
      </c>
      <c r="BE268" s="19" t="s">
        <v>6967</v>
      </c>
      <c r="BF268" s="19">
        <v>1.19143226E10</v>
      </c>
      <c r="BG268" s="19" t="s">
        <v>2127</v>
      </c>
      <c r="BH268" s="19" t="s">
        <v>2128</v>
      </c>
      <c r="BI268" s="19"/>
      <c r="BJ268" s="19"/>
      <c r="BK268" s="19" t="s">
        <v>16</v>
      </c>
      <c r="BL268" s="19"/>
      <c r="BM268" s="19" t="s">
        <v>5411</v>
      </c>
      <c r="BN268" s="19" t="s">
        <v>17</v>
      </c>
      <c r="BO268" s="19" t="s">
        <v>2132</v>
      </c>
      <c r="BP268" s="19" t="s">
        <v>6968</v>
      </c>
      <c r="BQ268" s="19" t="s">
        <v>2174</v>
      </c>
      <c r="BR268" s="19" t="s">
        <v>2174</v>
      </c>
      <c r="BS268" s="19" t="s">
        <v>2134</v>
      </c>
      <c r="BT268" s="19" t="s">
        <v>75</v>
      </c>
      <c r="BU268" s="19" t="s">
        <v>6969</v>
      </c>
      <c r="BV268" s="19"/>
      <c r="BW268" s="19"/>
      <c r="BX268" s="19"/>
      <c r="BY268" s="19"/>
      <c r="BZ268" s="19"/>
      <c r="CA268" s="19"/>
      <c r="CB268" s="19" t="s">
        <v>2113</v>
      </c>
      <c r="CC268" s="19" t="s">
        <v>2113</v>
      </c>
      <c r="CD268" s="19" t="s">
        <v>2137</v>
      </c>
      <c r="CE268" s="19" t="s">
        <v>16</v>
      </c>
      <c r="CF268" s="19"/>
      <c r="CG268" s="19"/>
      <c r="CH268" s="19" t="s">
        <v>16</v>
      </c>
      <c r="CI268" s="21">
        <v>0.0</v>
      </c>
      <c r="CJ268" s="19" t="s">
        <v>17</v>
      </c>
      <c r="CK268" s="19" t="s">
        <v>2113</v>
      </c>
      <c r="CL268" s="19"/>
      <c r="CM268" s="19" t="s">
        <v>2344</v>
      </c>
      <c r="CN268" s="19" t="s">
        <v>2537</v>
      </c>
      <c r="CO268" s="19"/>
      <c r="CP268" s="19"/>
      <c r="CQ268" s="19"/>
      <c r="CR268" s="19"/>
      <c r="CS268" s="19"/>
      <c r="CT268" s="19" t="s">
        <v>2113</v>
      </c>
      <c r="CU268" s="19" t="s">
        <v>2113</v>
      </c>
      <c r="CV268" s="19" t="s">
        <v>2179</v>
      </c>
      <c r="CW268" s="19" t="s">
        <v>2113</v>
      </c>
      <c r="CX268" s="19" t="s">
        <v>2113</v>
      </c>
      <c r="CY268" s="19" t="s">
        <v>2113</v>
      </c>
      <c r="CZ268" s="19" t="s">
        <v>2113</v>
      </c>
      <c r="DA268" s="19" t="s">
        <v>16</v>
      </c>
      <c r="DB268" s="19" t="s">
        <v>17</v>
      </c>
      <c r="DC268" s="19" t="s">
        <v>3562</v>
      </c>
      <c r="DD268" s="19" t="s">
        <v>2113</v>
      </c>
      <c r="DE268" s="19" t="s">
        <v>2113</v>
      </c>
      <c r="DF268" s="19" t="s">
        <v>2538</v>
      </c>
      <c r="DG268" s="19" t="s">
        <v>4043</v>
      </c>
      <c r="DH268" s="19" t="s">
        <v>2144</v>
      </c>
      <c r="DI268" s="24">
        <v>45533.0</v>
      </c>
      <c r="DJ268" s="19" t="s">
        <v>2174</v>
      </c>
      <c r="DK268" s="19" t="s">
        <v>2271</v>
      </c>
      <c r="DL268" s="19" t="s">
        <v>2207</v>
      </c>
      <c r="DM268" s="19" t="s">
        <v>6057</v>
      </c>
      <c r="DN268" s="19">
        <v>4.0</v>
      </c>
      <c r="DO268" s="19">
        <v>4.0</v>
      </c>
      <c r="DP268" s="19"/>
      <c r="DQ268" s="19"/>
      <c r="DR268" s="19"/>
      <c r="DS268" s="19" t="s">
        <v>2151</v>
      </c>
      <c r="DT268" s="19" t="s">
        <v>2186</v>
      </c>
      <c r="DU268" s="19" t="s">
        <v>6970</v>
      </c>
      <c r="DV268" s="19" t="s">
        <v>6971</v>
      </c>
      <c r="DW268" s="19" t="s">
        <v>2153</v>
      </c>
      <c r="DX268" s="19">
        <v>13.0</v>
      </c>
      <c r="DY268" s="19">
        <v>10.0</v>
      </c>
      <c r="DZ268" s="19">
        <v>0.0</v>
      </c>
      <c r="EA268" s="19">
        <v>10.0</v>
      </c>
      <c r="EB268" s="19">
        <v>0.0</v>
      </c>
      <c r="EC268" s="19">
        <v>0.0</v>
      </c>
      <c r="ED268" s="19" t="s">
        <v>2174</v>
      </c>
      <c r="EE268" s="24">
        <v>45533.0</v>
      </c>
      <c r="EF268" s="19" t="s">
        <v>2174</v>
      </c>
      <c r="EG268" s="19" t="s">
        <v>2271</v>
      </c>
      <c r="EH268" s="19" t="s">
        <v>2207</v>
      </c>
      <c r="EI268" s="22">
        <v>11.859375</v>
      </c>
      <c r="EJ268" s="19">
        <v>45.0</v>
      </c>
      <c r="EK268" s="19" t="s">
        <v>2113</v>
      </c>
      <c r="EL268" s="19" t="s">
        <v>2163</v>
      </c>
      <c r="EM268" s="19" t="s">
        <v>4679</v>
      </c>
      <c r="EN268" s="19" t="s">
        <v>796</v>
      </c>
      <c r="EO268" s="19" t="s">
        <v>2529</v>
      </c>
      <c r="EP268" s="19" t="s">
        <v>2310</v>
      </c>
      <c r="EQ268" s="19" t="s">
        <v>2537</v>
      </c>
      <c r="ER268" s="19"/>
      <c r="ES268" s="19" t="s">
        <v>796</v>
      </c>
      <c r="ET268" s="19" t="s">
        <v>796</v>
      </c>
      <c r="EU268" s="19" t="s">
        <v>6961</v>
      </c>
      <c r="EV268" s="19">
        <v>7182.0</v>
      </c>
      <c r="EW268" s="19" t="s">
        <v>16</v>
      </c>
      <c r="EX268" s="19">
        <v>5.0</v>
      </c>
      <c r="EY268" s="25" t="s">
        <v>795</v>
      </c>
      <c r="EZ268" s="19" t="s">
        <v>2154</v>
      </c>
      <c r="FA268" s="5" t="s">
        <v>6972</v>
      </c>
      <c r="FB268" s="26" t="s">
        <v>2156</v>
      </c>
      <c r="FC268" s="26"/>
    </row>
    <row r="269">
      <c r="A269" s="19" t="s">
        <v>2112</v>
      </c>
      <c r="B269" s="19"/>
      <c r="C269" s="19" t="s">
        <v>2113</v>
      </c>
      <c r="D269" s="19" t="s">
        <v>6973</v>
      </c>
      <c r="E269" s="19" t="s">
        <v>6974</v>
      </c>
      <c r="F269" s="19" t="s">
        <v>6975</v>
      </c>
      <c r="G269" s="19" t="s">
        <v>6976</v>
      </c>
      <c r="H269" s="19" t="s">
        <v>797</v>
      </c>
      <c r="I269" s="19" t="s">
        <v>799</v>
      </c>
      <c r="J269" s="19" t="s">
        <v>6977</v>
      </c>
      <c r="K269" s="19" t="s">
        <v>6978</v>
      </c>
      <c r="L269" s="20">
        <v>45445.0</v>
      </c>
      <c r="M269" s="20">
        <v>45446.0</v>
      </c>
      <c r="N269" s="20">
        <v>45446.0</v>
      </c>
      <c r="O269" s="19" t="s">
        <v>798</v>
      </c>
      <c r="P269" s="19">
        <v>0.0</v>
      </c>
      <c r="Q269" s="19">
        <v>25.0</v>
      </c>
      <c r="R269" s="19">
        <v>9248.0</v>
      </c>
      <c r="S269" s="20" t="s">
        <v>6979</v>
      </c>
      <c r="T269" s="20">
        <v>45461.0</v>
      </c>
      <c r="U269" s="19" t="s">
        <v>6975</v>
      </c>
      <c r="V269" s="19"/>
      <c r="W269" s="19" t="s">
        <v>6980</v>
      </c>
      <c r="X269" s="21">
        <v>0.0</v>
      </c>
      <c r="Y269" s="21">
        <v>10.0</v>
      </c>
      <c r="Z269" s="21">
        <v>3.0</v>
      </c>
      <c r="AA269" s="21">
        <v>0.0</v>
      </c>
      <c r="AB269" s="5">
        <v>13.0</v>
      </c>
      <c r="AC269" s="19">
        <v>4.5</v>
      </c>
      <c r="AD269" s="19">
        <v>5.0</v>
      </c>
      <c r="AE269" s="19">
        <v>4.8</v>
      </c>
      <c r="AF269" s="19">
        <v>4.3</v>
      </c>
      <c r="AG269" s="19">
        <v>4.0</v>
      </c>
      <c r="AH269" s="19">
        <v>4.8</v>
      </c>
      <c r="AI269" s="22">
        <v>13.903125</v>
      </c>
      <c r="AJ269" s="19">
        <v>15.0</v>
      </c>
      <c r="AK269" s="19">
        <v>15.0</v>
      </c>
      <c r="AL269" s="19">
        <v>15.0</v>
      </c>
      <c r="AM269" s="19">
        <v>45.0</v>
      </c>
      <c r="AN269" s="19">
        <v>58.9</v>
      </c>
      <c r="AO269" s="19">
        <v>71.9</v>
      </c>
      <c r="AP269" s="19">
        <v>695.0</v>
      </c>
      <c r="AQ269" s="23">
        <v>262.0</v>
      </c>
      <c r="AR269" s="23">
        <v>22.0</v>
      </c>
      <c r="AS269" s="22"/>
      <c r="AT269" s="19" t="s">
        <v>2282</v>
      </c>
      <c r="AU269" s="19" t="s">
        <v>6981</v>
      </c>
      <c r="AV269" s="19" t="s">
        <v>6982</v>
      </c>
      <c r="AW269" s="19" t="s">
        <v>6983</v>
      </c>
      <c r="AX269" s="20">
        <v>36213.0</v>
      </c>
      <c r="AY269" s="19" t="s">
        <v>3053</v>
      </c>
      <c r="AZ269" s="19" t="s">
        <v>2445</v>
      </c>
      <c r="BA269" s="19" t="s">
        <v>6984</v>
      </c>
      <c r="BB269" s="19" t="s">
        <v>6985</v>
      </c>
      <c r="BC269" s="19" t="s">
        <v>6986</v>
      </c>
      <c r="BD269" s="19" t="s">
        <v>6987</v>
      </c>
      <c r="BE269" s="19" t="s">
        <v>6988</v>
      </c>
      <c r="BF269" s="19">
        <v>1.1998340403E10</v>
      </c>
      <c r="BG269" s="19" t="s">
        <v>2127</v>
      </c>
      <c r="BH269" s="19" t="s">
        <v>2128</v>
      </c>
      <c r="BI269" s="19"/>
      <c r="BJ269" s="19"/>
      <c r="BK269" s="19" t="s">
        <v>16</v>
      </c>
      <c r="BL269" s="19" t="s">
        <v>2113</v>
      </c>
      <c r="BM269" s="19" t="s">
        <v>5411</v>
      </c>
      <c r="BN269" s="19" t="s">
        <v>2708</v>
      </c>
      <c r="BO269" s="19" t="s">
        <v>2473</v>
      </c>
      <c r="BP269" s="19" t="s">
        <v>6989</v>
      </c>
      <c r="BQ269" s="19" t="s">
        <v>2325</v>
      </c>
      <c r="BR269" s="19" t="s">
        <v>2325</v>
      </c>
      <c r="BS269" s="19" t="s">
        <v>2134</v>
      </c>
      <c r="BT269" s="19" t="s">
        <v>59</v>
      </c>
      <c r="BU269" s="19" t="s">
        <v>6990</v>
      </c>
      <c r="BV269" s="19"/>
      <c r="BW269" s="19"/>
      <c r="BX269" s="19"/>
      <c r="BY269" s="19" t="s">
        <v>2113</v>
      </c>
      <c r="BZ269" s="19" t="s">
        <v>2113</v>
      </c>
      <c r="CA269" s="19"/>
      <c r="CB269" s="19" t="s">
        <v>2113</v>
      </c>
      <c r="CC269" s="19"/>
      <c r="CD269" s="19" t="s">
        <v>2137</v>
      </c>
      <c r="CE269" s="19" t="s">
        <v>16</v>
      </c>
      <c r="CF269" s="19"/>
      <c r="CG269" s="19"/>
      <c r="CH269" s="19" t="s">
        <v>16</v>
      </c>
      <c r="CI269" s="21">
        <v>0.0</v>
      </c>
      <c r="CJ269" s="19" t="s">
        <v>16</v>
      </c>
      <c r="CK269" s="19"/>
      <c r="CL269" s="19"/>
      <c r="CM269" s="19" t="s">
        <v>2138</v>
      </c>
      <c r="CN269" s="19" t="s">
        <v>3064</v>
      </c>
      <c r="CO269" s="19"/>
      <c r="CP269" s="19" t="s">
        <v>2134</v>
      </c>
      <c r="CQ269" s="19"/>
      <c r="CR269" s="19"/>
      <c r="CS269" s="19"/>
      <c r="CT269" s="19" t="s">
        <v>2113</v>
      </c>
      <c r="CU269" s="19" t="s">
        <v>2113</v>
      </c>
      <c r="CV269" s="19" t="s">
        <v>2141</v>
      </c>
      <c r="CW269" s="19"/>
      <c r="CX269" s="19"/>
      <c r="CY269" s="19"/>
      <c r="CZ269" s="19"/>
      <c r="DA269" s="19" t="s">
        <v>16</v>
      </c>
      <c r="DB269" s="19" t="s">
        <v>16</v>
      </c>
      <c r="DC269" s="19" t="s">
        <v>2496</v>
      </c>
      <c r="DD269" s="19" t="s">
        <v>2113</v>
      </c>
      <c r="DE269" s="19" t="s">
        <v>2113</v>
      </c>
      <c r="DF269" s="19" t="s">
        <v>3914</v>
      </c>
      <c r="DG269" s="19" t="s">
        <v>3255</v>
      </c>
      <c r="DH269" s="19" t="s">
        <v>2144</v>
      </c>
      <c r="DI269" s="24">
        <v>45526.0</v>
      </c>
      <c r="DJ269" s="19" t="s">
        <v>2325</v>
      </c>
      <c r="DK269" s="19" t="s">
        <v>2271</v>
      </c>
      <c r="DL269" s="19" t="s">
        <v>2326</v>
      </c>
      <c r="DM269" s="19"/>
      <c r="DN269" s="19">
        <v>10.0</v>
      </c>
      <c r="DO269" s="19">
        <v>10.0</v>
      </c>
      <c r="DP269" s="19" t="s">
        <v>6991</v>
      </c>
      <c r="DQ269" s="19" t="s">
        <v>6992</v>
      </c>
      <c r="DR269" s="19" t="s">
        <v>6993</v>
      </c>
      <c r="DS269" s="19" t="s">
        <v>2365</v>
      </c>
      <c r="DT269" s="19" t="s">
        <v>2229</v>
      </c>
      <c r="DU269" s="19"/>
      <c r="DV269" s="19"/>
      <c r="DW269" s="19" t="s">
        <v>2479</v>
      </c>
      <c r="DX269" s="19">
        <v>11.0</v>
      </c>
      <c r="DY269" s="19">
        <v>10.0</v>
      </c>
      <c r="DZ269" s="19">
        <v>0.0</v>
      </c>
      <c r="EA269" s="19">
        <v>10.0</v>
      </c>
      <c r="EB269" s="19">
        <v>0.0</v>
      </c>
      <c r="EC269" s="19">
        <v>0.0</v>
      </c>
      <c r="ED269" s="19" t="s">
        <v>2325</v>
      </c>
      <c r="EE269" s="24">
        <v>45526.0</v>
      </c>
      <c r="EF269" s="19" t="s">
        <v>2325</v>
      </c>
      <c r="EG269" s="19" t="s">
        <v>2271</v>
      </c>
      <c r="EH269" s="19" t="s">
        <v>2326</v>
      </c>
      <c r="EI269" s="22">
        <v>13.903125</v>
      </c>
      <c r="EJ269" s="19">
        <v>45.0</v>
      </c>
      <c r="EK269" s="19"/>
      <c r="EL269" s="19" t="s">
        <v>2282</v>
      </c>
      <c r="EM269" s="19" t="s">
        <v>6981</v>
      </c>
      <c r="EN269" s="19" t="s">
        <v>799</v>
      </c>
      <c r="EO269" s="19" t="s">
        <v>3053</v>
      </c>
      <c r="EP269" s="19" t="s">
        <v>2445</v>
      </c>
      <c r="EQ269" s="19" t="s">
        <v>3064</v>
      </c>
      <c r="ER269" s="19"/>
      <c r="ES269" s="19" t="s">
        <v>799</v>
      </c>
      <c r="ET269" s="19" t="s">
        <v>799</v>
      </c>
      <c r="EU269" s="19" t="s">
        <v>6978</v>
      </c>
      <c r="EV269" s="19">
        <v>9248.0</v>
      </c>
      <c r="EW269" s="19" t="s">
        <v>16</v>
      </c>
      <c r="EX269" s="19">
        <v>3.0</v>
      </c>
      <c r="EY269" s="25" t="s">
        <v>798</v>
      </c>
      <c r="EZ269" s="19" t="s">
        <v>2154</v>
      </c>
      <c r="FA269" s="5" t="s">
        <v>6994</v>
      </c>
      <c r="FB269" s="26" t="s">
        <v>2156</v>
      </c>
      <c r="FC269" s="26"/>
    </row>
    <row r="270">
      <c r="A270" s="19" t="s">
        <v>2112</v>
      </c>
      <c r="B270" s="19"/>
      <c r="C270" s="19" t="s">
        <v>2113</v>
      </c>
      <c r="D270" s="19" t="s">
        <v>800</v>
      </c>
      <c r="E270" s="19" t="s">
        <v>6995</v>
      </c>
      <c r="F270" s="19" t="s">
        <v>6996</v>
      </c>
      <c r="G270" s="19" t="s">
        <v>6997</v>
      </c>
      <c r="H270" s="19" t="s">
        <v>800</v>
      </c>
      <c r="I270" s="19" t="s">
        <v>802</v>
      </c>
      <c r="J270" s="19" t="s">
        <v>6998</v>
      </c>
      <c r="K270" s="19" t="s">
        <v>6999</v>
      </c>
      <c r="L270" s="20">
        <v>45454.0</v>
      </c>
      <c r="M270" s="20">
        <v>45455.0</v>
      </c>
      <c r="N270" s="20">
        <v>45455.0</v>
      </c>
      <c r="O270" s="19" t="s">
        <v>801</v>
      </c>
      <c r="P270" s="19">
        <v>0.0</v>
      </c>
      <c r="Q270" s="19">
        <v>27.0</v>
      </c>
      <c r="R270" s="19">
        <v>10060.0</v>
      </c>
      <c r="S270" s="20" t="s">
        <v>7000</v>
      </c>
      <c r="T270" s="20">
        <v>45461.0</v>
      </c>
      <c r="U270" s="19" t="s">
        <v>6996</v>
      </c>
      <c r="V270" s="19"/>
      <c r="W270" s="19"/>
      <c r="X270" s="21">
        <v>0.0</v>
      </c>
      <c r="Y270" s="21">
        <v>10.0</v>
      </c>
      <c r="Z270" s="21">
        <v>5.0</v>
      </c>
      <c r="AA270" s="21">
        <v>0.0</v>
      </c>
      <c r="AB270" s="5">
        <v>15.0</v>
      </c>
      <c r="AC270" s="19">
        <v>4.4</v>
      </c>
      <c r="AD270" s="19">
        <v>4.8</v>
      </c>
      <c r="AE270" s="19">
        <v>4.4</v>
      </c>
      <c r="AF270" s="19">
        <v>4.4</v>
      </c>
      <c r="AG270" s="19">
        <v>4.4</v>
      </c>
      <c r="AH270" s="19">
        <v>5.0</v>
      </c>
      <c r="AI270" s="22">
        <v>13.6875</v>
      </c>
      <c r="AJ270" s="19">
        <v>14.5</v>
      </c>
      <c r="AK270" s="19">
        <v>14.5</v>
      </c>
      <c r="AL270" s="19">
        <v>14.0</v>
      </c>
      <c r="AM270" s="19">
        <v>43.0</v>
      </c>
      <c r="AN270" s="19">
        <v>56.7</v>
      </c>
      <c r="AO270" s="19">
        <v>71.7</v>
      </c>
      <c r="AP270" s="19">
        <v>405.0</v>
      </c>
      <c r="AQ270" s="23">
        <v>263.0</v>
      </c>
      <c r="AR270" s="23">
        <v>37.0</v>
      </c>
      <c r="AS270" s="22"/>
      <c r="AT270" s="19" t="s">
        <v>2117</v>
      </c>
      <c r="AU270" s="19" t="s">
        <v>6682</v>
      </c>
      <c r="AV270" s="19" t="s">
        <v>6683</v>
      </c>
      <c r="AW270" s="19" t="s">
        <v>7001</v>
      </c>
      <c r="AX270" s="20">
        <v>35401.0</v>
      </c>
      <c r="AY270" s="19" t="s">
        <v>5516</v>
      </c>
      <c r="AZ270" s="19" t="s">
        <v>2310</v>
      </c>
      <c r="BA270" s="19" t="s">
        <v>6685</v>
      </c>
      <c r="BB270" s="19" t="s">
        <v>7002</v>
      </c>
      <c r="BC270" s="19" t="s">
        <v>7003</v>
      </c>
      <c r="BD270" s="19" t="s">
        <v>7004</v>
      </c>
      <c r="BE270" s="19" t="s">
        <v>6998</v>
      </c>
      <c r="BF270" s="19">
        <v>1.1980634124E10</v>
      </c>
      <c r="BG270" s="19" t="s">
        <v>2127</v>
      </c>
      <c r="BH270" s="19" t="s">
        <v>2128</v>
      </c>
      <c r="BI270" s="19"/>
      <c r="BJ270" s="19" t="s">
        <v>2129</v>
      </c>
      <c r="BK270" s="19" t="s">
        <v>17</v>
      </c>
      <c r="BL270" s="19"/>
      <c r="BM270" s="19" t="s">
        <v>5563</v>
      </c>
      <c r="BN270" s="19" t="s">
        <v>17</v>
      </c>
      <c r="BO270" s="19" t="s">
        <v>2132</v>
      </c>
      <c r="BP270" s="19" t="s">
        <v>7005</v>
      </c>
      <c r="BQ270" s="19" t="s">
        <v>2174</v>
      </c>
      <c r="BR270" s="19" t="s">
        <v>2174</v>
      </c>
      <c r="BS270" s="19" t="s">
        <v>2134</v>
      </c>
      <c r="BT270" s="19" t="s">
        <v>21</v>
      </c>
      <c r="BU270" s="19" t="s">
        <v>7006</v>
      </c>
      <c r="BV270" s="19"/>
      <c r="BW270" s="19" t="s">
        <v>2113</v>
      </c>
      <c r="BX270" s="19"/>
      <c r="BY270" s="19"/>
      <c r="BZ270" s="19"/>
      <c r="CA270" s="19"/>
      <c r="CB270" s="19"/>
      <c r="CC270" s="19"/>
      <c r="CD270" s="19" t="s">
        <v>2137</v>
      </c>
      <c r="CE270" s="19" t="s">
        <v>16</v>
      </c>
      <c r="CF270" s="19"/>
      <c r="CG270" s="19"/>
      <c r="CH270" s="19" t="s">
        <v>16</v>
      </c>
      <c r="CI270" s="21">
        <v>0.0</v>
      </c>
      <c r="CJ270" s="19" t="s">
        <v>17</v>
      </c>
      <c r="CK270" s="19"/>
      <c r="CL270" s="19"/>
      <c r="CM270" s="19" t="s">
        <v>2344</v>
      </c>
      <c r="CN270" s="19" t="s">
        <v>2176</v>
      </c>
      <c r="CO270" s="19"/>
      <c r="CP270" s="19" t="s">
        <v>2267</v>
      </c>
      <c r="CQ270" s="19"/>
      <c r="CR270" s="19"/>
      <c r="CS270" s="19"/>
      <c r="CT270" s="19" t="s">
        <v>2113</v>
      </c>
      <c r="CU270" s="19" t="s">
        <v>2113</v>
      </c>
      <c r="CV270" s="19" t="s">
        <v>2141</v>
      </c>
      <c r="CW270" s="19"/>
      <c r="CX270" s="19"/>
      <c r="CY270" s="19"/>
      <c r="CZ270" s="19"/>
      <c r="DA270" s="19" t="s">
        <v>16</v>
      </c>
      <c r="DB270" s="19" t="s">
        <v>17</v>
      </c>
      <c r="DC270" s="19" t="s">
        <v>2247</v>
      </c>
      <c r="DD270" s="19" t="s">
        <v>2113</v>
      </c>
      <c r="DE270" s="19" t="s">
        <v>2113</v>
      </c>
      <c r="DF270" s="19" t="s">
        <v>2769</v>
      </c>
      <c r="DG270" s="19" t="s">
        <v>3370</v>
      </c>
      <c r="DH270" s="19" t="s">
        <v>2144</v>
      </c>
      <c r="DI270" s="24">
        <v>45518.0</v>
      </c>
      <c r="DJ270" s="19" t="s">
        <v>2174</v>
      </c>
      <c r="DK270" s="19" t="s">
        <v>2145</v>
      </c>
      <c r="DL270" s="19" t="s">
        <v>2183</v>
      </c>
      <c r="DM270" s="19" t="s">
        <v>2228</v>
      </c>
      <c r="DN270" s="19">
        <v>3.0</v>
      </c>
      <c r="DO270" s="19">
        <v>3.0</v>
      </c>
      <c r="DP270" s="19" t="s">
        <v>7007</v>
      </c>
      <c r="DQ270" s="19" t="s">
        <v>7008</v>
      </c>
      <c r="DR270" s="19" t="s">
        <v>7009</v>
      </c>
      <c r="DS270" s="19" t="s">
        <v>2151</v>
      </c>
      <c r="DT270" s="19" t="s">
        <v>2229</v>
      </c>
      <c r="DU270" s="19"/>
      <c r="DV270" s="19"/>
      <c r="DW270" s="19" t="s">
        <v>2153</v>
      </c>
      <c r="DX270" s="19">
        <v>13.0</v>
      </c>
      <c r="DY270" s="19">
        <v>10.0</v>
      </c>
      <c r="DZ270" s="19">
        <v>0.0</v>
      </c>
      <c r="EA270" s="19">
        <v>10.0</v>
      </c>
      <c r="EB270" s="19">
        <v>0.0</v>
      </c>
      <c r="EC270" s="19">
        <v>0.0</v>
      </c>
      <c r="ED270" s="19" t="s">
        <v>2174</v>
      </c>
      <c r="EE270" s="24">
        <v>45518.0</v>
      </c>
      <c r="EF270" s="19" t="s">
        <v>2174</v>
      </c>
      <c r="EG270" s="19" t="s">
        <v>2145</v>
      </c>
      <c r="EH270" s="19" t="s">
        <v>2183</v>
      </c>
      <c r="EI270" s="22">
        <v>13.6875</v>
      </c>
      <c r="EJ270" s="19">
        <v>43.0</v>
      </c>
      <c r="EK270" s="19" t="s">
        <v>2113</v>
      </c>
      <c r="EL270" s="19" t="s">
        <v>2117</v>
      </c>
      <c r="EM270" s="19" t="s">
        <v>6682</v>
      </c>
      <c r="EN270" s="19" t="s">
        <v>802</v>
      </c>
      <c r="EO270" s="19" t="s">
        <v>5516</v>
      </c>
      <c r="EP270" s="19" t="s">
        <v>2310</v>
      </c>
      <c r="EQ270" s="19" t="s">
        <v>2176</v>
      </c>
      <c r="ER270" s="19"/>
      <c r="ES270" s="19" t="s">
        <v>802</v>
      </c>
      <c r="ET270" s="19" t="s">
        <v>802</v>
      </c>
      <c r="EU270" s="19" t="s">
        <v>6999</v>
      </c>
      <c r="EV270" s="19">
        <v>10060.0</v>
      </c>
      <c r="EW270" s="19" t="s">
        <v>16</v>
      </c>
      <c r="EX270" s="19">
        <v>5.0</v>
      </c>
      <c r="EY270" s="25" t="s">
        <v>801</v>
      </c>
      <c r="EZ270" s="19" t="s">
        <v>2154</v>
      </c>
      <c r="FA270" s="5" t="s">
        <v>7010</v>
      </c>
      <c r="FB270" s="26" t="s">
        <v>2156</v>
      </c>
      <c r="FC270" s="26"/>
    </row>
    <row r="271">
      <c r="A271" s="19" t="s">
        <v>2156</v>
      </c>
      <c r="B271" s="19"/>
      <c r="C271" s="19" t="s">
        <v>2113</v>
      </c>
      <c r="D271" s="19" t="s">
        <v>803</v>
      </c>
      <c r="E271" s="19" t="s">
        <v>7011</v>
      </c>
      <c r="F271" s="19" t="s">
        <v>803</v>
      </c>
      <c r="G271" s="19"/>
      <c r="H271" s="19" t="s">
        <v>803</v>
      </c>
      <c r="I271" s="19" t="s">
        <v>805</v>
      </c>
      <c r="J271" s="19" t="s">
        <v>7012</v>
      </c>
      <c r="K271" s="19" t="s">
        <v>7013</v>
      </c>
      <c r="L271" s="20">
        <v>45441.0</v>
      </c>
      <c r="M271" s="20">
        <v>45446.0</v>
      </c>
      <c r="N271" s="20">
        <v>45446.0</v>
      </c>
      <c r="O271" s="19" t="s">
        <v>804</v>
      </c>
      <c r="P271" s="19">
        <v>0.0</v>
      </c>
      <c r="Q271" s="19">
        <v>22.0</v>
      </c>
      <c r="R271" s="19">
        <v>8090.0</v>
      </c>
      <c r="S271" s="20" t="s">
        <v>7014</v>
      </c>
      <c r="T271" s="20">
        <v>45461.0</v>
      </c>
      <c r="U271" s="19" t="s">
        <v>803</v>
      </c>
      <c r="V271" s="19"/>
      <c r="W271" s="19" t="s">
        <v>7015</v>
      </c>
      <c r="X271" s="21">
        <v>0.0</v>
      </c>
      <c r="Y271" s="21">
        <v>10.0</v>
      </c>
      <c r="Z271" s="21">
        <v>4.0</v>
      </c>
      <c r="AA271" s="21">
        <v>0.0</v>
      </c>
      <c r="AB271" s="5">
        <v>14.0</v>
      </c>
      <c r="AC271" s="19">
        <v>4.0</v>
      </c>
      <c r="AD271" s="19">
        <v>5.0</v>
      </c>
      <c r="AE271" s="19">
        <v>4.0</v>
      </c>
      <c r="AF271" s="19">
        <v>4.0</v>
      </c>
      <c r="AG271" s="19">
        <v>4.0</v>
      </c>
      <c r="AH271" s="19">
        <v>4.0</v>
      </c>
      <c r="AI271" s="22">
        <v>12.65625</v>
      </c>
      <c r="AJ271" s="19">
        <v>15.0</v>
      </c>
      <c r="AK271" s="19">
        <v>15.0</v>
      </c>
      <c r="AL271" s="19">
        <v>15.0</v>
      </c>
      <c r="AM271" s="19">
        <v>45.0</v>
      </c>
      <c r="AN271" s="19">
        <v>57.7</v>
      </c>
      <c r="AO271" s="19">
        <v>71.7</v>
      </c>
      <c r="AP271" s="19">
        <v>617.0</v>
      </c>
      <c r="AQ271" s="23">
        <v>264.0</v>
      </c>
      <c r="AR271" s="23">
        <v>19.0</v>
      </c>
      <c r="AS271" s="22"/>
      <c r="AT271" s="19" t="s">
        <v>2282</v>
      </c>
      <c r="AU271" s="19" t="s">
        <v>7016</v>
      </c>
      <c r="AV271" s="19" t="s">
        <v>7017</v>
      </c>
      <c r="AW271" s="19"/>
      <c r="AX271" s="20">
        <v>37371.0</v>
      </c>
      <c r="AY271" s="19" t="s">
        <v>2619</v>
      </c>
      <c r="AZ271" s="19" t="s">
        <v>2310</v>
      </c>
      <c r="BA271" s="19" t="s">
        <v>7018</v>
      </c>
      <c r="BB271" s="19" t="s">
        <v>2132</v>
      </c>
      <c r="BC271" s="19" t="s">
        <v>7019</v>
      </c>
      <c r="BD271" s="19" t="s">
        <v>7020</v>
      </c>
      <c r="BE271" s="19" t="s">
        <v>7012</v>
      </c>
      <c r="BF271" s="19">
        <v>1.1911963329E10</v>
      </c>
      <c r="BG271" s="19" t="s">
        <v>2127</v>
      </c>
      <c r="BH271" s="19" t="s">
        <v>2128</v>
      </c>
      <c r="BI271" s="19"/>
      <c r="BJ271" s="19" t="s">
        <v>2128</v>
      </c>
      <c r="BK271" s="19" t="s">
        <v>17</v>
      </c>
      <c r="BL271" s="19"/>
      <c r="BM271" s="19" t="s">
        <v>5563</v>
      </c>
      <c r="BN271" s="19" t="s">
        <v>2291</v>
      </c>
      <c r="BO271" s="19" t="s">
        <v>2317</v>
      </c>
      <c r="BP271" s="19" t="s">
        <v>7021</v>
      </c>
      <c r="BQ271" s="19" t="s">
        <v>2133</v>
      </c>
      <c r="BR271" s="19" t="s">
        <v>2133</v>
      </c>
      <c r="BS271" s="19" t="s">
        <v>2134</v>
      </c>
      <c r="BT271" s="19" t="s">
        <v>52</v>
      </c>
      <c r="BU271" s="19" t="s">
        <v>2452</v>
      </c>
      <c r="BV271" s="19"/>
      <c r="BW271" s="19"/>
      <c r="BX271" s="19"/>
      <c r="BY271" s="19"/>
      <c r="BZ271" s="19"/>
      <c r="CA271" s="19" t="s">
        <v>2113</v>
      </c>
      <c r="CB271" s="19" t="s">
        <v>2113</v>
      </c>
      <c r="CC271" s="19"/>
      <c r="CD271" s="19" t="s">
        <v>2137</v>
      </c>
      <c r="CE271" s="19" t="s">
        <v>16</v>
      </c>
      <c r="CF271" s="19"/>
      <c r="CG271" s="19"/>
      <c r="CH271" s="19" t="s">
        <v>16</v>
      </c>
      <c r="CI271" s="21">
        <v>0.0</v>
      </c>
      <c r="CJ271" s="19" t="s">
        <v>16</v>
      </c>
      <c r="CK271" s="19"/>
      <c r="CL271" s="19"/>
      <c r="CM271" s="19" t="s">
        <v>2138</v>
      </c>
      <c r="CN271" s="19" t="s">
        <v>2626</v>
      </c>
      <c r="CO271" s="19"/>
      <c r="CP271" s="19" t="s">
        <v>2140</v>
      </c>
      <c r="CQ271" s="19"/>
      <c r="CR271" s="19" t="s">
        <v>2113</v>
      </c>
      <c r="CS271" s="19" t="s">
        <v>2113</v>
      </c>
      <c r="CT271" s="19" t="s">
        <v>2113</v>
      </c>
      <c r="CU271" s="19" t="s">
        <v>2113</v>
      </c>
      <c r="CV271" s="19" t="s">
        <v>2179</v>
      </c>
      <c r="CW271" s="19" t="s">
        <v>2113</v>
      </c>
      <c r="CX271" s="19" t="s">
        <v>2113</v>
      </c>
      <c r="CY271" s="19" t="s">
        <v>2113</v>
      </c>
      <c r="CZ271" s="19" t="s">
        <v>2113</v>
      </c>
      <c r="DA271" s="19" t="s">
        <v>16</v>
      </c>
      <c r="DB271" s="19" t="s">
        <v>16</v>
      </c>
      <c r="DC271" s="19" t="s">
        <v>2627</v>
      </c>
      <c r="DD271" s="19" t="s">
        <v>2113</v>
      </c>
      <c r="DE271" s="19" t="s">
        <v>2113</v>
      </c>
      <c r="DF271" s="19" t="s">
        <v>2433</v>
      </c>
      <c r="DG271" s="19" t="s">
        <v>2602</v>
      </c>
      <c r="DH271" s="19" t="s">
        <v>2144</v>
      </c>
      <c r="DI271" s="24">
        <v>45519.0</v>
      </c>
      <c r="DJ271" s="19" t="s">
        <v>2133</v>
      </c>
      <c r="DK271" s="19" t="s">
        <v>2271</v>
      </c>
      <c r="DL271" s="19" t="s">
        <v>2146</v>
      </c>
      <c r="DM271" s="19" t="s">
        <v>2751</v>
      </c>
      <c r="DN271" s="19">
        <v>6.0</v>
      </c>
      <c r="DO271" s="19">
        <v>6.0</v>
      </c>
      <c r="DP271" s="19"/>
      <c r="DQ271" s="19"/>
      <c r="DR271" s="19"/>
      <c r="DS271" s="19" t="s">
        <v>2365</v>
      </c>
      <c r="DT271" s="19" t="s">
        <v>2301</v>
      </c>
      <c r="DU271" s="19" t="s">
        <v>7022</v>
      </c>
      <c r="DV271" s="19"/>
      <c r="DW271" s="19" t="s">
        <v>2153</v>
      </c>
      <c r="DX271" s="19">
        <v>9.0</v>
      </c>
      <c r="DY271" s="19">
        <v>10.0</v>
      </c>
      <c r="DZ271" s="19">
        <v>0.0</v>
      </c>
      <c r="EA271" s="19">
        <v>10.0</v>
      </c>
      <c r="EB271" s="19">
        <v>0.0</v>
      </c>
      <c r="EC271" s="19">
        <v>0.0</v>
      </c>
      <c r="ED271" s="19" t="s">
        <v>2133</v>
      </c>
      <c r="EE271" s="24">
        <v>45519.0</v>
      </c>
      <c r="EF271" s="19" t="s">
        <v>2133</v>
      </c>
      <c r="EG271" s="19" t="s">
        <v>2271</v>
      </c>
      <c r="EH271" s="19" t="s">
        <v>2146</v>
      </c>
      <c r="EI271" s="22">
        <v>12.65625</v>
      </c>
      <c r="EJ271" s="19">
        <v>45.0</v>
      </c>
      <c r="EK271" s="19"/>
      <c r="EL271" s="19" t="s">
        <v>2282</v>
      </c>
      <c r="EM271" s="19" t="s">
        <v>7016</v>
      </c>
      <c r="EN271" s="19" t="s">
        <v>805</v>
      </c>
      <c r="EO271" s="19" t="s">
        <v>2619</v>
      </c>
      <c r="EP271" s="19" t="s">
        <v>2310</v>
      </c>
      <c r="EQ271" s="19" t="s">
        <v>2626</v>
      </c>
      <c r="ER271" s="19"/>
      <c r="ES271" s="19" t="s">
        <v>805</v>
      </c>
      <c r="ET271" s="19" t="s">
        <v>805</v>
      </c>
      <c r="EU271" s="19" t="s">
        <v>7013</v>
      </c>
      <c r="EV271" s="19">
        <v>8090.0</v>
      </c>
      <c r="EW271" s="19" t="s">
        <v>16</v>
      </c>
      <c r="EX271" s="19">
        <v>4.0</v>
      </c>
      <c r="EY271" s="25" t="s">
        <v>804</v>
      </c>
      <c r="EZ271" s="19" t="s">
        <v>2154</v>
      </c>
      <c r="FA271" s="5" t="s">
        <v>7023</v>
      </c>
      <c r="FB271" s="26" t="s">
        <v>2156</v>
      </c>
      <c r="FC271" s="26"/>
    </row>
    <row r="272">
      <c r="A272" s="19" t="s">
        <v>2112</v>
      </c>
      <c r="B272" s="19"/>
      <c r="C272" s="19" t="s">
        <v>2113</v>
      </c>
      <c r="D272" s="19" t="s">
        <v>806</v>
      </c>
      <c r="E272" s="19" t="s">
        <v>7024</v>
      </c>
      <c r="F272" s="19" t="s">
        <v>7025</v>
      </c>
      <c r="G272" s="19" t="s">
        <v>7025</v>
      </c>
      <c r="H272" s="19" t="s">
        <v>806</v>
      </c>
      <c r="I272" s="19" t="s">
        <v>808</v>
      </c>
      <c r="J272" s="19" t="s">
        <v>7026</v>
      </c>
      <c r="K272" s="19" t="s">
        <v>7027</v>
      </c>
      <c r="L272" s="20">
        <v>45457.0</v>
      </c>
      <c r="M272" s="20">
        <v>45460.0</v>
      </c>
      <c r="N272" s="20">
        <v>45460.0</v>
      </c>
      <c r="O272" s="19" t="s">
        <v>807</v>
      </c>
      <c r="P272" s="19">
        <v>0.0</v>
      </c>
      <c r="Q272" s="19">
        <v>21.0</v>
      </c>
      <c r="R272" s="19">
        <v>8033.0</v>
      </c>
      <c r="S272" s="20" t="s">
        <v>7028</v>
      </c>
      <c r="T272" s="20">
        <v>45461.0</v>
      </c>
      <c r="U272" s="19" t="s">
        <v>7025</v>
      </c>
      <c r="V272" s="19"/>
      <c r="W272" s="19"/>
      <c r="X272" s="21">
        <v>0.0</v>
      </c>
      <c r="Y272" s="21">
        <v>10.0</v>
      </c>
      <c r="Z272" s="21">
        <v>3.0</v>
      </c>
      <c r="AA272" s="21">
        <v>0.0</v>
      </c>
      <c r="AB272" s="5">
        <v>13.0</v>
      </c>
      <c r="AC272" s="19">
        <v>4.6</v>
      </c>
      <c r="AD272" s="19">
        <v>4.6</v>
      </c>
      <c r="AE272" s="19">
        <v>4.6</v>
      </c>
      <c r="AF272" s="19">
        <v>4.4</v>
      </c>
      <c r="AG272" s="19">
        <v>4.8</v>
      </c>
      <c r="AH272" s="19">
        <v>4.4</v>
      </c>
      <c r="AI272" s="22">
        <v>13.725000000000001</v>
      </c>
      <c r="AJ272" s="19">
        <v>15.0</v>
      </c>
      <c r="AK272" s="19">
        <v>15.0</v>
      </c>
      <c r="AL272" s="19">
        <v>15.0</v>
      </c>
      <c r="AM272" s="19">
        <v>45.0</v>
      </c>
      <c r="AN272" s="19">
        <v>58.7</v>
      </c>
      <c r="AO272" s="19">
        <v>71.7</v>
      </c>
      <c r="AP272" s="19">
        <v>741.0</v>
      </c>
      <c r="AQ272" s="23">
        <v>265.0</v>
      </c>
      <c r="AR272" s="23">
        <v>25.0</v>
      </c>
      <c r="AS272" s="22"/>
      <c r="AT272" s="19" t="s">
        <v>2282</v>
      </c>
      <c r="AU272" s="19" t="s">
        <v>7029</v>
      </c>
      <c r="AV272" s="19" t="s">
        <v>7030</v>
      </c>
      <c r="AW272" s="19"/>
      <c r="AX272" s="20">
        <v>37428.0</v>
      </c>
      <c r="AY272" s="19" t="s">
        <v>3034</v>
      </c>
      <c r="AZ272" s="19" t="s">
        <v>2445</v>
      </c>
      <c r="BA272" s="19" t="s">
        <v>7031</v>
      </c>
      <c r="BB272" s="19" t="s">
        <v>3756</v>
      </c>
      <c r="BC272" s="19" t="s">
        <v>7032</v>
      </c>
      <c r="BD272" s="19" t="s">
        <v>7033</v>
      </c>
      <c r="BE272" s="19" t="s">
        <v>7026</v>
      </c>
      <c r="BF272" s="19">
        <v>1.1970403241E10</v>
      </c>
      <c r="BG272" s="19" t="s">
        <v>2127</v>
      </c>
      <c r="BH272" s="19" t="s">
        <v>2128</v>
      </c>
      <c r="BI272" s="19"/>
      <c r="BJ272" s="19" t="s">
        <v>2128</v>
      </c>
      <c r="BK272" s="19" t="s">
        <v>17</v>
      </c>
      <c r="BL272" s="19" t="s">
        <v>2113</v>
      </c>
      <c r="BM272" s="19" t="s">
        <v>5411</v>
      </c>
      <c r="BN272" s="19" t="s">
        <v>17</v>
      </c>
      <c r="BO272" s="19" t="s">
        <v>2473</v>
      </c>
      <c r="BP272" s="19" t="s">
        <v>7034</v>
      </c>
      <c r="BQ272" s="19" t="s">
        <v>2174</v>
      </c>
      <c r="BR272" s="19" t="s">
        <v>2174</v>
      </c>
      <c r="BS272" s="19" t="s">
        <v>2243</v>
      </c>
      <c r="BT272" s="19" t="s">
        <v>34</v>
      </c>
      <c r="BU272" s="19" t="s">
        <v>7035</v>
      </c>
      <c r="BV272" s="19"/>
      <c r="BW272" s="19"/>
      <c r="BX272" s="19"/>
      <c r="BY272" s="19" t="s">
        <v>2113</v>
      </c>
      <c r="BZ272" s="19" t="s">
        <v>2113</v>
      </c>
      <c r="CA272" s="19" t="s">
        <v>2113</v>
      </c>
      <c r="CB272" s="19" t="s">
        <v>2113</v>
      </c>
      <c r="CC272" s="19"/>
      <c r="CD272" s="19" t="s">
        <v>2137</v>
      </c>
      <c r="CE272" s="19" t="s">
        <v>16</v>
      </c>
      <c r="CF272" s="19"/>
      <c r="CG272" s="19"/>
      <c r="CH272" s="19" t="s">
        <v>16</v>
      </c>
      <c r="CI272" s="21">
        <v>0.0</v>
      </c>
      <c r="CJ272" s="19" t="s">
        <v>16</v>
      </c>
      <c r="CK272" s="19" t="s">
        <v>2113</v>
      </c>
      <c r="CL272" s="19" t="s">
        <v>2113</v>
      </c>
      <c r="CM272" s="19" t="s">
        <v>2138</v>
      </c>
      <c r="CN272" s="19" t="s">
        <v>3041</v>
      </c>
      <c r="CO272" s="19"/>
      <c r="CP272" s="19" t="s">
        <v>2178</v>
      </c>
      <c r="CQ272" s="19"/>
      <c r="CR272" s="19" t="s">
        <v>2113</v>
      </c>
      <c r="CS272" s="19" t="s">
        <v>2113</v>
      </c>
      <c r="CT272" s="19" t="s">
        <v>2113</v>
      </c>
      <c r="CU272" s="19" t="s">
        <v>2113</v>
      </c>
      <c r="CV272" s="19" t="s">
        <v>2141</v>
      </c>
      <c r="CW272" s="19" t="s">
        <v>2113</v>
      </c>
      <c r="CX272" s="19" t="s">
        <v>2113</v>
      </c>
      <c r="CY272" s="19" t="s">
        <v>2113</v>
      </c>
      <c r="CZ272" s="19" t="s">
        <v>2113</v>
      </c>
      <c r="DA272" s="19" t="s">
        <v>16</v>
      </c>
      <c r="DB272" s="19" t="s">
        <v>16</v>
      </c>
      <c r="DC272" s="19" t="s">
        <v>3042</v>
      </c>
      <c r="DD272" s="19" t="s">
        <v>2113</v>
      </c>
      <c r="DE272" s="19" t="s">
        <v>2113</v>
      </c>
      <c r="DF272" s="19" t="s">
        <v>2433</v>
      </c>
      <c r="DG272" s="19" t="s">
        <v>2207</v>
      </c>
      <c r="DH272" s="19" t="s">
        <v>2144</v>
      </c>
      <c r="DI272" s="24">
        <v>45526.0</v>
      </c>
      <c r="DJ272" s="19" t="s">
        <v>2174</v>
      </c>
      <c r="DK272" s="19" t="s">
        <v>2271</v>
      </c>
      <c r="DL272" s="19" t="s">
        <v>2183</v>
      </c>
      <c r="DM272" s="19"/>
      <c r="DN272" s="19">
        <v>12.0</v>
      </c>
      <c r="DO272" s="19">
        <v>12.0</v>
      </c>
      <c r="DP272" s="19" t="s">
        <v>7036</v>
      </c>
      <c r="DQ272" s="19" t="s">
        <v>7037</v>
      </c>
      <c r="DR272" s="19" t="s">
        <v>7038</v>
      </c>
      <c r="DS272" s="19" t="s">
        <v>2151</v>
      </c>
      <c r="DT272" s="19" t="s">
        <v>2209</v>
      </c>
      <c r="DU272" s="19"/>
      <c r="DV272" s="19"/>
      <c r="DW272" s="19" t="s">
        <v>2479</v>
      </c>
      <c r="DX272" s="19">
        <v>16.0</v>
      </c>
      <c r="DY272" s="19">
        <v>10.0</v>
      </c>
      <c r="DZ272" s="19">
        <v>0.0</v>
      </c>
      <c r="EA272" s="19">
        <v>10.0</v>
      </c>
      <c r="EB272" s="19">
        <v>0.0</v>
      </c>
      <c r="EC272" s="19">
        <v>0.0</v>
      </c>
      <c r="ED272" s="19" t="s">
        <v>2174</v>
      </c>
      <c r="EE272" s="24">
        <v>45526.0</v>
      </c>
      <c r="EF272" s="19" t="s">
        <v>2174</v>
      </c>
      <c r="EG272" s="19" t="s">
        <v>2271</v>
      </c>
      <c r="EH272" s="19" t="s">
        <v>2183</v>
      </c>
      <c r="EI272" s="22">
        <v>13.725000000000001</v>
      </c>
      <c r="EJ272" s="19">
        <v>45.0</v>
      </c>
      <c r="EK272" s="19"/>
      <c r="EL272" s="19" t="s">
        <v>2282</v>
      </c>
      <c r="EM272" s="19" t="s">
        <v>7029</v>
      </c>
      <c r="EN272" s="19" t="s">
        <v>808</v>
      </c>
      <c r="EO272" s="19" t="s">
        <v>3034</v>
      </c>
      <c r="EP272" s="19" t="s">
        <v>2445</v>
      </c>
      <c r="EQ272" s="19" t="s">
        <v>3041</v>
      </c>
      <c r="ER272" s="19"/>
      <c r="ES272" s="19" t="s">
        <v>808</v>
      </c>
      <c r="ET272" s="19" t="s">
        <v>808</v>
      </c>
      <c r="EU272" s="19" t="s">
        <v>7027</v>
      </c>
      <c r="EV272" s="19">
        <v>8033.0</v>
      </c>
      <c r="EW272" s="19" t="s">
        <v>16</v>
      </c>
      <c r="EX272" s="19">
        <v>3.0</v>
      </c>
      <c r="EY272" s="25" t="s">
        <v>807</v>
      </c>
      <c r="EZ272" s="19" t="s">
        <v>2154</v>
      </c>
      <c r="FA272" s="5" t="s">
        <v>7039</v>
      </c>
      <c r="FB272" s="26" t="s">
        <v>2156</v>
      </c>
      <c r="FC272" s="26"/>
    </row>
    <row r="273">
      <c r="A273" s="19" t="s">
        <v>2112</v>
      </c>
      <c r="B273" s="19" t="s">
        <v>2113</v>
      </c>
      <c r="C273" s="19" t="s">
        <v>2113</v>
      </c>
      <c r="D273" s="19" t="s">
        <v>809</v>
      </c>
      <c r="E273" s="19" t="s">
        <v>7040</v>
      </c>
      <c r="F273" s="19" t="s">
        <v>809</v>
      </c>
      <c r="G273" s="19"/>
      <c r="H273" s="19" t="s">
        <v>809</v>
      </c>
      <c r="I273" s="19" t="s">
        <v>811</v>
      </c>
      <c r="J273" s="19" t="s">
        <v>7041</v>
      </c>
      <c r="K273" s="19" t="s">
        <v>7042</v>
      </c>
      <c r="L273" s="20">
        <v>45445.0</v>
      </c>
      <c r="M273" s="20">
        <v>45446.0</v>
      </c>
      <c r="N273" s="20">
        <v>45446.0</v>
      </c>
      <c r="O273" s="19" t="s">
        <v>810</v>
      </c>
      <c r="P273" s="19">
        <v>0.0</v>
      </c>
      <c r="Q273" s="19">
        <v>25.0</v>
      </c>
      <c r="R273" s="19">
        <v>9356.0</v>
      </c>
      <c r="S273" s="20" t="s">
        <v>7043</v>
      </c>
      <c r="T273" s="20">
        <v>45461.0</v>
      </c>
      <c r="U273" s="19" t="s">
        <v>809</v>
      </c>
      <c r="V273" s="19"/>
      <c r="W273" s="19"/>
      <c r="X273" s="21">
        <v>20.0</v>
      </c>
      <c r="Y273" s="21">
        <v>5.0</v>
      </c>
      <c r="Z273" s="21">
        <v>2.0</v>
      </c>
      <c r="AA273" s="21">
        <v>0.0</v>
      </c>
      <c r="AB273" s="5">
        <v>27.0</v>
      </c>
      <c r="AC273" s="19">
        <v>5.0</v>
      </c>
      <c r="AD273" s="19">
        <v>5.0</v>
      </c>
      <c r="AE273" s="19">
        <v>5.0</v>
      </c>
      <c r="AF273" s="19">
        <v>4.0</v>
      </c>
      <c r="AG273" s="19">
        <v>5.0</v>
      </c>
      <c r="AH273" s="19">
        <v>5.0</v>
      </c>
      <c r="AI273" s="22">
        <v>14.625</v>
      </c>
      <c r="AJ273" s="19">
        <v>10.0</v>
      </c>
      <c r="AK273" s="19">
        <v>10.0</v>
      </c>
      <c r="AL273" s="19">
        <v>10.0</v>
      </c>
      <c r="AM273" s="19">
        <v>30.0</v>
      </c>
      <c r="AN273" s="19">
        <v>44.6</v>
      </c>
      <c r="AO273" s="19">
        <v>71.6</v>
      </c>
      <c r="AP273" s="19">
        <v>247.0</v>
      </c>
      <c r="AQ273" s="23">
        <v>266.0</v>
      </c>
      <c r="AR273" s="23">
        <v>19.0</v>
      </c>
      <c r="AS273" s="22"/>
      <c r="AT273" s="19" t="s">
        <v>2282</v>
      </c>
      <c r="AU273" s="19" t="s">
        <v>4456</v>
      </c>
      <c r="AV273" s="19" t="s">
        <v>7044</v>
      </c>
      <c r="AW273" s="19"/>
      <c r="AX273" s="20">
        <v>36105.0</v>
      </c>
      <c r="AY273" s="19" t="s">
        <v>6932</v>
      </c>
      <c r="AZ273" s="19" t="s">
        <v>2122</v>
      </c>
      <c r="BA273" s="19" t="s">
        <v>7045</v>
      </c>
      <c r="BB273" s="19" t="s">
        <v>7046</v>
      </c>
      <c r="BC273" s="19" t="s">
        <v>7047</v>
      </c>
      <c r="BD273" s="19" t="s">
        <v>7048</v>
      </c>
      <c r="BE273" s="19" t="s">
        <v>7041</v>
      </c>
      <c r="BF273" s="19">
        <v>1.1964779265E10</v>
      </c>
      <c r="BG273" s="19" t="s">
        <v>3518</v>
      </c>
      <c r="BH273" s="19" t="s">
        <v>2128</v>
      </c>
      <c r="BI273" s="19"/>
      <c r="BJ273" s="19" t="s">
        <v>2128</v>
      </c>
      <c r="BK273" s="19" t="s">
        <v>17</v>
      </c>
      <c r="BL273" s="19"/>
      <c r="BM273" s="19" t="s">
        <v>2130</v>
      </c>
      <c r="BN273" s="19" t="s">
        <v>17</v>
      </c>
      <c r="BO273" s="19" t="s">
        <v>3199</v>
      </c>
      <c r="BP273" s="19"/>
      <c r="BQ273" s="19" t="s">
        <v>2133</v>
      </c>
      <c r="BR273" s="19" t="s">
        <v>2133</v>
      </c>
      <c r="BS273" s="19" t="s">
        <v>3521</v>
      </c>
      <c r="BT273" s="19" t="s">
        <v>222</v>
      </c>
      <c r="BU273" s="19" t="s">
        <v>7049</v>
      </c>
      <c r="BV273" s="19" t="s">
        <v>7050</v>
      </c>
      <c r="BW273" s="19" t="s">
        <v>2113</v>
      </c>
      <c r="BX273" s="19"/>
      <c r="BY273" s="19"/>
      <c r="BZ273" s="19"/>
      <c r="CA273" s="19"/>
      <c r="CB273" s="19" t="s">
        <v>2113</v>
      </c>
      <c r="CC273" s="19"/>
      <c r="CD273" s="19" t="s">
        <v>2137</v>
      </c>
      <c r="CE273" s="19" t="s">
        <v>16</v>
      </c>
      <c r="CF273" s="19"/>
      <c r="CG273" s="19"/>
      <c r="CH273" s="19" t="s">
        <v>16</v>
      </c>
      <c r="CI273" s="21">
        <v>0.0</v>
      </c>
      <c r="CJ273" s="19" t="s">
        <v>16</v>
      </c>
      <c r="CK273" s="19"/>
      <c r="CL273" s="19"/>
      <c r="CM273" s="19" t="s">
        <v>2344</v>
      </c>
      <c r="CN273" s="19" t="s">
        <v>4465</v>
      </c>
      <c r="CO273" s="19"/>
      <c r="CP273" s="19" t="s">
        <v>2246</v>
      </c>
      <c r="CQ273" s="19"/>
      <c r="CR273" s="19" t="s">
        <v>2113</v>
      </c>
      <c r="CS273" s="19" t="s">
        <v>2113</v>
      </c>
      <c r="CT273" s="19" t="s">
        <v>2113</v>
      </c>
      <c r="CU273" s="19" t="s">
        <v>2113</v>
      </c>
      <c r="CV273" s="19" t="s">
        <v>2141</v>
      </c>
      <c r="CW273" s="19"/>
      <c r="CX273" s="19"/>
      <c r="CY273" s="19"/>
      <c r="CZ273" s="19"/>
      <c r="DA273" s="19" t="s">
        <v>16</v>
      </c>
      <c r="DB273" s="19" t="s">
        <v>16</v>
      </c>
      <c r="DC273" s="19" t="s">
        <v>2671</v>
      </c>
      <c r="DD273" s="19"/>
      <c r="DE273" s="19"/>
      <c r="DF273" s="19" t="s">
        <v>2579</v>
      </c>
      <c r="DG273" s="19" t="s">
        <v>2826</v>
      </c>
      <c r="DH273" s="19" t="s">
        <v>2144</v>
      </c>
      <c r="DI273" s="24">
        <v>45526.0</v>
      </c>
      <c r="DJ273" s="19" t="s">
        <v>2133</v>
      </c>
      <c r="DK273" s="19" t="s">
        <v>2145</v>
      </c>
      <c r="DL273" s="19" t="s">
        <v>2146</v>
      </c>
      <c r="DM273" s="19" t="s">
        <v>3338</v>
      </c>
      <c r="DN273" s="19">
        <v>11.0</v>
      </c>
      <c r="DO273" s="19">
        <v>11.0</v>
      </c>
      <c r="DP273" s="19" t="s">
        <v>7051</v>
      </c>
      <c r="DQ273" s="19" t="s">
        <v>7052</v>
      </c>
      <c r="DR273" s="19" t="s">
        <v>7053</v>
      </c>
      <c r="DS273" s="19" t="s">
        <v>2365</v>
      </c>
      <c r="DT273" s="19" t="s">
        <v>2301</v>
      </c>
      <c r="DU273" s="19"/>
      <c r="DV273" s="19"/>
      <c r="DW273" s="19" t="s">
        <v>2153</v>
      </c>
      <c r="DX273" s="19">
        <v>8.0</v>
      </c>
      <c r="DY273" s="19">
        <v>5.0</v>
      </c>
      <c r="DZ273" s="19">
        <v>0.0</v>
      </c>
      <c r="EA273" s="19">
        <v>5.0</v>
      </c>
      <c r="EB273" s="19">
        <v>0.0</v>
      </c>
      <c r="EC273" s="19">
        <v>20.0</v>
      </c>
      <c r="ED273" s="19" t="s">
        <v>2133</v>
      </c>
      <c r="EE273" s="24">
        <v>45526.0</v>
      </c>
      <c r="EF273" s="19" t="s">
        <v>2133</v>
      </c>
      <c r="EG273" s="19" t="s">
        <v>2145</v>
      </c>
      <c r="EH273" s="19" t="s">
        <v>2146</v>
      </c>
      <c r="EI273" s="22">
        <v>14.625</v>
      </c>
      <c r="EJ273" s="19">
        <v>30.0</v>
      </c>
      <c r="EK273" s="19"/>
      <c r="EL273" s="19" t="s">
        <v>2282</v>
      </c>
      <c r="EM273" s="19" t="s">
        <v>4456</v>
      </c>
      <c r="EN273" s="19" t="s">
        <v>811</v>
      </c>
      <c r="EO273" s="19" t="s">
        <v>6932</v>
      </c>
      <c r="EP273" s="19" t="s">
        <v>2122</v>
      </c>
      <c r="EQ273" s="19" t="s">
        <v>4465</v>
      </c>
      <c r="ER273" s="19"/>
      <c r="ES273" s="19" t="s">
        <v>811</v>
      </c>
      <c r="ET273" s="19" t="s">
        <v>811</v>
      </c>
      <c r="EU273" s="19" t="s">
        <v>7042</v>
      </c>
      <c r="EV273" s="19">
        <v>9356.0</v>
      </c>
      <c r="EW273" s="19" t="s">
        <v>16</v>
      </c>
      <c r="EX273" s="19">
        <v>2.0</v>
      </c>
      <c r="EY273" s="25" t="s">
        <v>810</v>
      </c>
      <c r="EZ273" s="19" t="s">
        <v>2154</v>
      </c>
      <c r="FA273" s="5" t="s">
        <v>7054</v>
      </c>
      <c r="FB273" s="26" t="s">
        <v>2156</v>
      </c>
      <c r="FC273" s="26"/>
    </row>
    <row r="274">
      <c r="A274" s="19" t="s">
        <v>2112</v>
      </c>
      <c r="B274" s="19"/>
      <c r="C274" s="19" t="s">
        <v>2113</v>
      </c>
      <c r="D274" s="19" t="s">
        <v>812</v>
      </c>
      <c r="E274" s="19" t="s">
        <v>7055</v>
      </c>
      <c r="F274" s="19" t="s">
        <v>812</v>
      </c>
      <c r="G274" s="19"/>
      <c r="H274" s="19" t="s">
        <v>812</v>
      </c>
      <c r="I274" s="19" t="s">
        <v>814</v>
      </c>
      <c r="J274" s="19" t="s">
        <v>7056</v>
      </c>
      <c r="K274" s="19" t="s">
        <v>7057</v>
      </c>
      <c r="L274" s="20">
        <v>45413.0</v>
      </c>
      <c r="M274" s="20">
        <v>45414.0</v>
      </c>
      <c r="N274" s="20">
        <v>45414.0</v>
      </c>
      <c r="O274" s="19" t="s">
        <v>813</v>
      </c>
      <c r="P274" s="19">
        <v>0.0</v>
      </c>
      <c r="Q274" s="19">
        <v>24.0</v>
      </c>
      <c r="R274" s="19">
        <v>9128.0</v>
      </c>
      <c r="S274" s="20" t="s">
        <v>7058</v>
      </c>
      <c r="T274" s="20">
        <v>45461.0</v>
      </c>
      <c r="U274" s="19" t="s">
        <v>812</v>
      </c>
      <c r="V274" s="19"/>
      <c r="W274" s="19" t="s">
        <v>7059</v>
      </c>
      <c r="X274" s="21">
        <v>0.0</v>
      </c>
      <c r="Y274" s="21">
        <v>10.0</v>
      </c>
      <c r="Z274" s="21">
        <v>5.0</v>
      </c>
      <c r="AA274" s="21">
        <v>0.0</v>
      </c>
      <c r="AB274" s="5">
        <v>15.0</v>
      </c>
      <c r="AC274" s="19">
        <v>4.0</v>
      </c>
      <c r="AD274" s="19">
        <v>4.0</v>
      </c>
      <c r="AE274" s="19">
        <v>4.0</v>
      </c>
      <c r="AF274" s="19">
        <v>3.0</v>
      </c>
      <c r="AG274" s="19">
        <v>3.0</v>
      </c>
      <c r="AH274" s="19">
        <v>5.0</v>
      </c>
      <c r="AI274" s="22">
        <v>11.625</v>
      </c>
      <c r="AJ274" s="19">
        <v>15.0</v>
      </c>
      <c r="AK274" s="19">
        <v>15.0</v>
      </c>
      <c r="AL274" s="19">
        <v>15.0</v>
      </c>
      <c r="AM274" s="19">
        <v>45.0</v>
      </c>
      <c r="AN274" s="19">
        <v>56.6</v>
      </c>
      <c r="AO274" s="19">
        <v>71.6</v>
      </c>
      <c r="AP274" s="19">
        <v>428.0</v>
      </c>
      <c r="AQ274" s="23">
        <v>267.0</v>
      </c>
      <c r="AR274" s="23">
        <v>32.0</v>
      </c>
      <c r="AS274" s="22"/>
      <c r="AT274" s="19" t="s">
        <v>2117</v>
      </c>
      <c r="AU274" s="19" t="s">
        <v>3711</v>
      </c>
      <c r="AV274" s="19" t="s">
        <v>7060</v>
      </c>
      <c r="AW274" s="19"/>
      <c r="AX274" s="20">
        <v>36333.0</v>
      </c>
      <c r="AY274" s="19" t="s">
        <v>2286</v>
      </c>
      <c r="AZ274" s="19" t="s">
        <v>2310</v>
      </c>
      <c r="BA274" s="19" t="s">
        <v>7061</v>
      </c>
      <c r="BB274" s="19" t="s">
        <v>6211</v>
      </c>
      <c r="BC274" s="19" t="s">
        <v>7062</v>
      </c>
      <c r="BD274" s="19" t="s">
        <v>7063</v>
      </c>
      <c r="BE274" s="19" t="s">
        <v>7064</v>
      </c>
      <c r="BF274" s="19">
        <v>1.1985412719E10</v>
      </c>
      <c r="BG274" s="19" t="s">
        <v>2127</v>
      </c>
      <c r="BH274" s="19" t="s">
        <v>2128</v>
      </c>
      <c r="BI274" s="19"/>
      <c r="BJ274" s="19"/>
      <c r="BK274" s="19" t="s">
        <v>16</v>
      </c>
      <c r="BL274" s="19" t="s">
        <v>2113</v>
      </c>
      <c r="BM274" s="19" t="s">
        <v>5411</v>
      </c>
      <c r="BN274" s="19" t="s">
        <v>2401</v>
      </c>
      <c r="BO274" s="19" t="s">
        <v>2132</v>
      </c>
      <c r="BP274" s="19"/>
      <c r="BQ274" s="19" t="s">
        <v>2133</v>
      </c>
      <c r="BR274" s="19" t="s">
        <v>2133</v>
      </c>
      <c r="BS274" s="19" t="s">
        <v>2243</v>
      </c>
      <c r="BT274" s="19" t="s">
        <v>38</v>
      </c>
      <c r="BU274" s="19" t="s">
        <v>3001</v>
      </c>
      <c r="BV274" s="19"/>
      <c r="BW274" s="19"/>
      <c r="BX274" s="19"/>
      <c r="BY274" s="19"/>
      <c r="BZ274" s="19"/>
      <c r="CA274" s="19"/>
      <c r="CB274" s="19" t="s">
        <v>2113</v>
      </c>
      <c r="CC274" s="19"/>
      <c r="CD274" s="19" t="s">
        <v>2137</v>
      </c>
      <c r="CE274" s="19" t="s">
        <v>16</v>
      </c>
      <c r="CF274" s="19"/>
      <c r="CG274" s="19"/>
      <c r="CH274" s="19" t="s">
        <v>16</v>
      </c>
      <c r="CI274" s="21">
        <v>0.0</v>
      </c>
      <c r="CJ274" s="19" t="s">
        <v>16</v>
      </c>
      <c r="CK274" s="19"/>
      <c r="CL274" s="19"/>
      <c r="CM274" s="19" t="s">
        <v>2138</v>
      </c>
      <c r="CN274" s="19" t="s">
        <v>2294</v>
      </c>
      <c r="CO274" s="19"/>
      <c r="CP274" s="19"/>
      <c r="CQ274" s="19"/>
      <c r="CR274" s="19" t="s">
        <v>2113</v>
      </c>
      <c r="CS274" s="19" t="s">
        <v>2113</v>
      </c>
      <c r="CT274" s="19" t="s">
        <v>2113</v>
      </c>
      <c r="CU274" s="19" t="s">
        <v>2113</v>
      </c>
      <c r="CV274" s="19" t="s">
        <v>2141</v>
      </c>
      <c r="CW274" s="19" t="s">
        <v>2113</v>
      </c>
      <c r="CX274" s="19" t="s">
        <v>2113</v>
      </c>
      <c r="CY274" s="19" t="s">
        <v>2113</v>
      </c>
      <c r="CZ274" s="19" t="s">
        <v>2113</v>
      </c>
      <c r="DA274" s="19" t="s">
        <v>16</v>
      </c>
      <c r="DB274" s="19" t="s">
        <v>16</v>
      </c>
      <c r="DC274" s="19" t="s">
        <v>2578</v>
      </c>
      <c r="DD274" s="19" t="s">
        <v>2113</v>
      </c>
      <c r="DE274" s="19" t="s">
        <v>2113</v>
      </c>
      <c r="DF274" s="19" t="s">
        <v>2671</v>
      </c>
      <c r="DG274" s="19" t="s">
        <v>2804</v>
      </c>
      <c r="DH274" s="19" t="s">
        <v>2144</v>
      </c>
      <c r="DI274" s="24">
        <v>45532.0</v>
      </c>
      <c r="DJ274" s="19" t="s">
        <v>2133</v>
      </c>
      <c r="DK274" s="19" t="s">
        <v>2271</v>
      </c>
      <c r="DL274" s="19" t="s">
        <v>2146</v>
      </c>
      <c r="DM274" s="19" t="s">
        <v>3526</v>
      </c>
      <c r="DN274" s="19">
        <v>16.0</v>
      </c>
      <c r="DO274" s="19">
        <v>16.0</v>
      </c>
      <c r="DP274" s="19" t="s">
        <v>7065</v>
      </c>
      <c r="DQ274" s="19" t="s">
        <v>7066</v>
      </c>
      <c r="DR274" s="19" t="s">
        <v>7067</v>
      </c>
      <c r="DS274" s="19" t="s">
        <v>2151</v>
      </c>
      <c r="DT274" s="19" t="s">
        <v>2366</v>
      </c>
      <c r="DU274" s="19"/>
      <c r="DV274" s="19"/>
      <c r="DW274" s="19" t="s">
        <v>2153</v>
      </c>
      <c r="DX274" s="19">
        <v>12.0</v>
      </c>
      <c r="DY274" s="19">
        <v>10.0</v>
      </c>
      <c r="DZ274" s="19">
        <v>0.0</v>
      </c>
      <c r="EA274" s="19">
        <v>10.0</v>
      </c>
      <c r="EB274" s="19">
        <v>0.0</v>
      </c>
      <c r="EC274" s="19">
        <v>0.0</v>
      </c>
      <c r="ED274" s="19" t="s">
        <v>2133</v>
      </c>
      <c r="EE274" s="24">
        <v>45532.0</v>
      </c>
      <c r="EF274" s="19" t="s">
        <v>2133</v>
      </c>
      <c r="EG274" s="19" t="s">
        <v>2271</v>
      </c>
      <c r="EH274" s="19" t="s">
        <v>2146</v>
      </c>
      <c r="EI274" s="22">
        <v>11.625</v>
      </c>
      <c r="EJ274" s="19">
        <v>45.0</v>
      </c>
      <c r="EK274" s="19"/>
      <c r="EL274" s="19" t="s">
        <v>2117</v>
      </c>
      <c r="EM274" s="19" t="s">
        <v>3711</v>
      </c>
      <c r="EN274" s="19" t="s">
        <v>814</v>
      </c>
      <c r="EO274" s="19" t="s">
        <v>2286</v>
      </c>
      <c r="EP274" s="19" t="s">
        <v>2310</v>
      </c>
      <c r="EQ274" s="19" t="s">
        <v>2294</v>
      </c>
      <c r="ER274" s="19"/>
      <c r="ES274" s="19" t="s">
        <v>814</v>
      </c>
      <c r="ET274" s="19" t="s">
        <v>814</v>
      </c>
      <c r="EU274" s="19" t="s">
        <v>7057</v>
      </c>
      <c r="EV274" s="19">
        <v>9128.0</v>
      </c>
      <c r="EW274" s="19" t="s">
        <v>16</v>
      </c>
      <c r="EX274" s="19">
        <v>5.0</v>
      </c>
      <c r="EY274" s="25" t="s">
        <v>813</v>
      </c>
      <c r="EZ274" s="19" t="s">
        <v>2154</v>
      </c>
      <c r="FA274" s="5" t="s">
        <v>7068</v>
      </c>
      <c r="FB274" s="26" t="s">
        <v>2156</v>
      </c>
      <c r="FC274" s="26"/>
    </row>
    <row r="275">
      <c r="A275" s="19" t="s">
        <v>2112</v>
      </c>
      <c r="B275" s="19"/>
      <c r="C275" s="19" t="s">
        <v>2113</v>
      </c>
      <c r="D275" s="19" t="s">
        <v>815</v>
      </c>
      <c r="E275" s="19" t="s">
        <v>7069</v>
      </c>
      <c r="F275" s="19" t="s">
        <v>815</v>
      </c>
      <c r="G275" s="19"/>
      <c r="H275" s="19" t="s">
        <v>815</v>
      </c>
      <c r="I275" s="19" t="s">
        <v>817</v>
      </c>
      <c r="J275" s="19" t="s">
        <v>7070</v>
      </c>
      <c r="K275" s="19" t="s">
        <v>7071</v>
      </c>
      <c r="L275" s="20">
        <v>45426.0</v>
      </c>
      <c r="M275" s="20">
        <v>45428.0</v>
      </c>
      <c r="N275" s="20">
        <v>45428.0</v>
      </c>
      <c r="O275" s="19" t="s">
        <v>816</v>
      </c>
      <c r="P275" s="19">
        <v>0.0</v>
      </c>
      <c r="Q275" s="19">
        <v>21.0</v>
      </c>
      <c r="R275" s="19">
        <v>8020.0</v>
      </c>
      <c r="S275" s="20" t="s">
        <v>7072</v>
      </c>
      <c r="T275" s="20">
        <v>45461.0</v>
      </c>
      <c r="U275" s="19" t="s">
        <v>815</v>
      </c>
      <c r="V275" s="19"/>
      <c r="W275" s="19" t="s">
        <v>7073</v>
      </c>
      <c r="X275" s="21">
        <v>0.0</v>
      </c>
      <c r="Y275" s="21">
        <v>10.0</v>
      </c>
      <c r="Z275" s="21">
        <v>5.0</v>
      </c>
      <c r="AA275" s="21">
        <v>0.0</v>
      </c>
      <c r="AB275" s="5">
        <v>15.0</v>
      </c>
      <c r="AC275" s="19">
        <v>4.6</v>
      </c>
      <c r="AD275" s="19">
        <v>4.4</v>
      </c>
      <c r="AE275" s="19">
        <v>4.0</v>
      </c>
      <c r="AF275" s="19">
        <v>4.4</v>
      </c>
      <c r="AG275" s="19">
        <v>4.4</v>
      </c>
      <c r="AH275" s="19">
        <v>4.6</v>
      </c>
      <c r="AI275" s="22">
        <v>13.068750000000001</v>
      </c>
      <c r="AJ275" s="19">
        <v>14.0</v>
      </c>
      <c r="AK275" s="19">
        <v>14.5</v>
      </c>
      <c r="AL275" s="19">
        <v>15.0</v>
      </c>
      <c r="AM275" s="19">
        <v>43.5</v>
      </c>
      <c r="AN275" s="19">
        <v>56.6</v>
      </c>
      <c r="AO275" s="19">
        <v>71.6</v>
      </c>
      <c r="AP275" s="19">
        <v>473.0</v>
      </c>
      <c r="AQ275" s="23">
        <v>268.0</v>
      </c>
      <c r="AR275" s="23">
        <v>38.0</v>
      </c>
      <c r="AS275" s="22"/>
      <c r="AT275" s="19" t="s">
        <v>2163</v>
      </c>
      <c r="AU275" s="19" t="s">
        <v>7074</v>
      </c>
      <c r="AV275" s="19" t="s">
        <v>7075</v>
      </c>
      <c r="AW275" s="19" t="s">
        <v>7076</v>
      </c>
      <c r="AX275" s="20">
        <v>37441.0</v>
      </c>
      <c r="AY275" s="19" t="s">
        <v>5516</v>
      </c>
      <c r="AZ275" s="19" t="s">
        <v>2122</v>
      </c>
      <c r="BA275" s="19" t="s">
        <v>7077</v>
      </c>
      <c r="BB275" s="19" t="s">
        <v>6255</v>
      </c>
      <c r="BC275" s="19" t="s">
        <v>7078</v>
      </c>
      <c r="BD275" s="19" t="s">
        <v>7079</v>
      </c>
      <c r="BE275" s="19" t="s">
        <v>7070</v>
      </c>
      <c r="BF275" s="19">
        <v>1.1945285664E10</v>
      </c>
      <c r="BG275" s="19" t="s">
        <v>2127</v>
      </c>
      <c r="BH275" s="19" t="s">
        <v>2128</v>
      </c>
      <c r="BI275" s="19"/>
      <c r="BJ275" s="19"/>
      <c r="BK275" s="19" t="s">
        <v>16</v>
      </c>
      <c r="BL275" s="19"/>
      <c r="BM275" s="19" t="s">
        <v>5411</v>
      </c>
      <c r="BN275" s="19" t="s">
        <v>17</v>
      </c>
      <c r="BO275" s="19" t="s">
        <v>2132</v>
      </c>
      <c r="BP275" s="19"/>
      <c r="BQ275" s="19" t="s">
        <v>2174</v>
      </c>
      <c r="BR275" s="19" t="s">
        <v>2174</v>
      </c>
      <c r="BS275" s="19" t="s">
        <v>2243</v>
      </c>
      <c r="BT275" s="19" t="s">
        <v>21</v>
      </c>
      <c r="BU275" s="19" t="s">
        <v>7080</v>
      </c>
      <c r="BV275" s="19"/>
      <c r="BW275" s="19" t="s">
        <v>2113</v>
      </c>
      <c r="BX275" s="19"/>
      <c r="BY275" s="19"/>
      <c r="BZ275" s="19"/>
      <c r="CA275" s="19"/>
      <c r="CB275" s="19" t="s">
        <v>2113</v>
      </c>
      <c r="CC275" s="19"/>
      <c r="CD275" s="19" t="s">
        <v>2137</v>
      </c>
      <c r="CE275" s="19" t="s">
        <v>16</v>
      </c>
      <c r="CF275" s="19"/>
      <c r="CG275" s="19"/>
      <c r="CH275" s="19" t="s">
        <v>16</v>
      </c>
      <c r="CI275" s="21">
        <v>0.0</v>
      </c>
      <c r="CJ275" s="19" t="s">
        <v>17</v>
      </c>
      <c r="CK275" s="19"/>
      <c r="CL275" s="19"/>
      <c r="CM275" s="19" t="s">
        <v>2138</v>
      </c>
      <c r="CN275" s="19" t="s">
        <v>2176</v>
      </c>
      <c r="CO275" s="19"/>
      <c r="CP275" s="19"/>
      <c r="CQ275" s="19"/>
      <c r="CR275" s="19" t="s">
        <v>2113</v>
      </c>
      <c r="CS275" s="19" t="s">
        <v>2113</v>
      </c>
      <c r="CT275" s="19" t="s">
        <v>2113</v>
      </c>
      <c r="CU275" s="19" t="s">
        <v>2113</v>
      </c>
      <c r="CV275" s="19" t="s">
        <v>2141</v>
      </c>
      <c r="CW275" s="19"/>
      <c r="CX275" s="19"/>
      <c r="CY275" s="19" t="s">
        <v>2113</v>
      </c>
      <c r="CZ275" s="19" t="s">
        <v>2113</v>
      </c>
      <c r="DA275" s="19" t="s">
        <v>16</v>
      </c>
      <c r="DB275" s="19" t="s">
        <v>17</v>
      </c>
      <c r="DC275" s="19" t="s">
        <v>7081</v>
      </c>
      <c r="DD275" s="19" t="s">
        <v>2113</v>
      </c>
      <c r="DE275" s="19" t="s">
        <v>2113</v>
      </c>
      <c r="DF275" s="19" t="s">
        <v>2180</v>
      </c>
      <c r="DG275" s="19" t="s">
        <v>3370</v>
      </c>
      <c r="DH275" s="19" t="s">
        <v>2144</v>
      </c>
      <c r="DI275" s="24">
        <v>45519.0</v>
      </c>
      <c r="DJ275" s="19" t="s">
        <v>2174</v>
      </c>
      <c r="DK275" s="19" t="s">
        <v>2271</v>
      </c>
      <c r="DL275" s="19" t="s">
        <v>2183</v>
      </c>
      <c r="DM275" s="19" t="s">
        <v>2272</v>
      </c>
      <c r="DN275" s="19">
        <v>6.0</v>
      </c>
      <c r="DO275" s="19">
        <v>6.0</v>
      </c>
      <c r="DP275" s="19" t="s">
        <v>7082</v>
      </c>
      <c r="DQ275" s="19" t="s">
        <v>7083</v>
      </c>
      <c r="DR275" s="19" t="s">
        <v>7084</v>
      </c>
      <c r="DS275" s="19" t="s">
        <v>2151</v>
      </c>
      <c r="DT275" s="19" t="s">
        <v>2229</v>
      </c>
      <c r="DU275" s="19"/>
      <c r="DV275" s="19"/>
      <c r="DW275" s="19" t="s">
        <v>2153</v>
      </c>
      <c r="DX275" s="19">
        <v>14.0</v>
      </c>
      <c r="DY275" s="19">
        <v>10.0</v>
      </c>
      <c r="DZ275" s="19">
        <v>0.0</v>
      </c>
      <c r="EA275" s="19">
        <v>10.0</v>
      </c>
      <c r="EB275" s="19">
        <v>0.0</v>
      </c>
      <c r="EC275" s="19">
        <v>0.0</v>
      </c>
      <c r="ED275" s="19" t="s">
        <v>2174</v>
      </c>
      <c r="EE275" s="24">
        <v>45519.0</v>
      </c>
      <c r="EF275" s="19" t="s">
        <v>2174</v>
      </c>
      <c r="EG275" s="19" t="s">
        <v>2271</v>
      </c>
      <c r="EH275" s="19" t="s">
        <v>2183</v>
      </c>
      <c r="EI275" s="22">
        <v>13.068750000000001</v>
      </c>
      <c r="EJ275" s="19">
        <v>43.5</v>
      </c>
      <c r="EK275" s="19" t="s">
        <v>2113</v>
      </c>
      <c r="EL275" s="19" t="s">
        <v>2163</v>
      </c>
      <c r="EM275" s="19" t="s">
        <v>7074</v>
      </c>
      <c r="EN275" s="19" t="s">
        <v>817</v>
      </c>
      <c r="EO275" s="19" t="s">
        <v>5516</v>
      </c>
      <c r="EP275" s="19" t="s">
        <v>2122</v>
      </c>
      <c r="EQ275" s="19" t="s">
        <v>2176</v>
      </c>
      <c r="ER275" s="19"/>
      <c r="ES275" s="19" t="s">
        <v>817</v>
      </c>
      <c r="ET275" s="19" t="s">
        <v>817</v>
      </c>
      <c r="EU275" s="19" t="s">
        <v>7071</v>
      </c>
      <c r="EV275" s="19">
        <v>8020.0</v>
      </c>
      <c r="EW275" s="19" t="s">
        <v>16</v>
      </c>
      <c r="EX275" s="19">
        <v>5.0</v>
      </c>
      <c r="EY275" s="25" t="s">
        <v>816</v>
      </c>
      <c r="EZ275" s="19" t="s">
        <v>2154</v>
      </c>
      <c r="FA275" s="5" t="s">
        <v>7085</v>
      </c>
      <c r="FB275" s="26" t="s">
        <v>2156</v>
      </c>
      <c r="FC275" s="26"/>
    </row>
    <row r="276">
      <c r="A276" s="19" t="s">
        <v>2112</v>
      </c>
      <c r="B276" s="19"/>
      <c r="C276" s="19" t="s">
        <v>2113</v>
      </c>
      <c r="D276" s="19" t="s">
        <v>818</v>
      </c>
      <c r="E276" s="19" t="s">
        <v>7086</v>
      </c>
      <c r="F276" s="19" t="s">
        <v>818</v>
      </c>
      <c r="G276" s="19"/>
      <c r="H276" s="19" t="s">
        <v>818</v>
      </c>
      <c r="I276" s="19" t="s">
        <v>820</v>
      </c>
      <c r="J276" s="19" t="s">
        <v>7087</v>
      </c>
      <c r="K276" s="19" t="s">
        <v>7088</v>
      </c>
      <c r="L276" s="20">
        <v>45446.0</v>
      </c>
      <c r="M276" s="20">
        <v>45447.0</v>
      </c>
      <c r="N276" s="20">
        <v>45447.0</v>
      </c>
      <c r="O276" s="19" t="s">
        <v>819</v>
      </c>
      <c r="P276" s="19">
        <v>0.0</v>
      </c>
      <c r="Q276" s="19">
        <v>21.0</v>
      </c>
      <c r="R276" s="19">
        <v>7750.0</v>
      </c>
      <c r="S276" s="20" t="s">
        <v>7089</v>
      </c>
      <c r="T276" s="20">
        <v>45461.0</v>
      </c>
      <c r="U276" s="19" t="s">
        <v>818</v>
      </c>
      <c r="V276" s="19"/>
      <c r="W276" s="19"/>
      <c r="X276" s="21">
        <v>0.0</v>
      </c>
      <c r="Y276" s="21">
        <v>10.0</v>
      </c>
      <c r="Z276" s="21">
        <v>3.0</v>
      </c>
      <c r="AA276" s="21">
        <v>0.0</v>
      </c>
      <c r="AB276" s="5">
        <v>13.0</v>
      </c>
      <c r="AC276" s="19">
        <v>4.5</v>
      </c>
      <c r="AD276" s="19">
        <v>5.0</v>
      </c>
      <c r="AE276" s="19">
        <v>5.0</v>
      </c>
      <c r="AF276" s="19">
        <v>4.5</v>
      </c>
      <c r="AG276" s="19">
        <v>5.0</v>
      </c>
      <c r="AH276" s="19">
        <v>5.0</v>
      </c>
      <c r="AI276" s="22">
        <v>14.578125</v>
      </c>
      <c r="AJ276" s="19">
        <v>15.0</v>
      </c>
      <c r="AK276" s="19">
        <v>15.0</v>
      </c>
      <c r="AL276" s="19">
        <v>14.0</v>
      </c>
      <c r="AM276" s="19">
        <v>44.0</v>
      </c>
      <c r="AN276" s="19">
        <v>58.6</v>
      </c>
      <c r="AO276" s="19">
        <v>71.6</v>
      </c>
      <c r="AP276" s="19">
        <v>757.0</v>
      </c>
      <c r="AQ276" s="23">
        <v>269.0</v>
      </c>
      <c r="AR276" s="23">
        <v>20.0</v>
      </c>
      <c r="AS276" s="19"/>
      <c r="AT276" s="19" t="s">
        <v>2163</v>
      </c>
      <c r="AU276" s="19" t="s">
        <v>7090</v>
      </c>
      <c r="AV276" s="19" t="s">
        <v>7091</v>
      </c>
      <c r="AW276" s="19" t="s">
        <v>7090</v>
      </c>
      <c r="AX276" s="20">
        <v>37711.0</v>
      </c>
      <c r="AY276" s="19" t="s">
        <v>3905</v>
      </c>
      <c r="AZ276" s="19" t="s">
        <v>2122</v>
      </c>
      <c r="BA276" s="19" t="s">
        <v>7092</v>
      </c>
      <c r="BB276" s="19" t="s">
        <v>6469</v>
      </c>
      <c r="BC276" s="19" t="s">
        <v>7093</v>
      </c>
      <c r="BD276" s="19" t="s">
        <v>7094</v>
      </c>
      <c r="BE276" s="19" t="s">
        <v>7095</v>
      </c>
      <c r="BF276" s="19">
        <v>5.1993338419E10</v>
      </c>
      <c r="BG276" s="19" t="s">
        <v>2127</v>
      </c>
      <c r="BH276" s="19" t="s">
        <v>2128</v>
      </c>
      <c r="BI276" s="19"/>
      <c r="BJ276" s="19"/>
      <c r="BK276" s="19" t="s">
        <v>16</v>
      </c>
      <c r="BL276" s="19" t="s">
        <v>2113</v>
      </c>
      <c r="BM276" s="19" t="s">
        <v>5563</v>
      </c>
      <c r="BN276" s="19" t="s">
        <v>2172</v>
      </c>
      <c r="BO276" s="19" t="s">
        <v>2473</v>
      </c>
      <c r="BP276" s="19" t="s">
        <v>7096</v>
      </c>
      <c r="BQ276" s="19" t="s">
        <v>2133</v>
      </c>
      <c r="BR276" s="19" t="s">
        <v>2133</v>
      </c>
      <c r="BS276" s="19" t="s">
        <v>2134</v>
      </c>
      <c r="BT276" s="19" t="s">
        <v>222</v>
      </c>
      <c r="BU276" s="19"/>
      <c r="BV276" s="19"/>
      <c r="BW276" s="19"/>
      <c r="BX276" s="19"/>
      <c r="BY276" s="19" t="s">
        <v>2113</v>
      </c>
      <c r="BZ276" s="19" t="s">
        <v>2113</v>
      </c>
      <c r="CA276" s="19"/>
      <c r="CB276" s="19" t="s">
        <v>2113</v>
      </c>
      <c r="CC276" s="19"/>
      <c r="CD276" s="19" t="s">
        <v>2137</v>
      </c>
      <c r="CE276" s="19" t="s">
        <v>16</v>
      </c>
      <c r="CF276" s="19"/>
      <c r="CG276" s="19"/>
      <c r="CH276" s="19" t="s">
        <v>16</v>
      </c>
      <c r="CI276" s="21">
        <v>0.0</v>
      </c>
      <c r="CJ276" s="19" t="s">
        <v>17</v>
      </c>
      <c r="CK276" s="19"/>
      <c r="CL276" s="19"/>
      <c r="CM276" s="19" t="s">
        <v>2344</v>
      </c>
      <c r="CN276" s="19" t="s">
        <v>3544</v>
      </c>
      <c r="CO276" s="19"/>
      <c r="CP276" s="19" t="s">
        <v>2134</v>
      </c>
      <c r="CQ276" s="19"/>
      <c r="CR276" s="19" t="s">
        <v>2113</v>
      </c>
      <c r="CS276" s="19" t="s">
        <v>2113</v>
      </c>
      <c r="CT276" s="19" t="s">
        <v>2113</v>
      </c>
      <c r="CU276" s="19" t="s">
        <v>2113</v>
      </c>
      <c r="CV276" s="19" t="s">
        <v>2141</v>
      </c>
      <c r="CW276" s="19" t="s">
        <v>2113</v>
      </c>
      <c r="CX276" s="19" t="s">
        <v>2113</v>
      </c>
      <c r="CY276" s="19" t="s">
        <v>2113</v>
      </c>
      <c r="CZ276" s="19" t="s">
        <v>2113</v>
      </c>
      <c r="DA276" s="19" t="s">
        <v>16</v>
      </c>
      <c r="DB276" s="19" t="s">
        <v>17</v>
      </c>
      <c r="DC276" s="19" t="s">
        <v>2142</v>
      </c>
      <c r="DD276" s="19" t="s">
        <v>2113</v>
      </c>
      <c r="DE276" s="19" t="s">
        <v>2113</v>
      </c>
      <c r="DF276" s="19" t="s">
        <v>3874</v>
      </c>
      <c r="DG276" s="19" t="s">
        <v>2578</v>
      </c>
      <c r="DH276" s="19" t="s">
        <v>2144</v>
      </c>
      <c r="DI276" s="24">
        <v>45533.0</v>
      </c>
      <c r="DJ276" s="19" t="s">
        <v>2133</v>
      </c>
      <c r="DK276" s="19" t="s">
        <v>2271</v>
      </c>
      <c r="DL276" s="19" t="s">
        <v>2207</v>
      </c>
      <c r="DM276" s="19" t="s">
        <v>6057</v>
      </c>
      <c r="DN276" s="19">
        <v>4.0</v>
      </c>
      <c r="DO276" s="19">
        <v>4.0</v>
      </c>
      <c r="DP276" s="19" t="s">
        <v>7097</v>
      </c>
      <c r="DQ276" s="19" t="s">
        <v>7098</v>
      </c>
      <c r="DR276" s="19" t="s">
        <v>7099</v>
      </c>
      <c r="DS276" s="19" t="s">
        <v>2185</v>
      </c>
      <c r="DT276" s="19" t="s">
        <v>2350</v>
      </c>
      <c r="DU276" s="19"/>
      <c r="DV276" s="19" t="s">
        <v>7100</v>
      </c>
      <c r="DW276" s="19" t="s">
        <v>2188</v>
      </c>
      <c r="DX276" s="19">
        <v>5.0</v>
      </c>
      <c r="DY276" s="19">
        <v>10.0</v>
      </c>
      <c r="DZ276" s="19">
        <v>0.0</v>
      </c>
      <c r="EA276" s="19">
        <v>10.0</v>
      </c>
      <c r="EB276" s="19">
        <v>0.0</v>
      </c>
      <c r="EC276" s="19">
        <v>0.0</v>
      </c>
      <c r="ED276" s="19" t="s">
        <v>2133</v>
      </c>
      <c r="EE276" s="24">
        <v>45533.0</v>
      </c>
      <c r="EF276" s="19" t="s">
        <v>2133</v>
      </c>
      <c r="EG276" s="19" t="s">
        <v>2271</v>
      </c>
      <c r="EH276" s="19" t="s">
        <v>2207</v>
      </c>
      <c r="EI276" s="22">
        <v>14.578125</v>
      </c>
      <c r="EJ276" s="19">
        <v>44.0</v>
      </c>
      <c r="EK276" s="19" t="s">
        <v>2113</v>
      </c>
      <c r="EL276" s="19" t="s">
        <v>2163</v>
      </c>
      <c r="EM276" s="19" t="s">
        <v>7090</v>
      </c>
      <c r="EN276" s="19" t="s">
        <v>820</v>
      </c>
      <c r="EO276" s="19" t="s">
        <v>3905</v>
      </c>
      <c r="EP276" s="19" t="s">
        <v>2122</v>
      </c>
      <c r="EQ276" s="19" t="s">
        <v>3544</v>
      </c>
      <c r="ER276" s="19"/>
      <c r="ES276" s="19" t="s">
        <v>820</v>
      </c>
      <c r="ET276" s="19" t="s">
        <v>820</v>
      </c>
      <c r="EU276" s="19" t="s">
        <v>7088</v>
      </c>
      <c r="EV276" s="19">
        <v>7750.0</v>
      </c>
      <c r="EW276" s="19" t="s">
        <v>16</v>
      </c>
      <c r="EX276" s="19">
        <v>3.0</v>
      </c>
      <c r="EY276" s="25" t="s">
        <v>819</v>
      </c>
      <c r="EZ276" s="19" t="s">
        <v>2154</v>
      </c>
      <c r="FA276" s="5" t="s">
        <v>7101</v>
      </c>
      <c r="FB276" s="26" t="s">
        <v>2156</v>
      </c>
      <c r="FC276" s="26"/>
    </row>
    <row r="277">
      <c r="A277" s="19" t="s">
        <v>2112</v>
      </c>
      <c r="B277" s="19"/>
      <c r="C277" s="19" t="s">
        <v>2113</v>
      </c>
      <c r="D277" s="19" t="s">
        <v>821</v>
      </c>
      <c r="E277" s="19" t="s">
        <v>7102</v>
      </c>
      <c r="F277" s="19" t="s">
        <v>821</v>
      </c>
      <c r="G277" s="19"/>
      <c r="H277" s="19" t="s">
        <v>821</v>
      </c>
      <c r="I277" s="19" t="s">
        <v>823</v>
      </c>
      <c r="J277" s="19" t="s">
        <v>7103</v>
      </c>
      <c r="K277" s="19" t="s">
        <v>7104</v>
      </c>
      <c r="L277" s="20">
        <v>45441.0</v>
      </c>
      <c r="M277" s="20">
        <v>45441.0</v>
      </c>
      <c r="N277" s="20">
        <v>45441.0</v>
      </c>
      <c r="O277" s="19" t="s">
        <v>822</v>
      </c>
      <c r="P277" s="19">
        <v>0.0</v>
      </c>
      <c r="Q277" s="19">
        <v>20.0</v>
      </c>
      <c r="R277" s="19">
        <v>7648.0</v>
      </c>
      <c r="S277" s="20" t="s">
        <v>7105</v>
      </c>
      <c r="T277" s="20">
        <v>45461.0</v>
      </c>
      <c r="U277" s="19" t="s">
        <v>821</v>
      </c>
      <c r="V277" s="19"/>
      <c r="W277" s="19"/>
      <c r="X277" s="21">
        <v>0.0</v>
      </c>
      <c r="Y277" s="21">
        <v>10.0</v>
      </c>
      <c r="Z277" s="21">
        <v>2.0</v>
      </c>
      <c r="AA277" s="21">
        <v>0.0</v>
      </c>
      <c r="AB277" s="5">
        <v>12.0</v>
      </c>
      <c r="AC277" s="19">
        <v>5.0</v>
      </c>
      <c r="AD277" s="19">
        <v>5.0</v>
      </c>
      <c r="AE277" s="19">
        <v>5.0</v>
      </c>
      <c r="AF277" s="19">
        <v>5.0</v>
      </c>
      <c r="AG277" s="19">
        <v>4.0</v>
      </c>
      <c r="AH277" s="19">
        <v>5.0</v>
      </c>
      <c r="AI277" s="22">
        <v>14.625</v>
      </c>
      <c r="AJ277" s="19">
        <v>15.0</v>
      </c>
      <c r="AK277" s="19">
        <v>15.0</v>
      </c>
      <c r="AL277" s="19">
        <v>15.0</v>
      </c>
      <c r="AM277" s="19">
        <v>45.0</v>
      </c>
      <c r="AN277" s="19">
        <v>59.6</v>
      </c>
      <c r="AO277" s="19">
        <v>71.6</v>
      </c>
      <c r="AP277" s="19">
        <v>874.0</v>
      </c>
      <c r="AQ277" s="23">
        <v>270.0</v>
      </c>
      <c r="AR277" s="23">
        <v>26.0</v>
      </c>
      <c r="AS277" s="22"/>
      <c r="AT277" s="19" t="s">
        <v>2282</v>
      </c>
      <c r="AU277" s="19" t="s">
        <v>6114</v>
      </c>
      <c r="AV277" s="19" t="s">
        <v>7106</v>
      </c>
      <c r="AW277" s="19" t="s">
        <v>7107</v>
      </c>
      <c r="AX277" s="20">
        <v>37813.0</v>
      </c>
      <c r="AY277" s="19" t="s">
        <v>4165</v>
      </c>
      <c r="AZ277" s="19" t="s">
        <v>2445</v>
      </c>
      <c r="BA277" s="19" t="s">
        <v>7108</v>
      </c>
      <c r="BB277" s="19" t="s">
        <v>2860</v>
      </c>
      <c r="BC277" s="19" t="s">
        <v>7109</v>
      </c>
      <c r="BD277" s="19" t="s">
        <v>7110</v>
      </c>
      <c r="BE277" s="19" t="s">
        <v>7111</v>
      </c>
      <c r="BF277" s="19">
        <v>1.1945158625E10</v>
      </c>
      <c r="BG277" s="19" t="s">
        <v>2127</v>
      </c>
      <c r="BH277" s="19" t="s">
        <v>2128</v>
      </c>
      <c r="BI277" s="19"/>
      <c r="BJ277" s="19"/>
      <c r="BK277" s="19" t="s">
        <v>16</v>
      </c>
      <c r="BL277" s="19"/>
      <c r="BM277" s="19" t="s">
        <v>5411</v>
      </c>
      <c r="BN277" s="19" t="s">
        <v>2172</v>
      </c>
      <c r="BO277" s="19" t="s">
        <v>3199</v>
      </c>
      <c r="BP277" s="19"/>
      <c r="BQ277" s="19" t="s">
        <v>2174</v>
      </c>
      <c r="BR277" s="19" t="s">
        <v>2174</v>
      </c>
      <c r="BS277" s="19" t="s">
        <v>2134</v>
      </c>
      <c r="BT277" s="19" t="s">
        <v>34</v>
      </c>
      <c r="BU277" s="19"/>
      <c r="BV277" s="19"/>
      <c r="BW277" s="19"/>
      <c r="BX277" s="19"/>
      <c r="BY277" s="19"/>
      <c r="BZ277" s="19"/>
      <c r="CA277" s="19"/>
      <c r="CB277" s="19" t="s">
        <v>2113</v>
      </c>
      <c r="CC277" s="19"/>
      <c r="CD277" s="19" t="s">
        <v>2137</v>
      </c>
      <c r="CE277" s="19" t="s">
        <v>16</v>
      </c>
      <c r="CF277" s="19"/>
      <c r="CG277" s="19"/>
      <c r="CH277" s="19" t="s">
        <v>16</v>
      </c>
      <c r="CI277" s="21">
        <v>0.0</v>
      </c>
      <c r="CJ277" s="19" t="s">
        <v>16</v>
      </c>
      <c r="CK277" s="19"/>
      <c r="CL277" s="19"/>
      <c r="CM277" s="19" t="s">
        <v>2138</v>
      </c>
      <c r="CN277" s="19" t="s">
        <v>4172</v>
      </c>
      <c r="CO277" s="19"/>
      <c r="CP277" s="19"/>
      <c r="CQ277" s="19"/>
      <c r="CR277" s="19" t="s">
        <v>2113</v>
      </c>
      <c r="CS277" s="19" t="s">
        <v>2113</v>
      </c>
      <c r="CT277" s="19" t="s">
        <v>2113</v>
      </c>
      <c r="CU277" s="19" t="s">
        <v>2113</v>
      </c>
      <c r="CV277" s="19" t="s">
        <v>2179</v>
      </c>
      <c r="CW277" s="19" t="s">
        <v>2113</v>
      </c>
      <c r="CX277" s="19" t="s">
        <v>2113</v>
      </c>
      <c r="CY277" s="19" t="s">
        <v>2113</v>
      </c>
      <c r="CZ277" s="19" t="s">
        <v>2113</v>
      </c>
      <c r="DA277" s="19" t="s">
        <v>16</v>
      </c>
      <c r="DB277" s="19" t="s">
        <v>16</v>
      </c>
      <c r="DC277" s="19" t="s">
        <v>5450</v>
      </c>
      <c r="DD277" s="19" t="s">
        <v>2113</v>
      </c>
      <c r="DE277" s="19" t="s">
        <v>2113</v>
      </c>
      <c r="DF277" s="19" t="s">
        <v>2270</v>
      </c>
      <c r="DG277" s="19" t="s">
        <v>2248</v>
      </c>
      <c r="DH277" s="19" t="s">
        <v>2144</v>
      </c>
      <c r="DI277" s="24">
        <v>45533.0</v>
      </c>
      <c r="DJ277" s="19" t="s">
        <v>2174</v>
      </c>
      <c r="DK277" s="19" t="s">
        <v>2145</v>
      </c>
      <c r="DL277" s="19" t="s">
        <v>2207</v>
      </c>
      <c r="DM277" s="22" t="s">
        <v>5829</v>
      </c>
      <c r="DN277" s="19">
        <v>1.0</v>
      </c>
      <c r="DO277" s="19">
        <v>1.0</v>
      </c>
      <c r="DP277" s="19"/>
      <c r="DQ277" s="19"/>
      <c r="DR277" s="19"/>
      <c r="DS277" s="19" t="s">
        <v>2185</v>
      </c>
      <c r="DT277" s="19" t="s">
        <v>2186</v>
      </c>
      <c r="DU277" s="19" t="s">
        <v>7112</v>
      </c>
      <c r="DV277" s="19" t="s">
        <v>7113</v>
      </c>
      <c r="DW277" s="19" t="s">
        <v>2153</v>
      </c>
      <c r="DX277" s="19">
        <v>2.0</v>
      </c>
      <c r="DY277" s="19">
        <v>10.0</v>
      </c>
      <c r="DZ277" s="19">
        <v>0.0</v>
      </c>
      <c r="EA277" s="19">
        <v>10.0</v>
      </c>
      <c r="EB277" s="19">
        <v>0.0</v>
      </c>
      <c r="EC277" s="19">
        <v>0.0</v>
      </c>
      <c r="ED277" s="19" t="s">
        <v>2174</v>
      </c>
      <c r="EE277" s="24">
        <v>45533.0</v>
      </c>
      <c r="EF277" s="19" t="s">
        <v>2174</v>
      </c>
      <c r="EG277" s="19" t="s">
        <v>2145</v>
      </c>
      <c r="EH277" s="19" t="s">
        <v>2207</v>
      </c>
      <c r="EI277" s="22">
        <v>14.625</v>
      </c>
      <c r="EJ277" s="19">
        <v>45.0</v>
      </c>
      <c r="EK277" s="19"/>
      <c r="EL277" s="19" t="s">
        <v>2282</v>
      </c>
      <c r="EM277" s="19" t="s">
        <v>6114</v>
      </c>
      <c r="EN277" s="19" t="s">
        <v>823</v>
      </c>
      <c r="EO277" s="19" t="s">
        <v>4165</v>
      </c>
      <c r="EP277" s="19" t="s">
        <v>2445</v>
      </c>
      <c r="EQ277" s="19" t="s">
        <v>4172</v>
      </c>
      <c r="ER277" s="19"/>
      <c r="ES277" s="19" t="s">
        <v>823</v>
      </c>
      <c r="ET277" s="19" t="s">
        <v>823</v>
      </c>
      <c r="EU277" s="19" t="s">
        <v>7104</v>
      </c>
      <c r="EV277" s="19">
        <v>7648.0</v>
      </c>
      <c r="EW277" s="19" t="s">
        <v>16</v>
      </c>
      <c r="EX277" s="19">
        <v>2.0</v>
      </c>
      <c r="EY277" s="25" t="s">
        <v>822</v>
      </c>
      <c r="EZ277" s="19" t="s">
        <v>2154</v>
      </c>
      <c r="FA277" s="5" t="s">
        <v>7114</v>
      </c>
      <c r="FB277" s="26" t="s">
        <v>2156</v>
      </c>
      <c r="FC277" s="26"/>
    </row>
    <row r="278">
      <c r="A278" s="19" t="s">
        <v>2112</v>
      </c>
      <c r="B278" s="19"/>
      <c r="C278" s="19" t="s">
        <v>2113</v>
      </c>
      <c r="D278" s="19" t="s">
        <v>824</v>
      </c>
      <c r="E278" s="19" t="s">
        <v>7115</v>
      </c>
      <c r="F278" s="19" t="s">
        <v>824</v>
      </c>
      <c r="G278" s="19"/>
      <c r="H278" s="19" t="s">
        <v>824</v>
      </c>
      <c r="I278" s="19" t="s">
        <v>826</v>
      </c>
      <c r="J278" s="19" t="s">
        <v>7116</v>
      </c>
      <c r="K278" s="19" t="s">
        <v>7117</v>
      </c>
      <c r="L278" s="20">
        <v>45446.0</v>
      </c>
      <c r="M278" s="20">
        <v>45447.0</v>
      </c>
      <c r="N278" s="20">
        <v>45447.0</v>
      </c>
      <c r="O278" s="19" t="s">
        <v>825</v>
      </c>
      <c r="P278" s="19">
        <v>0.0</v>
      </c>
      <c r="Q278" s="19">
        <v>26.0</v>
      </c>
      <c r="R278" s="19">
        <v>9616.0</v>
      </c>
      <c r="S278" s="20" t="s">
        <v>7118</v>
      </c>
      <c r="T278" s="20">
        <v>45461.0</v>
      </c>
      <c r="U278" s="19" t="s">
        <v>824</v>
      </c>
      <c r="V278" s="19"/>
      <c r="W278" s="19"/>
      <c r="X278" s="21">
        <v>0.0</v>
      </c>
      <c r="Y278" s="21">
        <v>10.0</v>
      </c>
      <c r="Z278" s="21">
        <v>5.0</v>
      </c>
      <c r="AA278" s="21">
        <v>0.0</v>
      </c>
      <c r="AB278" s="5">
        <v>15.0</v>
      </c>
      <c r="AC278" s="19">
        <v>3.5</v>
      </c>
      <c r="AD278" s="19">
        <v>4.0</v>
      </c>
      <c r="AE278" s="19">
        <v>4.5</v>
      </c>
      <c r="AF278" s="19">
        <v>4.0</v>
      </c>
      <c r="AG278" s="19">
        <v>3.5</v>
      </c>
      <c r="AH278" s="19">
        <v>4.0</v>
      </c>
      <c r="AI278" s="22">
        <v>11.953125</v>
      </c>
      <c r="AJ278" s="19">
        <v>14.8</v>
      </c>
      <c r="AK278" s="19">
        <v>15.0</v>
      </c>
      <c r="AL278" s="19">
        <v>14.8</v>
      </c>
      <c r="AM278" s="19">
        <v>44.5</v>
      </c>
      <c r="AN278" s="19">
        <v>56.5</v>
      </c>
      <c r="AO278" s="19">
        <v>71.5</v>
      </c>
      <c r="AP278" s="19">
        <v>413.0</v>
      </c>
      <c r="AQ278" s="23">
        <v>271.0</v>
      </c>
      <c r="AR278" s="23">
        <v>39.0</v>
      </c>
      <c r="AS278" s="19"/>
      <c r="AT278" s="19" t="s">
        <v>2282</v>
      </c>
      <c r="AU278" s="19" t="s">
        <v>3075</v>
      </c>
      <c r="AV278" s="19" t="s">
        <v>7119</v>
      </c>
      <c r="AW278" s="19" t="s">
        <v>7120</v>
      </c>
      <c r="AX278" s="20">
        <v>35845.0</v>
      </c>
      <c r="AY278" s="19" t="s">
        <v>2338</v>
      </c>
      <c r="AZ278" s="19" t="s">
        <v>2122</v>
      </c>
      <c r="BA278" s="19" t="s">
        <v>7121</v>
      </c>
      <c r="BB278" s="19" t="s">
        <v>2132</v>
      </c>
      <c r="BC278" s="19" t="s">
        <v>7122</v>
      </c>
      <c r="BD278" s="19" t="s">
        <v>7123</v>
      </c>
      <c r="BE278" s="19" t="s">
        <v>7124</v>
      </c>
      <c r="BF278" s="19">
        <v>1.197594976E10</v>
      </c>
      <c r="BG278" s="19" t="s">
        <v>2127</v>
      </c>
      <c r="BH278" s="19" t="s">
        <v>2128</v>
      </c>
      <c r="BI278" s="19"/>
      <c r="BJ278" s="19"/>
      <c r="BK278" s="19" t="s">
        <v>16</v>
      </c>
      <c r="BL278" s="19" t="s">
        <v>2113</v>
      </c>
      <c r="BM278" s="19" t="s">
        <v>5411</v>
      </c>
      <c r="BN278" s="19" t="s">
        <v>17</v>
      </c>
      <c r="BO278" s="19" t="s">
        <v>2132</v>
      </c>
      <c r="BP278" s="19" t="s">
        <v>7125</v>
      </c>
      <c r="BQ278" s="19" t="s">
        <v>2174</v>
      </c>
      <c r="BR278" s="19" t="s">
        <v>2174</v>
      </c>
      <c r="BS278" s="19" t="s">
        <v>2243</v>
      </c>
      <c r="BT278" s="19" t="s">
        <v>21</v>
      </c>
      <c r="BU278" s="19" t="s">
        <v>5547</v>
      </c>
      <c r="BV278" s="19"/>
      <c r="BW278" s="19"/>
      <c r="BX278" s="19" t="s">
        <v>2113</v>
      </c>
      <c r="BY278" s="19" t="s">
        <v>2113</v>
      </c>
      <c r="BZ278" s="19" t="s">
        <v>2113</v>
      </c>
      <c r="CA278" s="19" t="s">
        <v>2113</v>
      </c>
      <c r="CB278" s="19" t="s">
        <v>2113</v>
      </c>
      <c r="CC278" s="19" t="s">
        <v>2113</v>
      </c>
      <c r="CD278" s="19" t="s">
        <v>2137</v>
      </c>
      <c r="CE278" s="19" t="s">
        <v>16</v>
      </c>
      <c r="CF278" s="19"/>
      <c r="CG278" s="19"/>
      <c r="CH278" s="19" t="s">
        <v>16</v>
      </c>
      <c r="CI278" s="21">
        <v>0.0</v>
      </c>
      <c r="CJ278" s="19" t="s">
        <v>16</v>
      </c>
      <c r="CK278" s="19"/>
      <c r="CL278" s="19" t="s">
        <v>2113</v>
      </c>
      <c r="CM278" s="19" t="s">
        <v>2344</v>
      </c>
      <c r="CN278" s="19" t="s">
        <v>2204</v>
      </c>
      <c r="CO278" s="19"/>
      <c r="CP278" s="19"/>
      <c r="CQ278" s="19"/>
      <c r="CR278" s="19" t="s">
        <v>2113</v>
      </c>
      <c r="CS278" s="19" t="s">
        <v>2113</v>
      </c>
      <c r="CT278" s="19" t="s">
        <v>2113</v>
      </c>
      <c r="CU278" s="19" t="s">
        <v>2113</v>
      </c>
      <c r="CV278" s="19" t="s">
        <v>2179</v>
      </c>
      <c r="CW278" s="19" t="s">
        <v>2113</v>
      </c>
      <c r="CX278" s="19" t="s">
        <v>2113</v>
      </c>
      <c r="CY278" s="19" t="s">
        <v>2113</v>
      </c>
      <c r="CZ278" s="19" t="s">
        <v>2113</v>
      </c>
      <c r="DA278" s="19" t="s">
        <v>16</v>
      </c>
      <c r="DB278" s="19" t="s">
        <v>16</v>
      </c>
      <c r="DC278" s="19" t="s">
        <v>2181</v>
      </c>
      <c r="DD278" s="19" t="s">
        <v>2113</v>
      </c>
      <c r="DE278" s="19" t="s">
        <v>2113</v>
      </c>
      <c r="DF278" s="19" t="s">
        <v>2180</v>
      </c>
      <c r="DG278" s="19" t="s">
        <v>2345</v>
      </c>
      <c r="DH278" s="19" t="s">
        <v>2144</v>
      </c>
      <c r="DI278" s="24">
        <v>45533.0</v>
      </c>
      <c r="DJ278" s="19" t="s">
        <v>2174</v>
      </c>
      <c r="DK278" s="19" t="s">
        <v>2145</v>
      </c>
      <c r="DL278" s="19" t="s">
        <v>2207</v>
      </c>
      <c r="DM278" s="19" t="s">
        <v>2208</v>
      </c>
      <c r="DN278" s="19">
        <v>4.0</v>
      </c>
      <c r="DO278" s="19">
        <v>4.0</v>
      </c>
      <c r="DP278" s="19"/>
      <c r="DQ278" s="19"/>
      <c r="DR278" s="19"/>
      <c r="DS278" s="19" t="s">
        <v>2151</v>
      </c>
      <c r="DT278" s="19" t="s">
        <v>2301</v>
      </c>
      <c r="DU278" s="19" t="s">
        <v>7126</v>
      </c>
      <c r="DV278" s="19" t="s">
        <v>6971</v>
      </c>
      <c r="DW278" s="19" t="s">
        <v>2153</v>
      </c>
      <c r="DX278" s="19">
        <v>13.0</v>
      </c>
      <c r="DY278" s="19">
        <v>10.0</v>
      </c>
      <c r="DZ278" s="19">
        <v>0.0</v>
      </c>
      <c r="EA278" s="19">
        <v>10.0</v>
      </c>
      <c r="EB278" s="19">
        <v>0.0</v>
      </c>
      <c r="EC278" s="19">
        <v>0.0</v>
      </c>
      <c r="ED278" s="19" t="s">
        <v>2174</v>
      </c>
      <c r="EE278" s="24">
        <v>45533.0</v>
      </c>
      <c r="EF278" s="19" t="s">
        <v>2174</v>
      </c>
      <c r="EG278" s="19" t="s">
        <v>2145</v>
      </c>
      <c r="EH278" s="19" t="s">
        <v>2207</v>
      </c>
      <c r="EI278" s="22">
        <v>11.953125</v>
      </c>
      <c r="EJ278" s="19">
        <v>44.5</v>
      </c>
      <c r="EK278" s="19"/>
      <c r="EL278" s="19" t="s">
        <v>2282</v>
      </c>
      <c r="EM278" s="19" t="s">
        <v>3075</v>
      </c>
      <c r="EN278" s="19" t="s">
        <v>826</v>
      </c>
      <c r="EO278" s="19" t="s">
        <v>2338</v>
      </c>
      <c r="EP278" s="19" t="s">
        <v>2122</v>
      </c>
      <c r="EQ278" s="19" t="s">
        <v>2204</v>
      </c>
      <c r="ER278" s="19"/>
      <c r="ES278" s="19" t="s">
        <v>826</v>
      </c>
      <c r="ET278" s="19" t="s">
        <v>826</v>
      </c>
      <c r="EU278" s="19" t="s">
        <v>7117</v>
      </c>
      <c r="EV278" s="19">
        <v>9616.0</v>
      </c>
      <c r="EW278" s="19" t="s">
        <v>16</v>
      </c>
      <c r="EX278" s="19">
        <v>5.0</v>
      </c>
      <c r="EY278" s="25" t="s">
        <v>825</v>
      </c>
      <c r="EZ278" s="19" t="s">
        <v>2154</v>
      </c>
      <c r="FA278" s="5" t="s">
        <v>7127</v>
      </c>
      <c r="FB278" s="26" t="s">
        <v>2156</v>
      </c>
      <c r="FC278" s="26"/>
    </row>
    <row r="279">
      <c r="A279" s="19" t="s">
        <v>2112</v>
      </c>
      <c r="B279" s="19"/>
      <c r="C279" s="19" t="s">
        <v>2113</v>
      </c>
      <c r="D279" s="19" t="s">
        <v>827</v>
      </c>
      <c r="E279" s="19" t="s">
        <v>7128</v>
      </c>
      <c r="F279" s="19" t="s">
        <v>7129</v>
      </c>
      <c r="G279" s="19" t="s">
        <v>7130</v>
      </c>
      <c r="H279" s="19" t="s">
        <v>827</v>
      </c>
      <c r="I279" s="19" t="s">
        <v>829</v>
      </c>
      <c r="J279" s="19" t="s">
        <v>7131</v>
      </c>
      <c r="K279" s="19" t="s">
        <v>7132</v>
      </c>
      <c r="L279" s="20">
        <v>45397.0</v>
      </c>
      <c r="M279" s="20">
        <v>45411.0</v>
      </c>
      <c r="N279" s="20">
        <v>45411.0</v>
      </c>
      <c r="O279" s="19" t="s">
        <v>828</v>
      </c>
      <c r="P279" s="19">
        <v>0.0</v>
      </c>
      <c r="Q279" s="19">
        <v>21.0</v>
      </c>
      <c r="R279" s="19">
        <v>7720.0</v>
      </c>
      <c r="S279" s="20" t="s">
        <v>7133</v>
      </c>
      <c r="T279" s="20">
        <v>45461.0</v>
      </c>
      <c r="U279" s="19" t="s">
        <v>7129</v>
      </c>
      <c r="V279" s="19"/>
      <c r="W279" s="19" t="s">
        <v>7134</v>
      </c>
      <c r="X279" s="21">
        <v>0.0</v>
      </c>
      <c r="Y279" s="21">
        <v>10.0</v>
      </c>
      <c r="Z279" s="21">
        <v>5.0</v>
      </c>
      <c r="AA279" s="21">
        <v>0.0</v>
      </c>
      <c r="AB279" s="5">
        <v>15.0</v>
      </c>
      <c r="AC279" s="19">
        <v>4.2</v>
      </c>
      <c r="AD279" s="19">
        <v>4.2</v>
      </c>
      <c r="AE279" s="19">
        <v>4.0</v>
      </c>
      <c r="AF279" s="19">
        <v>4.2</v>
      </c>
      <c r="AG279" s="19">
        <v>4.2</v>
      </c>
      <c r="AH279" s="19">
        <v>4.2</v>
      </c>
      <c r="AI279" s="22">
        <v>12.450000000000001</v>
      </c>
      <c r="AJ279" s="19">
        <v>14.0</v>
      </c>
      <c r="AK279" s="19">
        <v>15.0</v>
      </c>
      <c r="AL279" s="19">
        <v>15.0</v>
      </c>
      <c r="AM279" s="19">
        <v>44.0</v>
      </c>
      <c r="AN279" s="19">
        <v>56.5</v>
      </c>
      <c r="AO279" s="19">
        <v>71.5</v>
      </c>
      <c r="AP279" s="19">
        <v>486.0</v>
      </c>
      <c r="AQ279" s="23">
        <v>272.0</v>
      </c>
      <c r="AR279" s="23">
        <v>40.0</v>
      </c>
      <c r="AS279" s="22"/>
      <c r="AT279" s="19" t="s">
        <v>2282</v>
      </c>
      <c r="AU279" s="19" t="s">
        <v>7135</v>
      </c>
      <c r="AV279" s="19" t="s">
        <v>7136</v>
      </c>
      <c r="AW279" s="19"/>
      <c r="AX279" s="20">
        <v>37741.0</v>
      </c>
      <c r="AY279" s="19" t="s">
        <v>2167</v>
      </c>
      <c r="AZ279" s="19" t="s">
        <v>2310</v>
      </c>
      <c r="BA279" s="19" t="s">
        <v>7137</v>
      </c>
      <c r="BB279" s="19" t="s">
        <v>5907</v>
      </c>
      <c r="BC279" s="19" t="s">
        <v>7138</v>
      </c>
      <c r="BD279" s="19" t="s">
        <v>7139</v>
      </c>
      <c r="BE279" s="19" t="s">
        <v>7140</v>
      </c>
      <c r="BF279" s="19">
        <v>1.1948794321E10</v>
      </c>
      <c r="BG279" s="19" t="s">
        <v>2127</v>
      </c>
      <c r="BH279" s="19" t="s">
        <v>2128</v>
      </c>
      <c r="BI279" s="19"/>
      <c r="BJ279" s="19" t="s">
        <v>2128</v>
      </c>
      <c r="BK279" s="19" t="s">
        <v>17</v>
      </c>
      <c r="BL279" s="19"/>
      <c r="BM279" s="19" t="s">
        <v>5563</v>
      </c>
      <c r="BN279" s="19" t="s">
        <v>17</v>
      </c>
      <c r="BO279" s="19" t="s">
        <v>2132</v>
      </c>
      <c r="BP279" s="19"/>
      <c r="BQ279" s="19" t="s">
        <v>2174</v>
      </c>
      <c r="BR279" s="19" t="s">
        <v>2174</v>
      </c>
      <c r="BS279" s="19" t="s">
        <v>2243</v>
      </c>
      <c r="BT279" s="19" t="s">
        <v>21</v>
      </c>
      <c r="BU279" s="19" t="s">
        <v>7141</v>
      </c>
      <c r="BV279" s="19"/>
      <c r="BW279" s="19"/>
      <c r="BX279" s="19"/>
      <c r="BY279" s="19"/>
      <c r="BZ279" s="19"/>
      <c r="CA279" s="19"/>
      <c r="CB279" s="19"/>
      <c r="CC279" s="19" t="s">
        <v>2113</v>
      </c>
      <c r="CD279" s="19" t="s">
        <v>2137</v>
      </c>
      <c r="CE279" s="19" t="s">
        <v>16</v>
      </c>
      <c r="CF279" s="19"/>
      <c r="CG279" s="19"/>
      <c r="CH279" s="19" t="s">
        <v>16</v>
      </c>
      <c r="CI279" s="21">
        <v>0.0</v>
      </c>
      <c r="CJ279" s="19" t="s">
        <v>16</v>
      </c>
      <c r="CK279" s="19"/>
      <c r="CL279" s="19"/>
      <c r="CM279" s="19" t="s">
        <v>2749</v>
      </c>
      <c r="CN279" s="19" t="s">
        <v>2176</v>
      </c>
      <c r="CO279" s="19"/>
      <c r="CP279" s="19" t="s">
        <v>2267</v>
      </c>
      <c r="CQ279" s="19"/>
      <c r="CR279" s="19"/>
      <c r="CS279" s="19"/>
      <c r="CT279" s="19" t="s">
        <v>2113</v>
      </c>
      <c r="CU279" s="19" t="s">
        <v>2113</v>
      </c>
      <c r="CV279" s="19" t="s">
        <v>2141</v>
      </c>
      <c r="CW279" s="19"/>
      <c r="CX279" s="19"/>
      <c r="CY279" s="19" t="s">
        <v>2113</v>
      </c>
      <c r="CZ279" s="19" t="s">
        <v>2113</v>
      </c>
      <c r="DA279" s="19" t="s">
        <v>16</v>
      </c>
      <c r="DB279" s="19" t="s">
        <v>16</v>
      </c>
      <c r="DC279" s="19" t="s">
        <v>2247</v>
      </c>
      <c r="DD279" s="19" t="s">
        <v>2113</v>
      </c>
      <c r="DE279" s="19" t="s">
        <v>2113</v>
      </c>
      <c r="DF279" s="19" t="s">
        <v>2345</v>
      </c>
      <c r="DG279" s="19" t="s">
        <v>3370</v>
      </c>
      <c r="DH279" s="19" t="s">
        <v>2144</v>
      </c>
      <c r="DI279" s="24">
        <v>45531.0</v>
      </c>
      <c r="DJ279" s="19" t="s">
        <v>2174</v>
      </c>
      <c r="DK279" s="19" t="s">
        <v>2271</v>
      </c>
      <c r="DL279" s="19" t="s">
        <v>2183</v>
      </c>
      <c r="DM279" s="19"/>
      <c r="DN279" s="19">
        <v>8.0</v>
      </c>
      <c r="DO279" s="19">
        <v>8.0</v>
      </c>
      <c r="DP279" s="19" t="s">
        <v>7142</v>
      </c>
      <c r="DQ279" s="19" t="s">
        <v>7143</v>
      </c>
      <c r="DR279" s="19" t="s">
        <v>7144</v>
      </c>
      <c r="DS279" s="19" t="s">
        <v>2151</v>
      </c>
      <c r="DT279" s="19" t="s">
        <v>2186</v>
      </c>
      <c r="DU279" s="19"/>
      <c r="DV279" s="19"/>
      <c r="DW279" s="19" t="s">
        <v>2153</v>
      </c>
      <c r="DX279" s="19">
        <v>14.0</v>
      </c>
      <c r="DY279" s="19">
        <v>10.0</v>
      </c>
      <c r="DZ279" s="19">
        <v>0.0</v>
      </c>
      <c r="EA279" s="19">
        <v>10.0</v>
      </c>
      <c r="EB279" s="19">
        <v>0.0</v>
      </c>
      <c r="EC279" s="19">
        <v>0.0</v>
      </c>
      <c r="ED279" s="19" t="s">
        <v>2174</v>
      </c>
      <c r="EE279" s="24">
        <v>45531.0</v>
      </c>
      <c r="EF279" s="19" t="s">
        <v>2174</v>
      </c>
      <c r="EG279" s="19" t="s">
        <v>2271</v>
      </c>
      <c r="EH279" s="19" t="s">
        <v>2183</v>
      </c>
      <c r="EI279" s="22">
        <v>12.450000000000001</v>
      </c>
      <c r="EJ279" s="19">
        <v>44.0</v>
      </c>
      <c r="EK279" s="19"/>
      <c r="EL279" s="19" t="s">
        <v>2282</v>
      </c>
      <c r="EM279" s="19" t="s">
        <v>7135</v>
      </c>
      <c r="EN279" s="19" t="s">
        <v>829</v>
      </c>
      <c r="EO279" s="19" t="s">
        <v>2167</v>
      </c>
      <c r="EP279" s="19" t="s">
        <v>2310</v>
      </c>
      <c r="EQ279" s="19" t="s">
        <v>2176</v>
      </c>
      <c r="ER279" s="19"/>
      <c r="ES279" s="19" t="s">
        <v>829</v>
      </c>
      <c r="ET279" s="19" t="s">
        <v>829</v>
      </c>
      <c r="EU279" s="19" t="s">
        <v>7132</v>
      </c>
      <c r="EV279" s="19">
        <v>7720.0</v>
      </c>
      <c r="EW279" s="19" t="s">
        <v>16</v>
      </c>
      <c r="EX279" s="19">
        <v>5.0</v>
      </c>
      <c r="EY279" s="25" t="s">
        <v>828</v>
      </c>
      <c r="EZ279" s="19" t="s">
        <v>2154</v>
      </c>
      <c r="FA279" s="5" t="s">
        <v>7145</v>
      </c>
      <c r="FB279" s="26" t="s">
        <v>2156</v>
      </c>
      <c r="FC279" s="26"/>
    </row>
    <row r="280">
      <c r="A280" s="19" t="s">
        <v>2156</v>
      </c>
      <c r="B280" s="19" t="s">
        <v>2113</v>
      </c>
      <c r="C280" s="19" t="s">
        <v>2113</v>
      </c>
      <c r="D280" s="19" t="s">
        <v>830</v>
      </c>
      <c r="E280" s="19" t="s">
        <v>7146</v>
      </c>
      <c r="F280" s="19" t="s">
        <v>7147</v>
      </c>
      <c r="G280" s="19" t="s">
        <v>7148</v>
      </c>
      <c r="H280" s="19" t="s">
        <v>830</v>
      </c>
      <c r="I280" s="19" t="s">
        <v>114</v>
      </c>
      <c r="J280" s="19" t="s">
        <v>7149</v>
      </c>
      <c r="K280" s="19" t="s">
        <v>7150</v>
      </c>
      <c r="L280" s="20">
        <v>45458.0</v>
      </c>
      <c r="M280" s="20">
        <v>45460.0</v>
      </c>
      <c r="N280" s="20">
        <v>45460.0</v>
      </c>
      <c r="O280" s="19" t="s">
        <v>831</v>
      </c>
      <c r="P280" s="19">
        <v>0.0</v>
      </c>
      <c r="Q280" s="19">
        <v>27.0</v>
      </c>
      <c r="R280" s="19">
        <v>9972.0</v>
      </c>
      <c r="S280" s="20" t="s">
        <v>7151</v>
      </c>
      <c r="T280" s="20">
        <v>45461.0</v>
      </c>
      <c r="U280" s="19" t="s">
        <v>7147</v>
      </c>
      <c r="V280" s="19"/>
      <c r="W280" s="19"/>
      <c r="X280" s="21">
        <v>20.0</v>
      </c>
      <c r="Y280" s="21">
        <v>0.0</v>
      </c>
      <c r="Z280" s="21">
        <v>3.0</v>
      </c>
      <c r="AA280" s="21">
        <v>3.0</v>
      </c>
      <c r="AB280" s="5">
        <v>26.0</v>
      </c>
      <c r="AC280" s="19">
        <v>4.5</v>
      </c>
      <c r="AD280" s="19">
        <v>4.0</v>
      </c>
      <c r="AE280" s="19">
        <v>5.0</v>
      </c>
      <c r="AF280" s="19">
        <v>4.5</v>
      </c>
      <c r="AG280" s="19">
        <v>4.0</v>
      </c>
      <c r="AH280" s="19">
        <v>4.5</v>
      </c>
      <c r="AI280" s="22">
        <v>13.359375</v>
      </c>
      <c r="AJ280" s="19">
        <v>12.0</v>
      </c>
      <c r="AK280" s="19">
        <v>8.0</v>
      </c>
      <c r="AL280" s="19">
        <v>12.0</v>
      </c>
      <c r="AM280" s="19">
        <v>32.0</v>
      </c>
      <c r="AN280" s="19">
        <v>45.4</v>
      </c>
      <c r="AO280" s="19">
        <v>71.4</v>
      </c>
      <c r="AP280" s="19">
        <v>254.0</v>
      </c>
      <c r="AQ280" s="23">
        <v>273.0</v>
      </c>
      <c r="AR280" s="23">
        <v>23.0</v>
      </c>
      <c r="AS280" s="22"/>
      <c r="AT280" s="19" t="s">
        <v>2282</v>
      </c>
      <c r="AU280" s="19" t="s">
        <v>7152</v>
      </c>
      <c r="AV280" s="19" t="s">
        <v>7153</v>
      </c>
      <c r="AW280" s="19" t="s">
        <v>4218</v>
      </c>
      <c r="AX280" s="20">
        <v>35489.0</v>
      </c>
      <c r="AY280" s="19" t="s">
        <v>3053</v>
      </c>
      <c r="AZ280" s="19" t="s">
        <v>2310</v>
      </c>
      <c r="BA280" s="19" t="s">
        <v>7154</v>
      </c>
      <c r="BB280" s="19" t="s">
        <v>7155</v>
      </c>
      <c r="BC280" s="19" t="s">
        <v>7156</v>
      </c>
      <c r="BD280" s="19" t="s">
        <v>7157</v>
      </c>
      <c r="BE280" s="19" t="s">
        <v>7149</v>
      </c>
      <c r="BF280" s="19">
        <v>1.1993333553E10</v>
      </c>
      <c r="BG280" s="19" t="s">
        <v>4038</v>
      </c>
      <c r="BH280" s="19" t="s">
        <v>2128</v>
      </c>
      <c r="BI280" s="19"/>
      <c r="BJ280" s="19" t="s">
        <v>2128</v>
      </c>
      <c r="BK280" s="19" t="s">
        <v>17</v>
      </c>
      <c r="BL280" s="19"/>
      <c r="BM280" s="19" t="s">
        <v>2130</v>
      </c>
      <c r="BN280" s="19" t="s">
        <v>17</v>
      </c>
      <c r="BO280" s="19" t="s">
        <v>2473</v>
      </c>
      <c r="BP280" s="19" t="s">
        <v>7158</v>
      </c>
      <c r="BQ280" s="19" t="s">
        <v>2325</v>
      </c>
      <c r="BR280" s="19" t="s">
        <v>2325</v>
      </c>
      <c r="BS280" s="19" t="s">
        <v>3521</v>
      </c>
      <c r="BT280" s="19" t="s">
        <v>59</v>
      </c>
      <c r="BU280" s="19" t="s">
        <v>7159</v>
      </c>
      <c r="BV280" s="19" t="s">
        <v>7160</v>
      </c>
      <c r="BW280" s="19"/>
      <c r="BX280" s="19"/>
      <c r="BY280" s="19"/>
      <c r="BZ280" s="19"/>
      <c r="CA280" s="19"/>
      <c r="CB280" s="19" t="s">
        <v>2113</v>
      </c>
      <c r="CC280" s="19"/>
      <c r="CD280" s="19" t="s">
        <v>2137</v>
      </c>
      <c r="CE280" s="19" t="s">
        <v>16</v>
      </c>
      <c r="CF280" s="19"/>
      <c r="CG280" s="19"/>
      <c r="CH280" s="19" t="s">
        <v>17</v>
      </c>
      <c r="CI280" s="21">
        <v>3.0</v>
      </c>
      <c r="CJ280" s="19" t="s">
        <v>16</v>
      </c>
      <c r="CK280" s="19"/>
      <c r="CL280" s="19"/>
      <c r="CM280" s="19" t="s">
        <v>2138</v>
      </c>
      <c r="CN280" s="19" t="s">
        <v>3064</v>
      </c>
      <c r="CO280" s="19"/>
      <c r="CP280" s="19" t="s">
        <v>2246</v>
      </c>
      <c r="CQ280" s="19"/>
      <c r="CR280" s="19" t="s">
        <v>2113</v>
      </c>
      <c r="CS280" s="19" t="s">
        <v>2113</v>
      </c>
      <c r="CT280" s="19" t="s">
        <v>2113</v>
      </c>
      <c r="CU280" s="19" t="s">
        <v>2113</v>
      </c>
      <c r="CV280" s="19" t="s">
        <v>2141</v>
      </c>
      <c r="CW280" s="19" t="s">
        <v>2113</v>
      </c>
      <c r="CX280" s="19" t="s">
        <v>2113</v>
      </c>
      <c r="CY280" s="19"/>
      <c r="CZ280" s="19"/>
      <c r="DA280" s="19" t="s">
        <v>16</v>
      </c>
      <c r="DB280" s="19" t="s">
        <v>16</v>
      </c>
      <c r="DC280" s="19" t="s">
        <v>2496</v>
      </c>
      <c r="DD280" s="19" t="s">
        <v>2113</v>
      </c>
      <c r="DE280" s="19" t="s">
        <v>2113</v>
      </c>
      <c r="DF280" s="19" t="s">
        <v>2497</v>
      </c>
      <c r="DG280" s="19" t="s">
        <v>3223</v>
      </c>
      <c r="DH280" s="19" t="s">
        <v>2144</v>
      </c>
      <c r="DI280" s="24">
        <v>45519.0</v>
      </c>
      <c r="DJ280" s="19" t="s">
        <v>2325</v>
      </c>
      <c r="DK280" s="19" t="s">
        <v>2271</v>
      </c>
      <c r="DL280" s="19" t="s">
        <v>2326</v>
      </c>
      <c r="DM280" s="19"/>
      <c r="DN280" s="19">
        <v>6.0</v>
      </c>
      <c r="DO280" s="19">
        <v>6.0</v>
      </c>
      <c r="DP280" s="19" t="s">
        <v>7161</v>
      </c>
      <c r="DQ280" s="19" t="s">
        <v>7162</v>
      </c>
      <c r="DR280" s="19" t="s">
        <v>7163</v>
      </c>
      <c r="DS280" s="19" t="s">
        <v>2185</v>
      </c>
      <c r="DT280" s="19" t="s">
        <v>2229</v>
      </c>
      <c r="DU280" s="19"/>
      <c r="DV280" s="19"/>
      <c r="DW280" s="19" t="s">
        <v>2188</v>
      </c>
      <c r="DX280" s="19">
        <v>5.0</v>
      </c>
      <c r="DY280" s="19">
        <v>0.0</v>
      </c>
      <c r="DZ280" s="19">
        <v>0.0</v>
      </c>
      <c r="EA280" s="19">
        <v>0.0</v>
      </c>
      <c r="EB280" s="19">
        <v>3.0</v>
      </c>
      <c r="EC280" s="19">
        <v>20.0</v>
      </c>
      <c r="ED280" s="19" t="s">
        <v>2325</v>
      </c>
      <c r="EE280" s="24">
        <v>45519.0</v>
      </c>
      <c r="EF280" s="19" t="s">
        <v>2325</v>
      </c>
      <c r="EG280" s="19" t="s">
        <v>2271</v>
      </c>
      <c r="EH280" s="19" t="s">
        <v>2326</v>
      </c>
      <c r="EI280" s="22">
        <v>13.359375</v>
      </c>
      <c r="EJ280" s="19">
        <v>32.0</v>
      </c>
      <c r="EK280" s="19"/>
      <c r="EL280" s="19" t="s">
        <v>2282</v>
      </c>
      <c r="EM280" s="19" t="s">
        <v>7152</v>
      </c>
      <c r="EN280" s="19" t="s">
        <v>114</v>
      </c>
      <c r="EO280" s="19" t="s">
        <v>3053</v>
      </c>
      <c r="EP280" s="19" t="s">
        <v>2310</v>
      </c>
      <c r="EQ280" s="19" t="s">
        <v>3064</v>
      </c>
      <c r="ER280" s="19"/>
      <c r="ES280" s="19" t="s">
        <v>114</v>
      </c>
      <c r="ET280" s="19" t="s">
        <v>114</v>
      </c>
      <c r="EU280" s="19" t="s">
        <v>7150</v>
      </c>
      <c r="EV280" s="19">
        <v>9972.0</v>
      </c>
      <c r="EW280" s="19" t="s">
        <v>16</v>
      </c>
      <c r="EX280" s="19">
        <v>3.0</v>
      </c>
      <c r="EY280" s="25" t="s">
        <v>831</v>
      </c>
      <c r="EZ280" s="19" t="s">
        <v>2154</v>
      </c>
      <c r="FA280" s="5" t="s">
        <v>7164</v>
      </c>
      <c r="FB280" s="26" t="s">
        <v>2156</v>
      </c>
      <c r="FC280" s="26"/>
    </row>
    <row r="281">
      <c r="A281" s="19" t="s">
        <v>2156</v>
      </c>
      <c r="B281" s="19"/>
      <c r="C281" s="19" t="s">
        <v>2113</v>
      </c>
      <c r="D281" s="19" t="s">
        <v>7165</v>
      </c>
      <c r="E281" s="19" t="s">
        <v>7166</v>
      </c>
      <c r="F281" s="19" t="s">
        <v>7167</v>
      </c>
      <c r="G281" s="19" t="s">
        <v>7168</v>
      </c>
      <c r="H281" s="19" t="s">
        <v>832</v>
      </c>
      <c r="I281" s="19" t="s">
        <v>834</v>
      </c>
      <c r="J281" s="19" t="s">
        <v>7169</v>
      </c>
      <c r="K281" s="19" t="s">
        <v>7170</v>
      </c>
      <c r="L281" s="20">
        <v>45460.0</v>
      </c>
      <c r="M281" s="20">
        <v>45462.0</v>
      </c>
      <c r="N281" s="20">
        <v>45462.0</v>
      </c>
      <c r="O281" s="19" t="s">
        <v>833</v>
      </c>
      <c r="P281" s="19">
        <v>0.0</v>
      </c>
      <c r="Q281" s="19">
        <v>19.0</v>
      </c>
      <c r="R281" s="19">
        <v>7259.0</v>
      </c>
      <c r="S281" s="20" t="s">
        <v>7171</v>
      </c>
      <c r="T281" s="20">
        <v>45461.0</v>
      </c>
      <c r="U281" s="19" t="s">
        <v>7167</v>
      </c>
      <c r="V281" s="19"/>
      <c r="W281" s="19"/>
      <c r="X281" s="21">
        <v>0.0</v>
      </c>
      <c r="Y281" s="21">
        <v>10.0</v>
      </c>
      <c r="Z281" s="21">
        <v>5.0</v>
      </c>
      <c r="AA281" s="21">
        <v>0.0</v>
      </c>
      <c r="AB281" s="5">
        <v>15.0</v>
      </c>
      <c r="AC281" s="19">
        <v>4.0</v>
      </c>
      <c r="AD281" s="19">
        <v>4.0</v>
      </c>
      <c r="AE281" s="19">
        <v>5.0</v>
      </c>
      <c r="AF281" s="19">
        <v>3.0</v>
      </c>
      <c r="AG281" s="19">
        <v>3.0</v>
      </c>
      <c r="AH281" s="19">
        <v>5.0</v>
      </c>
      <c r="AI281" s="22">
        <v>12.375</v>
      </c>
      <c r="AJ281" s="19">
        <v>14.0</v>
      </c>
      <c r="AK281" s="19">
        <v>15.0</v>
      </c>
      <c r="AL281" s="19">
        <v>15.0</v>
      </c>
      <c r="AM281" s="19">
        <v>44.0</v>
      </c>
      <c r="AN281" s="19">
        <v>56.4</v>
      </c>
      <c r="AO281" s="19">
        <v>71.4</v>
      </c>
      <c r="AP281" s="19">
        <v>519.0</v>
      </c>
      <c r="AQ281" s="23">
        <v>274.0</v>
      </c>
      <c r="AR281" s="23">
        <v>32.0</v>
      </c>
      <c r="AS281" s="22"/>
      <c r="AT281" s="19" t="s">
        <v>2282</v>
      </c>
      <c r="AU281" s="19" t="s">
        <v>6718</v>
      </c>
      <c r="AV281" s="19" t="s">
        <v>7172</v>
      </c>
      <c r="AW281" s="19" t="s">
        <v>7173</v>
      </c>
      <c r="AX281" s="20">
        <v>38202.0</v>
      </c>
      <c r="AY281" s="19" t="s">
        <v>2121</v>
      </c>
      <c r="AZ281" s="19" t="s">
        <v>2122</v>
      </c>
      <c r="BA281" s="19" t="s">
        <v>7174</v>
      </c>
      <c r="BB281" s="19" t="s">
        <v>7175</v>
      </c>
      <c r="BC281" s="19" t="s">
        <v>7176</v>
      </c>
      <c r="BD281" s="19" t="s">
        <v>7177</v>
      </c>
      <c r="BE281" s="19"/>
      <c r="BF281" s="19"/>
      <c r="BG281" s="19" t="s">
        <v>2127</v>
      </c>
      <c r="BH281" s="19" t="s">
        <v>2128</v>
      </c>
      <c r="BI281" s="19"/>
      <c r="BJ281" s="19"/>
      <c r="BK281" s="19" t="s">
        <v>16</v>
      </c>
      <c r="BL281" s="19"/>
      <c r="BM281" s="19" t="s">
        <v>5411</v>
      </c>
      <c r="BN281" s="19" t="s">
        <v>7178</v>
      </c>
      <c r="BO281" s="19" t="s">
        <v>2132</v>
      </c>
      <c r="BP281" s="19" t="s">
        <v>7179</v>
      </c>
      <c r="BQ281" s="19" t="s">
        <v>2133</v>
      </c>
      <c r="BR281" s="19" t="s">
        <v>2133</v>
      </c>
      <c r="BS281" s="19" t="s">
        <v>2134</v>
      </c>
      <c r="BT281" s="19" t="s">
        <v>15</v>
      </c>
      <c r="BU281" s="19" t="s">
        <v>7180</v>
      </c>
      <c r="BV281" s="19"/>
      <c r="BW281" s="19"/>
      <c r="BX281" s="19"/>
      <c r="BY281" s="19"/>
      <c r="BZ281" s="19"/>
      <c r="CA281" s="19"/>
      <c r="CB281" s="19"/>
      <c r="CC281" s="19"/>
      <c r="CD281" s="19" t="s">
        <v>2137</v>
      </c>
      <c r="CE281" s="19" t="s">
        <v>16</v>
      </c>
      <c r="CF281" s="19"/>
      <c r="CG281" s="19"/>
      <c r="CH281" s="19" t="s">
        <v>16</v>
      </c>
      <c r="CI281" s="21">
        <v>0.0</v>
      </c>
      <c r="CJ281" s="19" t="s">
        <v>16</v>
      </c>
      <c r="CK281" s="19" t="s">
        <v>2113</v>
      </c>
      <c r="CL281" s="19"/>
      <c r="CM281" s="19" t="s">
        <v>2138</v>
      </c>
      <c r="CN281" s="19" t="s">
        <v>2139</v>
      </c>
      <c r="CO281" s="19"/>
      <c r="CP281" s="19"/>
      <c r="CQ281" s="19"/>
      <c r="CR281" s="19" t="s">
        <v>2113</v>
      </c>
      <c r="CS281" s="19" t="s">
        <v>2113</v>
      </c>
      <c r="CT281" s="19" t="s">
        <v>2113</v>
      </c>
      <c r="CU281" s="19" t="s">
        <v>2113</v>
      </c>
      <c r="CV281" s="19" t="s">
        <v>2141</v>
      </c>
      <c r="CW281" s="19" t="s">
        <v>2113</v>
      </c>
      <c r="CX281" s="19" t="s">
        <v>2113</v>
      </c>
      <c r="CY281" s="19"/>
      <c r="CZ281" s="19"/>
      <c r="DA281" s="19" t="s">
        <v>16</v>
      </c>
      <c r="DB281" s="19" t="s">
        <v>16</v>
      </c>
      <c r="DC281" s="19" t="s">
        <v>2671</v>
      </c>
      <c r="DD281" s="19" t="s">
        <v>2113</v>
      </c>
      <c r="DE281" s="19" t="s">
        <v>2113</v>
      </c>
      <c r="DF281" s="19" t="s">
        <v>2405</v>
      </c>
      <c r="DG281" s="19" t="s">
        <v>3525</v>
      </c>
      <c r="DH281" s="19" t="s">
        <v>2580</v>
      </c>
      <c r="DI281" s="24">
        <v>45517.0</v>
      </c>
      <c r="DJ281" s="19" t="s">
        <v>2133</v>
      </c>
      <c r="DK281" s="19" t="s">
        <v>2271</v>
      </c>
      <c r="DL281" s="19" t="s">
        <v>2146</v>
      </c>
      <c r="DM281" s="19"/>
      <c r="DN281" s="19">
        <v>2.0</v>
      </c>
      <c r="DO281" s="19">
        <v>2.0</v>
      </c>
      <c r="DP281" s="19" t="s">
        <v>7181</v>
      </c>
      <c r="DQ281" s="19" t="s">
        <v>7182</v>
      </c>
      <c r="DR281" s="19" t="s">
        <v>7183</v>
      </c>
      <c r="DS281" s="19" t="s">
        <v>2365</v>
      </c>
      <c r="DT281" s="19" t="s">
        <v>2229</v>
      </c>
      <c r="DU281" s="19"/>
      <c r="DV281" s="19"/>
      <c r="DW281" s="19" t="s">
        <v>2153</v>
      </c>
      <c r="DX281" s="19">
        <v>7.0</v>
      </c>
      <c r="DY281" s="19">
        <v>10.0</v>
      </c>
      <c r="DZ281" s="19">
        <v>0.0</v>
      </c>
      <c r="EA281" s="19">
        <v>10.0</v>
      </c>
      <c r="EB281" s="19">
        <v>0.0</v>
      </c>
      <c r="EC281" s="19">
        <v>0.0</v>
      </c>
      <c r="ED281" s="19" t="s">
        <v>2133</v>
      </c>
      <c r="EE281" s="24">
        <v>45517.0</v>
      </c>
      <c r="EF281" s="19" t="s">
        <v>2133</v>
      </c>
      <c r="EG281" s="19" t="s">
        <v>2271</v>
      </c>
      <c r="EH281" s="19" t="s">
        <v>2146</v>
      </c>
      <c r="EI281" s="22">
        <v>12.375</v>
      </c>
      <c r="EJ281" s="19">
        <v>44.0</v>
      </c>
      <c r="EK281" s="19"/>
      <c r="EL281" s="19" t="s">
        <v>2282</v>
      </c>
      <c r="EM281" s="19" t="s">
        <v>6718</v>
      </c>
      <c r="EN281" s="19" t="s">
        <v>834</v>
      </c>
      <c r="EO281" s="19" t="s">
        <v>2121</v>
      </c>
      <c r="EP281" s="19" t="s">
        <v>2122</v>
      </c>
      <c r="EQ281" s="19" t="s">
        <v>2139</v>
      </c>
      <c r="ER281" s="19"/>
      <c r="ES281" s="19" t="s">
        <v>834</v>
      </c>
      <c r="ET281" s="19" t="s">
        <v>834</v>
      </c>
      <c r="EU281" s="19" t="s">
        <v>7170</v>
      </c>
      <c r="EV281" s="19">
        <v>7259.0</v>
      </c>
      <c r="EW281" s="19" t="s">
        <v>16</v>
      </c>
      <c r="EX281" s="19">
        <v>5.0</v>
      </c>
      <c r="EY281" s="25" t="s">
        <v>833</v>
      </c>
      <c r="EZ281" s="19" t="s">
        <v>2154</v>
      </c>
      <c r="FA281" s="5" t="s">
        <v>7184</v>
      </c>
      <c r="FB281" s="26" t="s">
        <v>2156</v>
      </c>
      <c r="FC281" s="26"/>
    </row>
    <row r="282">
      <c r="A282" s="19" t="s">
        <v>2112</v>
      </c>
      <c r="B282" s="19"/>
      <c r="C282" s="19" t="s">
        <v>2113</v>
      </c>
      <c r="D282" s="19" t="s">
        <v>835</v>
      </c>
      <c r="E282" s="19" t="s">
        <v>7185</v>
      </c>
      <c r="F282" s="19" t="s">
        <v>7186</v>
      </c>
      <c r="G282" s="19" t="s">
        <v>7187</v>
      </c>
      <c r="H282" s="19" t="s">
        <v>835</v>
      </c>
      <c r="I282" s="19" t="s">
        <v>837</v>
      </c>
      <c r="J282" s="19" t="s">
        <v>7188</v>
      </c>
      <c r="K282" s="19" t="s">
        <v>7189</v>
      </c>
      <c r="L282" s="20">
        <v>45418.0</v>
      </c>
      <c r="M282" s="20">
        <v>45428.0</v>
      </c>
      <c r="N282" s="20">
        <v>45428.0</v>
      </c>
      <c r="O282" s="19" t="s">
        <v>836</v>
      </c>
      <c r="P282" s="19">
        <v>0.0</v>
      </c>
      <c r="Q282" s="19">
        <v>24.0</v>
      </c>
      <c r="R282" s="19">
        <v>8836.0</v>
      </c>
      <c r="S282" s="20" t="s">
        <v>7190</v>
      </c>
      <c r="T282" s="20">
        <v>45461.0</v>
      </c>
      <c r="U282" s="19" t="s">
        <v>7186</v>
      </c>
      <c r="V282" s="19"/>
      <c r="W282" s="19"/>
      <c r="X282" s="21">
        <v>0.0</v>
      </c>
      <c r="Y282" s="21">
        <v>10.0</v>
      </c>
      <c r="Z282" s="21">
        <v>3.0</v>
      </c>
      <c r="AA282" s="21">
        <v>0.0</v>
      </c>
      <c r="AB282" s="5">
        <v>13.0</v>
      </c>
      <c r="AC282" s="19">
        <v>4.5</v>
      </c>
      <c r="AD282" s="19">
        <v>4.0</v>
      </c>
      <c r="AE282" s="19">
        <v>5.0</v>
      </c>
      <c r="AF282" s="19">
        <v>5.0</v>
      </c>
      <c r="AG282" s="19">
        <v>4.0</v>
      </c>
      <c r="AH282" s="19">
        <v>4.0</v>
      </c>
      <c r="AI282" s="22">
        <v>13.359375</v>
      </c>
      <c r="AJ282" s="19">
        <v>15.0</v>
      </c>
      <c r="AK282" s="19">
        <v>15.0</v>
      </c>
      <c r="AL282" s="19">
        <v>15.0</v>
      </c>
      <c r="AM282" s="19">
        <v>45.0</v>
      </c>
      <c r="AN282" s="19">
        <v>58.4</v>
      </c>
      <c r="AO282" s="19">
        <v>71.4</v>
      </c>
      <c r="AP282" s="19">
        <v>707.0</v>
      </c>
      <c r="AQ282" s="23">
        <v>275.0</v>
      </c>
      <c r="AR282" s="23">
        <v>33.0</v>
      </c>
      <c r="AS282" s="22"/>
      <c r="AT282" s="19" t="s">
        <v>2163</v>
      </c>
      <c r="AU282" s="19" t="s">
        <v>4996</v>
      </c>
      <c r="AV282" s="19" t="s">
        <v>7191</v>
      </c>
      <c r="AW282" s="19" t="s">
        <v>4719</v>
      </c>
      <c r="AX282" s="20">
        <v>36625.0</v>
      </c>
      <c r="AY282" s="19" t="s">
        <v>2467</v>
      </c>
      <c r="AZ282" s="19" t="s">
        <v>2122</v>
      </c>
      <c r="BA282" s="19" t="s">
        <v>7192</v>
      </c>
      <c r="BB282" s="19" t="s">
        <v>7193</v>
      </c>
      <c r="BC282" s="19" t="s">
        <v>7194</v>
      </c>
      <c r="BD282" s="19" t="s">
        <v>7195</v>
      </c>
      <c r="BE282" s="19" t="s">
        <v>7196</v>
      </c>
      <c r="BF282" s="19">
        <v>1.1934625412E10</v>
      </c>
      <c r="BG282" s="19" t="s">
        <v>2127</v>
      </c>
      <c r="BH282" s="19" t="s">
        <v>2128</v>
      </c>
      <c r="BI282" s="19"/>
      <c r="BJ282" s="19"/>
      <c r="BK282" s="19" t="s">
        <v>16</v>
      </c>
      <c r="BL282" s="19"/>
      <c r="BM282" s="19" t="s">
        <v>5411</v>
      </c>
      <c r="BN282" s="19" t="s">
        <v>17</v>
      </c>
      <c r="BO282" s="19" t="s">
        <v>2473</v>
      </c>
      <c r="BP282" s="19" t="s">
        <v>7197</v>
      </c>
      <c r="BQ282" s="19" t="s">
        <v>2133</v>
      </c>
      <c r="BR282" s="19" t="s">
        <v>2133</v>
      </c>
      <c r="BS282" s="19" t="s">
        <v>2134</v>
      </c>
      <c r="BT282" s="19" t="s">
        <v>38</v>
      </c>
      <c r="BU282" s="19" t="s">
        <v>3522</v>
      </c>
      <c r="BV282" s="19"/>
      <c r="BW282" s="19" t="s">
        <v>2113</v>
      </c>
      <c r="BX282" s="19"/>
      <c r="BY282" s="19"/>
      <c r="BZ282" s="19"/>
      <c r="CA282" s="19"/>
      <c r="CB282" s="19"/>
      <c r="CC282" s="19"/>
      <c r="CD282" s="19" t="s">
        <v>2137</v>
      </c>
      <c r="CE282" s="19" t="s">
        <v>16</v>
      </c>
      <c r="CF282" s="19"/>
      <c r="CG282" s="19"/>
      <c r="CH282" s="19" t="s">
        <v>16</v>
      </c>
      <c r="CI282" s="21">
        <v>0.0</v>
      </c>
      <c r="CJ282" s="19" t="s">
        <v>17</v>
      </c>
      <c r="CK282" s="19"/>
      <c r="CL282" s="19"/>
      <c r="CM282" s="19" t="s">
        <v>2138</v>
      </c>
      <c r="CN282" s="19" t="s">
        <v>2475</v>
      </c>
      <c r="CO282" s="19"/>
      <c r="CP282" s="19" t="s">
        <v>2134</v>
      </c>
      <c r="CQ282" s="19"/>
      <c r="CR282" s="19"/>
      <c r="CS282" s="19"/>
      <c r="CT282" s="19"/>
      <c r="CU282" s="19"/>
      <c r="CV282" s="19" t="s">
        <v>2141</v>
      </c>
      <c r="CW282" s="19"/>
      <c r="CX282" s="19"/>
      <c r="CY282" s="19" t="s">
        <v>2113</v>
      </c>
      <c r="CZ282" s="19" t="s">
        <v>2113</v>
      </c>
      <c r="DA282" s="19" t="s">
        <v>16</v>
      </c>
      <c r="DB282" s="19" t="s">
        <v>17</v>
      </c>
      <c r="DC282" s="19" t="s">
        <v>2477</v>
      </c>
      <c r="DD282" s="19" t="s">
        <v>2113</v>
      </c>
      <c r="DE282" s="19" t="s">
        <v>2113</v>
      </c>
      <c r="DF282" s="19" t="s">
        <v>2142</v>
      </c>
      <c r="DG282" s="19" t="s">
        <v>2843</v>
      </c>
      <c r="DH282" s="19" t="s">
        <v>2144</v>
      </c>
      <c r="DI282" s="24">
        <v>45532.0</v>
      </c>
      <c r="DJ282" s="19" t="s">
        <v>2133</v>
      </c>
      <c r="DK282" s="19" t="s">
        <v>2271</v>
      </c>
      <c r="DL282" s="19" t="s">
        <v>2146</v>
      </c>
      <c r="DM282" s="19" t="s">
        <v>3526</v>
      </c>
      <c r="DN282" s="19">
        <v>16.0</v>
      </c>
      <c r="DO282" s="19">
        <v>16.0</v>
      </c>
      <c r="DP282" s="19" t="s">
        <v>7198</v>
      </c>
      <c r="DQ282" s="19" t="s">
        <v>7199</v>
      </c>
      <c r="DR282" s="19" t="s">
        <v>7200</v>
      </c>
      <c r="DS282" s="19" t="s">
        <v>2151</v>
      </c>
      <c r="DT282" s="19" t="s">
        <v>2366</v>
      </c>
      <c r="DU282" s="19"/>
      <c r="DV282" s="19"/>
      <c r="DW282" s="19" t="s">
        <v>2153</v>
      </c>
      <c r="DX282" s="19">
        <v>12.0</v>
      </c>
      <c r="DY282" s="19">
        <v>10.0</v>
      </c>
      <c r="DZ282" s="19">
        <v>0.0</v>
      </c>
      <c r="EA282" s="19">
        <v>10.0</v>
      </c>
      <c r="EB282" s="19">
        <v>0.0</v>
      </c>
      <c r="EC282" s="19">
        <v>0.0</v>
      </c>
      <c r="ED282" s="19" t="s">
        <v>2133</v>
      </c>
      <c r="EE282" s="24">
        <v>45532.0</v>
      </c>
      <c r="EF282" s="19" t="s">
        <v>2133</v>
      </c>
      <c r="EG282" s="19" t="s">
        <v>2271</v>
      </c>
      <c r="EH282" s="19" t="s">
        <v>2146</v>
      </c>
      <c r="EI282" s="22">
        <v>13.359375</v>
      </c>
      <c r="EJ282" s="19">
        <v>45.0</v>
      </c>
      <c r="EK282" s="19" t="s">
        <v>2113</v>
      </c>
      <c r="EL282" s="19" t="s">
        <v>2163</v>
      </c>
      <c r="EM282" s="19" t="s">
        <v>4996</v>
      </c>
      <c r="EN282" s="19" t="s">
        <v>837</v>
      </c>
      <c r="EO282" s="19" t="s">
        <v>2467</v>
      </c>
      <c r="EP282" s="19" t="s">
        <v>2122</v>
      </c>
      <c r="EQ282" s="19" t="s">
        <v>2475</v>
      </c>
      <c r="ER282" s="19"/>
      <c r="ES282" s="19" t="s">
        <v>837</v>
      </c>
      <c r="ET282" s="19" t="s">
        <v>837</v>
      </c>
      <c r="EU282" s="19" t="s">
        <v>7189</v>
      </c>
      <c r="EV282" s="19">
        <v>8836.0</v>
      </c>
      <c r="EW282" s="19" t="s">
        <v>16</v>
      </c>
      <c r="EX282" s="19">
        <v>3.0</v>
      </c>
      <c r="EY282" s="25" t="s">
        <v>836</v>
      </c>
      <c r="EZ282" s="19" t="s">
        <v>2154</v>
      </c>
      <c r="FA282" s="5" t="s">
        <v>7201</v>
      </c>
      <c r="FB282" s="26" t="s">
        <v>2156</v>
      </c>
      <c r="FC282" s="26"/>
    </row>
    <row r="283">
      <c r="A283" s="19" t="s">
        <v>2112</v>
      </c>
      <c r="B283" s="19"/>
      <c r="C283" s="19" t="s">
        <v>2113</v>
      </c>
      <c r="D283" s="19" t="s">
        <v>7202</v>
      </c>
      <c r="E283" s="19" t="s">
        <v>7203</v>
      </c>
      <c r="F283" s="19" t="s">
        <v>838</v>
      </c>
      <c r="G283" s="19"/>
      <c r="H283" s="19" t="s">
        <v>838</v>
      </c>
      <c r="I283" s="19" t="s">
        <v>840</v>
      </c>
      <c r="J283" s="19" t="s">
        <v>7204</v>
      </c>
      <c r="K283" s="19" t="s">
        <v>7205</v>
      </c>
      <c r="L283" s="20">
        <v>45414.0</v>
      </c>
      <c r="M283" s="20">
        <v>45428.0</v>
      </c>
      <c r="N283" s="20">
        <v>45428.0</v>
      </c>
      <c r="O283" s="19" t="s">
        <v>839</v>
      </c>
      <c r="P283" s="19">
        <v>0.0</v>
      </c>
      <c r="Q283" s="19">
        <v>26.0</v>
      </c>
      <c r="R283" s="19">
        <v>9603.0</v>
      </c>
      <c r="S283" s="20" t="s">
        <v>7206</v>
      </c>
      <c r="T283" s="20">
        <v>45461.0</v>
      </c>
      <c r="U283" s="19" t="s">
        <v>838</v>
      </c>
      <c r="V283" s="19"/>
      <c r="W283" s="19"/>
      <c r="X283" s="21">
        <v>0.0</v>
      </c>
      <c r="Y283" s="21">
        <v>10.0</v>
      </c>
      <c r="Z283" s="21">
        <v>3.0</v>
      </c>
      <c r="AA283" s="21">
        <v>0.0</v>
      </c>
      <c r="AB283" s="5">
        <v>13.0</v>
      </c>
      <c r="AC283" s="19">
        <v>4.4</v>
      </c>
      <c r="AD283" s="19">
        <v>4.4</v>
      </c>
      <c r="AE283" s="19">
        <v>4.4</v>
      </c>
      <c r="AF283" s="19">
        <v>4.6</v>
      </c>
      <c r="AG283" s="19">
        <v>4.4</v>
      </c>
      <c r="AH283" s="19">
        <v>4.4</v>
      </c>
      <c r="AI283" s="22">
        <v>13.275000000000002</v>
      </c>
      <c r="AJ283" s="19">
        <v>15.0</v>
      </c>
      <c r="AK283" s="19">
        <v>15.0</v>
      </c>
      <c r="AL283" s="19">
        <v>15.0</v>
      </c>
      <c r="AM283" s="19">
        <v>45.0</v>
      </c>
      <c r="AN283" s="19">
        <v>58.3</v>
      </c>
      <c r="AO283" s="19">
        <v>71.3</v>
      </c>
      <c r="AP283" s="19">
        <v>686.0</v>
      </c>
      <c r="AQ283" s="23">
        <v>276.0</v>
      </c>
      <c r="AR283" s="23">
        <v>27.0</v>
      </c>
      <c r="AS283" s="22"/>
      <c r="AT283" s="19" t="s">
        <v>2117</v>
      </c>
      <c r="AU283" s="19" t="s">
        <v>7207</v>
      </c>
      <c r="AV283" s="19" t="s">
        <v>7208</v>
      </c>
      <c r="AW283" s="19" t="s">
        <v>7209</v>
      </c>
      <c r="AX283" s="20">
        <v>35858.0</v>
      </c>
      <c r="AY283" s="19" t="s">
        <v>3034</v>
      </c>
      <c r="AZ283" s="19" t="s">
        <v>2122</v>
      </c>
      <c r="BA283" s="19" t="s">
        <v>7210</v>
      </c>
      <c r="BB283" s="19" t="s">
        <v>7211</v>
      </c>
      <c r="BC283" s="19" t="s">
        <v>7212</v>
      </c>
      <c r="BD283" s="19" t="s">
        <v>7213</v>
      </c>
      <c r="BE283" s="19" t="s">
        <v>7204</v>
      </c>
      <c r="BF283" s="19">
        <v>1.1999404544E10</v>
      </c>
      <c r="BG283" s="19" t="s">
        <v>2127</v>
      </c>
      <c r="BH283" s="19" t="s">
        <v>2128</v>
      </c>
      <c r="BI283" s="19"/>
      <c r="BJ283" s="19"/>
      <c r="BK283" s="19" t="s">
        <v>16</v>
      </c>
      <c r="BL283" s="19"/>
      <c r="BM283" s="19" t="s">
        <v>5411</v>
      </c>
      <c r="BN283" s="19" t="s">
        <v>17</v>
      </c>
      <c r="BO283" s="19" t="s">
        <v>2473</v>
      </c>
      <c r="BP283" s="19" t="s">
        <v>7214</v>
      </c>
      <c r="BQ283" s="19" t="s">
        <v>2174</v>
      </c>
      <c r="BR283" s="19" t="s">
        <v>2174</v>
      </c>
      <c r="BS283" s="19" t="s">
        <v>2243</v>
      </c>
      <c r="BT283" s="19" t="s">
        <v>34</v>
      </c>
      <c r="BU283" s="19" t="s">
        <v>7215</v>
      </c>
      <c r="BV283" s="19"/>
      <c r="BW283" s="19"/>
      <c r="BX283" s="19"/>
      <c r="BY283" s="19"/>
      <c r="BZ283" s="19"/>
      <c r="CA283" s="19" t="s">
        <v>2113</v>
      </c>
      <c r="CB283" s="19" t="s">
        <v>2113</v>
      </c>
      <c r="CC283" s="19"/>
      <c r="CD283" s="19" t="s">
        <v>2137</v>
      </c>
      <c r="CE283" s="19" t="s">
        <v>16</v>
      </c>
      <c r="CF283" s="19"/>
      <c r="CG283" s="19"/>
      <c r="CH283" s="19" t="s">
        <v>16</v>
      </c>
      <c r="CI283" s="21">
        <v>0.0</v>
      </c>
      <c r="CJ283" s="19" t="s">
        <v>17</v>
      </c>
      <c r="CK283" s="19"/>
      <c r="CL283" s="19" t="s">
        <v>2113</v>
      </c>
      <c r="CM283" s="19"/>
      <c r="CN283" s="19" t="s">
        <v>3041</v>
      </c>
      <c r="CO283" s="19"/>
      <c r="CP283" s="19"/>
      <c r="CQ283" s="19"/>
      <c r="CR283" s="19" t="s">
        <v>2113</v>
      </c>
      <c r="CS283" s="19" t="s">
        <v>2113</v>
      </c>
      <c r="CT283" s="19" t="s">
        <v>2113</v>
      </c>
      <c r="CU283" s="19" t="s">
        <v>2113</v>
      </c>
      <c r="CV283" s="19" t="s">
        <v>2179</v>
      </c>
      <c r="CW283" s="19" t="s">
        <v>2113</v>
      </c>
      <c r="CX283" s="19" t="s">
        <v>2113</v>
      </c>
      <c r="CY283" s="19"/>
      <c r="CZ283" s="19"/>
      <c r="DA283" s="19" t="s">
        <v>16</v>
      </c>
      <c r="DB283" s="19" t="s">
        <v>17</v>
      </c>
      <c r="DC283" s="19" t="s">
        <v>2539</v>
      </c>
      <c r="DD283" s="19" t="s">
        <v>2113</v>
      </c>
      <c r="DE283" s="19" t="s">
        <v>2113</v>
      </c>
      <c r="DF283" s="19" t="s">
        <v>3042</v>
      </c>
      <c r="DG283" s="19" t="s">
        <v>3146</v>
      </c>
      <c r="DH283" s="19" t="s">
        <v>2144</v>
      </c>
      <c r="DI283" s="24">
        <v>45519.0</v>
      </c>
      <c r="DJ283" s="19" t="s">
        <v>2174</v>
      </c>
      <c r="DK283" s="19" t="s">
        <v>2271</v>
      </c>
      <c r="DL283" s="19" t="s">
        <v>2183</v>
      </c>
      <c r="DM283" s="19" t="s">
        <v>2272</v>
      </c>
      <c r="DN283" s="19">
        <v>6.0</v>
      </c>
      <c r="DO283" s="19">
        <v>6.0</v>
      </c>
      <c r="DP283" s="19"/>
      <c r="DQ283" s="19"/>
      <c r="DR283" s="19"/>
      <c r="DS283" s="19" t="s">
        <v>2151</v>
      </c>
      <c r="DT283" s="19" t="s">
        <v>2209</v>
      </c>
      <c r="DU283" s="19" t="s">
        <v>7216</v>
      </c>
      <c r="DV283" s="19"/>
      <c r="DW283" s="19" t="s">
        <v>2153</v>
      </c>
      <c r="DX283" s="19">
        <v>14.0</v>
      </c>
      <c r="DY283" s="19">
        <v>10.0</v>
      </c>
      <c r="DZ283" s="19">
        <v>0.0</v>
      </c>
      <c r="EA283" s="19">
        <v>10.0</v>
      </c>
      <c r="EB283" s="19">
        <v>0.0</v>
      </c>
      <c r="EC283" s="19">
        <v>0.0</v>
      </c>
      <c r="ED283" s="19" t="s">
        <v>2174</v>
      </c>
      <c r="EE283" s="24">
        <v>45519.0</v>
      </c>
      <c r="EF283" s="19" t="s">
        <v>2174</v>
      </c>
      <c r="EG283" s="19" t="s">
        <v>2271</v>
      </c>
      <c r="EH283" s="19" t="s">
        <v>2183</v>
      </c>
      <c r="EI283" s="22">
        <v>13.275000000000002</v>
      </c>
      <c r="EJ283" s="19">
        <v>45.0</v>
      </c>
      <c r="EK283" s="19" t="s">
        <v>2113</v>
      </c>
      <c r="EL283" s="19" t="s">
        <v>2117</v>
      </c>
      <c r="EM283" s="19" t="s">
        <v>7207</v>
      </c>
      <c r="EN283" s="19" t="s">
        <v>840</v>
      </c>
      <c r="EO283" s="19" t="s">
        <v>3034</v>
      </c>
      <c r="EP283" s="19" t="s">
        <v>2122</v>
      </c>
      <c r="EQ283" s="19" t="s">
        <v>3041</v>
      </c>
      <c r="ER283" s="19"/>
      <c r="ES283" s="19" t="s">
        <v>840</v>
      </c>
      <c r="ET283" s="19" t="s">
        <v>840</v>
      </c>
      <c r="EU283" s="19" t="s">
        <v>7205</v>
      </c>
      <c r="EV283" s="19">
        <v>9603.0</v>
      </c>
      <c r="EW283" s="19" t="s">
        <v>16</v>
      </c>
      <c r="EX283" s="19">
        <v>3.0</v>
      </c>
      <c r="EY283" s="25" t="s">
        <v>839</v>
      </c>
      <c r="EZ283" s="19" t="s">
        <v>2154</v>
      </c>
      <c r="FA283" s="5" t="s">
        <v>7217</v>
      </c>
      <c r="FB283" s="26" t="s">
        <v>2156</v>
      </c>
      <c r="FC283" s="26"/>
    </row>
    <row r="284">
      <c r="A284" s="19" t="s">
        <v>2112</v>
      </c>
      <c r="B284" s="19"/>
      <c r="C284" s="19" t="s">
        <v>2113</v>
      </c>
      <c r="D284" s="19" t="s">
        <v>841</v>
      </c>
      <c r="E284" s="19" t="s">
        <v>7218</v>
      </c>
      <c r="F284" s="19" t="s">
        <v>7129</v>
      </c>
      <c r="G284" s="19" t="s">
        <v>7130</v>
      </c>
      <c r="H284" s="19" t="s">
        <v>841</v>
      </c>
      <c r="I284" s="19" t="s">
        <v>843</v>
      </c>
      <c r="J284" s="19" t="s">
        <v>7219</v>
      </c>
      <c r="K284" s="19" t="s">
        <v>7220</v>
      </c>
      <c r="L284" s="20">
        <v>45446.0</v>
      </c>
      <c r="M284" s="20">
        <v>45447.0</v>
      </c>
      <c r="N284" s="20">
        <v>45447.0</v>
      </c>
      <c r="O284" s="19" t="s">
        <v>842</v>
      </c>
      <c r="P284" s="19">
        <v>0.0</v>
      </c>
      <c r="Q284" s="19">
        <v>24.0</v>
      </c>
      <c r="R284" s="19">
        <v>8819.0</v>
      </c>
      <c r="S284" s="20" t="s">
        <v>7221</v>
      </c>
      <c r="T284" s="20">
        <v>45461.0</v>
      </c>
      <c r="U284" s="19" t="s">
        <v>7129</v>
      </c>
      <c r="V284" s="19"/>
      <c r="W284" s="19"/>
      <c r="X284" s="21">
        <v>0.0</v>
      </c>
      <c r="Y284" s="21">
        <v>10.0</v>
      </c>
      <c r="Z284" s="21">
        <v>2.0</v>
      </c>
      <c r="AA284" s="21">
        <v>0.0</v>
      </c>
      <c r="AB284" s="5">
        <v>12.0</v>
      </c>
      <c r="AC284" s="19">
        <v>5.0</v>
      </c>
      <c r="AD284" s="19">
        <v>5.0</v>
      </c>
      <c r="AE284" s="19">
        <v>5.0</v>
      </c>
      <c r="AF284" s="19">
        <v>5.0</v>
      </c>
      <c r="AG284" s="19">
        <v>4.0</v>
      </c>
      <c r="AH284" s="19">
        <v>4.0</v>
      </c>
      <c r="AI284" s="22">
        <v>14.25</v>
      </c>
      <c r="AJ284" s="19">
        <v>15.0</v>
      </c>
      <c r="AK284" s="19">
        <v>15.0</v>
      </c>
      <c r="AL284" s="19">
        <v>15.0</v>
      </c>
      <c r="AM284" s="19">
        <v>45.0</v>
      </c>
      <c r="AN284" s="19">
        <v>59.3</v>
      </c>
      <c r="AO284" s="19">
        <v>71.3</v>
      </c>
      <c r="AP284" s="19">
        <v>853.0</v>
      </c>
      <c r="AQ284" s="23">
        <v>277.0</v>
      </c>
      <c r="AR284" s="23">
        <v>21.0</v>
      </c>
      <c r="AS284" s="22"/>
      <c r="AT284" s="19" t="s">
        <v>2117</v>
      </c>
      <c r="AU284" s="19" t="s">
        <v>7222</v>
      </c>
      <c r="AV284" s="19" t="s">
        <v>7223</v>
      </c>
      <c r="AW284" s="19" t="s">
        <v>2466</v>
      </c>
      <c r="AX284" s="20">
        <v>36642.0</v>
      </c>
      <c r="AY284" s="19" t="s">
        <v>6932</v>
      </c>
      <c r="AZ284" s="19" t="s">
        <v>2995</v>
      </c>
      <c r="BA284" s="19" t="s">
        <v>7224</v>
      </c>
      <c r="BB284" s="19" t="s">
        <v>7225</v>
      </c>
      <c r="BC284" s="19" t="s">
        <v>7226</v>
      </c>
      <c r="BD284" s="19" t="s">
        <v>7227</v>
      </c>
      <c r="BE284" s="19" t="s">
        <v>7228</v>
      </c>
      <c r="BF284" s="19">
        <v>1.1987095524E10</v>
      </c>
      <c r="BG284" s="19" t="s">
        <v>2127</v>
      </c>
      <c r="BH284" s="19" t="s">
        <v>2128</v>
      </c>
      <c r="BI284" s="19"/>
      <c r="BJ284" s="19" t="s">
        <v>2128</v>
      </c>
      <c r="BK284" s="19" t="s">
        <v>17</v>
      </c>
      <c r="BL284" s="19" t="s">
        <v>2113</v>
      </c>
      <c r="BM284" s="19" t="s">
        <v>5411</v>
      </c>
      <c r="BN284" s="19" t="s">
        <v>17</v>
      </c>
      <c r="BO284" s="19" t="s">
        <v>3199</v>
      </c>
      <c r="BP284" s="19" t="s">
        <v>7229</v>
      </c>
      <c r="BQ284" s="19" t="s">
        <v>2133</v>
      </c>
      <c r="BR284" s="19" t="s">
        <v>2133</v>
      </c>
      <c r="BS284" s="19" t="s">
        <v>2134</v>
      </c>
      <c r="BT284" s="19" t="s">
        <v>222</v>
      </c>
      <c r="BU284" s="19" t="s">
        <v>7230</v>
      </c>
      <c r="BV284" s="19"/>
      <c r="BW284" s="19"/>
      <c r="BX284" s="19" t="s">
        <v>2113</v>
      </c>
      <c r="BY284" s="19"/>
      <c r="BZ284" s="19"/>
      <c r="CA284" s="19" t="s">
        <v>2113</v>
      </c>
      <c r="CB284" s="19" t="s">
        <v>2113</v>
      </c>
      <c r="CC284" s="19"/>
      <c r="CD284" s="19" t="s">
        <v>2137</v>
      </c>
      <c r="CE284" s="19" t="s">
        <v>16</v>
      </c>
      <c r="CF284" s="19"/>
      <c r="CG284" s="19"/>
      <c r="CH284" s="19" t="s">
        <v>16</v>
      </c>
      <c r="CI284" s="21">
        <v>0.0</v>
      </c>
      <c r="CJ284" s="19" t="s">
        <v>17</v>
      </c>
      <c r="CK284" s="19" t="s">
        <v>2113</v>
      </c>
      <c r="CL284" s="19" t="s">
        <v>2113</v>
      </c>
      <c r="CM284" s="19" t="s">
        <v>2138</v>
      </c>
      <c r="CN284" s="19" t="s">
        <v>4465</v>
      </c>
      <c r="CO284" s="19"/>
      <c r="CP284" s="19" t="s">
        <v>2178</v>
      </c>
      <c r="CQ284" s="19"/>
      <c r="CR284" s="19" t="s">
        <v>2113</v>
      </c>
      <c r="CS284" s="19" t="s">
        <v>2113</v>
      </c>
      <c r="CT284" s="19"/>
      <c r="CU284" s="19"/>
      <c r="CV284" s="19" t="s">
        <v>2141</v>
      </c>
      <c r="CW284" s="19"/>
      <c r="CX284" s="19"/>
      <c r="CY284" s="19" t="s">
        <v>2113</v>
      </c>
      <c r="CZ284" s="19" t="s">
        <v>2113</v>
      </c>
      <c r="DA284" s="19" t="s">
        <v>16</v>
      </c>
      <c r="DB284" s="19" t="s">
        <v>17</v>
      </c>
      <c r="DC284" s="19" t="s">
        <v>2142</v>
      </c>
      <c r="DD284" s="19" t="s">
        <v>2113</v>
      </c>
      <c r="DE284" s="19" t="s">
        <v>2113</v>
      </c>
      <c r="DF284" s="19" t="s">
        <v>2146</v>
      </c>
      <c r="DG284" s="19" t="s">
        <v>2579</v>
      </c>
      <c r="DH284" s="19" t="s">
        <v>2144</v>
      </c>
      <c r="DI284" s="24">
        <v>45526.0</v>
      </c>
      <c r="DJ284" s="19" t="s">
        <v>2133</v>
      </c>
      <c r="DK284" s="19" t="s">
        <v>2145</v>
      </c>
      <c r="DL284" s="19" t="s">
        <v>2146</v>
      </c>
      <c r="DM284" s="19" t="s">
        <v>3338</v>
      </c>
      <c r="DN284" s="19">
        <v>11.0</v>
      </c>
      <c r="DO284" s="19">
        <v>11.0</v>
      </c>
      <c r="DP284" s="19" t="s">
        <v>7231</v>
      </c>
      <c r="DQ284" s="19" t="s">
        <v>7232</v>
      </c>
      <c r="DR284" s="19" t="s">
        <v>7233</v>
      </c>
      <c r="DS284" s="19" t="s">
        <v>2365</v>
      </c>
      <c r="DT284" s="19" t="s">
        <v>2301</v>
      </c>
      <c r="DU284" s="19"/>
      <c r="DV284" s="19"/>
      <c r="DW284" s="19" t="s">
        <v>2153</v>
      </c>
      <c r="DX284" s="19">
        <v>8.0</v>
      </c>
      <c r="DY284" s="19">
        <v>10.0</v>
      </c>
      <c r="DZ284" s="19">
        <v>0.0</v>
      </c>
      <c r="EA284" s="19">
        <v>10.0</v>
      </c>
      <c r="EB284" s="19">
        <v>0.0</v>
      </c>
      <c r="EC284" s="19">
        <v>0.0</v>
      </c>
      <c r="ED284" s="19" t="s">
        <v>2133</v>
      </c>
      <c r="EE284" s="24">
        <v>45526.0</v>
      </c>
      <c r="EF284" s="19" t="s">
        <v>2133</v>
      </c>
      <c r="EG284" s="19" t="s">
        <v>2145</v>
      </c>
      <c r="EH284" s="19" t="s">
        <v>2146</v>
      </c>
      <c r="EI284" s="22">
        <v>14.25</v>
      </c>
      <c r="EJ284" s="19">
        <v>45.0</v>
      </c>
      <c r="EK284" s="19" t="s">
        <v>2113</v>
      </c>
      <c r="EL284" s="19" t="s">
        <v>2117</v>
      </c>
      <c r="EM284" s="19" t="s">
        <v>7222</v>
      </c>
      <c r="EN284" s="19" t="s">
        <v>843</v>
      </c>
      <c r="EO284" s="19" t="s">
        <v>6932</v>
      </c>
      <c r="EP284" s="19" t="s">
        <v>2995</v>
      </c>
      <c r="EQ284" s="19" t="s">
        <v>4465</v>
      </c>
      <c r="ER284" s="19"/>
      <c r="ES284" s="19" t="s">
        <v>843</v>
      </c>
      <c r="ET284" s="19" t="s">
        <v>843</v>
      </c>
      <c r="EU284" s="19" t="s">
        <v>7220</v>
      </c>
      <c r="EV284" s="19">
        <v>8819.0</v>
      </c>
      <c r="EW284" s="19" t="s">
        <v>16</v>
      </c>
      <c r="EX284" s="19">
        <v>2.0</v>
      </c>
      <c r="EY284" s="25" t="s">
        <v>842</v>
      </c>
      <c r="EZ284" s="19" t="s">
        <v>2154</v>
      </c>
      <c r="FA284" s="5" t="s">
        <v>7234</v>
      </c>
      <c r="FB284" s="26" t="s">
        <v>2156</v>
      </c>
      <c r="FC284" s="26"/>
    </row>
    <row r="285">
      <c r="A285" s="19" t="s">
        <v>2112</v>
      </c>
      <c r="B285" s="19" t="s">
        <v>2113</v>
      </c>
      <c r="C285" s="19" t="s">
        <v>2113</v>
      </c>
      <c r="D285" s="19" t="s">
        <v>844</v>
      </c>
      <c r="E285" s="19" t="s">
        <v>7235</v>
      </c>
      <c r="F285" s="19" t="s">
        <v>844</v>
      </c>
      <c r="G285" s="19"/>
      <c r="H285" s="19" t="s">
        <v>844</v>
      </c>
      <c r="I285" s="19" t="s">
        <v>846</v>
      </c>
      <c r="J285" s="19" t="s">
        <v>7236</v>
      </c>
      <c r="K285" s="19" t="s">
        <v>7237</v>
      </c>
      <c r="L285" s="20">
        <v>45399.0</v>
      </c>
      <c r="M285" s="20">
        <v>45411.0</v>
      </c>
      <c r="N285" s="20">
        <v>45411.0</v>
      </c>
      <c r="O285" s="19" t="s">
        <v>845</v>
      </c>
      <c r="P285" s="19">
        <v>0.0</v>
      </c>
      <c r="Q285" s="19">
        <v>28.0</v>
      </c>
      <c r="R285" s="19">
        <v>10239.0</v>
      </c>
      <c r="S285" s="20" t="s">
        <v>7238</v>
      </c>
      <c r="T285" s="20">
        <v>45461.0</v>
      </c>
      <c r="U285" s="19" t="s">
        <v>844</v>
      </c>
      <c r="V285" s="19"/>
      <c r="W285" s="19"/>
      <c r="X285" s="21">
        <v>20.0</v>
      </c>
      <c r="Y285" s="21">
        <v>0.0</v>
      </c>
      <c r="Z285" s="21">
        <v>5.0</v>
      </c>
      <c r="AA285" s="21">
        <v>0.0</v>
      </c>
      <c r="AB285" s="5">
        <v>25.0</v>
      </c>
      <c r="AC285" s="19">
        <v>4.0</v>
      </c>
      <c r="AD285" s="19">
        <v>3.0</v>
      </c>
      <c r="AE285" s="19">
        <v>3.0</v>
      </c>
      <c r="AF285" s="19">
        <v>4.0</v>
      </c>
      <c r="AG285" s="19">
        <v>3.0</v>
      </c>
      <c r="AH285" s="19">
        <v>4.0</v>
      </c>
      <c r="AI285" s="22">
        <v>10.21875</v>
      </c>
      <c r="AJ285" s="19">
        <v>12.0</v>
      </c>
      <c r="AK285" s="19">
        <v>14.0</v>
      </c>
      <c r="AL285" s="19">
        <v>10.0</v>
      </c>
      <c r="AM285" s="19">
        <v>36.0</v>
      </c>
      <c r="AN285" s="19">
        <v>46.2</v>
      </c>
      <c r="AO285" s="19">
        <v>71.2</v>
      </c>
      <c r="AP285" s="19">
        <v>263.0</v>
      </c>
      <c r="AQ285" s="23">
        <v>278.0</v>
      </c>
      <c r="AR285" s="23">
        <v>34.0</v>
      </c>
      <c r="AS285" s="22"/>
      <c r="AT285" s="19" t="s">
        <v>2163</v>
      </c>
      <c r="AU285" s="19" t="s">
        <v>3865</v>
      </c>
      <c r="AV285" s="19" t="s">
        <v>3866</v>
      </c>
      <c r="AW285" s="19"/>
      <c r="AX285" s="20">
        <v>35222.0</v>
      </c>
      <c r="AY285" s="19" t="s">
        <v>2286</v>
      </c>
      <c r="AZ285" s="19" t="s">
        <v>2310</v>
      </c>
      <c r="BA285" s="19" t="s">
        <v>3867</v>
      </c>
      <c r="BB285" s="19" t="s">
        <v>7239</v>
      </c>
      <c r="BC285" s="19" t="s">
        <v>7240</v>
      </c>
      <c r="BD285" s="19" t="s">
        <v>7241</v>
      </c>
      <c r="BE285" s="19" t="s">
        <v>7242</v>
      </c>
      <c r="BF285" s="19">
        <v>1.1969580786E10</v>
      </c>
      <c r="BG285" s="19" t="s">
        <v>4038</v>
      </c>
      <c r="BH285" s="19" t="s">
        <v>2128</v>
      </c>
      <c r="BI285" s="19"/>
      <c r="BJ285" s="19" t="s">
        <v>2128</v>
      </c>
      <c r="BK285" s="19" t="s">
        <v>17</v>
      </c>
      <c r="BL285" s="19"/>
      <c r="BM285" s="19" t="s">
        <v>2130</v>
      </c>
      <c r="BN285" s="19" t="s">
        <v>17</v>
      </c>
      <c r="BO285" s="19" t="s">
        <v>2132</v>
      </c>
      <c r="BP285" s="19"/>
      <c r="BQ285" s="19" t="s">
        <v>2133</v>
      </c>
      <c r="BR285" s="19" t="s">
        <v>2133</v>
      </c>
      <c r="BS285" s="19" t="s">
        <v>2243</v>
      </c>
      <c r="BT285" s="19" t="s">
        <v>38</v>
      </c>
      <c r="BU285" s="19" t="s">
        <v>7243</v>
      </c>
      <c r="BV285" s="19" t="s">
        <v>7244</v>
      </c>
      <c r="BW285" s="19" t="s">
        <v>2113</v>
      </c>
      <c r="BX285" s="19"/>
      <c r="BY285" s="19"/>
      <c r="BZ285" s="19"/>
      <c r="CA285" s="19"/>
      <c r="CB285" s="19" t="s">
        <v>2113</v>
      </c>
      <c r="CC285" s="19"/>
      <c r="CD285" s="19" t="s">
        <v>2137</v>
      </c>
      <c r="CE285" s="19" t="s">
        <v>16</v>
      </c>
      <c r="CF285" s="19"/>
      <c r="CG285" s="19"/>
      <c r="CH285" s="19" t="s">
        <v>16</v>
      </c>
      <c r="CI285" s="21">
        <v>0.0</v>
      </c>
      <c r="CJ285" s="19" t="s">
        <v>17</v>
      </c>
      <c r="CK285" s="19"/>
      <c r="CL285" s="19"/>
      <c r="CM285" s="19" t="s">
        <v>2749</v>
      </c>
      <c r="CN285" s="19" t="s">
        <v>2294</v>
      </c>
      <c r="CO285" s="19"/>
      <c r="CP285" s="19" t="s">
        <v>2246</v>
      </c>
      <c r="CQ285" s="19"/>
      <c r="CR285" s="19" t="s">
        <v>2113</v>
      </c>
      <c r="CS285" s="19" t="s">
        <v>2113</v>
      </c>
      <c r="CT285" s="19" t="s">
        <v>2113</v>
      </c>
      <c r="CU285" s="19" t="s">
        <v>2113</v>
      </c>
      <c r="CV285" s="19" t="s">
        <v>2141</v>
      </c>
      <c r="CW285" s="19"/>
      <c r="CX285" s="19"/>
      <c r="CY285" s="19"/>
      <c r="CZ285" s="19"/>
      <c r="DA285" s="19" t="s">
        <v>16</v>
      </c>
      <c r="DB285" s="19" t="s">
        <v>17</v>
      </c>
      <c r="DC285" s="19" t="s">
        <v>2143</v>
      </c>
      <c r="DD285" s="19"/>
      <c r="DE285" s="19"/>
      <c r="DF285" s="19" t="s">
        <v>2578</v>
      </c>
      <c r="DG285" s="19" t="s">
        <v>2142</v>
      </c>
      <c r="DH285" s="19" t="s">
        <v>2144</v>
      </c>
      <c r="DI285" s="24">
        <v>45531.0</v>
      </c>
      <c r="DJ285" s="19" t="s">
        <v>2133</v>
      </c>
      <c r="DK285" s="19" t="s">
        <v>2271</v>
      </c>
      <c r="DL285" s="19" t="s">
        <v>2146</v>
      </c>
      <c r="DM285" s="19" t="s">
        <v>2827</v>
      </c>
      <c r="DN285" s="19">
        <v>14.0</v>
      </c>
      <c r="DO285" s="19">
        <v>14.0</v>
      </c>
      <c r="DP285" s="19" t="s">
        <v>7245</v>
      </c>
      <c r="DQ285" s="19" t="s">
        <v>7246</v>
      </c>
      <c r="DR285" s="19" t="s">
        <v>7247</v>
      </c>
      <c r="DS285" s="19" t="s">
        <v>2365</v>
      </c>
      <c r="DT285" s="19" t="s">
        <v>2152</v>
      </c>
      <c r="DU285" s="19"/>
      <c r="DV285" s="19"/>
      <c r="DW285" s="19" t="s">
        <v>2153</v>
      </c>
      <c r="DX285" s="19">
        <v>9.0</v>
      </c>
      <c r="DY285" s="19">
        <v>0.0</v>
      </c>
      <c r="DZ285" s="19">
        <v>0.0</v>
      </c>
      <c r="EA285" s="19">
        <v>0.0</v>
      </c>
      <c r="EB285" s="19">
        <v>0.0</v>
      </c>
      <c r="EC285" s="19">
        <v>20.0</v>
      </c>
      <c r="ED285" s="19" t="s">
        <v>2133</v>
      </c>
      <c r="EE285" s="24">
        <v>45531.0</v>
      </c>
      <c r="EF285" s="19" t="s">
        <v>2133</v>
      </c>
      <c r="EG285" s="19" t="s">
        <v>2271</v>
      </c>
      <c r="EH285" s="19" t="s">
        <v>2146</v>
      </c>
      <c r="EI285" s="22">
        <v>10.21875</v>
      </c>
      <c r="EJ285" s="19">
        <v>36.0</v>
      </c>
      <c r="EK285" s="19" t="s">
        <v>2113</v>
      </c>
      <c r="EL285" s="19" t="s">
        <v>2163</v>
      </c>
      <c r="EM285" s="19" t="s">
        <v>3865</v>
      </c>
      <c r="EN285" s="19" t="s">
        <v>846</v>
      </c>
      <c r="EO285" s="19" t="s">
        <v>2286</v>
      </c>
      <c r="EP285" s="19" t="s">
        <v>2310</v>
      </c>
      <c r="EQ285" s="19" t="s">
        <v>2294</v>
      </c>
      <c r="ER285" s="19"/>
      <c r="ES285" s="19" t="s">
        <v>846</v>
      </c>
      <c r="ET285" s="19" t="s">
        <v>846</v>
      </c>
      <c r="EU285" s="19" t="s">
        <v>7237</v>
      </c>
      <c r="EV285" s="19">
        <v>10239.0</v>
      </c>
      <c r="EW285" s="19" t="s">
        <v>16</v>
      </c>
      <c r="EX285" s="19">
        <v>5.0</v>
      </c>
      <c r="EY285" s="25" t="s">
        <v>845</v>
      </c>
      <c r="EZ285" s="19" t="s">
        <v>2154</v>
      </c>
      <c r="FA285" s="5" t="s">
        <v>7248</v>
      </c>
      <c r="FB285" s="26" t="s">
        <v>2156</v>
      </c>
      <c r="FC285" s="26"/>
    </row>
    <row r="286">
      <c r="A286" s="19" t="s">
        <v>2112</v>
      </c>
      <c r="B286" s="19"/>
      <c r="C286" s="19" t="s">
        <v>2113</v>
      </c>
      <c r="D286" s="19" t="s">
        <v>847</v>
      </c>
      <c r="E286" s="19" t="s">
        <v>7249</v>
      </c>
      <c r="F286" s="19" t="s">
        <v>847</v>
      </c>
      <c r="G286" s="19"/>
      <c r="H286" s="19" t="s">
        <v>847</v>
      </c>
      <c r="I286" s="19" t="s">
        <v>849</v>
      </c>
      <c r="J286" s="19" t="s">
        <v>7250</v>
      </c>
      <c r="K286" s="19" t="s">
        <v>7251</v>
      </c>
      <c r="L286" s="20">
        <v>45404.0</v>
      </c>
      <c r="M286" s="20">
        <v>45411.0</v>
      </c>
      <c r="N286" s="20">
        <v>45411.0</v>
      </c>
      <c r="O286" s="19" t="s">
        <v>848</v>
      </c>
      <c r="P286" s="19">
        <v>0.0</v>
      </c>
      <c r="Q286" s="19">
        <v>22.0</v>
      </c>
      <c r="R286" s="19">
        <v>8328.0</v>
      </c>
      <c r="S286" s="20" t="s">
        <v>7252</v>
      </c>
      <c r="T286" s="20">
        <v>45461.0</v>
      </c>
      <c r="U286" s="19" t="s">
        <v>847</v>
      </c>
      <c r="V286" s="19"/>
      <c r="W286" s="19"/>
      <c r="X286" s="21">
        <v>0.0</v>
      </c>
      <c r="Y286" s="21">
        <v>10.0</v>
      </c>
      <c r="Z286" s="21">
        <v>5.0</v>
      </c>
      <c r="AA286" s="21">
        <v>0.0</v>
      </c>
      <c r="AB286" s="5">
        <v>15.0</v>
      </c>
      <c r="AC286" s="19">
        <v>5.0</v>
      </c>
      <c r="AD286" s="19">
        <v>4.0</v>
      </c>
      <c r="AE286" s="19">
        <v>5.0</v>
      </c>
      <c r="AF286" s="19">
        <v>4.0</v>
      </c>
      <c r="AG286" s="19">
        <v>4.0</v>
      </c>
      <c r="AH286" s="19">
        <v>4.0</v>
      </c>
      <c r="AI286" s="22">
        <v>13.21875</v>
      </c>
      <c r="AJ286" s="19">
        <v>15.0</v>
      </c>
      <c r="AK286" s="19">
        <v>15.0</v>
      </c>
      <c r="AL286" s="19">
        <v>13.0</v>
      </c>
      <c r="AM286" s="19">
        <v>43.0</v>
      </c>
      <c r="AN286" s="19">
        <v>56.2</v>
      </c>
      <c r="AO286" s="19">
        <v>71.2</v>
      </c>
      <c r="AP286" s="19">
        <v>457.0</v>
      </c>
      <c r="AQ286" s="23">
        <v>279.0</v>
      </c>
      <c r="AR286" s="23">
        <v>33.0</v>
      </c>
      <c r="AS286" s="22"/>
      <c r="AT286" s="19" t="s">
        <v>2163</v>
      </c>
      <c r="AU286" s="19" t="s">
        <v>7253</v>
      </c>
      <c r="AV286" s="19" t="s">
        <v>7254</v>
      </c>
      <c r="AW286" s="19"/>
      <c r="AX286" s="20">
        <v>37133.0</v>
      </c>
      <c r="AY286" s="19" t="s">
        <v>2121</v>
      </c>
      <c r="AZ286" s="19" t="s">
        <v>2122</v>
      </c>
      <c r="BA286" s="19" t="s">
        <v>7255</v>
      </c>
      <c r="BB286" s="19" t="s">
        <v>4460</v>
      </c>
      <c r="BC286" s="19" t="s">
        <v>7256</v>
      </c>
      <c r="BD286" s="19" t="s">
        <v>7257</v>
      </c>
      <c r="BE286" s="19" t="s">
        <v>7258</v>
      </c>
      <c r="BF286" s="19">
        <v>1.1993578842E10</v>
      </c>
      <c r="BG286" s="19" t="s">
        <v>2127</v>
      </c>
      <c r="BH286" s="19" t="s">
        <v>2128</v>
      </c>
      <c r="BI286" s="19"/>
      <c r="BJ286" s="19"/>
      <c r="BK286" s="19" t="s">
        <v>16</v>
      </c>
      <c r="BL286" s="19"/>
      <c r="BM286" s="19" t="s">
        <v>5563</v>
      </c>
      <c r="BN286" s="19" t="s">
        <v>2172</v>
      </c>
      <c r="BO286" s="19" t="s">
        <v>2132</v>
      </c>
      <c r="BP286" s="19"/>
      <c r="BQ286" s="19" t="s">
        <v>2133</v>
      </c>
      <c r="BR286" s="19" t="s">
        <v>2133</v>
      </c>
      <c r="BS286" s="19" t="s">
        <v>2134</v>
      </c>
      <c r="BT286" s="19" t="s">
        <v>15</v>
      </c>
      <c r="BU286" s="19"/>
      <c r="BV286" s="19"/>
      <c r="BW286" s="19" t="s">
        <v>2113</v>
      </c>
      <c r="BX286" s="19"/>
      <c r="BY286" s="19"/>
      <c r="BZ286" s="19"/>
      <c r="CA286" s="19"/>
      <c r="CB286" s="19"/>
      <c r="CC286" s="19"/>
      <c r="CD286" s="19" t="s">
        <v>2137</v>
      </c>
      <c r="CE286" s="19" t="s">
        <v>16</v>
      </c>
      <c r="CF286" s="19"/>
      <c r="CG286" s="19"/>
      <c r="CH286" s="19" t="s">
        <v>16</v>
      </c>
      <c r="CI286" s="21">
        <v>0.0</v>
      </c>
      <c r="CJ286" s="19" t="s">
        <v>17</v>
      </c>
      <c r="CK286" s="19"/>
      <c r="CL286" s="19"/>
      <c r="CM286" s="19" t="s">
        <v>2138</v>
      </c>
      <c r="CN286" s="19" t="s">
        <v>2139</v>
      </c>
      <c r="CO286" s="19"/>
      <c r="CP286" s="19"/>
      <c r="CQ286" s="19"/>
      <c r="CR286" s="19"/>
      <c r="CS286" s="19"/>
      <c r="CT286" s="19" t="s">
        <v>2113</v>
      </c>
      <c r="CU286" s="19" t="s">
        <v>2113</v>
      </c>
      <c r="CV286" s="19" t="s">
        <v>2141</v>
      </c>
      <c r="CW286" s="19"/>
      <c r="CX286" s="19"/>
      <c r="CY286" s="19"/>
      <c r="CZ286" s="19"/>
      <c r="DA286" s="19" t="s">
        <v>16</v>
      </c>
      <c r="DB286" s="19" t="s">
        <v>17</v>
      </c>
      <c r="DC286" s="19" t="s">
        <v>2406</v>
      </c>
      <c r="DD286" s="19" t="s">
        <v>2113</v>
      </c>
      <c r="DE286" s="19" t="s">
        <v>2113</v>
      </c>
      <c r="DF286" s="19" t="s">
        <v>2407</v>
      </c>
      <c r="DG286" s="19" t="s">
        <v>2433</v>
      </c>
      <c r="DH286" s="19" t="s">
        <v>2144</v>
      </c>
      <c r="DI286" s="24">
        <v>45533.0</v>
      </c>
      <c r="DJ286" s="19" t="s">
        <v>2133</v>
      </c>
      <c r="DK286" s="19" t="s">
        <v>2145</v>
      </c>
      <c r="DL286" s="19" t="s">
        <v>2146</v>
      </c>
      <c r="DM286" s="19" t="s">
        <v>2147</v>
      </c>
      <c r="DN286" s="19">
        <v>17.0</v>
      </c>
      <c r="DO286" s="19">
        <v>17.0</v>
      </c>
      <c r="DP286" s="19" t="s">
        <v>7259</v>
      </c>
      <c r="DQ286" s="19" t="s">
        <v>7260</v>
      </c>
      <c r="DR286" s="19" t="s">
        <v>7261</v>
      </c>
      <c r="DS286" s="19" t="s">
        <v>2151</v>
      </c>
      <c r="DT286" s="19" t="s">
        <v>2152</v>
      </c>
      <c r="DU286" s="19"/>
      <c r="DV286" s="19"/>
      <c r="DW286" s="19" t="s">
        <v>2153</v>
      </c>
      <c r="DX286" s="19">
        <v>12.0</v>
      </c>
      <c r="DY286" s="19">
        <v>10.0</v>
      </c>
      <c r="DZ286" s="19">
        <v>0.0</v>
      </c>
      <c r="EA286" s="19">
        <v>10.0</v>
      </c>
      <c r="EB286" s="19">
        <v>0.0</v>
      </c>
      <c r="EC286" s="19">
        <v>0.0</v>
      </c>
      <c r="ED286" s="19" t="s">
        <v>2133</v>
      </c>
      <c r="EE286" s="24">
        <v>45533.0</v>
      </c>
      <c r="EF286" s="19" t="s">
        <v>2133</v>
      </c>
      <c r="EG286" s="19" t="s">
        <v>2145</v>
      </c>
      <c r="EH286" s="19" t="s">
        <v>2146</v>
      </c>
      <c r="EI286" s="22">
        <v>13.21875</v>
      </c>
      <c r="EJ286" s="19">
        <v>43.0</v>
      </c>
      <c r="EK286" s="19" t="s">
        <v>2113</v>
      </c>
      <c r="EL286" s="19" t="s">
        <v>2163</v>
      </c>
      <c r="EM286" s="19" t="s">
        <v>7253</v>
      </c>
      <c r="EN286" s="19" t="s">
        <v>849</v>
      </c>
      <c r="EO286" s="19" t="s">
        <v>2121</v>
      </c>
      <c r="EP286" s="19" t="s">
        <v>2122</v>
      </c>
      <c r="EQ286" s="19" t="s">
        <v>2139</v>
      </c>
      <c r="ER286" s="19"/>
      <c r="ES286" s="19" t="s">
        <v>849</v>
      </c>
      <c r="ET286" s="19" t="s">
        <v>849</v>
      </c>
      <c r="EU286" s="19" t="s">
        <v>7251</v>
      </c>
      <c r="EV286" s="19">
        <v>8328.0</v>
      </c>
      <c r="EW286" s="19" t="s">
        <v>16</v>
      </c>
      <c r="EX286" s="19">
        <v>5.0</v>
      </c>
      <c r="EY286" s="25" t="s">
        <v>848</v>
      </c>
      <c r="EZ286" s="19" t="s">
        <v>2154</v>
      </c>
      <c r="FA286" s="5" t="s">
        <v>7262</v>
      </c>
      <c r="FB286" s="26" t="s">
        <v>2156</v>
      </c>
      <c r="FC286" s="26"/>
    </row>
    <row r="287">
      <c r="A287" s="19" t="s">
        <v>2112</v>
      </c>
      <c r="B287" s="19"/>
      <c r="C287" s="19" t="s">
        <v>2113</v>
      </c>
      <c r="D287" s="19" t="s">
        <v>850</v>
      </c>
      <c r="E287" s="19" t="s">
        <v>7263</v>
      </c>
      <c r="F287" s="19" t="s">
        <v>7264</v>
      </c>
      <c r="G287" s="19" t="s">
        <v>7265</v>
      </c>
      <c r="H287" s="19" t="s">
        <v>850</v>
      </c>
      <c r="I287" s="19" t="s">
        <v>852</v>
      </c>
      <c r="J287" s="19" t="s">
        <v>7266</v>
      </c>
      <c r="K287" s="19" t="s">
        <v>7267</v>
      </c>
      <c r="L287" s="20">
        <v>45394.0</v>
      </c>
      <c r="M287" s="20">
        <v>45399.0</v>
      </c>
      <c r="N287" s="20">
        <v>45399.0</v>
      </c>
      <c r="O287" s="19" t="s">
        <v>851</v>
      </c>
      <c r="P287" s="19">
        <v>0.0</v>
      </c>
      <c r="Q287" s="19">
        <v>22.0</v>
      </c>
      <c r="R287" s="19">
        <v>8101.0</v>
      </c>
      <c r="S287" s="20" t="s">
        <v>7268</v>
      </c>
      <c r="T287" s="20">
        <v>45461.0</v>
      </c>
      <c r="U287" s="19" t="s">
        <v>7264</v>
      </c>
      <c r="V287" s="19"/>
      <c r="W287" s="19"/>
      <c r="X287" s="21">
        <v>0.0</v>
      </c>
      <c r="Y287" s="21">
        <v>10.0</v>
      </c>
      <c r="Z287" s="21">
        <v>4.0</v>
      </c>
      <c r="AA287" s="21">
        <v>0.0</v>
      </c>
      <c r="AB287" s="5">
        <v>14.0</v>
      </c>
      <c r="AC287" s="19">
        <v>4.2</v>
      </c>
      <c r="AD287" s="19">
        <v>4.0</v>
      </c>
      <c r="AE287" s="19">
        <v>4.2</v>
      </c>
      <c r="AF287" s="19">
        <v>3.7</v>
      </c>
      <c r="AG287" s="19">
        <v>3.7</v>
      </c>
      <c r="AH287" s="19">
        <v>4.5</v>
      </c>
      <c r="AI287" s="22">
        <v>12.206249999999999</v>
      </c>
      <c r="AJ287" s="19">
        <v>15.0</v>
      </c>
      <c r="AK287" s="19">
        <v>15.0</v>
      </c>
      <c r="AL287" s="19">
        <v>15.0</v>
      </c>
      <c r="AM287" s="19">
        <v>45.0</v>
      </c>
      <c r="AN287" s="19">
        <v>57.2</v>
      </c>
      <c r="AO287" s="19">
        <v>71.2</v>
      </c>
      <c r="AP287" s="19">
        <v>615.0</v>
      </c>
      <c r="AQ287" s="23">
        <v>280.0</v>
      </c>
      <c r="AR287" s="23">
        <v>20.0</v>
      </c>
      <c r="AS287" s="22"/>
      <c r="AT287" s="19" t="s">
        <v>2163</v>
      </c>
      <c r="AU287" s="19" t="s">
        <v>2970</v>
      </c>
      <c r="AV287" s="19" t="s">
        <v>7269</v>
      </c>
      <c r="AW287" s="19"/>
      <c r="AX287" s="20">
        <v>37360.0</v>
      </c>
      <c r="AY287" s="19" t="s">
        <v>2309</v>
      </c>
      <c r="AZ287" s="19" t="s">
        <v>2122</v>
      </c>
      <c r="BA287" s="19" t="s">
        <v>7270</v>
      </c>
      <c r="BB287" s="19" t="s">
        <v>7271</v>
      </c>
      <c r="BC287" s="19" t="s">
        <v>7272</v>
      </c>
      <c r="BD287" s="19" t="s">
        <v>7273</v>
      </c>
      <c r="BE287" s="19" t="s">
        <v>7274</v>
      </c>
      <c r="BF287" s="19">
        <v>1.1913714244E10</v>
      </c>
      <c r="BG287" s="19" t="s">
        <v>2127</v>
      </c>
      <c r="BH287" s="19" t="s">
        <v>2128</v>
      </c>
      <c r="BI287" s="19"/>
      <c r="BJ287" s="19" t="s">
        <v>2128</v>
      </c>
      <c r="BK287" s="19" t="s">
        <v>16</v>
      </c>
      <c r="BL287" s="19"/>
      <c r="BM287" s="19" t="s">
        <v>5411</v>
      </c>
      <c r="BN287" s="19" t="s">
        <v>2172</v>
      </c>
      <c r="BO287" s="19" t="s">
        <v>2317</v>
      </c>
      <c r="BP287" s="19" t="s">
        <v>7275</v>
      </c>
      <c r="BQ287" s="19" t="s">
        <v>2318</v>
      </c>
      <c r="BR287" s="19" t="s">
        <v>2318</v>
      </c>
      <c r="BS287" s="19" t="s">
        <v>2134</v>
      </c>
      <c r="BT287" s="19" t="s">
        <v>42</v>
      </c>
      <c r="BU287" s="19" t="s">
        <v>2560</v>
      </c>
      <c r="BV287" s="19"/>
      <c r="BW287" s="19"/>
      <c r="BX287" s="19"/>
      <c r="BY287" s="19" t="s">
        <v>2113</v>
      </c>
      <c r="BZ287" s="19"/>
      <c r="CA287" s="19"/>
      <c r="CB287" s="19" t="s">
        <v>2113</v>
      </c>
      <c r="CC287" s="19"/>
      <c r="CD287" s="19" t="s">
        <v>2137</v>
      </c>
      <c r="CE287" s="19" t="s">
        <v>16</v>
      </c>
      <c r="CF287" s="19"/>
      <c r="CG287" s="19"/>
      <c r="CH287" s="19" t="s">
        <v>16</v>
      </c>
      <c r="CI287" s="21">
        <v>0.0</v>
      </c>
      <c r="CJ287" s="19" t="s">
        <v>17</v>
      </c>
      <c r="CK287" s="19"/>
      <c r="CL287" s="19"/>
      <c r="CM287" s="19" t="s">
        <v>2344</v>
      </c>
      <c r="CN287" s="19" t="s">
        <v>2321</v>
      </c>
      <c r="CO287" s="19"/>
      <c r="CP287" s="19" t="s">
        <v>2134</v>
      </c>
      <c r="CQ287" s="19"/>
      <c r="CR287" s="19"/>
      <c r="CS287" s="19"/>
      <c r="CT287" s="19"/>
      <c r="CU287" s="19"/>
      <c r="CV287" s="19" t="s">
        <v>2141</v>
      </c>
      <c r="CW287" s="19"/>
      <c r="CX287" s="19"/>
      <c r="CY287" s="19" t="s">
        <v>2113</v>
      </c>
      <c r="CZ287" s="19" t="s">
        <v>2113</v>
      </c>
      <c r="DA287" s="19" t="s">
        <v>16</v>
      </c>
      <c r="DB287" s="19" t="s">
        <v>17</v>
      </c>
      <c r="DC287" s="19" t="s">
        <v>2712</v>
      </c>
      <c r="DD287" s="19" t="s">
        <v>2113</v>
      </c>
      <c r="DE287" s="19" t="s">
        <v>2113</v>
      </c>
      <c r="DF287" s="19" t="s">
        <v>2324</v>
      </c>
      <c r="DG287" s="19" t="s">
        <v>2207</v>
      </c>
      <c r="DH287" s="19" t="s">
        <v>2144</v>
      </c>
      <c r="DI287" s="24">
        <v>45524.0</v>
      </c>
      <c r="DJ287" s="19" t="s">
        <v>2325</v>
      </c>
      <c r="DK287" s="19" t="s">
        <v>2271</v>
      </c>
      <c r="DL287" s="19" t="s">
        <v>2326</v>
      </c>
      <c r="DM287" s="19"/>
      <c r="DN287" s="19">
        <v>8.0</v>
      </c>
      <c r="DO287" s="19">
        <v>8.0</v>
      </c>
      <c r="DP287" s="19" t="s">
        <v>7276</v>
      </c>
      <c r="DQ287" s="19" t="s">
        <v>7277</v>
      </c>
      <c r="DR287" s="19" t="s">
        <v>7278</v>
      </c>
      <c r="DS287" s="19" t="s">
        <v>2185</v>
      </c>
      <c r="DT287" s="19" t="s">
        <v>2350</v>
      </c>
      <c r="DU287" s="19"/>
      <c r="DV287" s="19"/>
      <c r="DW287" s="19" t="s">
        <v>2479</v>
      </c>
      <c r="DX287" s="19">
        <v>6.0</v>
      </c>
      <c r="DY287" s="19">
        <v>10.0</v>
      </c>
      <c r="DZ287" s="19">
        <v>0.0</v>
      </c>
      <c r="EA287" s="19">
        <v>10.0</v>
      </c>
      <c r="EB287" s="19">
        <v>0.0</v>
      </c>
      <c r="EC287" s="19">
        <v>0.0</v>
      </c>
      <c r="ED287" s="19" t="s">
        <v>2325</v>
      </c>
      <c r="EE287" s="24">
        <v>45524.0</v>
      </c>
      <c r="EF287" s="19" t="s">
        <v>2325</v>
      </c>
      <c r="EG287" s="19" t="s">
        <v>2271</v>
      </c>
      <c r="EH287" s="19" t="s">
        <v>2326</v>
      </c>
      <c r="EI287" s="22">
        <v>12.206249999999999</v>
      </c>
      <c r="EJ287" s="19">
        <v>45.0</v>
      </c>
      <c r="EK287" s="19" t="s">
        <v>2113</v>
      </c>
      <c r="EL287" s="19" t="s">
        <v>2163</v>
      </c>
      <c r="EM287" s="19" t="s">
        <v>2970</v>
      </c>
      <c r="EN287" s="19" t="s">
        <v>852</v>
      </c>
      <c r="EO287" s="19" t="s">
        <v>2309</v>
      </c>
      <c r="EP287" s="19" t="s">
        <v>2122</v>
      </c>
      <c r="EQ287" s="19" t="s">
        <v>2321</v>
      </c>
      <c r="ER287" s="19"/>
      <c r="ES287" s="19" t="s">
        <v>852</v>
      </c>
      <c r="ET287" s="19" t="s">
        <v>852</v>
      </c>
      <c r="EU287" s="19" t="s">
        <v>7267</v>
      </c>
      <c r="EV287" s="19">
        <v>8101.0</v>
      </c>
      <c r="EW287" s="19" t="s">
        <v>16</v>
      </c>
      <c r="EX287" s="19">
        <v>4.0</v>
      </c>
      <c r="EY287" s="25" t="s">
        <v>851</v>
      </c>
      <c r="EZ287" s="19" t="s">
        <v>2154</v>
      </c>
      <c r="FA287" s="5" t="s">
        <v>7279</v>
      </c>
      <c r="FB287" s="26" t="s">
        <v>2156</v>
      </c>
      <c r="FC287" s="26"/>
    </row>
    <row r="288">
      <c r="A288" s="19" t="s">
        <v>2156</v>
      </c>
      <c r="B288" s="19"/>
      <c r="C288" s="19" t="s">
        <v>2113</v>
      </c>
      <c r="D288" s="19" t="s">
        <v>853</v>
      </c>
      <c r="E288" s="19" t="s">
        <v>7280</v>
      </c>
      <c r="F288" s="19" t="s">
        <v>7281</v>
      </c>
      <c r="G288" s="19" t="s">
        <v>7282</v>
      </c>
      <c r="H288" s="19" t="s">
        <v>853</v>
      </c>
      <c r="I288" s="19" t="s">
        <v>855</v>
      </c>
      <c r="J288" s="19" t="s">
        <v>7283</v>
      </c>
      <c r="K288" s="19" t="s">
        <v>7284</v>
      </c>
      <c r="L288" s="20">
        <v>45459.0</v>
      </c>
      <c r="M288" s="20">
        <v>45460.0</v>
      </c>
      <c r="N288" s="20">
        <v>45460.0</v>
      </c>
      <c r="O288" s="19" t="s">
        <v>854</v>
      </c>
      <c r="P288" s="19">
        <v>0.0</v>
      </c>
      <c r="Q288" s="19">
        <v>18.0</v>
      </c>
      <c r="R288" s="19">
        <v>6629.0</v>
      </c>
      <c r="S288" s="20" t="s">
        <v>7285</v>
      </c>
      <c r="T288" s="20">
        <v>45461.0</v>
      </c>
      <c r="U288" s="19" t="s">
        <v>7281</v>
      </c>
      <c r="V288" s="19"/>
      <c r="W288" s="19"/>
      <c r="X288" s="21">
        <v>0.0</v>
      </c>
      <c r="Y288" s="21">
        <v>10.0</v>
      </c>
      <c r="Z288" s="21">
        <v>2.0</v>
      </c>
      <c r="AA288" s="21">
        <v>0.0</v>
      </c>
      <c r="AB288" s="5">
        <v>12.0</v>
      </c>
      <c r="AC288" s="19">
        <v>4.5</v>
      </c>
      <c r="AD288" s="19">
        <v>5.0</v>
      </c>
      <c r="AE288" s="19">
        <v>5.0</v>
      </c>
      <c r="AF288" s="19">
        <v>5.0</v>
      </c>
      <c r="AG288" s="19">
        <v>4.0</v>
      </c>
      <c r="AH288" s="19">
        <v>4.56</v>
      </c>
      <c r="AI288" s="22">
        <v>14.225625</v>
      </c>
      <c r="AJ288" s="19">
        <v>15.0</v>
      </c>
      <c r="AK288" s="19">
        <v>15.0</v>
      </c>
      <c r="AL288" s="19">
        <v>15.0</v>
      </c>
      <c r="AM288" s="19">
        <v>45.0</v>
      </c>
      <c r="AN288" s="19">
        <v>59.2</v>
      </c>
      <c r="AO288" s="19">
        <v>71.2</v>
      </c>
      <c r="AP288" s="19">
        <v>908.0</v>
      </c>
      <c r="AQ288" s="23">
        <v>281.0</v>
      </c>
      <c r="AR288" s="23">
        <v>21.0</v>
      </c>
      <c r="AS288" s="22"/>
      <c r="AT288" s="19" t="s">
        <v>2163</v>
      </c>
      <c r="AU288" s="19" t="s">
        <v>5222</v>
      </c>
      <c r="AV288" s="19" t="s">
        <v>7286</v>
      </c>
      <c r="AW288" s="19" t="s">
        <v>7287</v>
      </c>
      <c r="AX288" s="20">
        <v>38832.0</v>
      </c>
      <c r="AY288" s="19" t="s">
        <v>4978</v>
      </c>
      <c r="AZ288" s="19" t="s">
        <v>2122</v>
      </c>
      <c r="BA288" s="19" t="s">
        <v>7288</v>
      </c>
      <c r="BB288" s="19" t="s">
        <v>7289</v>
      </c>
      <c r="BC288" s="19" t="s">
        <v>7290</v>
      </c>
      <c r="BD288" s="19" t="s">
        <v>7291</v>
      </c>
      <c r="BE288" s="19" t="s">
        <v>7283</v>
      </c>
      <c r="BF288" s="19" t="s">
        <v>7292</v>
      </c>
      <c r="BG288" s="19" t="s">
        <v>2127</v>
      </c>
      <c r="BH288" s="19" t="s">
        <v>2128</v>
      </c>
      <c r="BI288" s="19"/>
      <c r="BJ288" s="19" t="s">
        <v>2128</v>
      </c>
      <c r="BK288" s="19" t="s">
        <v>17</v>
      </c>
      <c r="BL288" s="19"/>
      <c r="BM288" s="19" t="s">
        <v>5411</v>
      </c>
      <c r="BN288" s="19" t="s">
        <v>2172</v>
      </c>
      <c r="BO288" s="19" t="s">
        <v>3199</v>
      </c>
      <c r="BP288" s="19"/>
      <c r="BQ288" s="19" t="s">
        <v>2318</v>
      </c>
      <c r="BR288" s="19" t="s">
        <v>2318</v>
      </c>
      <c r="BS288" s="19" t="s">
        <v>2134</v>
      </c>
      <c r="BT288" s="19" t="s">
        <v>42</v>
      </c>
      <c r="BU288" s="19" t="s">
        <v>3501</v>
      </c>
      <c r="BV288" s="19"/>
      <c r="BW288" s="19" t="s">
        <v>2113</v>
      </c>
      <c r="BX288" s="19"/>
      <c r="BY288" s="19"/>
      <c r="BZ288" s="19"/>
      <c r="CA288" s="19"/>
      <c r="CB288" s="19" t="s">
        <v>2113</v>
      </c>
      <c r="CC288" s="19"/>
      <c r="CD288" s="19" t="s">
        <v>2137</v>
      </c>
      <c r="CE288" s="19" t="s">
        <v>16</v>
      </c>
      <c r="CF288" s="19"/>
      <c r="CG288" s="19"/>
      <c r="CH288" s="19" t="s">
        <v>16</v>
      </c>
      <c r="CI288" s="21">
        <v>0.0</v>
      </c>
      <c r="CJ288" s="19" t="s">
        <v>17</v>
      </c>
      <c r="CK288" s="19"/>
      <c r="CL288" s="19"/>
      <c r="CM288" s="19" t="s">
        <v>2138</v>
      </c>
      <c r="CN288" s="19" t="s">
        <v>4985</v>
      </c>
      <c r="CO288" s="19"/>
      <c r="CP288" s="19" t="s">
        <v>2134</v>
      </c>
      <c r="CQ288" s="19"/>
      <c r="CR288" s="19" t="s">
        <v>2113</v>
      </c>
      <c r="CS288" s="19" t="s">
        <v>2113</v>
      </c>
      <c r="CT288" s="19" t="s">
        <v>2113</v>
      </c>
      <c r="CU288" s="19" t="s">
        <v>2113</v>
      </c>
      <c r="CV288" s="19" t="s">
        <v>2141</v>
      </c>
      <c r="CW288" s="19"/>
      <c r="CX288" s="19"/>
      <c r="CY288" s="19"/>
      <c r="CZ288" s="19"/>
      <c r="DA288" s="19" t="s">
        <v>16</v>
      </c>
      <c r="DB288" s="19" t="s">
        <v>17</v>
      </c>
      <c r="DC288" s="19" t="s">
        <v>2982</v>
      </c>
      <c r="DD288" s="19" t="s">
        <v>2113</v>
      </c>
      <c r="DE288" s="19" t="s">
        <v>2113</v>
      </c>
      <c r="DF288" s="19" t="s">
        <v>2248</v>
      </c>
      <c r="DG288" s="19" t="s">
        <v>2712</v>
      </c>
      <c r="DH288" s="19" t="s">
        <v>2144</v>
      </c>
      <c r="DI288" s="24">
        <v>45518.0</v>
      </c>
      <c r="DJ288" s="19" t="s">
        <v>2325</v>
      </c>
      <c r="DK288" s="19" t="s">
        <v>2145</v>
      </c>
      <c r="DL288" s="19" t="s">
        <v>2326</v>
      </c>
      <c r="DM288" s="19"/>
      <c r="DN288" s="19">
        <v>3.0</v>
      </c>
      <c r="DO288" s="19">
        <v>3.0</v>
      </c>
      <c r="DP288" s="19" t="s">
        <v>7293</v>
      </c>
      <c r="DQ288" s="19" t="s">
        <v>7294</v>
      </c>
      <c r="DR288" s="19" t="s">
        <v>7295</v>
      </c>
      <c r="DS288" s="19" t="s">
        <v>2185</v>
      </c>
      <c r="DT288" s="19" t="s">
        <v>2366</v>
      </c>
      <c r="DU288" s="19"/>
      <c r="DV288" s="19"/>
      <c r="DW288" s="19" t="s">
        <v>2188</v>
      </c>
      <c r="DX288" s="19">
        <v>5.0</v>
      </c>
      <c r="DY288" s="19">
        <v>10.0</v>
      </c>
      <c r="DZ288" s="19">
        <v>0.0</v>
      </c>
      <c r="EA288" s="19">
        <v>10.0</v>
      </c>
      <c r="EB288" s="19">
        <v>0.0</v>
      </c>
      <c r="EC288" s="19">
        <v>0.0</v>
      </c>
      <c r="ED288" s="19" t="s">
        <v>2325</v>
      </c>
      <c r="EE288" s="24">
        <v>45518.0</v>
      </c>
      <c r="EF288" s="19" t="s">
        <v>2325</v>
      </c>
      <c r="EG288" s="19" t="s">
        <v>2145</v>
      </c>
      <c r="EH288" s="19" t="s">
        <v>2326</v>
      </c>
      <c r="EI288" s="22">
        <v>14.225625</v>
      </c>
      <c r="EJ288" s="19">
        <v>45.0</v>
      </c>
      <c r="EK288" s="19" t="s">
        <v>2113</v>
      </c>
      <c r="EL288" s="19" t="s">
        <v>2163</v>
      </c>
      <c r="EM288" s="19" t="s">
        <v>5222</v>
      </c>
      <c r="EN288" s="19" t="s">
        <v>855</v>
      </c>
      <c r="EO288" s="19" t="s">
        <v>4978</v>
      </c>
      <c r="EP288" s="19" t="s">
        <v>2122</v>
      </c>
      <c r="EQ288" s="19" t="s">
        <v>4985</v>
      </c>
      <c r="ER288" s="19"/>
      <c r="ES288" s="19" t="s">
        <v>855</v>
      </c>
      <c r="ET288" s="19" t="s">
        <v>855</v>
      </c>
      <c r="EU288" s="19" t="s">
        <v>7284</v>
      </c>
      <c r="EV288" s="19">
        <v>6629.0</v>
      </c>
      <c r="EW288" s="19" t="s">
        <v>16</v>
      </c>
      <c r="EX288" s="19">
        <v>2.0</v>
      </c>
      <c r="EY288" s="25" t="s">
        <v>854</v>
      </c>
      <c r="EZ288" s="19" t="s">
        <v>2154</v>
      </c>
      <c r="FA288" s="5" t="s">
        <v>7296</v>
      </c>
      <c r="FB288" s="26" t="s">
        <v>2156</v>
      </c>
      <c r="FC288" s="26"/>
    </row>
    <row r="289">
      <c r="A289" s="19" t="s">
        <v>2112</v>
      </c>
      <c r="B289" s="19"/>
      <c r="C289" s="19" t="s">
        <v>2113</v>
      </c>
      <c r="D289" s="19" t="s">
        <v>856</v>
      </c>
      <c r="E289" s="19" t="s">
        <v>7297</v>
      </c>
      <c r="F289" s="19" t="s">
        <v>856</v>
      </c>
      <c r="G289" s="19"/>
      <c r="H289" s="19" t="s">
        <v>856</v>
      </c>
      <c r="I289" s="19" t="s">
        <v>858</v>
      </c>
      <c r="J289" s="19" t="s">
        <v>7298</v>
      </c>
      <c r="K289" s="19" t="s">
        <v>7299</v>
      </c>
      <c r="L289" s="20">
        <v>45409.0</v>
      </c>
      <c r="M289" s="20">
        <v>45411.0</v>
      </c>
      <c r="N289" s="20">
        <v>45411.0</v>
      </c>
      <c r="O289" s="19" t="s">
        <v>857</v>
      </c>
      <c r="P289" s="19">
        <v>0.0</v>
      </c>
      <c r="Q289" s="19">
        <v>22.0</v>
      </c>
      <c r="R289" s="19">
        <v>8062.0</v>
      </c>
      <c r="S289" s="20" t="s">
        <v>7300</v>
      </c>
      <c r="T289" s="20">
        <v>45461.0</v>
      </c>
      <c r="U289" s="19" t="s">
        <v>856</v>
      </c>
      <c r="V289" s="19"/>
      <c r="W289" s="19"/>
      <c r="X289" s="21">
        <v>0.0</v>
      </c>
      <c r="Y289" s="21">
        <v>10.0</v>
      </c>
      <c r="Z289" s="21">
        <v>3.0</v>
      </c>
      <c r="AA289" s="21">
        <v>0.0</v>
      </c>
      <c r="AB289" s="5">
        <v>13.0</v>
      </c>
      <c r="AC289" s="19">
        <v>4.4</v>
      </c>
      <c r="AD289" s="19">
        <v>4.8</v>
      </c>
      <c r="AE289" s="19">
        <v>4.2</v>
      </c>
      <c r="AF289" s="19">
        <v>4.4</v>
      </c>
      <c r="AG289" s="19">
        <v>3.8</v>
      </c>
      <c r="AH289" s="19">
        <v>4.4</v>
      </c>
      <c r="AI289" s="22">
        <v>13.087499999999999</v>
      </c>
      <c r="AJ289" s="19">
        <v>15.0</v>
      </c>
      <c r="AK289" s="19">
        <v>15.0</v>
      </c>
      <c r="AL289" s="19">
        <v>15.0</v>
      </c>
      <c r="AM289" s="19">
        <v>45.0</v>
      </c>
      <c r="AN289" s="19">
        <v>58.1</v>
      </c>
      <c r="AO289" s="19">
        <v>71.1</v>
      </c>
      <c r="AP289" s="19">
        <v>737.0</v>
      </c>
      <c r="AQ289" s="23">
        <v>282.0</v>
      </c>
      <c r="AR289" s="23">
        <v>24.0</v>
      </c>
      <c r="AS289" s="22"/>
      <c r="AT289" s="19" t="s">
        <v>2282</v>
      </c>
      <c r="AU289" s="19" t="s">
        <v>4216</v>
      </c>
      <c r="AV289" s="19" t="s">
        <v>7301</v>
      </c>
      <c r="AW289" s="19"/>
      <c r="AX289" s="20">
        <v>37399.0</v>
      </c>
      <c r="AY289" s="19" t="s">
        <v>4860</v>
      </c>
      <c r="AZ289" s="19" t="s">
        <v>2122</v>
      </c>
      <c r="BA289" s="19" t="s">
        <v>7302</v>
      </c>
      <c r="BB289" s="19" t="s">
        <v>7303</v>
      </c>
      <c r="BC289" s="19" t="s">
        <v>7304</v>
      </c>
      <c r="BD289" s="19" t="s">
        <v>7305</v>
      </c>
      <c r="BE289" s="19" t="s">
        <v>7306</v>
      </c>
      <c r="BF289" s="19">
        <v>1.1975239558E10</v>
      </c>
      <c r="BG289" s="19" t="s">
        <v>2127</v>
      </c>
      <c r="BH289" s="19" t="s">
        <v>2649</v>
      </c>
      <c r="BI289" s="19"/>
      <c r="BJ289" s="19" t="s">
        <v>2128</v>
      </c>
      <c r="BK289" s="19" t="s">
        <v>17</v>
      </c>
      <c r="BL289" s="19"/>
      <c r="BM289" s="19" t="s">
        <v>5411</v>
      </c>
      <c r="BN289" s="19" t="s">
        <v>7307</v>
      </c>
      <c r="BO289" s="19" t="s">
        <v>2473</v>
      </c>
      <c r="BP289" s="19" t="s">
        <v>7308</v>
      </c>
      <c r="BQ289" s="19" t="s">
        <v>2325</v>
      </c>
      <c r="BR289" s="19" t="s">
        <v>2325</v>
      </c>
      <c r="BS289" s="19" t="s">
        <v>2134</v>
      </c>
      <c r="BT289" s="19" t="s">
        <v>59</v>
      </c>
      <c r="BU289" s="19" t="s">
        <v>7309</v>
      </c>
      <c r="BV289" s="19"/>
      <c r="BW289" s="19"/>
      <c r="BX289" s="19"/>
      <c r="BY289" s="19" t="s">
        <v>2113</v>
      </c>
      <c r="BZ289" s="19" t="s">
        <v>2113</v>
      </c>
      <c r="CA289" s="19"/>
      <c r="CB289" s="19"/>
      <c r="CC289" s="19"/>
      <c r="CD289" s="19" t="s">
        <v>2137</v>
      </c>
      <c r="CE289" s="19" t="s">
        <v>16</v>
      </c>
      <c r="CF289" s="19"/>
      <c r="CG289" s="19"/>
      <c r="CH289" s="19" t="s">
        <v>16</v>
      </c>
      <c r="CI289" s="21">
        <v>0.0</v>
      </c>
      <c r="CJ289" s="19" t="s">
        <v>16</v>
      </c>
      <c r="CK289" s="19"/>
      <c r="CL289" s="19"/>
      <c r="CM289" s="19" t="s">
        <v>2344</v>
      </c>
      <c r="CN289" s="19" t="s">
        <v>3064</v>
      </c>
      <c r="CO289" s="19"/>
      <c r="CP289" s="19" t="s">
        <v>2140</v>
      </c>
      <c r="CQ289" s="19"/>
      <c r="CR289" s="19"/>
      <c r="CS289" s="19"/>
      <c r="CT289" s="19" t="s">
        <v>2113</v>
      </c>
      <c r="CU289" s="19" t="s">
        <v>2113</v>
      </c>
      <c r="CV289" s="19" t="s">
        <v>2179</v>
      </c>
      <c r="CW289" s="19"/>
      <c r="CX289" s="19"/>
      <c r="CY289" s="19" t="s">
        <v>2113</v>
      </c>
      <c r="CZ289" s="19" t="s">
        <v>2113</v>
      </c>
      <c r="DA289" s="19" t="s">
        <v>16</v>
      </c>
      <c r="DB289" s="19" t="s">
        <v>16</v>
      </c>
      <c r="DC289" s="19" t="s">
        <v>3221</v>
      </c>
      <c r="DD289" s="19" t="s">
        <v>2113</v>
      </c>
      <c r="DE289" s="19" t="s">
        <v>2113</v>
      </c>
      <c r="DF289" s="19" t="s">
        <v>2433</v>
      </c>
      <c r="DG289" s="19" t="s">
        <v>2602</v>
      </c>
      <c r="DH289" s="19" t="s">
        <v>2144</v>
      </c>
      <c r="DI289" s="24">
        <v>45525.0</v>
      </c>
      <c r="DJ289" s="19" t="s">
        <v>2325</v>
      </c>
      <c r="DK289" s="19" t="s">
        <v>2145</v>
      </c>
      <c r="DL289" s="19" t="s">
        <v>2326</v>
      </c>
      <c r="DM289" s="19"/>
      <c r="DN289" s="19">
        <v>9.0</v>
      </c>
      <c r="DO289" s="19">
        <v>9.0</v>
      </c>
      <c r="DP289" s="19"/>
      <c r="DQ289" s="19"/>
      <c r="DR289" s="19"/>
      <c r="DS289" s="19" t="s">
        <v>2365</v>
      </c>
      <c r="DT289" s="19" t="s">
        <v>2229</v>
      </c>
      <c r="DU289" s="19" t="s">
        <v>7310</v>
      </c>
      <c r="DV289" s="19"/>
      <c r="DW289" s="19" t="s">
        <v>2479</v>
      </c>
      <c r="DX289" s="19">
        <v>11.0</v>
      </c>
      <c r="DY289" s="19">
        <v>10.0</v>
      </c>
      <c r="DZ289" s="19">
        <v>0.0</v>
      </c>
      <c r="EA289" s="19">
        <v>10.0</v>
      </c>
      <c r="EB289" s="19">
        <v>0.0</v>
      </c>
      <c r="EC289" s="19">
        <v>0.0</v>
      </c>
      <c r="ED289" s="19" t="s">
        <v>2325</v>
      </c>
      <c r="EE289" s="24">
        <v>45525.0</v>
      </c>
      <c r="EF289" s="19" t="s">
        <v>2325</v>
      </c>
      <c r="EG289" s="19" t="s">
        <v>2145</v>
      </c>
      <c r="EH289" s="19" t="s">
        <v>2326</v>
      </c>
      <c r="EI289" s="22">
        <v>13.087499999999999</v>
      </c>
      <c r="EJ289" s="19">
        <v>45.0</v>
      </c>
      <c r="EK289" s="19"/>
      <c r="EL289" s="19" t="s">
        <v>2282</v>
      </c>
      <c r="EM289" s="19" t="s">
        <v>4216</v>
      </c>
      <c r="EN289" s="19" t="s">
        <v>858</v>
      </c>
      <c r="EO289" s="19" t="s">
        <v>4860</v>
      </c>
      <c r="EP289" s="19" t="s">
        <v>2122</v>
      </c>
      <c r="EQ289" s="19" t="s">
        <v>3064</v>
      </c>
      <c r="ER289" s="19"/>
      <c r="ES289" s="19" t="s">
        <v>858</v>
      </c>
      <c r="ET289" s="19" t="s">
        <v>858</v>
      </c>
      <c r="EU289" s="19" t="s">
        <v>7299</v>
      </c>
      <c r="EV289" s="19">
        <v>8062.0</v>
      </c>
      <c r="EW289" s="19" t="s">
        <v>16</v>
      </c>
      <c r="EX289" s="19">
        <v>3.0</v>
      </c>
      <c r="EY289" s="25" t="s">
        <v>857</v>
      </c>
      <c r="EZ289" s="19" t="s">
        <v>2154</v>
      </c>
      <c r="FA289" s="5" t="s">
        <v>7311</v>
      </c>
      <c r="FB289" s="26" t="s">
        <v>2156</v>
      </c>
      <c r="FC289" s="26"/>
    </row>
    <row r="290">
      <c r="A290" s="19" t="s">
        <v>17</v>
      </c>
      <c r="B290" s="19" t="s">
        <v>2113</v>
      </c>
      <c r="C290" s="19" t="s">
        <v>2113</v>
      </c>
      <c r="D290" s="19" t="s">
        <v>7312</v>
      </c>
      <c r="E290" s="19" t="s">
        <v>7313</v>
      </c>
      <c r="F290" s="19" t="s">
        <v>859</v>
      </c>
      <c r="G290" s="19" t="s">
        <v>7314</v>
      </c>
      <c r="H290" s="19" t="s">
        <v>859</v>
      </c>
      <c r="I290" s="19" t="s">
        <v>861</v>
      </c>
      <c r="J290" s="19" t="s">
        <v>7315</v>
      </c>
      <c r="K290" s="19" t="s">
        <v>7316</v>
      </c>
      <c r="L290" s="20">
        <v>45458.0</v>
      </c>
      <c r="M290" s="20">
        <v>45460.0</v>
      </c>
      <c r="N290" s="20">
        <v>45460.0</v>
      </c>
      <c r="O290" s="19" t="s">
        <v>860</v>
      </c>
      <c r="P290" s="19">
        <v>0.0</v>
      </c>
      <c r="Q290" s="19">
        <v>21.0</v>
      </c>
      <c r="R290" s="19">
        <v>7706.0</v>
      </c>
      <c r="S290" s="20" t="s">
        <v>7317</v>
      </c>
      <c r="T290" s="20">
        <v>45461.0</v>
      </c>
      <c r="U290" s="19" t="s">
        <v>859</v>
      </c>
      <c r="V290" s="19"/>
      <c r="W290" s="19"/>
      <c r="X290" s="21">
        <v>20.0</v>
      </c>
      <c r="Y290" s="21">
        <v>10.0</v>
      </c>
      <c r="Z290" s="21">
        <v>2.0</v>
      </c>
      <c r="AA290" s="21">
        <v>0.0</v>
      </c>
      <c r="AB290" s="5">
        <v>32.0</v>
      </c>
      <c r="AC290" s="19">
        <v>3.0</v>
      </c>
      <c r="AD290" s="19">
        <v>2.5</v>
      </c>
      <c r="AE290" s="19">
        <v>3.0</v>
      </c>
      <c r="AF290" s="19">
        <v>3.0</v>
      </c>
      <c r="AG290" s="19">
        <v>2.5</v>
      </c>
      <c r="AH290" s="19">
        <v>4.5</v>
      </c>
      <c r="AI290" s="22">
        <v>9.046875</v>
      </c>
      <c r="AJ290" s="19">
        <v>10.0</v>
      </c>
      <c r="AK290" s="19">
        <v>10.0</v>
      </c>
      <c r="AL290" s="19">
        <v>10.0</v>
      </c>
      <c r="AM290" s="19">
        <v>30.0</v>
      </c>
      <c r="AN290" s="19">
        <v>39.0</v>
      </c>
      <c r="AO290" s="19">
        <v>71.0</v>
      </c>
      <c r="AP290" s="19">
        <v>195.0</v>
      </c>
      <c r="AQ290" s="23">
        <v>283.0</v>
      </c>
      <c r="AR290" s="23">
        <v>7.0</v>
      </c>
      <c r="AS290" s="22"/>
      <c r="AT290" s="19" t="s">
        <v>2163</v>
      </c>
      <c r="AU290" s="19" t="s">
        <v>7318</v>
      </c>
      <c r="AV290" s="19" t="s">
        <v>7319</v>
      </c>
      <c r="AW290" s="19" t="s">
        <v>7320</v>
      </c>
      <c r="AX290" s="20">
        <v>37755.0</v>
      </c>
      <c r="AY290" s="19" t="s">
        <v>3441</v>
      </c>
      <c r="AZ290" s="19" t="s">
        <v>2310</v>
      </c>
      <c r="BA290" s="19" t="s">
        <v>7321</v>
      </c>
      <c r="BB290" s="19" t="s">
        <v>7322</v>
      </c>
      <c r="BC290" s="19" t="s">
        <v>7323</v>
      </c>
      <c r="BD290" s="19" t="s">
        <v>7324</v>
      </c>
      <c r="BE290" s="19" t="s">
        <v>7315</v>
      </c>
      <c r="BF290" s="19">
        <v>6.199881312E10</v>
      </c>
      <c r="BG290" s="19" t="s">
        <v>2127</v>
      </c>
      <c r="BH290" s="19" t="s">
        <v>2128</v>
      </c>
      <c r="BI290" s="19"/>
      <c r="BJ290" s="19" t="s">
        <v>2128</v>
      </c>
      <c r="BK290" s="19" t="s">
        <v>17</v>
      </c>
      <c r="BL290" s="19" t="s">
        <v>2113</v>
      </c>
      <c r="BM290" s="19" t="s">
        <v>2130</v>
      </c>
      <c r="BN290" s="19" t="s">
        <v>7325</v>
      </c>
      <c r="BO290" s="19" t="s">
        <v>3199</v>
      </c>
      <c r="BP290" s="19" t="s">
        <v>7326</v>
      </c>
      <c r="BQ290" s="19" t="s">
        <v>3251</v>
      </c>
      <c r="BR290" s="19" t="s">
        <v>3251</v>
      </c>
      <c r="BS290" s="19" t="s">
        <v>2134</v>
      </c>
      <c r="BT290" s="19" t="s">
        <v>177</v>
      </c>
      <c r="BU290" s="19"/>
      <c r="BV290" s="19" t="s">
        <v>7327</v>
      </c>
      <c r="BW290" s="19"/>
      <c r="BX290" s="19"/>
      <c r="BY290" s="19"/>
      <c r="BZ290" s="19"/>
      <c r="CA290" s="19"/>
      <c r="CB290" s="19"/>
      <c r="CC290" s="19"/>
      <c r="CD290" s="19" t="s">
        <v>2137</v>
      </c>
      <c r="CE290" s="19" t="s">
        <v>16</v>
      </c>
      <c r="CF290" s="19"/>
      <c r="CG290" s="19"/>
      <c r="CH290" s="19" t="s">
        <v>16</v>
      </c>
      <c r="CI290" s="21">
        <v>0.0</v>
      </c>
      <c r="CJ290" s="19" t="s">
        <v>17</v>
      </c>
      <c r="CK290" s="19"/>
      <c r="CL290" s="19"/>
      <c r="CM290" s="19" t="s">
        <v>2138</v>
      </c>
      <c r="CN290" s="19" t="s">
        <v>3253</v>
      </c>
      <c r="CO290" s="19"/>
      <c r="CP290" s="19" t="s">
        <v>2134</v>
      </c>
      <c r="CQ290" s="19"/>
      <c r="CR290" s="19"/>
      <c r="CS290" s="19"/>
      <c r="CT290" s="19"/>
      <c r="CU290" s="19"/>
      <c r="CV290" s="19" t="s">
        <v>2141</v>
      </c>
      <c r="CW290" s="19"/>
      <c r="CX290" s="19"/>
      <c r="CY290" s="19"/>
      <c r="CZ290" s="19"/>
      <c r="DA290" s="19" t="s">
        <v>16</v>
      </c>
      <c r="DB290" s="19" t="s">
        <v>17</v>
      </c>
      <c r="DC290" s="19" t="s">
        <v>3163</v>
      </c>
      <c r="DD290" s="19" t="s">
        <v>2113</v>
      </c>
      <c r="DE290" s="19" t="s">
        <v>2113</v>
      </c>
      <c r="DF290" s="19" t="s">
        <v>2433</v>
      </c>
      <c r="DG290" s="19" t="s">
        <v>3222</v>
      </c>
      <c r="DH290" s="19" t="s">
        <v>2144</v>
      </c>
      <c r="DI290" s="24">
        <v>45518.0</v>
      </c>
      <c r="DJ290" s="19" t="s">
        <v>3257</v>
      </c>
      <c r="DK290" s="19" t="s">
        <v>2271</v>
      </c>
      <c r="DL290" s="19" t="s">
        <v>2207</v>
      </c>
      <c r="DM290" s="22" t="s">
        <v>4602</v>
      </c>
      <c r="DN290" s="19">
        <v>1.0</v>
      </c>
      <c r="DO290" s="19">
        <v>1.0</v>
      </c>
      <c r="DP290" s="19" t="s">
        <v>7328</v>
      </c>
      <c r="DQ290" s="19" t="s">
        <v>7329</v>
      </c>
      <c r="DR290" s="19" t="s">
        <v>7330</v>
      </c>
      <c r="DS290" s="19" t="s">
        <v>2365</v>
      </c>
      <c r="DT290" s="19" t="s">
        <v>2350</v>
      </c>
      <c r="DU290" s="19"/>
      <c r="DV290" s="19"/>
      <c r="DW290" s="19" t="s">
        <v>2188</v>
      </c>
      <c r="DX290" s="19">
        <v>10.0</v>
      </c>
      <c r="DY290" s="19">
        <v>10.0</v>
      </c>
      <c r="DZ290" s="19">
        <v>0.0</v>
      </c>
      <c r="EA290" s="19">
        <v>10.0</v>
      </c>
      <c r="EB290" s="19">
        <v>0.0</v>
      </c>
      <c r="EC290" s="19">
        <v>20.0</v>
      </c>
      <c r="ED290" s="19" t="s">
        <v>3257</v>
      </c>
      <c r="EE290" s="24">
        <v>45518.0</v>
      </c>
      <c r="EF290" s="19" t="s">
        <v>3257</v>
      </c>
      <c r="EG290" s="19" t="s">
        <v>2271</v>
      </c>
      <c r="EH290" s="19" t="s">
        <v>2207</v>
      </c>
      <c r="EI290" s="22">
        <v>9.046875</v>
      </c>
      <c r="EJ290" s="19">
        <v>30.0</v>
      </c>
      <c r="EK290" s="19" t="s">
        <v>2113</v>
      </c>
      <c r="EL290" s="19" t="s">
        <v>2163</v>
      </c>
      <c r="EM290" s="19" t="s">
        <v>7318</v>
      </c>
      <c r="EN290" s="19" t="s">
        <v>861</v>
      </c>
      <c r="EO290" s="19" t="s">
        <v>3441</v>
      </c>
      <c r="EP290" s="19" t="s">
        <v>2310</v>
      </c>
      <c r="EQ290" s="19" t="s">
        <v>3253</v>
      </c>
      <c r="ER290" s="19"/>
      <c r="ES290" s="19" t="s">
        <v>861</v>
      </c>
      <c r="ET290" s="19" t="s">
        <v>861</v>
      </c>
      <c r="EU290" s="19" t="s">
        <v>7316</v>
      </c>
      <c r="EV290" s="19">
        <v>7706.0</v>
      </c>
      <c r="EW290" s="19" t="s">
        <v>16</v>
      </c>
      <c r="EX290" s="19">
        <v>2.0</v>
      </c>
      <c r="EY290" s="25" t="s">
        <v>860</v>
      </c>
      <c r="EZ290" s="19" t="s">
        <v>2154</v>
      </c>
      <c r="FA290" s="5" t="s">
        <v>7331</v>
      </c>
      <c r="FB290" s="26" t="s">
        <v>2156</v>
      </c>
      <c r="FC290" s="26"/>
    </row>
    <row r="291">
      <c r="A291" s="19" t="s">
        <v>2112</v>
      </c>
      <c r="B291" s="19"/>
      <c r="C291" s="19" t="s">
        <v>2113</v>
      </c>
      <c r="D291" s="19" t="s">
        <v>862</v>
      </c>
      <c r="E291" s="19" t="s">
        <v>7332</v>
      </c>
      <c r="F291" s="19" t="s">
        <v>862</v>
      </c>
      <c r="G291" s="19"/>
      <c r="H291" s="19" t="s">
        <v>862</v>
      </c>
      <c r="I291" s="19" t="s">
        <v>864</v>
      </c>
      <c r="J291" s="19" t="s">
        <v>7333</v>
      </c>
      <c r="K291" s="19" t="s">
        <v>7334</v>
      </c>
      <c r="L291" s="20">
        <v>45445.0</v>
      </c>
      <c r="M291" s="20">
        <v>45446.0</v>
      </c>
      <c r="N291" s="20">
        <v>45446.0</v>
      </c>
      <c r="O291" s="19" t="s">
        <v>863</v>
      </c>
      <c r="P291" s="19">
        <v>0.0</v>
      </c>
      <c r="Q291" s="19">
        <v>21.0</v>
      </c>
      <c r="R291" s="19">
        <v>7799.0</v>
      </c>
      <c r="S291" s="20" t="s">
        <v>7335</v>
      </c>
      <c r="T291" s="20">
        <v>45461.0</v>
      </c>
      <c r="U291" s="19" t="s">
        <v>862</v>
      </c>
      <c r="V291" s="19"/>
      <c r="W291" s="19"/>
      <c r="X291" s="21">
        <v>0.0</v>
      </c>
      <c r="Y291" s="21">
        <v>10.0</v>
      </c>
      <c r="Z291" s="21">
        <v>5.0</v>
      </c>
      <c r="AA291" s="21">
        <v>0.0</v>
      </c>
      <c r="AB291" s="5">
        <v>15.0</v>
      </c>
      <c r="AC291" s="19">
        <v>4.4</v>
      </c>
      <c r="AD291" s="19">
        <v>3.0</v>
      </c>
      <c r="AE291" s="19">
        <v>3.8</v>
      </c>
      <c r="AF291" s="19">
        <v>3.8</v>
      </c>
      <c r="AG291" s="19">
        <v>3.6</v>
      </c>
      <c r="AH291" s="19">
        <v>3.6</v>
      </c>
      <c r="AI291" s="22">
        <v>11.00625</v>
      </c>
      <c r="AJ291" s="19">
        <v>15.0</v>
      </c>
      <c r="AK291" s="19">
        <v>15.0</v>
      </c>
      <c r="AL291" s="19">
        <v>15.0</v>
      </c>
      <c r="AM291" s="19">
        <v>45.0</v>
      </c>
      <c r="AN291" s="19">
        <v>56.0</v>
      </c>
      <c r="AO291" s="19">
        <v>71.0</v>
      </c>
      <c r="AP291" s="19">
        <v>479.0</v>
      </c>
      <c r="AQ291" s="23">
        <v>284.0</v>
      </c>
      <c r="AR291" s="23">
        <v>41.0</v>
      </c>
      <c r="AS291" s="22"/>
      <c r="AT291" s="19" t="s">
        <v>2282</v>
      </c>
      <c r="AU291" s="19" t="s">
        <v>7336</v>
      </c>
      <c r="AV291" s="19" t="s">
        <v>7337</v>
      </c>
      <c r="AW291" s="19" t="s">
        <v>7338</v>
      </c>
      <c r="AX291" s="20">
        <v>37662.0</v>
      </c>
      <c r="AY291" s="19" t="s">
        <v>5516</v>
      </c>
      <c r="AZ291" s="19" t="s">
        <v>2122</v>
      </c>
      <c r="BA291" s="19" t="s">
        <v>7339</v>
      </c>
      <c r="BB291" s="19" t="s">
        <v>7340</v>
      </c>
      <c r="BC291" s="19" t="s">
        <v>7341</v>
      </c>
      <c r="BD291" s="19" t="s">
        <v>7342</v>
      </c>
      <c r="BE291" s="19" t="s">
        <v>7333</v>
      </c>
      <c r="BF291" s="19">
        <v>1.1956766551E10</v>
      </c>
      <c r="BG291" s="19" t="s">
        <v>2127</v>
      </c>
      <c r="BH291" s="19" t="s">
        <v>2128</v>
      </c>
      <c r="BI291" s="19"/>
      <c r="BJ291" s="19"/>
      <c r="BK291" s="19" t="s">
        <v>16</v>
      </c>
      <c r="BL291" s="19" t="s">
        <v>2113</v>
      </c>
      <c r="BM291" s="19" t="s">
        <v>5563</v>
      </c>
      <c r="BN291" s="19" t="s">
        <v>2172</v>
      </c>
      <c r="BO291" s="19" t="s">
        <v>2132</v>
      </c>
      <c r="BP291" s="19" t="s">
        <v>7343</v>
      </c>
      <c r="BQ291" s="19" t="s">
        <v>2174</v>
      </c>
      <c r="BR291" s="19" t="s">
        <v>2174</v>
      </c>
      <c r="BS291" s="19" t="s">
        <v>2134</v>
      </c>
      <c r="BT291" s="19" t="s">
        <v>21</v>
      </c>
      <c r="BU291" s="19"/>
      <c r="BV291" s="19"/>
      <c r="BW291" s="19"/>
      <c r="BX291" s="19"/>
      <c r="BY291" s="19" t="s">
        <v>2113</v>
      </c>
      <c r="BZ291" s="19" t="s">
        <v>2113</v>
      </c>
      <c r="CA291" s="19"/>
      <c r="CB291" s="19" t="s">
        <v>2113</v>
      </c>
      <c r="CC291" s="19" t="s">
        <v>2113</v>
      </c>
      <c r="CD291" s="19" t="s">
        <v>2137</v>
      </c>
      <c r="CE291" s="19" t="s">
        <v>16</v>
      </c>
      <c r="CF291" s="19"/>
      <c r="CG291" s="19"/>
      <c r="CH291" s="19" t="s">
        <v>16</v>
      </c>
      <c r="CI291" s="21">
        <v>0.0</v>
      </c>
      <c r="CJ291" s="19" t="s">
        <v>16</v>
      </c>
      <c r="CK291" s="19"/>
      <c r="CL291" s="19"/>
      <c r="CM291" s="19" t="s">
        <v>2344</v>
      </c>
      <c r="CN291" s="19" t="s">
        <v>2176</v>
      </c>
      <c r="CO291" s="19"/>
      <c r="CP291" s="19" t="s">
        <v>2134</v>
      </c>
      <c r="CQ291" s="19" t="s">
        <v>2113</v>
      </c>
      <c r="CR291" s="19" t="s">
        <v>2113</v>
      </c>
      <c r="CS291" s="19" t="s">
        <v>2113</v>
      </c>
      <c r="CT291" s="19" t="s">
        <v>2113</v>
      </c>
      <c r="CU291" s="19" t="s">
        <v>2113</v>
      </c>
      <c r="CV291" s="19" t="s">
        <v>2141</v>
      </c>
      <c r="CW291" s="19"/>
      <c r="CX291" s="19"/>
      <c r="CY291" s="19" t="s">
        <v>2113</v>
      </c>
      <c r="CZ291" s="19" t="s">
        <v>2113</v>
      </c>
      <c r="DA291" s="19" t="s">
        <v>16</v>
      </c>
      <c r="DB291" s="19" t="s">
        <v>16</v>
      </c>
      <c r="DC291" s="19" t="s">
        <v>2364</v>
      </c>
      <c r="DD291" s="19" t="s">
        <v>2113</v>
      </c>
      <c r="DE291" s="19" t="s">
        <v>2113</v>
      </c>
      <c r="DF291" s="19" t="s">
        <v>2602</v>
      </c>
      <c r="DG291" s="19" t="s">
        <v>2270</v>
      </c>
      <c r="DH291" s="19" t="s">
        <v>2144</v>
      </c>
      <c r="DI291" s="24">
        <v>45531.0</v>
      </c>
      <c r="DJ291" s="19" t="s">
        <v>2174</v>
      </c>
      <c r="DK291" s="19" t="s">
        <v>2271</v>
      </c>
      <c r="DL291" s="19" t="s">
        <v>2183</v>
      </c>
      <c r="DM291" s="19"/>
      <c r="DN291" s="19">
        <v>8.0</v>
      </c>
      <c r="DO291" s="19">
        <v>8.0</v>
      </c>
      <c r="DP291" s="19" t="s">
        <v>7344</v>
      </c>
      <c r="DQ291" s="19" t="s">
        <v>7345</v>
      </c>
      <c r="DR291" s="19" t="s">
        <v>7346</v>
      </c>
      <c r="DS291" s="19" t="s">
        <v>2151</v>
      </c>
      <c r="DT291" s="19" t="s">
        <v>2186</v>
      </c>
      <c r="DU291" s="19"/>
      <c r="DV291" s="19"/>
      <c r="DW291" s="19" t="s">
        <v>2153</v>
      </c>
      <c r="DX291" s="19">
        <v>14.0</v>
      </c>
      <c r="DY291" s="19">
        <v>10.0</v>
      </c>
      <c r="DZ291" s="19">
        <v>0.0</v>
      </c>
      <c r="EA291" s="19">
        <v>10.0</v>
      </c>
      <c r="EB291" s="19">
        <v>0.0</v>
      </c>
      <c r="EC291" s="19">
        <v>0.0</v>
      </c>
      <c r="ED291" s="19" t="s">
        <v>2174</v>
      </c>
      <c r="EE291" s="24">
        <v>45531.0</v>
      </c>
      <c r="EF291" s="19" t="s">
        <v>2174</v>
      </c>
      <c r="EG291" s="19" t="s">
        <v>2271</v>
      </c>
      <c r="EH291" s="19" t="s">
        <v>2183</v>
      </c>
      <c r="EI291" s="22">
        <v>11.00625</v>
      </c>
      <c r="EJ291" s="19">
        <v>45.0</v>
      </c>
      <c r="EK291" s="19"/>
      <c r="EL291" s="19" t="s">
        <v>2282</v>
      </c>
      <c r="EM291" s="19" t="s">
        <v>7336</v>
      </c>
      <c r="EN291" s="19" t="s">
        <v>864</v>
      </c>
      <c r="EO291" s="19" t="s">
        <v>5516</v>
      </c>
      <c r="EP291" s="19" t="s">
        <v>2122</v>
      </c>
      <c r="EQ291" s="19" t="s">
        <v>2176</v>
      </c>
      <c r="ER291" s="19"/>
      <c r="ES291" s="19" t="s">
        <v>864</v>
      </c>
      <c r="ET291" s="19" t="s">
        <v>864</v>
      </c>
      <c r="EU291" s="19" t="s">
        <v>7334</v>
      </c>
      <c r="EV291" s="19">
        <v>7799.0</v>
      </c>
      <c r="EW291" s="19" t="s">
        <v>16</v>
      </c>
      <c r="EX291" s="19">
        <v>5.0</v>
      </c>
      <c r="EY291" s="25" t="s">
        <v>863</v>
      </c>
      <c r="EZ291" s="19" t="s">
        <v>2154</v>
      </c>
      <c r="FA291" s="5" t="s">
        <v>7347</v>
      </c>
      <c r="FB291" s="26" t="s">
        <v>2156</v>
      </c>
      <c r="FC291" s="26"/>
    </row>
    <row r="292">
      <c r="A292" s="19" t="s">
        <v>2112</v>
      </c>
      <c r="B292" s="19"/>
      <c r="C292" s="19" t="s">
        <v>2113</v>
      </c>
      <c r="D292" s="19" t="s">
        <v>865</v>
      </c>
      <c r="E292" s="19" t="s">
        <v>7348</v>
      </c>
      <c r="F292" s="19" t="s">
        <v>865</v>
      </c>
      <c r="G292" s="19"/>
      <c r="H292" s="19" t="s">
        <v>865</v>
      </c>
      <c r="I292" s="19" t="s">
        <v>867</v>
      </c>
      <c r="J292" s="19" t="s">
        <v>7349</v>
      </c>
      <c r="K292" s="19" t="s">
        <v>7350</v>
      </c>
      <c r="L292" s="20">
        <v>45456.0</v>
      </c>
      <c r="M292" s="20">
        <v>45457.0</v>
      </c>
      <c r="N292" s="20">
        <v>45457.0</v>
      </c>
      <c r="O292" s="19" t="s">
        <v>866</v>
      </c>
      <c r="P292" s="19">
        <v>0.0</v>
      </c>
      <c r="Q292" s="19">
        <v>18.0</v>
      </c>
      <c r="R292" s="19">
        <v>6755.0</v>
      </c>
      <c r="S292" s="20" t="s">
        <v>7351</v>
      </c>
      <c r="T292" s="20">
        <v>45461.0</v>
      </c>
      <c r="U292" s="19" t="s">
        <v>865</v>
      </c>
      <c r="V292" s="19"/>
      <c r="W292" s="19"/>
      <c r="X292" s="21">
        <v>0.0</v>
      </c>
      <c r="Y292" s="21">
        <v>10.0</v>
      </c>
      <c r="Z292" s="21">
        <v>5.0</v>
      </c>
      <c r="AA292" s="21">
        <v>0.0</v>
      </c>
      <c r="AB292" s="5">
        <v>15.0</v>
      </c>
      <c r="AC292" s="19">
        <v>4.0</v>
      </c>
      <c r="AD292" s="19">
        <v>4.0</v>
      </c>
      <c r="AE292" s="19">
        <v>4.6</v>
      </c>
      <c r="AF292" s="19">
        <v>3.6</v>
      </c>
      <c r="AG292" s="19">
        <v>3.3</v>
      </c>
      <c r="AH292" s="19">
        <v>4.0</v>
      </c>
      <c r="AI292" s="22">
        <v>12.037499999999998</v>
      </c>
      <c r="AJ292" s="19">
        <v>15.0</v>
      </c>
      <c r="AK292" s="19">
        <v>15.0</v>
      </c>
      <c r="AL292" s="19">
        <v>14.0</v>
      </c>
      <c r="AM292" s="19">
        <v>44.0</v>
      </c>
      <c r="AN292" s="19">
        <v>56.0</v>
      </c>
      <c r="AO292" s="19">
        <v>71.0</v>
      </c>
      <c r="AP292" s="19">
        <v>550.0</v>
      </c>
      <c r="AQ292" s="23">
        <v>285.0</v>
      </c>
      <c r="AR292" s="23">
        <v>42.0</v>
      </c>
      <c r="AS292" s="22"/>
      <c r="AT292" s="19" t="s">
        <v>2282</v>
      </c>
      <c r="AU292" s="19" t="s">
        <v>7352</v>
      </c>
      <c r="AV292" s="19" t="s">
        <v>7353</v>
      </c>
      <c r="AW292" s="19" t="s">
        <v>2166</v>
      </c>
      <c r="AX292" s="20">
        <v>38706.0</v>
      </c>
      <c r="AY292" s="19" t="s">
        <v>2338</v>
      </c>
      <c r="AZ292" s="19" t="s">
        <v>2310</v>
      </c>
      <c r="BA292" s="19" t="s">
        <v>7354</v>
      </c>
      <c r="BB292" s="19" t="s">
        <v>7355</v>
      </c>
      <c r="BC292" s="19" t="s">
        <v>7356</v>
      </c>
      <c r="BD292" s="19" t="s">
        <v>7357</v>
      </c>
      <c r="BE292" s="19" t="s">
        <v>7349</v>
      </c>
      <c r="BF292" s="19">
        <v>1.1969222752E10</v>
      </c>
      <c r="BG292" s="19" t="s">
        <v>2127</v>
      </c>
      <c r="BH292" s="19" t="s">
        <v>2128</v>
      </c>
      <c r="BI292" s="19"/>
      <c r="BJ292" s="19"/>
      <c r="BK292" s="19" t="s">
        <v>16</v>
      </c>
      <c r="BL292" s="19" t="s">
        <v>2113</v>
      </c>
      <c r="BM292" s="19" t="s">
        <v>5411</v>
      </c>
      <c r="BN292" s="19" t="s">
        <v>2172</v>
      </c>
      <c r="BO292" s="19" t="s">
        <v>2132</v>
      </c>
      <c r="BP292" s="19" t="s">
        <v>7358</v>
      </c>
      <c r="BQ292" s="19" t="s">
        <v>2174</v>
      </c>
      <c r="BR292" s="19" t="s">
        <v>2174</v>
      </c>
      <c r="BS292" s="19" t="s">
        <v>2134</v>
      </c>
      <c r="BT292" s="19" t="s">
        <v>21</v>
      </c>
      <c r="BU292" s="19"/>
      <c r="BV292" s="19"/>
      <c r="BW292" s="19"/>
      <c r="BX292" s="19"/>
      <c r="BY292" s="19"/>
      <c r="BZ292" s="19"/>
      <c r="CA292" s="19"/>
      <c r="CB292" s="19" t="s">
        <v>2113</v>
      </c>
      <c r="CC292" s="19" t="s">
        <v>2113</v>
      </c>
      <c r="CD292" s="19" t="s">
        <v>2137</v>
      </c>
      <c r="CE292" s="19" t="s">
        <v>16</v>
      </c>
      <c r="CF292" s="19"/>
      <c r="CG292" s="19"/>
      <c r="CH292" s="19" t="s">
        <v>16</v>
      </c>
      <c r="CI292" s="21">
        <v>0.0</v>
      </c>
      <c r="CJ292" s="19" t="s">
        <v>16</v>
      </c>
      <c r="CK292" s="19"/>
      <c r="CL292" s="19"/>
      <c r="CM292" s="19" t="s">
        <v>2344</v>
      </c>
      <c r="CN292" s="19" t="s">
        <v>2204</v>
      </c>
      <c r="CO292" s="19"/>
      <c r="CP292" s="19" t="s">
        <v>2134</v>
      </c>
      <c r="CQ292" s="19"/>
      <c r="CR292" s="19" t="s">
        <v>2113</v>
      </c>
      <c r="CS292" s="19" t="s">
        <v>2113</v>
      </c>
      <c r="CT292" s="19" t="s">
        <v>2113</v>
      </c>
      <c r="CU292" s="19" t="s">
        <v>2113</v>
      </c>
      <c r="CV292" s="19" t="s">
        <v>2141</v>
      </c>
      <c r="CW292" s="19"/>
      <c r="CX292" s="19"/>
      <c r="CY292" s="19" t="s">
        <v>2113</v>
      </c>
      <c r="CZ292" s="19" t="s">
        <v>2113</v>
      </c>
      <c r="DA292" s="19" t="s">
        <v>16</v>
      </c>
      <c r="DB292" s="19" t="s">
        <v>16</v>
      </c>
      <c r="DC292" s="19" t="s">
        <v>2769</v>
      </c>
      <c r="DD292" s="19" t="s">
        <v>2113</v>
      </c>
      <c r="DE292" s="19" t="s">
        <v>2113</v>
      </c>
      <c r="DF292" s="19" t="s">
        <v>7359</v>
      </c>
      <c r="DG292" s="19" t="s">
        <v>2345</v>
      </c>
      <c r="DH292" s="19" t="s">
        <v>2144</v>
      </c>
      <c r="DI292" s="24">
        <v>45525.0</v>
      </c>
      <c r="DJ292" s="19" t="s">
        <v>2174</v>
      </c>
      <c r="DK292" s="19" t="s">
        <v>2145</v>
      </c>
      <c r="DL292" s="19" t="s">
        <v>2183</v>
      </c>
      <c r="DM292" s="19" t="s">
        <v>2249</v>
      </c>
      <c r="DN292" s="19">
        <v>9.0</v>
      </c>
      <c r="DO292" s="19">
        <v>9.0</v>
      </c>
      <c r="DP292" s="19" t="s">
        <v>7360</v>
      </c>
      <c r="DQ292" s="19" t="s">
        <v>7361</v>
      </c>
      <c r="DR292" s="19" t="s">
        <v>7362</v>
      </c>
      <c r="DS292" s="19" t="s">
        <v>2151</v>
      </c>
      <c r="DT292" s="19" t="s">
        <v>2229</v>
      </c>
      <c r="DU292" s="19"/>
      <c r="DV292" s="19"/>
      <c r="DW292" s="19" t="s">
        <v>2188</v>
      </c>
      <c r="DX292" s="19">
        <v>15.0</v>
      </c>
      <c r="DY292" s="19">
        <v>10.0</v>
      </c>
      <c r="DZ292" s="19">
        <v>0.0</v>
      </c>
      <c r="EA292" s="19">
        <v>10.0</v>
      </c>
      <c r="EB292" s="19">
        <v>0.0</v>
      </c>
      <c r="EC292" s="19">
        <v>0.0</v>
      </c>
      <c r="ED292" s="19" t="s">
        <v>2174</v>
      </c>
      <c r="EE292" s="24">
        <v>45525.0</v>
      </c>
      <c r="EF292" s="19" t="s">
        <v>2174</v>
      </c>
      <c r="EG292" s="19" t="s">
        <v>2145</v>
      </c>
      <c r="EH292" s="19" t="s">
        <v>2183</v>
      </c>
      <c r="EI292" s="22">
        <v>12.037499999999998</v>
      </c>
      <c r="EJ292" s="19">
        <v>44.0</v>
      </c>
      <c r="EK292" s="19"/>
      <c r="EL292" s="19" t="s">
        <v>2282</v>
      </c>
      <c r="EM292" s="19" t="s">
        <v>7352</v>
      </c>
      <c r="EN292" s="19" t="s">
        <v>867</v>
      </c>
      <c r="EO292" s="19" t="s">
        <v>2338</v>
      </c>
      <c r="EP292" s="19" t="s">
        <v>2310</v>
      </c>
      <c r="EQ292" s="19" t="s">
        <v>2204</v>
      </c>
      <c r="ER292" s="19"/>
      <c r="ES292" s="19" t="s">
        <v>867</v>
      </c>
      <c r="ET292" s="19" t="s">
        <v>867</v>
      </c>
      <c r="EU292" s="19" t="s">
        <v>7350</v>
      </c>
      <c r="EV292" s="19">
        <v>6755.0</v>
      </c>
      <c r="EW292" s="19" t="s">
        <v>16</v>
      </c>
      <c r="EX292" s="19">
        <v>5.0</v>
      </c>
      <c r="EY292" s="25" t="s">
        <v>866</v>
      </c>
      <c r="EZ292" s="19" t="s">
        <v>2154</v>
      </c>
      <c r="FA292" s="5" t="s">
        <v>7363</v>
      </c>
      <c r="FB292" s="26" t="s">
        <v>2156</v>
      </c>
      <c r="FC292" s="26"/>
    </row>
    <row r="293">
      <c r="A293" s="19" t="s">
        <v>2112</v>
      </c>
      <c r="B293" s="19"/>
      <c r="C293" s="19" t="s">
        <v>2113</v>
      </c>
      <c r="D293" s="19" t="s">
        <v>868</v>
      </c>
      <c r="E293" s="19" t="s">
        <v>7364</v>
      </c>
      <c r="F293" s="19" t="s">
        <v>7365</v>
      </c>
      <c r="G293" s="19" t="s">
        <v>7366</v>
      </c>
      <c r="H293" s="19" t="s">
        <v>868</v>
      </c>
      <c r="I293" s="19" t="s">
        <v>870</v>
      </c>
      <c r="J293" s="19" t="s">
        <v>7367</v>
      </c>
      <c r="K293" s="19" t="s">
        <v>7368</v>
      </c>
      <c r="L293" s="20">
        <v>45460.0</v>
      </c>
      <c r="M293" s="20">
        <v>45462.0</v>
      </c>
      <c r="N293" s="20">
        <v>45462.0</v>
      </c>
      <c r="O293" s="19" t="s">
        <v>869</v>
      </c>
      <c r="P293" s="19">
        <v>0.0</v>
      </c>
      <c r="Q293" s="19">
        <v>25.0</v>
      </c>
      <c r="R293" s="19">
        <v>9190.0</v>
      </c>
      <c r="S293" s="20" t="s">
        <v>7369</v>
      </c>
      <c r="T293" s="20">
        <v>45461.0</v>
      </c>
      <c r="U293" s="19" t="s">
        <v>7365</v>
      </c>
      <c r="V293" s="19"/>
      <c r="W293" s="19" t="s">
        <v>7370</v>
      </c>
      <c r="X293" s="21">
        <v>0.0</v>
      </c>
      <c r="Y293" s="21">
        <v>10.0</v>
      </c>
      <c r="Z293" s="21">
        <v>5.0</v>
      </c>
      <c r="AA293" s="21">
        <v>0.0</v>
      </c>
      <c r="AB293" s="5">
        <v>15.0</v>
      </c>
      <c r="AC293" s="19">
        <v>4.0</v>
      </c>
      <c r="AD293" s="19">
        <v>4.0</v>
      </c>
      <c r="AE293" s="19">
        <v>4.0</v>
      </c>
      <c r="AF293" s="19">
        <v>4.0</v>
      </c>
      <c r="AG293" s="19">
        <v>4.0</v>
      </c>
      <c r="AH293" s="19">
        <v>4.0</v>
      </c>
      <c r="AI293" s="22">
        <v>12.0</v>
      </c>
      <c r="AJ293" s="19">
        <v>14.0</v>
      </c>
      <c r="AK293" s="19">
        <v>15.0</v>
      </c>
      <c r="AL293" s="19">
        <v>15.0</v>
      </c>
      <c r="AM293" s="19">
        <v>44.0</v>
      </c>
      <c r="AN293" s="19">
        <v>56.0</v>
      </c>
      <c r="AO293" s="19">
        <v>71.0</v>
      </c>
      <c r="AP293" s="19">
        <v>426.0</v>
      </c>
      <c r="AQ293" s="23">
        <v>286.0</v>
      </c>
      <c r="AR293" s="23">
        <v>35.0</v>
      </c>
      <c r="AS293" s="22"/>
      <c r="AT293" s="19" t="s">
        <v>2163</v>
      </c>
      <c r="AU293" s="19" t="s">
        <v>7371</v>
      </c>
      <c r="AV293" s="19" t="s">
        <v>7372</v>
      </c>
      <c r="AW293" s="19" t="s">
        <v>7373</v>
      </c>
      <c r="AX293" s="20">
        <v>36271.0</v>
      </c>
      <c r="AY293" s="19" t="s">
        <v>2286</v>
      </c>
      <c r="AZ293" s="19" t="s">
        <v>2122</v>
      </c>
      <c r="BA293" s="19" t="s">
        <v>7374</v>
      </c>
      <c r="BB293" s="19" t="s">
        <v>7375</v>
      </c>
      <c r="BC293" s="19" t="s">
        <v>7376</v>
      </c>
      <c r="BD293" s="19" t="s">
        <v>7377</v>
      </c>
      <c r="BE293" s="19" t="s">
        <v>7378</v>
      </c>
      <c r="BF293" s="19">
        <v>1.1986252465E10</v>
      </c>
      <c r="BG293" s="19" t="s">
        <v>2127</v>
      </c>
      <c r="BH293" s="19" t="s">
        <v>2128</v>
      </c>
      <c r="BI293" s="19"/>
      <c r="BJ293" s="19" t="s">
        <v>2128</v>
      </c>
      <c r="BK293" s="19" t="s">
        <v>17</v>
      </c>
      <c r="BL293" s="19" t="s">
        <v>2113</v>
      </c>
      <c r="BM293" s="19" t="s">
        <v>5411</v>
      </c>
      <c r="BN293" s="19" t="s">
        <v>5469</v>
      </c>
      <c r="BO293" s="19" t="s">
        <v>2132</v>
      </c>
      <c r="BP293" s="19"/>
      <c r="BQ293" s="19" t="s">
        <v>2133</v>
      </c>
      <c r="BR293" s="19" t="s">
        <v>2133</v>
      </c>
      <c r="BS293" s="19" t="s">
        <v>2134</v>
      </c>
      <c r="BT293" s="19" t="s">
        <v>38</v>
      </c>
      <c r="BU293" s="19" t="s">
        <v>3001</v>
      </c>
      <c r="BV293" s="19"/>
      <c r="BW293" s="19"/>
      <c r="BX293" s="19"/>
      <c r="BY293" s="19" t="s">
        <v>2113</v>
      </c>
      <c r="BZ293" s="19" t="s">
        <v>2113</v>
      </c>
      <c r="CA293" s="19"/>
      <c r="CB293" s="19" t="s">
        <v>2113</v>
      </c>
      <c r="CC293" s="19"/>
      <c r="CD293" s="19" t="s">
        <v>2137</v>
      </c>
      <c r="CE293" s="19" t="s">
        <v>17</v>
      </c>
      <c r="CF293" s="19"/>
      <c r="CG293" s="19"/>
      <c r="CH293" s="19" t="s">
        <v>16</v>
      </c>
      <c r="CI293" s="21">
        <v>0.0</v>
      </c>
      <c r="CJ293" s="19" t="s">
        <v>17</v>
      </c>
      <c r="CK293" s="19"/>
      <c r="CL293" s="19"/>
      <c r="CM293" s="19" t="s">
        <v>2138</v>
      </c>
      <c r="CN293" s="19" t="s">
        <v>2294</v>
      </c>
      <c r="CO293" s="19" t="s">
        <v>7379</v>
      </c>
      <c r="CP293" s="19" t="s">
        <v>2178</v>
      </c>
      <c r="CQ293" s="19"/>
      <c r="CR293" s="19" t="s">
        <v>2113</v>
      </c>
      <c r="CS293" s="19" t="s">
        <v>2113</v>
      </c>
      <c r="CT293" s="19" t="s">
        <v>2113</v>
      </c>
      <c r="CU293" s="19" t="s">
        <v>2113</v>
      </c>
      <c r="CV293" s="19" t="s">
        <v>2179</v>
      </c>
      <c r="CW293" s="19" t="s">
        <v>2113</v>
      </c>
      <c r="CX293" s="19" t="s">
        <v>2113</v>
      </c>
      <c r="CY293" s="19" t="s">
        <v>2113</v>
      </c>
      <c r="CZ293" s="19" t="s">
        <v>2113</v>
      </c>
      <c r="DA293" s="19" t="s">
        <v>17</v>
      </c>
      <c r="DB293" s="19" t="s">
        <v>17</v>
      </c>
      <c r="DC293" s="19" t="s">
        <v>2671</v>
      </c>
      <c r="DD293" s="19" t="s">
        <v>2113</v>
      </c>
      <c r="DE293" s="19" t="s">
        <v>2113</v>
      </c>
      <c r="DF293" s="19" t="s">
        <v>3163</v>
      </c>
      <c r="DG293" s="19" t="s">
        <v>2433</v>
      </c>
      <c r="DH293" s="19" t="s">
        <v>2144</v>
      </c>
      <c r="DI293" s="24">
        <v>45533.0</v>
      </c>
      <c r="DJ293" s="19" t="s">
        <v>2133</v>
      </c>
      <c r="DK293" s="19" t="s">
        <v>2145</v>
      </c>
      <c r="DL293" s="19" t="s">
        <v>2146</v>
      </c>
      <c r="DM293" s="19" t="s">
        <v>2147</v>
      </c>
      <c r="DN293" s="19">
        <v>17.0</v>
      </c>
      <c r="DO293" s="19">
        <v>17.0</v>
      </c>
      <c r="DP293" s="19"/>
      <c r="DQ293" s="19"/>
      <c r="DR293" s="19"/>
      <c r="DS293" s="19" t="s">
        <v>2151</v>
      </c>
      <c r="DT293" s="19" t="s">
        <v>2186</v>
      </c>
      <c r="DU293" s="19" t="s">
        <v>7380</v>
      </c>
      <c r="DV293" s="19"/>
      <c r="DW293" s="19" t="s">
        <v>2153</v>
      </c>
      <c r="DX293" s="19">
        <v>12.0</v>
      </c>
      <c r="DY293" s="19">
        <v>10.0</v>
      </c>
      <c r="DZ293" s="19">
        <v>0.0</v>
      </c>
      <c r="EA293" s="19">
        <v>10.0</v>
      </c>
      <c r="EB293" s="19">
        <v>0.0</v>
      </c>
      <c r="EC293" s="19">
        <v>0.0</v>
      </c>
      <c r="ED293" s="19" t="s">
        <v>2133</v>
      </c>
      <c r="EE293" s="24">
        <v>45533.0</v>
      </c>
      <c r="EF293" s="19" t="s">
        <v>2133</v>
      </c>
      <c r="EG293" s="19" t="s">
        <v>2145</v>
      </c>
      <c r="EH293" s="19" t="s">
        <v>2146</v>
      </c>
      <c r="EI293" s="22">
        <v>12.0</v>
      </c>
      <c r="EJ293" s="19">
        <v>44.0</v>
      </c>
      <c r="EK293" s="19" t="s">
        <v>2113</v>
      </c>
      <c r="EL293" s="19" t="s">
        <v>2163</v>
      </c>
      <c r="EM293" s="19" t="s">
        <v>7371</v>
      </c>
      <c r="EN293" s="19" t="s">
        <v>870</v>
      </c>
      <c r="EO293" s="19" t="s">
        <v>2286</v>
      </c>
      <c r="EP293" s="19" t="s">
        <v>2122</v>
      </c>
      <c r="EQ293" s="19" t="s">
        <v>2294</v>
      </c>
      <c r="ER293" s="19" t="s">
        <v>7379</v>
      </c>
      <c r="ES293" s="19" t="s">
        <v>870</v>
      </c>
      <c r="ET293" s="19" t="s">
        <v>870</v>
      </c>
      <c r="EU293" s="19" t="s">
        <v>7368</v>
      </c>
      <c r="EV293" s="19">
        <v>9190.0</v>
      </c>
      <c r="EW293" s="19" t="s">
        <v>17</v>
      </c>
      <c r="EX293" s="19">
        <v>5.0</v>
      </c>
      <c r="EY293" s="25" t="s">
        <v>869</v>
      </c>
      <c r="EZ293" s="19" t="s">
        <v>7381</v>
      </c>
      <c r="FA293" s="5" t="s">
        <v>7382</v>
      </c>
      <c r="FB293" s="26" t="s">
        <v>2156</v>
      </c>
      <c r="FC293" s="26"/>
    </row>
    <row r="294">
      <c r="A294" s="19" t="s">
        <v>2112</v>
      </c>
      <c r="B294" s="19"/>
      <c r="C294" s="19" t="s">
        <v>2113</v>
      </c>
      <c r="D294" s="19" t="s">
        <v>871</v>
      </c>
      <c r="E294" s="19" t="s">
        <v>7383</v>
      </c>
      <c r="F294" s="19" t="s">
        <v>871</v>
      </c>
      <c r="G294" s="19"/>
      <c r="H294" s="19" t="s">
        <v>871</v>
      </c>
      <c r="I294" s="19" t="s">
        <v>873</v>
      </c>
      <c r="J294" s="19" t="s">
        <v>7384</v>
      </c>
      <c r="K294" s="19" t="s">
        <v>7385</v>
      </c>
      <c r="L294" s="20">
        <v>45460.0</v>
      </c>
      <c r="M294" s="20">
        <v>45460.0</v>
      </c>
      <c r="N294" s="20">
        <v>45460.0</v>
      </c>
      <c r="O294" s="19" t="s">
        <v>872</v>
      </c>
      <c r="P294" s="19">
        <v>0.0</v>
      </c>
      <c r="Q294" s="19">
        <v>22.0</v>
      </c>
      <c r="R294" s="19">
        <v>8290.0</v>
      </c>
      <c r="S294" s="20" t="s">
        <v>7386</v>
      </c>
      <c r="T294" s="20">
        <v>45461.0</v>
      </c>
      <c r="U294" s="19" t="s">
        <v>871</v>
      </c>
      <c r="V294" s="19"/>
      <c r="W294" s="19"/>
      <c r="X294" s="21">
        <v>0.0</v>
      </c>
      <c r="Y294" s="21">
        <v>10.0</v>
      </c>
      <c r="Z294" s="21">
        <v>4.0</v>
      </c>
      <c r="AA294" s="21">
        <v>0.0</v>
      </c>
      <c r="AB294" s="5">
        <v>14.0</v>
      </c>
      <c r="AC294" s="19">
        <v>4.1</v>
      </c>
      <c r="AD294" s="19">
        <v>4.5</v>
      </c>
      <c r="AE294" s="19">
        <v>4.6</v>
      </c>
      <c r="AF294" s="19">
        <v>4.3</v>
      </c>
      <c r="AG294" s="19">
        <v>3.5</v>
      </c>
      <c r="AH294" s="19">
        <v>4.6</v>
      </c>
      <c r="AI294" s="22">
        <v>12.975</v>
      </c>
      <c r="AJ294" s="19">
        <v>15.0</v>
      </c>
      <c r="AK294" s="19">
        <v>14.0</v>
      </c>
      <c r="AL294" s="19">
        <v>15.0</v>
      </c>
      <c r="AM294" s="19">
        <v>44.0</v>
      </c>
      <c r="AN294" s="19">
        <v>57.0</v>
      </c>
      <c r="AO294" s="19">
        <v>71.0</v>
      </c>
      <c r="AP294" s="19">
        <v>611.0</v>
      </c>
      <c r="AQ294" s="23">
        <v>287.0</v>
      </c>
      <c r="AR294" s="23">
        <v>22.0</v>
      </c>
      <c r="AS294" s="22"/>
      <c r="AT294" s="19" t="s">
        <v>2282</v>
      </c>
      <c r="AU294" s="19" t="s">
        <v>7387</v>
      </c>
      <c r="AV294" s="19" t="s">
        <v>7388</v>
      </c>
      <c r="AW294" s="19" t="s">
        <v>2166</v>
      </c>
      <c r="AX294" s="20">
        <v>37171.0</v>
      </c>
      <c r="AY294" s="19" t="s">
        <v>2702</v>
      </c>
      <c r="AZ294" s="19" t="s">
        <v>2310</v>
      </c>
      <c r="BA294" s="19" t="s">
        <v>7389</v>
      </c>
      <c r="BB294" s="19" t="s">
        <v>6469</v>
      </c>
      <c r="BC294" s="19" t="s">
        <v>7390</v>
      </c>
      <c r="BD294" s="19" t="s">
        <v>7391</v>
      </c>
      <c r="BE294" s="19" t="s">
        <v>7392</v>
      </c>
      <c r="BF294" s="19">
        <v>1.1971405373E10</v>
      </c>
      <c r="BG294" s="19" t="s">
        <v>2127</v>
      </c>
      <c r="BH294" s="19" t="s">
        <v>2128</v>
      </c>
      <c r="BI294" s="19"/>
      <c r="BJ294" s="19"/>
      <c r="BK294" s="19" t="s">
        <v>16</v>
      </c>
      <c r="BL294" s="19"/>
      <c r="BM294" s="19" t="s">
        <v>5563</v>
      </c>
      <c r="BN294" s="19" t="s">
        <v>2708</v>
      </c>
      <c r="BO294" s="19" t="s">
        <v>2317</v>
      </c>
      <c r="BP294" s="19" t="s">
        <v>7393</v>
      </c>
      <c r="BQ294" s="19" t="s">
        <v>2318</v>
      </c>
      <c r="BR294" s="19" t="s">
        <v>2318</v>
      </c>
      <c r="BS294" s="19" t="s">
        <v>2243</v>
      </c>
      <c r="BT294" s="19" t="s">
        <v>42</v>
      </c>
      <c r="BU294" s="19" t="s">
        <v>7394</v>
      </c>
      <c r="BV294" s="19"/>
      <c r="BW294" s="19"/>
      <c r="BX294" s="19"/>
      <c r="BY294" s="19" t="s">
        <v>2113</v>
      </c>
      <c r="BZ294" s="19" t="s">
        <v>2113</v>
      </c>
      <c r="CA294" s="19"/>
      <c r="CB294" s="19" t="s">
        <v>2113</v>
      </c>
      <c r="CC294" s="19"/>
      <c r="CD294" s="19" t="s">
        <v>2137</v>
      </c>
      <c r="CE294" s="19" t="s">
        <v>16</v>
      </c>
      <c r="CF294" s="19"/>
      <c r="CG294" s="19"/>
      <c r="CH294" s="19" t="s">
        <v>16</v>
      </c>
      <c r="CI294" s="21">
        <v>0.0</v>
      </c>
      <c r="CJ294" s="19" t="s">
        <v>16</v>
      </c>
      <c r="CK294" s="19"/>
      <c r="CL294" s="19"/>
      <c r="CM294" s="19" t="s">
        <v>2344</v>
      </c>
      <c r="CN294" s="19" t="s">
        <v>2321</v>
      </c>
      <c r="CO294" s="19"/>
      <c r="CP294" s="19"/>
      <c r="CQ294" s="19"/>
      <c r="CR294" s="19" t="s">
        <v>2113</v>
      </c>
      <c r="CS294" s="19" t="s">
        <v>2113</v>
      </c>
      <c r="CT294" s="19"/>
      <c r="CU294" s="19"/>
      <c r="CV294" s="19" t="s">
        <v>2141</v>
      </c>
      <c r="CW294" s="19" t="s">
        <v>2113</v>
      </c>
      <c r="CX294" s="19" t="s">
        <v>2113</v>
      </c>
      <c r="CY294" s="19"/>
      <c r="CZ294" s="19"/>
      <c r="DA294" s="19" t="s">
        <v>16</v>
      </c>
      <c r="DB294" s="19" t="s">
        <v>16</v>
      </c>
      <c r="DC294" s="19" t="s">
        <v>3280</v>
      </c>
      <c r="DD294" s="19" t="s">
        <v>2113</v>
      </c>
      <c r="DE294" s="19" t="s">
        <v>2113</v>
      </c>
      <c r="DF294" s="19" t="s">
        <v>2207</v>
      </c>
      <c r="DG294" s="19" t="s">
        <v>5024</v>
      </c>
      <c r="DH294" s="19" t="s">
        <v>2144</v>
      </c>
      <c r="DI294" s="24">
        <v>45525.0</v>
      </c>
      <c r="DJ294" s="19" t="s">
        <v>2325</v>
      </c>
      <c r="DK294" s="19" t="s">
        <v>2271</v>
      </c>
      <c r="DL294" s="19" t="s">
        <v>2326</v>
      </c>
      <c r="DM294" s="19"/>
      <c r="DN294" s="19">
        <v>10.0</v>
      </c>
      <c r="DO294" s="19">
        <v>10.0</v>
      </c>
      <c r="DP294" s="19" t="s">
        <v>7395</v>
      </c>
      <c r="DQ294" s="19" t="s">
        <v>7396</v>
      </c>
      <c r="DR294" s="19" t="s">
        <v>7397</v>
      </c>
      <c r="DS294" s="19" t="s">
        <v>2365</v>
      </c>
      <c r="DT294" s="19" t="s">
        <v>2209</v>
      </c>
      <c r="DU294" s="19"/>
      <c r="DV294" s="19"/>
      <c r="DW294" s="19" t="s">
        <v>2153</v>
      </c>
      <c r="DX294" s="19">
        <v>9.0</v>
      </c>
      <c r="DY294" s="19">
        <v>10.0</v>
      </c>
      <c r="DZ294" s="19">
        <v>0.0</v>
      </c>
      <c r="EA294" s="19">
        <v>10.0</v>
      </c>
      <c r="EB294" s="19">
        <v>0.0</v>
      </c>
      <c r="EC294" s="19">
        <v>0.0</v>
      </c>
      <c r="ED294" s="19" t="s">
        <v>2325</v>
      </c>
      <c r="EE294" s="24">
        <v>45525.0</v>
      </c>
      <c r="EF294" s="19" t="s">
        <v>2325</v>
      </c>
      <c r="EG294" s="19" t="s">
        <v>2271</v>
      </c>
      <c r="EH294" s="19" t="s">
        <v>2326</v>
      </c>
      <c r="EI294" s="22">
        <v>12.975</v>
      </c>
      <c r="EJ294" s="19">
        <v>44.0</v>
      </c>
      <c r="EK294" s="19"/>
      <c r="EL294" s="19" t="s">
        <v>2282</v>
      </c>
      <c r="EM294" s="19" t="s">
        <v>7387</v>
      </c>
      <c r="EN294" s="19" t="s">
        <v>873</v>
      </c>
      <c r="EO294" s="19" t="s">
        <v>2702</v>
      </c>
      <c r="EP294" s="19" t="s">
        <v>2310</v>
      </c>
      <c r="EQ294" s="19" t="s">
        <v>2321</v>
      </c>
      <c r="ER294" s="19"/>
      <c r="ES294" s="19" t="s">
        <v>873</v>
      </c>
      <c r="ET294" s="19" t="s">
        <v>873</v>
      </c>
      <c r="EU294" s="19" t="s">
        <v>7385</v>
      </c>
      <c r="EV294" s="19">
        <v>8290.0</v>
      </c>
      <c r="EW294" s="19" t="s">
        <v>16</v>
      </c>
      <c r="EX294" s="19">
        <v>4.0</v>
      </c>
      <c r="EY294" s="25" t="s">
        <v>872</v>
      </c>
      <c r="EZ294" s="19" t="s">
        <v>2154</v>
      </c>
      <c r="FA294" s="5" t="s">
        <v>7398</v>
      </c>
      <c r="FB294" s="26" t="s">
        <v>2156</v>
      </c>
      <c r="FC294" s="26"/>
    </row>
    <row r="295">
      <c r="A295" s="19" t="s">
        <v>2112</v>
      </c>
      <c r="B295" s="19"/>
      <c r="C295" s="19" t="s">
        <v>2113</v>
      </c>
      <c r="D295" s="19" t="s">
        <v>7399</v>
      </c>
      <c r="E295" s="19" t="s">
        <v>7400</v>
      </c>
      <c r="F295" s="19" t="s">
        <v>7399</v>
      </c>
      <c r="G295" s="19"/>
      <c r="H295" s="19" t="s">
        <v>874</v>
      </c>
      <c r="I295" s="19" t="s">
        <v>876</v>
      </c>
      <c r="J295" s="19" t="s">
        <v>7401</v>
      </c>
      <c r="K295" s="19" t="s">
        <v>7402</v>
      </c>
      <c r="L295" s="20">
        <v>45460.0</v>
      </c>
      <c r="M295" s="20">
        <v>45462.0</v>
      </c>
      <c r="N295" s="20">
        <v>45462.0</v>
      </c>
      <c r="O295" s="19" t="s">
        <v>875</v>
      </c>
      <c r="P295" s="19">
        <v>0.0</v>
      </c>
      <c r="Q295" s="19">
        <v>24.0</v>
      </c>
      <c r="R295" s="19">
        <v>9045.0</v>
      </c>
      <c r="S295" s="20" t="s">
        <v>7403</v>
      </c>
      <c r="T295" s="20">
        <v>45461.0</v>
      </c>
      <c r="U295" s="19" t="s">
        <v>7399</v>
      </c>
      <c r="V295" s="19"/>
      <c r="W295" s="19" t="s">
        <v>7404</v>
      </c>
      <c r="X295" s="21">
        <v>0.0</v>
      </c>
      <c r="Y295" s="21">
        <v>10.0</v>
      </c>
      <c r="Z295" s="21">
        <v>4.0</v>
      </c>
      <c r="AA295" s="21">
        <v>0.0</v>
      </c>
      <c r="AB295" s="5">
        <v>14.0</v>
      </c>
      <c r="AC295" s="19">
        <v>5.0</v>
      </c>
      <c r="AD295" s="19">
        <v>4.0</v>
      </c>
      <c r="AE295" s="19">
        <v>5.0</v>
      </c>
      <c r="AF295" s="19">
        <v>5.0</v>
      </c>
      <c r="AG295" s="19">
        <v>4.0</v>
      </c>
      <c r="AH295" s="19">
        <v>5.0</v>
      </c>
      <c r="AI295" s="22">
        <v>13.96875</v>
      </c>
      <c r="AJ295" s="19">
        <v>15.0</v>
      </c>
      <c r="AK295" s="19">
        <v>15.0</v>
      </c>
      <c r="AL295" s="19">
        <v>13.0</v>
      </c>
      <c r="AM295" s="19">
        <v>43.0</v>
      </c>
      <c r="AN295" s="19">
        <v>57.0</v>
      </c>
      <c r="AO295" s="19">
        <v>71.0</v>
      </c>
      <c r="AP295" s="19">
        <v>591.0</v>
      </c>
      <c r="AQ295" s="23">
        <v>288.0</v>
      </c>
      <c r="AR295" s="23">
        <v>20.0</v>
      </c>
      <c r="AS295" s="22"/>
      <c r="AT295" s="19" t="s">
        <v>2163</v>
      </c>
      <c r="AU295" s="19" t="s">
        <v>7405</v>
      </c>
      <c r="AV295" s="19" t="s">
        <v>7406</v>
      </c>
      <c r="AW295" s="19"/>
      <c r="AX295" s="20">
        <v>36416.0</v>
      </c>
      <c r="AY295" s="19" t="s">
        <v>7407</v>
      </c>
      <c r="AZ295" s="19" t="s">
        <v>2445</v>
      </c>
      <c r="BA295" s="19" t="s">
        <v>7408</v>
      </c>
      <c r="BB295" s="19" t="s">
        <v>7409</v>
      </c>
      <c r="BC295" s="19" t="s">
        <v>7410</v>
      </c>
      <c r="BD295" s="19" t="s">
        <v>7411</v>
      </c>
      <c r="BE295" s="19" t="s">
        <v>7412</v>
      </c>
      <c r="BF295" s="19">
        <v>3.5999505889E10</v>
      </c>
      <c r="BG295" s="19" t="s">
        <v>2127</v>
      </c>
      <c r="BH295" s="19" t="s">
        <v>2128</v>
      </c>
      <c r="BI295" s="19"/>
      <c r="BJ295" s="19"/>
      <c r="BK295" s="19" t="s">
        <v>16</v>
      </c>
      <c r="BL295" s="19"/>
      <c r="BM295" s="19" t="s">
        <v>5411</v>
      </c>
      <c r="BN295" s="19" t="s">
        <v>5646</v>
      </c>
      <c r="BO295" s="19" t="s">
        <v>2317</v>
      </c>
      <c r="BP295" s="19" t="s">
        <v>7413</v>
      </c>
      <c r="BQ295" s="19" t="s">
        <v>2133</v>
      </c>
      <c r="BR295" s="19" t="s">
        <v>2133</v>
      </c>
      <c r="BS295" s="19" t="s">
        <v>2134</v>
      </c>
      <c r="BT295" s="19" t="s">
        <v>52</v>
      </c>
      <c r="BU295" s="19" t="s">
        <v>7414</v>
      </c>
      <c r="BV295" s="19"/>
      <c r="BW295" s="19"/>
      <c r="BX295" s="19"/>
      <c r="BY295" s="19"/>
      <c r="BZ295" s="19"/>
      <c r="CA295" s="19"/>
      <c r="CB295" s="19" t="s">
        <v>2113</v>
      </c>
      <c r="CC295" s="19"/>
      <c r="CD295" s="19" t="s">
        <v>2137</v>
      </c>
      <c r="CE295" s="19" t="s">
        <v>16</v>
      </c>
      <c r="CF295" s="19"/>
      <c r="CG295" s="19"/>
      <c r="CH295" s="19" t="s">
        <v>16</v>
      </c>
      <c r="CI295" s="21">
        <v>0.0</v>
      </c>
      <c r="CJ295" s="19" t="s">
        <v>17</v>
      </c>
      <c r="CK295" s="19"/>
      <c r="CL295" s="19"/>
      <c r="CM295" s="19" t="s">
        <v>2138</v>
      </c>
      <c r="CN295" s="19" t="s">
        <v>2382</v>
      </c>
      <c r="CO295" s="19"/>
      <c r="CP295" s="19"/>
      <c r="CQ295" s="19"/>
      <c r="CR295" s="19" t="s">
        <v>2113</v>
      </c>
      <c r="CS295" s="19" t="s">
        <v>2113</v>
      </c>
      <c r="CT295" s="19" t="s">
        <v>2113</v>
      </c>
      <c r="CU295" s="19" t="s">
        <v>2113</v>
      </c>
      <c r="CV295" s="19" t="s">
        <v>2179</v>
      </c>
      <c r="CW295" s="19" t="s">
        <v>2113</v>
      </c>
      <c r="CX295" s="19" t="s">
        <v>2113</v>
      </c>
      <c r="CY295" s="19" t="s">
        <v>2113</v>
      </c>
      <c r="CZ295" s="19" t="s">
        <v>2113</v>
      </c>
      <c r="DA295" s="19" t="s">
        <v>16</v>
      </c>
      <c r="DB295" s="19" t="s">
        <v>17</v>
      </c>
      <c r="DC295" s="19" t="s">
        <v>2578</v>
      </c>
      <c r="DD295" s="19" t="s">
        <v>2113</v>
      </c>
      <c r="DE295" s="19" t="s">
        <v>2113</v>
      </c>
      <c r="DF295" s="19" t="s">
        <v>2477</v>
      </c>
      <c r="DG295" s="19" t="s">
        <v>3163</v>
      </c>
      <c r="DH295" s="19" t="s">
        <v>2144</v>
      </c>
      <c r="DI295" s="24">
        <v>45524.0</v>
      </c>
      <c r="DJ295" s="19" t="s">
        <v>2133</v>
      </c>
      <c r="DK295" s="19" t="s">
        <v>2145</v>
      </c>
      <c r="DL295" s="19" t="s">
        <v>2146</v>
      </c>
      <c r="DM295" s="19" t="s">
        <v>3302</v>
      </c>
      <c r="DN295" s="19">
        <v>7.0</v>
      </c>
      <c r="DO295" s="19">
        <v>7.0</v>
      </c>
      <c r="DP295" s="19"/>
      <c r="DQ295" s="19"/>
      <c r="DR295" s="19"/>
      <c r="DS295" s="19" t="s">
        <v>2151</v>
      </c>
      <c r="DT295" s="19" t="s">
        <v>2209</v>
      </c>
      <c r="DU295" s="19" t="s">
        <v>7415</v>
      </c>
      <c r="DV295" s="19"/>
      <c r="DW295" s="19" t="s">
        <v>2153</v>
      </c>
      <c r="DX295" s="19">
        <v>12.0</v>
      </c>
      <c r="DY295" s="19">
        <v>10.0</v>
      </c>
      <c r="DZ295" s="19">
        <v>0.0</v>
      </c>
      <c r="EA295" s="19">
        <v>10.0</v>
      </c>
      <c r="EB295" s="19">
        <v>0.0</v>
      </c>
      <c r="EC295" s="19">
        <v>0.0</v>
      </c>
      <c r="ED295" s="19" t="s">
        <v>2133</v>
      </c>
      <c r="EE295" s="24">
        <v>45524.0</v>
      </c>
      <c r="EF295" s="19" t="s">
        <v>2133</v>
      </c>
      <c r="EG295" s="19" t="s">
        <v>2145</v>
      </c>
      <c r="EH295" s="19" t="s">
        <v>2146</v>
      </c>
      <c r="EI295" s="22">
        <v>13.96875</v>
      </c>
      <c r="EJ295" s="19">
        <v>43.0</v>
      </c>
      <c r="EK295" s="19" t="s">
        <v>2113</v>
      </c>
      <c r="EL295" s="19" t="s">
        <v>2163</v>
      </c>
      <c r="EM295" s="19" t="s">
        <v>7405</v>
      </c>
      <c r="EN295" s="19" t="s">
        <v>876</v>
      </c>
      <c r="EO295" s="19" t="s">
        <v>7407</v>
      </c>
      <c r="EP295" s="19" t="s">
        <v>2445</v>
      </c>
      <c r="EQ295" s="19" t="s">
        <v>2382</v>
      </c>
      <c r="ER295" s="19"/>
      <c r="ES295" s="19" t="s">
        <v>876</v>
      </c>
      <c r="ET295" s="19" t="s">
        <v>876</v>
      </c>
      <c r="EU295" s="19" t="s">
        <v>7402</v>
      </c>
      <c r="EV295" s="19">
        <v>9045.0</v>
      </c>
      <c r="EW295" s="19" t="s">
        <v>16</v>
      </c>
      <c r="EX295" s="19">
        <v>4.0</v>
      </c>
      <c r="EY295" s="25" t="s">
        <v>875</v>
      </c>
      <c r="EZ295" s="19" t="s">
        <v>2154</v>
      </c>
      <c r="FA295" s="5" t="s">
        <v>7416</v>
      </c>
      <c r="FB295" s="26" t="s">
        <v>2156</v>
      </c>
      <c r="FC295" s="26"/>
    </row>
    <row r="296">
      <c r="A296" s="19" t="s">
        <v>2112</v>
      </c>
      <c r="B296" s="19"/>
      <c r="C296" s="19" t="s">
        <v>2113</v>
      </c>
      <c r="D296" s="19" t="s">
        <v>7417</v>
      </c>
      <c r="E296" s="19" t="s">
        <v>7418</v>
      </c>
      <c r="F296" s="19" t="s">
        <v>7417</v>
      </c>
      <c r="G296" s="19"/>
      <c r="H296" s="19" t="s">
        <v>877</v>
      </c>
      <c r="I296" s="19" t="s">
        <v>879</v>
      </c>
      <c r="J296" s="19" t="s">
        <v>7419</v>
      </c>
      <c r="K296" s="19" t="s">
        <v>7420</v>
      </c>
      <c r="L296" s="20">
        <v>45445.0</v>
      </c>
      <c r="M296" s="20">
        <v>45446.0</v>
      </c>
      <c r="N296" s="20">
        <v>45446.0</v>
      </c>
      <c r="O296" s="19" t="s">
        <v>878</v>
      </c>
      <c r="P296" s="19">
        <v>0.0</v>
      </c>
      <c r="Q296" s="19">
        <v>19.0</v>
      </c>
      <c r="R296" s="19">
        <v>7073.0</v>
      </c>
      <c r="S296" s="20" t="s">
        <v>7421</v>
      </c>
      <c r="T296" s="20">
        <v>45461.0</v>
      </c>
      <c r="U296" s="19" t="s">
        <v>7417</v>
      </c>
      <c r="V296" s="19"/>
      <c r="W296" s="19" t="s">
        <v>7422</v>
      </c>
      <c r="X296" s="21">
        <v>0.0</v>
      </c>
      <c r="Y296" s="21">
        <v>10.0</v>
      </c>
      <c r="Z296" s="21">
        <v>3.0</v>
      </c>
      <c r="AA296" s="21">
        <v>0.0</v>
      </c>
      <c r="AB296" s="5">
        <v>13.0</v>
      </c>
      <c r="AC296" s="19">
        <v>5.0</v>
      </c>
      <c r="AD296" s="19">
        <v>4.0</v>
      </c>
      <c r="AE296" s="19">
        <v>5.0</v>
      </c>
      <c r="AF296" s="19">
        <v>5.0</v>
      </c>
      <c r="AG296" s="19">
        <v>4.0</v>
      </c>
      <c r="AH296" s="19">
        <v>5.0</v>
      </c>
      <c r="AI296" s="22">
        <v>13.96875</v>
      </c>
      <c r="AJ296" s="19">
        <v>14.0</v>
      </c>
      <c r="AK296" s="19">
        <v>15.0</v>
      </c>
      <c r="AL296" s="19">
        <v>15.0</v>
      </c>
      <c r="AM296" s="19">
        <v>44.0</v>
      </c>
      <c r="AN296" s="19">
        <v>58.0</v>
      </c>
      <c r="AO296" s="19">
        <v>71.0</v>
      </c>
      <c r="AP296" s="19">
        <v>789.0</v>
      </c>
      <c r="AQ296" s="23">
        <v>289.0</v>
      </c>
      <c r="AR296" s="23">
        <v>21.0</v>
      </c>
      <c r="AS296" s="22"/>
      <c r="AT296" s="19" t="s">
        <v>2163</v>
      </c>
      <c r="AU296" s="19" t="s">
        <v>7423</v>
      </c>
      <c r="AV296" s="19" t="s">
        <v>7424</v>
      </c>
      <c r="AW296" s="19" t="s">
        <v>7425</v>
      </c>
      <c r="AX296" s="20">
        <v>38388.0</v>
      </c>
      <c r="AY296" s="19" t="s">
        <v>3905</v>
      </c>
      <c r="AZ296" s="19" t="s">
        <v>2122</v>
      </c>
      <c r="BA296" s="19" t="s">
        <v>7426</v>
      </c>
      <c r="BB296" s="19" t="s">
        <v>7427</v>
      </c>
      <c r="BC296" s="19" t="s">
        <v>7428</v>
      </c>
      <c r="BD296" s="19" t="s">
        <v>7429</v>
      </c>
      <c r="BE296" s="19" t="s">
        <v>7430</v>
      </c>
      <c r="BF296" s="19">
        <v>1.1948093379E10</v>
      </c>
      <c r="BG296" s="19" t="s">
        <v>2127</v>
      </c>
      <c r="BH296" s="19" t="s">
        <v>2649</v>
      </c>
      <c r="BI296" s="19"/>
      <c r="BJ296" s="19" t="s">
        <v>2128</v>
      </c>
      <c r="BK296" s="19" t="s">
        <v>17</v>
      </c>
      <c r="BL296" s="19" t="s">
        <v>2113</v>
      </c>
      <c r="BM296" s="19" t="s">
        <v>5563</v>
      </c>
      <c r="BN296" s="19" t="s">
        <v>2401</v>
      </c>
      <c r="BO296" s="19" t="s">
        <v>2473</v>
      </c>
      <c r="BP296" s="19" t="s">
        <v>7431</v>
      </c>
      <c r="BQ296" s="19" t="s">
        <v>2133</v>
      </c>
      <c r="BR296" s="19" t="s">
        <v>2133</v>
      </c>
      <c r="BS296" s="19" t="s">
        <v>2134</v>
      </c>
      <c r="BT296" s="19" t="s">
        <v>52</v>
      </c>
      <c r="BU296" s="19" t="s">
        <v>5969</v>
      </c>
      <c r="BV296" s="19"/>
      <c r="BW296" s="19"/>
      <c r="BX296" s="19"/>
      <c r="BY296" s="19"/>
      <c r="BZ296" s="19" t="s">
        <v>2113</v>
      </c>
      <c r="CA296" s="19"/>
      <c r="CB296" s="19" t="s">
        <v>2113</v>
      </c>
      <c r="CC296" s="19"/>
      <c r="CD296" s="19" t="s">
        <v>2137</v>
      </c>
      <c r="CE296" s="19" t="s">
        <v>16</v>
      </c>
      <c r="CF296" s="19"/>
      <c r="CG296" s="19"/>
      <c r="CH296" s="19" t="s">
        <v>16</v>
      </c>
      <c r="CI296" s="21">
        <v>0.0</v>
      </c>
      <c r="CJ296" s="19" t="s">
        <v>17</v>
      </c>
      <c r="CK296" s="19"/>
      <c r="CL296" s="19"/>
      <c r="CM296" s="19" t="s">
        <v>2926</v>
      </c>
      <c r="CN296" s="19" t="s">
        <v>3544</v>
      </c>
      <c r="CO296" s="19"/>
      <c r="CP296" s="19" t="s">
        <v>2140</v>
      </c>
      <c r="CQ296" s="19"/>
      <c r="CR296" s="19"/>
      <c r="CS296" s="19"/>
      <c r="CT296" s="19"/>
      <c r="CU296" s="19"/>
      <c r="CV296" s="19" t="s">
        <v>2179</v>
      </c>
      <c r="CW296" s="19" t="s">
        <v>2113</v>
      </c>
      <c r="CX296" s="19" t="s">
        <v>2113</v>
      </c>
      <c r="CY296" s="19" t="s">
        <v>2113</v>
      </c>
      <c r="CZ296" s="19" t="s">
        <v>2113</v>
      </c>
      <c r="DA296" s="19" t="s">
        <v>16</v>
      </c>
      <c r="DB296" s="19" t="s">
        <v>17</v>
      </c>
      <c r="DC296" s="19" t="s">
        <v>2146</v>
      </c>
      <c r="DD296" s="19" t="s">
        <v>2113</v>
      </c>
      <c r="DE296" s="19" t="s">
        <v>2113</v>
      </c>
      <c r="DF296" s="19" t="s">
        <v>2207</v>
      </c>
      <c r="DG296" s="19" t="s">
        <v>2602</v>
      </c>
      <c r="DH296" s="19" t="s">
        <v>2144</v>
      </c>
      <c r="DI296" s="24">
        <v>45524.0</v>
      </c>
      <c r="DJ296" s="19" t="s">
        <v>2133</v>
      </c>
      <c r="DK296" s="19" t="s">
        <v>2271</v>
      </c>
      <c r="DL296" s="19" t="s">
        <v>2146</v>
      </c>
      <c r="DM296" s="19" t="s">
        <v>2628</v>
      </c>
      <c r="DN296" s="19">
        <v>8.0</v>
      </c>
      <c r="DO296" s="19">
        <v>8.0</v>
      </c>
      <c r="DP296" s="19"/>
      <c r="DQ296" s="19"/>
      <c r="DR296" s="19"/>
      <c r="DS296" s="19" t="s">
        <v>2365</v>
      </c>
      <c r="DT296" s="19" t="s">
        <v>2350</v>
      </c>
      <c r="DU296" s="19" t="s">
        <v>7432</v>
      </c>
      <c r="DV296" s="19"/>
      <c r="DW296" s="19" t="s">
        <v>2153</v>
      </c>
      <c r="DX296" s="19">
        <v>9.0</v>
      </c>
      <c r="DY296" s="19">
        <v>10.0</v>
      </c>
      <c r="DZ296" s="19">
        <v>0.0</v>
      </c>
      <c r="EA296" s="19">
        <v>10.0</v>
      </c>
      <c r="EB296" s="19">
        <v>0.0</v>
      </c>
      <c r="EC296" s="19">
        <v>0.0</v>
      </c>
      <c r="ED296" s="19" t="s">
        <v>2133</v>
      </c>
      <c r="EE296" s="24">
        <v>45524.0</v>
      </c>
      <c r="EF296" s="19" t="s">
        <v>2133</v>
      </c>
      <c r="EG296" s="19" t="s">
        <v>2271</v>
      </c>
      <c r="EH296" s="19" t="s">
        <v>2146</v>
      </c>
      <c r="EI296" s="22">
        <v>13.96875</v>
      </c>
      <c r="EJ296" s="19">
        <v>44.0</v>
      </c>
      <c r="EK296" s="19" t="s">
        <v>2113</v>
      </c>
      <c r="EL296" s="19" t="s">
        <v>2163</v>
      </c>
      <c r="EM296" s="19" t="s">
        <v>7423</v>
      </c>
      <c r="EN296" s="19" t="s">
        <v>879</v>
      </c>
      <c r="EO296" s="19" t="s">
        <v>3905</v>
      </c>
      <c r="EP296" s="19" t="s">
        <v>2122</v>
      </c>
      <c r="EQ296" s="19" t="s">
        <v>3544</v>
      </c>
      <c r="ER296" s="19"/>
      <c r="ES296" s="19" t="s">
        <v>879</v>
      </c>
      <c r="ET296" s="19" t="s">
        <v>879</v>
      </c>
      <c r="EU296" s="19" t="s">
        <v>7420</v>
      </c>
      <c r="EV296" s="19">
        <v>7073.0</v>
      </c>
      <c r="EW296" s="19" t="s">
        <v>16</v>
      </c>
      <c r="EX296" s="19">
        <v>3.0</v>
      </c>
      <c r="EY296" s="25" t="s">
        <v>878</v>
      </c>
      <c r="EZ296" s="19" t="s">
        <v>2154</v>
      </c>
      <c r="FA296" s="5" t="s">
        <v>7433</v>
      </c>
      <c r="FB296" s="26" t="s">
        <v>2156</v>
      </c>
      <c r="FC296" s="26"/>
    </row>
    <row r="297">
      <c r="A297" s="19" t="s">
        <v>2112</v>
      </c>
      <c r="B297" s="19"/>
      <c r="C297" s="19" t="s">
        <v>2113</v>
      </c>
      <c r="D297" s="19" t="s">
        <v>7434</v>
      </c>
      <c r="E297" s="19" t="s">
        <v>7435</v>
      </c>
      <c r="F297" s="19" t="s">
        <v>7436</v>
      </c>
      <c r="G297" s="19" t="s">
        <v>7437</v>
      </c>
      <c r="H297" s="19" t="s">
        <v>880</v>
      </c>
      <c r="I297" s="19" t="s">
        <v>882</v>
      </c>
      <c r="J297" s="19" t="s">
        <v>7438</v>
      </c>
      <c r="K297" s="19" t="s">
        <v>7439</v>
      </c>
      <c r="L297" s="20">
        <v>45446.0</v>
      </c>
      <c r="M297" s="20">
        <v>45447.0</v>
      </c>
      <c r="N297" s="20">
        <v>45447.0</v>
      </c>
      <c r="O297" s="19" t="s">
        <v>881</v>
      </c>
      <c r="P297" s="19">
        <v>0.0</v>
      </c>
      <c r="Q297" s="19">
        <v>18.0</v>
      </c>
      <c r="R297" s="19">
        <v>6771.0</v>
      </c>
      <c r="S297" s="20" t="s">
        <v>7440</v>
      </c>
      <c r="T297" s="20">
        <v>45461.0</v>
      </c>
      <c r="U297" s="19" t="s">
        <v>7436</v>
      </c>
      <c r="V297" s="19"/>
      <c r="W297" s="19"/>
      <c r="X297" s="21">
        <v>0.0</v>
      </c>
      <c r="Y297" s="21">
        <v>10.0</v>
      </c>
      <c r="Z297" s="21">
        <v>2.0</v>
      </c>
      <c r="AA297" s="21">
        <v>0.0</v>
      </c>
      <c r="AB297" s="5">
        <v>12.0</v>
      </c>
      <c r="AC297" s="19">
        <v>5.0</v>
      </c>
      <c r="AD297" s="19">
        <v>5.0</v>
      </c>
      <c r="AE297" s="19">
        <v>5.0</v>
      </c>
      <c r="AF297" s="19">
        <v>5.0</v>
      </c>
      <c r="AG297" s="19">
        <v>5.0</v>
      </c>
      <c r="AH297" s="19">
        <v>5.0</v>
      </c>
      <c r="AI297" s="22">
        <v>15.0</v>
      </c>
      <c r="AJ297" s="19">
        <v>15.0</v>
      </c>
      <c r="AK297" s="19">
        <v>14.0</v>
      </c>
      <c r="AL297" s="19">
        <v>15.0</v>
      </c>
      <c r="AM297" s="19">
        <v>44.0</v>
      </c>
      <c r="AN297" s="19">
        <v>59.0</v>
      </c>
      <c r="AO297" s="19">
        <v>71.0</v>
      </c>
      <c r="AP297" s="19">
        <v>903.0</v>
      </c>
      <c r="AQ297" s="23">
        <v>290.0</v>
      </c>
      <c r="AR297" s="23">
        <v>34.0</v>
      </c>
      <c r="AS297" s="22"/>
      <c r="AT297" s="19" t="s">
        <v>2282</v>
      </c>
      <c r="AU297" s="19" t="s">
        <v>7441</v>
      </c>
      <c r="AV297" s="19" t="s">
        <v>7442</v>
      </c>
      <c r="AW297" s="19" t="s">
        <v>2166</v>
      </c>
      <c r="AX297" s="20">
        <v>38690.0</v>
      </c>
      <c r="AY297" s="19" t="s">
        <v>3193</v>
      </c>
      <c r="AZ297" s="19" t="s">
        <v>2310</v>
      </c>
      <c r="BA297" s="19" t="s">
        <v>7443</v>
      </c>
      <c r="BB297" s="19" t="s">
        <v>7444</v>
      </c>
      <c r="BC297" s="19" t="s">
        <v>7445</v>
      </c>
      <c r="BD297" s="19" t="s">
        <v>7446</v>
      </c>
      <c r="BE297" s="19" t="s">
        <v>7447</v>
      </c>
      <c r="BF297" s="19">
        <v>1.1966936002E10</v>
      </c>
      <c r="BG297" s="19" t="s">
        <v>2127</v>
      </c>
      <c r="BH297" s="19" t="s">
        <v>2128</v>
      </c>
      <c r="BI297" s="19"/>
      <c r="BJ297" s="19" t="s">
        <v>2128</v>
      </c>
      <c r="BK297" s="19" t="s">
        <v>17</v>
      </c>
      <c r="BL297" s="19"/>
      <c r="BM297" s="19" t="s">
        <v>5411</v>
      </c>
      <c r="BN297" s="19" t="s">
        <v>5646</v>
      </c>
      <c r="BO297" s="19" t="s">
        <v>3199</v>
      </c>
      <c r="BP297" s="19" t="s">
        <v>7448</v>
      </c>
      <c r="BQ297" s="19" t="s">
        <v>2133</v>
      </c>
      <c r="BR297" s="19" t="s">
        <v>2133</v>
      </c>
      <c r="BS297" s="19" t="s">
        <v>2243</v>
      </c>
      <c r="BT297" s="19" t="s">
        <v>15</v>
      </c>
      <c r="BU297" s="19" t="s">
        <v>7230</v>
      </c>
      <c r="BV297" s="19"/>
      <c r="BW297" s="19"/>
      <c r="BX297" s="19"/>
      <c r="BY297" s="19"/>
      <c r="BZ297" s="19"/>
      <c r="CA297" s="19"/>
      <c r="CB297" s="19" t="s">
        <v>2113</v>
      </c>
      <c r="CC297" s="19"/>
      <c r="CD297" s="19" t="s">
        <v>2137</v>
      </c>
      <c r="CE297" s="19" t="s">
        <v>16</v>
      </c>
      <c r="CF297" s="19"/>
      <c r="CG297" s="19"/>
      <c r="CH297" s="19" t="s">
        <v>16</v>
      </c>
      <c r="CI297" s="21">
        <v>0.0</v>
      </c>
      <c r="CJ297" s="19" t="s">
        <v>16</v>
      </c>
      <c r="CK297" s="19"/>
      <c r="CL297" s="19"/>
      <c r="CM297" s="19" t="s">
        <v>2138</v>
      </c>
      <c r="CN297" s="19" t="s">
        <v>3202</v>
      </c>
      <c r="CO297" s="19"/>
      <c r="CP297" s="19" t="s">
        <v>2140</v>
      </c>
      <c r="CQ297" s="19"/>
      <c r="CR297" s="19"/>
      <c r="CS297" s="19"/>
      <c r="CT297" s="19"/>
      <c r="CU297" s="19"/>
      <c r="CV297" s="19" t="s">
        <v>2179</v>
      </c>
      <c r="CW297" s="19"/>
      <c r="CX297" s="19"/>
      <c r="CY297" s="19" t="s">
        <v>2113</v>
      </c>
      <c r="CZ297" s="19" t="s">
        <v>2113</v>
      </c>
      <c r="DA297" s="19" t="s">
        <v>16</v>
      </c>
      <c r="DB297" s="19" t="s">
        <v>16</v>
      </c>
      <c r="DC297" s="19" t="s">
        <v>2407</v>
      </c>
      <c r="DD297" s="19" t="s">
        <v>2113</v>
      </c>
      <c r="DE297" s="19" t="s">
        <v>2113</v>
      </c>
      <c r="DF297" s="19" t="s">
        <v>2433</v>
      </c>
      <c r="DG297" s="19" t="s">
        <v>7449</v>
      </c>
      <c r="DH297" s="19" t="s">
        <v>2144</v>
      </c>
      <c r="DI297" s="24">
        <v>45524.0</v>
      </c>
      <c r="DJ297" s="19" t="s">
        <v>2133</v>
      </c>
      <c r="DK297" s="19" t="s">
        <v>2271</v>
      </c>
      <c r="DL297" s="19" t="s">
        <v>2146</v>
      </c>
      <c r="DM297" s="19" t="s">
        <v>2628</v>
      </c>
      <c r="DN297" s="19">
        <v>8.0</v>
      </c>
      <c r="DO297" s="19">
        <v>8.0</v>
      </c>
      <c r="DP297" s="19"/>
      <c r="DQ297" s="19"/>
      <c r="DR297" s="19"/>
      <c r="DS297" s="19" t="s">
        <v>2365</v>
      </c>
      <c r="DT297" s="19" t="s">
        <v>2152</v>
      </c>
      <c r="DU297" s="19" t="s">
        <v>7450</v>
      </c>
      <c r="DV297" s="19"/>
      <c r="DW297" s="19" t="s">
        <v>2153</v>
      </c>
      <c r="DX297" s="19">
        <v>7.0</v>
      </c>
      <c r="DY297" s="19">
        <v>10.0</v>
      </c>
      <c r="DZ297" s="19">
        <v>0.0</v>
      </c>
      <c r="EA297" s="19">
        <v>10.0</v>
      </c>
      <c r="EB297" s="19">
        <v>0.0</v>
      </c>
      <c r="EC297" s="19">
        <v>0.0</v>
      </c>
      <c r="ED297" s="19" t="s">
        <v>2133</v>
      </c>
      <c r="EE297" s="24">
        <v>45524.0</v>
      </c>
      <c r="EF297" s="19" t="s">
        <v>2133</v>
      </c>
      <c r="EG297" s="19" t="s">
        <v>2271</v>
      </c>
      <c r="EH297" s="19" t="s">
        <v>2146</v>
      </c>
      <c r="EI297" s="22">
        <v>15.0</v>
      </c>
      <c r="EJ297" s="19">
        <v>44.0</v>
      </c>
      <c r="EK297" s="19"/>
      <c r="EL297" s="19" t="s">
        <v>2282</v>
      </c>
      <c r="EM297" s="19" t="s">
        <v>7441</v>
      </c>
      <c r="EN297" s="19" t="s">
        <v>882</v>
      </c>
      <c r="EO297" s="19" t="s">
        <v>3193</v>
      </c>
      <c r="EP297" s="19" t="s">
        <v>2310</v>
      </c>
      <c r="EQ297" s="19" t="s">
        <v>3202</v>
      </c>
      <c r="ER297" s="19"/>
      <c r="ES297" s="19" t="s">
        <v>882</v>
      </c>
      <c r="ET297" s="19" t="s">
        <v>882</v>
      </c>
      <c r="EU297" s="19" t="s">
        <v>7439</v>
      </c>
      <c r="EV297" s="19">
        <v>6771.0</v>
      </c>
      <c r="EW297" s="19" t="s">
        <v>16</v>
      </c>
      <c r="EX297" s="19">
        <v>2.0</v>
      </c>
      <c r="EY297" s="25" t="s">
        <v>881</v>
      </c>
      <c r="EZ297" s="19" t="s">
        <v>2154</v>
      </c>
      <c r="FA297" s="5" t="s">
        <v>7451</v>
      </c>
      <c r="FB297" s="26" t="s">
        <v>2156</v>
      </c>
      <c r="FC297" s="26"/>
    </row>
    <row r="298">
      <c r="A298" s="19" t="s">
        <v>17</v>
      </c>
      <c r="B298" s="19"/>
      <c r="C298" s="19" t="s">
        <v>2113</v>
      </c>
      <c r="D298" s="19" t="s">
        <v>883</v>
      </c>
      <c r="E298" s="19" t="s">
        <v>7452</v>
      </c>
      <c r="F298" s="19" t="s">
        <v>883</v>
      </c>
      <c r="G298" s="19" t="s">
        <v>7452</v>
      </c>
      <c r="H298" s="19" t="s">
        <v>883</v>
      </c>
      <c r="I298" s="19" t="s">
        <v>885</v>
      </c>
      <c r="J298" s="19" t="s">
        <v>7453</v>
      </c>
      <c r="K298" s="19" t="s">
        <v>7454</v>
      </c>
      <c r="L298" s="20">
        <v>45449.0</v>
      </c>
      <c r="M298" s="20">
        <v>45450.0</v>
      </c>
      <c r="N298" s="20">
        <v>45450.0</v>
      </c>
      <c r="O298" s="19" t="s">
        <v>884</v>
      </c>
      <c r="P298" s="19">
        <v>0.0</v>
      </c>
      <c r="Q298" s="19">
        <v>24.0</v>
      </c>
      <c r="R298" s="19">
        <v>9089.0</v>
      </c>
      <c r="S298" s="20" t="s">
        <v>7455</v>
      </c>
      <c r="T298" s="20">
        <v>45461.0</v>
      </c>
      <c r="U298" s="19" t="s">
        <v>883</v>
      </c>
      <c r="V298" s="19"/>
      <c r="W298" s="19"/>
      <c r="X298" s="21">
        <v>0.0</v>
      </c>
      <c r="Y298" s="21">
        <v>10.0</v>
      </c>
      <c r="Z298" s="21">
        <v>1.0</v>
      </c>
      <c r="AA298" s="21">
        <v>0.0</v>
      </c>
      <c r="AB298" s="5">
        <v>11.0</v>
      </c>
      <c r="AC298" s="19">
        <v>5.0</v>
      </c>
      <c r="AD298" s="19">
        <v>5.0</v>
      </c>
      <c r="AE298" s="19">
        <v>5.0</v>
      </c>
      <c r="AF298" s="19">
        <v>5.0</v>
      </c>
      <c r="AG298" s="19">
        <v>5.0</v>
      </c>
      <c r="AH298" s="19">
        <v>5.0</v>
      </c>
      <c r="AI298" s="22">
        <v>15.0</v>
      </c>
      <c r="AJ298" s="19">
        <v>15.0</v>
      </c>
      <c r="AK298" s="19">
        <v>15.0</v>
      </c>
      <c r="AL298" s="19">
        <v>15.0</v>
      </c>
      <c r="AM298" s="19">
        <v>45.0</v>
      </c>
      <c r="AN298" s="19">
        <v>60.0</v>
      </c>
      <c r="AO298" s="19">
        <v>71.0</v>
      </c>
      <c r="AP298" s="19">
        <v>927.0</v>
      </c>
      <c r="AQ298" s="23">
        <v>291.0</v>
      </c>
      <c r="AR298" s="23">
        <v>17.0</v>
      </c>
      <c r="AS298" s="22"/>
      <c r="AT298" s="19" t="s">
        <v>2117</v>
      </c>
      <c r="AU298" s="19" t="s">
        <v>7456</v>
      </c>
      <c r="AV298" s="19" t="s">
        <v>7457</v>
      </c>
      <c r="AW298" s="19"/>
      <c r="AX298" s="20">
        <v>36372.0</v>
      </c>
      <c r="AY298" s="19" t="s">
        <v>7458</v>
      </c>
      <c r="AZ298" s="19" t="s">
        <v>2310</v>
      </c>
      <c r="BA298" s="19" t="s">
        <v>7459</v>
      </c>
      <c r="BB298" s="19" t="s">
        <v>7460</v>
      </c>
      <c r="BC298" s="19" t="s">
        <v>7461</v>
      </c>
      <c r="BD298" s="19" t="s">
        <v>7462</v>
      </c>
      <c r="BE298" s="19" t="s">
        <v>7453</v>
      </c>
      <c r="BF298" s="19">
        <v>1.1953909596E10</v>
      </c>
      <c r="BG298" s="19" t="s">
        <v>2127</v>
      </c>
      <c r="BH298" s="19" t="s">
        <v>2128</v>
      </c>
      <c r="BI298" s="19"/>
      <c r="BJ298" s="19"/>
      <c r="BK298" s="19" t="s">
        <v>16</v>
      </c>
      <c r="BL298" s="19"/>
      <c r="BM298" s="19" t="s">
        <v>5411</v>
      </c>
      <c r="BN298" s="19" t="s">
        <v>2172</v>
      </c>
      <c r="BO298" s="19" t="s">
        <v>3082</v>
      </c>
      <c r="BP298" s="19" t="s">
        <v>7463</v>
      </c>
      <c r="BQ298" s="19" t="s">
        <v>3832</v>
      </c>
      <c r="BR298" s="19" t="s">
        <v>3832</v>
      </c>
      <c r="BS298" s="19" t="s">
        <v>2134</v>
      </c>
      <c r="BT298" s="19" t="s">
        <v>268</v>
      </c>
      <c r="BU298" s="19"/>
      <c r="BV298" s="19"/>
      <c r="BW298" s="19"/>
      <c r="BX298" s="19"/>
      <c r="BY298" s="19"/>
      <c r="BZ298" s="19"/>
      <c r="CA298" s="19"/>
      <c r="CB298" s="19" t="s">
        <v>2113</v>
      </c>
      <c r="CC298" s="19" t="s">
        <v>2113</v>
      </c>
      <c r="CD298" s="19" t="s">
        <v>2137</v>
      </c>
      <c r="CE298" s="19" t="s">
        <v>16</v>
      </c>
      <c r="CF298" s="19"/>
      <c r="CG298" s="19"/>
      <c r="CH298" s="19" t="s">
        <v>16</v>
      </c>
      <c r="CI298" s="21">
        <v>0.0</v>
      </c>
      <c r="CJ298" s="19" t="s">
        <v>16</v>
      </c>
      <c r="CK298" s="19" t="s">
        <v>2113</v>
      </c>
      <c r="CL298" s="19"/>
      <c r="CM298" s="19" t="s">
        <v>2138</v>
      </c>
      <c r="CN298" s="19" t="s">
        <v>7464</v>
      </c>
      <c r="CO298" s="19" t="s">
        <v>3449</v>
      </c>
      <c r="CP298" s="19"/>
      <c r="CQ298" s="19"/>
      <c r="CR298" s="19" t="s">
        <v>2113</v>
      </c>
      <c r="CS298" s="19" t="s">
        <v>2113</v>
      </c>
      <c r="CT298" s="19"/>
      <c r="CU298" s="19"/>
      <c r="CV298" s="19" t="s">
        <v>2179</v>
      </c>
      <c r="CW298" s="19"/>
      <c r="CX298" s="19"/>
      <c r="CY298" s="19" t="s">
        <v>2113</v>
      </c>
      <c r="CZ298" s="19" t="s">
        <v>2113</v>
      </c>
      <c r="DA298" s="19" t="s">
        <v>16</v>
      </c>
      <c r="DB298" s="19" t="s">
        <v>16</v>
      </c>
      <c r="DC298" s="19" t="s">
        <v>3990</v>
      </c>
      <c r="DD298" s="19" t="s">
        <v>2113</v>
      </c>
      <c r="DE298" s="19" t="s">
        <v>2113</v>
      </c>
      <c r="DF298" s="19" t="s">
        <v>7465</v>
      </c>
      <c r="DG298" s="19" t="s">
        <v>4083</v>
      </c>
      <c r="DH298" s="19" t="s">
        <v>2144</v>
      </c>
      <c r="DI298" s="24">
        <v>45519.0</v>
      </c>
      <c r="DJ298" s="19" t="s">
        <v>3257</v>
      </c>
      <c r="DK298" s="19" t="s">
        <v>2271</v>
      </c>
      <c r="DL298" s="19" t="s">
        <v>2207</v>
      </c>
      <c r="DM298" s="22" t="s">
        <v>5286</v>
      </c>
      <c r="DN298" s="19">
        <v>3.0</v>
      </c>
      <c r="DO298" s="19">
        <v>3.0</v>
      </c>
      <c r="DP298" s="19"/>
      <c r="DQ298" s="19"/>
      <c r="DR298" s="19"/>
      <c r="DS298" s="19" t="s">
        <v>2185</v>
      </c>
      <c r="DT298" s="19" t="s">
        <v>2209</v>
      </c>
      <c r="DU298" s="19" t="s">
        <v>7466</v>
      </c>
      <c r="DV298" s="19"/>
      <c r="DW298" s="19" t="s">
        <v>2153</v>
      </c>
      <c r="DX298" s="19">
        <v>2.0</v>
      </c>
      <c r="DY298" s="19">
        <v>10.0</v>
      </c>
      <c r="DZ298" s="19">
        <v>0.0</v>
      </c>
      <c r="EA298" s="19">
        <v>10.0</v>
      </c>
      <c r="EB298" s="19">
        <v>0.0</v>
      </c>
      <c r="EC298" s="19">
        <v>0.0</v>
      </c>
      <c r="ED298" s="19" t="s">
        <v>3257</v>
      </c>
      <c r="EE298" s="24">
        <v>45519.0</v>
      </c>
      <c r="EF298" s="19" t="s">
        <v>3257</v>
      </c>
      <c r="EG298" s="19" t="s">
        <v>2271</v>
      </c>
      <c r="EH298" s="19" t="s">
        <v>2207</v>
      </c>
      <c r="EI298" s="22">
        <v>15.0</v>
      </c>
      <c r="EJ298" s="19">
        <v>45.0</v>
      </c>
      <c r="EK298" s="19"/>
      <c r="EL298" s="19" t="s">
        <v>2117</v>
      </c>
      <c r="EM298" s="19" t="s">
        <v>7456</v>
      </c>
      <c r="EN298" s="19" t="s">
        <v>885</v>
      </c>
      <c r="EO298" s="19" t="s">
        <v>7458</v>
      </c>
      <c r="EP298" s="19" t="s">
        <v>2310</v>
      </c>
      <c r="EQ298" s="19" t="s">
        <v>7464</v>
      </c>
      <c r="ER298" s="19" t="s">
        <v>3449</v>
      </c>
      <c r="ES298" s="19" t="s">
        <v>885</v>
      </c>
      <c r="ET298" s="19" t="s">
        <v>885</v>
      </c>
      <c r="EU298" s="19" t="s">
        <v>7454</v>
      </c>
      <c r="EV298" s="19">
        <v>9089.0</v>
      </c>
      <c r="EW298" s="19" t="s">
        <v>16</v>
      </c>
      <c r="EX298" s="19">
        <v>1.0</v>
      </c>
      <c r="EY298" s="25" t="s">
        <v>884</v>
      </c>
      <c r="EZ298" s="19" t="s">
        <v>2154</v>
      </c>
      <c r="FA298" s="5" t="s">
        <v>7467</v>
      </c>
      <c r="FB298" s="26" t="s">
        <v>2156</v>
      </c>
      <c r="FC298" s="26"/>
    </row>
    <row r="299">
      <c r="A299" s="19" t="s">
        <v>2156</v>
      </c>
      <c r="B299" s="19"/>
      <c r="C299" s="19" t="s">
        <v>2113</v>
      </c>
      <c r="D299" s="19" t="s">
        <v>886</v>
      </c>
      <c r="E299" s="19" t="s">
        <v>886</v>
      </c>
      <c r="F299" s="19" t="s">
        <v>886</v>
      </c>
      <c r="G299" s="19"/>
      <c r="H299" s="19" t="s">
        <v>886</v>
      </c>
      <c r="I299" s="19" t="s">
        <v>888</v>
      </c>
      <c r="J299" s="19" t="s">
        <v>7468</v>
      </c>
      <c r="K299" s="19" t="s">
        <v>7469</v>
      </c>
      <c r="L299" s="20">
        <v>45458.0</v>
      </c>
      <c r="M299" s="20">
        <v>45460.0</v>
      </c>
      <c r="N299" s="20">
        <v>45460.0</v>
      </c>
      <c r="O299" s="19" t="s">
        <v>887</v>
      </c>
      <c r="P299" s="19">
        <v>0.0</v>
      </c>
      <c r="Q299" s="19">
        <v>18.0</v>
      </c>
      <c r="R299" s="19">
        <v>6849.0</v>
      </c>
      <c r="S299" s="20" t="s">
        <v>7470</v>
      </c>
      <c r="T299" s="20">
        <v>45461.0</v>
      </c>
      <c r="U299" s="19" t="s">
        <v>886</v>
      </c>
      <c r="V299" s="19"/>
      <c r="W299" s="19"/>
      <c r="X299" s="21">
        <v>0.0</v>
      </c>
      <c r="Y299" s="21">
        <v>10.0</v>
      </c>
      <c r="Z299" s="21">
        <v>1.0</v>
      </c>
      <c r="AA299" s="21">
        <v>0.0</v>
      </c>
      <c r="AB299" s="5">
        <v>11.0</v>
      </c>
      <c r="AC299" s="19">
        <v>5.0</v>
      </c>
      <c r="AD299" s="19">
        <v>5.0</v>
      </c>
      <c r="AE299" s="19">
        <v>5.0</v>
      </c>
      <c r="AF299" s="19">
        <v>5.0</v>
      </c>
      <c r="AG299" s="19">
        <v>5.0</v>
      </c>
      <c r="AH299" s="19">
        <v>5.0</v>
      </c>
      <c r="AI299" s="22">
        <v>15.0</v>
      </c>
      <c r="AJ299" s="19">
        <v>15.0</v>
      </c>
      <c r="AK299" s="19">
        <v>15.0</v>
      </c>
      <c r="AL299" s="19">
        <v>15.0</v>
      </c>
      <c r="AM299" s="19">
        <v>45.0</v>
      </c>
      <c r="AN299" s="19">
        <v>60.0</v>
      </c>
      <c r="AO299" s="19">
        <v>71.0</v>
      </c>
      <c r="AP299" s="19">
        <v>944.0</v>
      </c>
      <c r="AQ299" s="23">
        <v>292.0</v>
      </c>
      <c r="AR299" s="23">
        <v>23.0</v>
      </c>
      <c r="AS299" s="22"/>
      <c r="AT299" s="19" t="s">
        <v>2163</v>
      </c>
      <c r="AU299" s="19" t="s">
        <v>7471</v>
      </c>
      <c r="AV299" s="19" t="s">
        <v>7472</v>
      </c>
      <c r="AW299" s="19"/>
      <c r="AX299" s="20">
        <v>38612.0</v>
      </c>
      <c r="AY299" s="19" t="s">
        <v>7473</v>
      </c>
      <c r="AZ299" s="19" t="s">
        <v>2310</v>
      </c>
      <c r="BA299" s="19" t="s">
        <v>7474</v>
      </c>
      <c r="BB299" s="19" t="s">
        <v>7475</v>
      </c>
      <c r="BC299" s="19" t="s">
        <v>7476</v>
      </c>
      <c r="BD299" s="19" t="s">
        <v>7477</v>
      </c>
      <c r="BE299" s="19" t="s">
        <v>7478</v>
      </c>
      <c r="BF299" s="19" t="s">
        <v>7479</v>
      </c>
      <c r="BG299" s="19" t="s">
        <v>2127</v>
      </c>
      <c r="BH299" s="19" t="s">
        <v>2128</v>
      </c>
      <c r="BI299" s="19"/>
      <c r="BJ299" s="19" t="s">
        <v>2128</v>
      </c>
      <c r="BK299" s="19" t="s">
        <v>17</v>
      </c>
      <c r="BL299" s="19"/>
      <c r="BM299" s="19" t="s">
        <v>5411</v>
      </c>
      <c r="BN299" s="19" t="s">
        <v>3275</v>
      </c>
      <c r="BO299" s="19" t="s">
        <v>3082</v>
      </c>
      <c r="BP299" s="19"/>
      <c r="BQ299" s="19" t="s">
        <v>2318</v>
      </c>
      <c r="BR299" s="19" t="s">
        <v>2318</v>
      </c>
      <c r="BS299" s="19" t="s">
        <v>2243</v>
      </c>
      <c r="BT299" s="19" t="s">
        <v>42</v>
      </c>
      <c r="BU299" s="19" t="s">
        <v>7480</v>
      </c>
      <c r="BV299" s="19"/>
      <c r="BW299" s="19" t="s">
        <v>2113</v>
      </c>
      <c r="BX299" s="19"/>
      <c r="BY299" s="19"/>
      <c r="BZ299" s="19"/>
      <c r="CA299" s="19"/>
      <c r="CB299" s="19" t="s">
        <v>2113</v>
      </c>
      <c r="CC299" s="19"/>
      <c r="CD299" s="19" t="s">
        <v>2137</v>
      </c>
      <c r="CE299" s="19" t="s">
        <v>16</v>
      </c>
      <c r="CF299" s="19"/>
      <c r="CG299" s="19"/>
      <c r="CH299" s="19" t="s">
        <v>16</v>
      </c>
      <c r="CI299" s="21">
        <v>0.0</v>
      </c>
      <c r="CJ299" s="19" t="s">
        <v>17</v>
      </c>
      <c r="CK299" s="19"/>
      <c r="CL299" s="19"/>
      <c r="CM299" s="19" t="s">
        <v>2926</v>
      </c>
      <c r="CN299" s="19" t="s">
        <v>3279</v>
      </c>
      <c r="CO299" s="19"/>
      <c r="CP299" s="19" t="s">
        <v>2225</v>
      </c>
      <c r="CQ299" s="19"/>
      <c r="CR299" s="19" t="s">
        <v>2113</v>
      </c>
      <c r="CS299" s="19" t="s">
        <v>2113</v>
      </c>
      <c r="CT299" s="19" t="s">
        <v>2113</v>
      </c>
      <c r="CU299" s="19" t="s">
        <v>2113</v>
      </c>
      <c r="CV299" s="19" t="s">
        <v>2141</v>
      </c>
      <c r="CW299" s="19"/>
      <c r="CX299" s="19"/>
      <c r="CY299" s="19"/>
      <c r="CZ299" s="19"/>
      <c r="DA299" s="19" t="s">
        <v>16</v>
      </c>
      <c r="DB299" s="19" t="s">
        <v>17</v>
      </c>
      <c r="DC299" s="19" t="s">
        <v>5828</v>
      </c>
      <c r="DD299" s="19" t="s">
        <v>2113</v>
      </c>
      <c r="DE299" s="19" t="s">
        <v>2113</v>
      </c>
      <c r="DF299" s="19" t="s">
        <v>3223</v>
      </c>
      <c r="DG299" s="19" t="s">
        <v>2433</v>
      </c>
      <c r="DH299" s="19" t="s">
        <v>2144</v>
      </c>
      <c r="DI299" s="24">
        <v>45519.0</v>
      </c>
      <c r="DJ299" s="19" t="s">
        <v>2325</v>
      </c>
      <c r="DK299" s="19" t="s">
        <v>2145</v>
      </c>
      <c r="DL299" s="19" t="s">
        <v>2326</v>
      </c>
      <c r="DM299" s="19"/>
      <c r="DN299" s="19">
        <v>5.0</v>
      </c>
      <c r="DO299" s="19">
        <v>5.0</v>
      </c>
      <c r="DP299" s="19" t="s">
        <v>7481</v>
      </c>
      <c r="DQ299" s="19" t="s">
        <v>7482</v>
      </c>
      <c r="DR299" s="19" t="s">
        <v>7483</v>
      </c>
      <c r="DS299" s="19" t="s">
        <v>2185</v>
      </c>
      <c r="DT299" s="19" t="s">
        <v>2209</v>
      </c>
      <c r="DU299" s="19"/>
      <c r="DV299" s="19"/>
      <c r="DW299" s="19" t="s">
        <v>2188</v>
      </c>
      <c r="DX299" s="19">
        <v>5.0</v>
      </c>
      <c r="DY299" s="19">
        <v>10.0</v>
      </c>
      <c r="DZ299" s="19">
        <v>0.0</v>
      </c>
      <c r="EA299" s="19">
        <v>10.0</v>
      </c>
      <c r="EB299" s="19">
        <v>0.0</v>
      </c>
      <c r="EC299" s="19">
        <v>0.0</v>
      </c>
      <c r="ED299" s="19" t="s">
        <v>2325</v>
      </c>
      <c r="EE299" s="24">
        <v>45519.0</v>
      </c>
      <c r="EF299" s="19" t="s">
        <v>2325</v>
      </c>
      <c r="EG299" s="19" t="s">
        <v>2145</v>
      </c>
      <c r="EH299" s="19" t="s">
        <v>2326</v>
      </c>
      <c r="EI299" s="22">
        <v>15.0</v>
      </c>
      <c r="EJ299" s="19">
        <v>45.0</v>
      </c>
      <c r="EK299" s="19" t="s">
        <v>2113</v>
      </c>
      <c r="EL299" s="19" t="s">
        <v>2163</v>
      </c>
      <c r="EM299" s="19" t="s">
        <v>7471</v>
      </c>
      <c r="EN299" s="19" t="s">
        <v>888</v>
      </c>
      <c r="EO299" s="19" t="s">
        <v>7473</v>
      </c>
      <c r="EP299" s="19" t="s">
        <v>2310</v>
      </c>
      <c r="EQ299" s="19" t="s">
        <v>3279</v>
      </c>
      <c r="ER299" s="19"/>
      <c r="ES299" s="19" t="s">
        <v>888</v>
      </c>
      <c r="ET299" s="19" t="s">
        <v>888</v>
      </c>
      <c r="EU299" s="19" t="s">
        <v>7469</v>
      </c>
      <c r="EV299" s="19">
        <v>6849.0</v>
      </c>
      <c r="EW299" s="19" t="s">
        <v>16</v>
      </c>
      <c r="EX299" s="19">
        <v>1.0</v>
      </c>
      <c r="EY299" s="25" t="s">
        <v>887</v>
      </c>
      <c r="EZ299" s="19" t="s">
        <v>2154</v>
      </c>
      <c r="FA299" s="5" t="s">
        <v>7484</v>
      </c>
      <c r="FB299" s="26" t="s">
        <v>2156</v>
      </c>
      <c r="FC299" s="26"/>
    </row>
    <row r="300">
      <c r="A300" s="19" t="s">
        <v>2112</v>
      </c>
      <c r="B300" s="19"/>
      <c r="C300" s="19" t="s">
        <v>2113</v>
      </c>
      <c r="D300" s="19" t="s">
        <v>889</v>
      </c>
      <c r="E300" s="19" t="s">
        <v>7485</v>
      </c>
      <c r="F300" s="19" t="s">
        <v>7486</v>
      </c>
      <c r="G300" s="19" t="s">
        <v>7487</v>
      </c>
      <c r="H300" s="19" t="s">
        <v>889</v>
      </c>
      <c r="I300" s="19" t="s">
        <v>891</v>
      </c>
      <c r="J300" s="19" t="s">
        <v>7488</v>
      </c>
      <c r="K300" s="19" t="s">
        <v>7489</v>
      </c>
      <c r="L300" s="20">
        <v>45427.0</v>
      </c>
      <c r="M300" s="20">
        <v>45428.0</v>
      </c>
      <c r="N300" s="20">
        <v>45428.0</v>
      </c>
      <c r="O300" s="19" t="s">
        <v>890</v>
      </c>
      <c r="P300" s="19">
        <v>0.0</v>
      </c>
      <c r="Q300" s="19">
        <v>19.0</v>
      </c>
      <c r="R300" s="19">
        <v>7124.0</v>
      </c>
      <c r="S300" s="20" t="s">
        <v>7490</v>
      </c>
      <c r="T300" s="20">
        <v>45461.0</v>
      </c>
      <c r="U300" s="19" t="s">
        <v>7486</v>
      </c>
      <c r="V300" s="19"/>
      <c r="W300" s="19"/>
      <c r="X300" s="21">
        <v>0.0</v>
      </c>
      <c r="Y300" s="21">
        <v>10.0</v>
      </c>
      <c r="Z300" s="21">
        <v>5.0</v>
      </c>
      <c r="AA300" s="21">
        <v>0.0</v>
      </c>
      <c r="AB300" s="5">
        <v>15.0</v>
      </c>
      <c r="AC300" s="19">
        <v>3.6</v>
      </c>
      <c r="AD300" s="19">
        <v>3.3</v>
      </c>
      <c r="AE300" s="19">
        <v>3.6</v>
      </c>
      <c r="AF300" s="19">
        <v>3.6</v>
      </c>
      <c r="AG300" s="19">
        <v>4.0</v>
      </c>
      <c r="AH300" s="19">
        <v>4.0</v>
      </c>
      <c r="AI300" s="22">
        <v>10.903125</v>
      </c>
      <c r="AJ300" s="19">
        <v>15.0</v>
      </c>
      <c r="AK300" s="19">
        <v>15.0</v>
      </c>
      <c r="AL300" s="19">
        <v>15.0</v>
      </c>
      <c r="AM300" s="19">
        <v>45.0</v>
      </c>
      <c r="AN300" s="19">
        <v>55.9</v>
      </c>
      <c r="AO300" s="19">
        <v>70.9</v>
      </c>
      <c r="AP300" s="19">
        <v>531.0</v>
      </c>
      <c r="AQ300" s="23">
        <v>293.0</v>
      </c>
      <c r="AR300" s="23">
        <v>43.0</v>
      </c>
      <c r="AS300" s="22"/>
      <c r="AT300" s="19" t="s">
        <v>2282</v>
      </c>
      <c r="AU300" s="19" t="s">
        <v>7491</v>
      </c>
      <c r="AV300" s="19" t="s">
        <v>7492</v>
      </c>
      <c r="AW300" s="19" t="s">
        <v>3269</v>
      </c>
      <c r="AX300" s="20">
        <v>38337.0</v>
      </c>
      <c r="AY300" s="19" t="s">
        <v>2167</v>
      </c>
      <c r="AZ300" s="19" t="s">
        <v>2122</v>
      </c>
      <c r="BA300" s="19" t="s">
        <v>7493</v>
      </c>
      <c r="BB300" s="19" t="s">
        <v>7494</v>
      </c>
      <c r="BC300" s="19" t="s">
        <v>7495</v>
      </c>
      <c r="BD300" s="19" t="s">
        <v>7496</v>
      </c>
      <c r="BE300" s="19" t="s">
        <v>7488</v>
      </c>
      <c r="BF300" s="19">
        <v>1.1984754606E10</v>
      </c>
      <c r="BG300" s="19" t="s">
        <v>2127</v>
      </c>
      <c r="BH300" s="19" t="s">
        <v>2128</v>
      </c>
      <c r="BI300" s="19"/>
      <c r="BJ300" s="19"/>
      <c r="BK300" s="19" t="s">
        <v>17</v>
      </c>
      <c r="BL300" s="19" t="s">
        <v>2113</v>
      </c>
      <c r="BM300" s="19" t="s">
        <v>5563</v>
      </c>
      <c r="BN300" s="19" t="s">
        <v>2172</v>
      </c>
      <c r="BO300" s="19" t="s">
        <v>2132</v>
      </c>
      <c r="BP300" s="19"/>
      <c r="BQ300" s="19" t="s">
        <v>2174</v>
      </c>
      <c r="BR300" s="19" t="s">
        <v>2174</v>
      </c>
      <c r="BS300" s="19" t="s">
        <v>2134</v>
      </c>
      <c r="BT300" s="19" t="s">
        <v>21</v>
      </c>
      <c r="BU300" s="19"/>
      <c r="BV300" s="19"/>
      <c r="BW300" s="19"/>
      <c r="BX300" s="19"/>
      <c r="BY300" s="19"/>
      <c r="BZ300" s="19"/>
      <c r="CA300" s="19"/>
      <c r="CB300" s="19" t="s">
        <v>2113</v>
      </c>
      <c r="CC300" s="19"/>
      <c r="CD300" s="19" t="s">
        <v>2137</v>
      </c>
      <c r="CE300" s="19" t="s">
        <v>16</v>
      </c>
      <c r="CF300" s="19"/>
      <c r="CG300" s="19"/>
      <c r="CH300" s="19" t="s">
        <v>16</v>
      </c>
      <c r="CI300" s="21">
        <v>0.0</v>
      </c>
      <c r="CJ300" s="19" t="s">
        <v>16</v>
      </c>
      <c r="CK300" s="19"/>
      <c r="CL300" s="19"/>
      <c r="CM300" s="19" t="s">
        <v>2344</v>
      </c>
      <c r="CN300" s="19" t="s">
        <v>2176</v>
      </c>
      <c r="CO300" s="19"/>
      <c r="CP300" s="19" t="s">
        <v>2225</v>
      </c>
      <c r="CQ300" s="19"/>
      <c r="CR300" s="19"/>
      <c r="CS300" s="19"/>
      <c r="CT300" s="19" t="s">
        <v>2113</v>
      </c>
      <c r="CU300" s="19" t="s">
        <v>2113</v>
      </c>
      <c r="CV300" s="19" t="s">
        <v>2141</v>
      </c>
      <c r="CW300" s="19"/>
      <c r="CX300" s="19"/>
      <c r="CY300" s="19"/>
      <c r="CZ300" s="19"/>
      <c r="DA300" s="19" t="s">
        <v>16</v>
      </c>
      <c r="DB300" s="19" t="s">
        <v>16</v>
      </c>
      <c r="DC300" s="19" t="s">
        <v>2769</v>
      </c>
      <c r="DD300" s="19" t="s">
        <v>2113</v>
      </c>
      <c r="DE300" s="19" t="s">
        <v>2113</v>
      </c>
      <c r="DF300" s="19" t="s">
        <v>7359</v>
      </c>
      <c r="DG300" s="19" t="s">
        <v>2181</v>
      </c>
      <c r="DH300" s="19" t="s">
        <v>2144</v>
      </c>
      <c r="DI300" s="24">
        <v>45525.0</v>
      </c>
      <c r="DJ300" s="19" t="s">
        <v>2174</v>
      </c>
      <c r="DK300" s="19" t="s">
        <v>2145</v>
      </c>
      <c r="DL300" s="19" t="s">
        <v>2183</v>
      </c>
      <c r="DM300" s="19" t="s">
        <v>2249</v>
      </c>
      <c r="DN300" s="19">
        <v>9.0</v>
      </c>
      <c r="DO300" s="19">
        <v>9.0</v>
      </c>
      <c r="DP300" s="19" t="s">
        <v>7497</v>
      </c>
      <c r="DQ300" s="19" t="s">
        <v>7498</v>
      </c>
      <c r="DR300" s="19" t="s">
        <v>7499</v>
      </c>
      <c r="DS300" s="19" t="s">
        <v>2151</v>
      </c>
      <c r="DT300" s="19" t="s">
        <v>2229</v>
      </c>
      <c r="DU300" s="19"/>
      <c r="DV300" s="19"/>
      <c r="DW300" s="19" t="s">
        <v>2188</v>
      </c>
      <c r="DX300" s="19">
        <v>15.0</v>
      </c>
      <c r="DY300" s="19">
        <v>10.0</v>
      </c>
      <c r="DZ300" s="19">
        <v>0.0</v>
      </c>
      <c r="EA300" s="19">
        <v>10.0</v>
      </c>
      <c r="EB300" s="19">
        <v>0.0</v>
      </c>
      <c r="EC300" s="19">
        <v>0.0</v>
      </c>
      <c r="ED300" s="19" t="s">
        <v>2174</v>
      </c>
      <c r="EE300" s="24">
        <v>45525.0</v>
      </c>
      <c r="EF300" s="19" t="s">
        <v>2174</v>
      </c>
      <c r="EG300" s="19" t="s">
        <v>2145</v>
      </c>
      <c r="EH300" s="19" t="s">
        <v>2183</v>
      </c>
      <c r="EI300" s="22">
        <v>10.903125</v>
      </c>
      <c r="EJ300" s="19">
        <v>45.0</v>
      </c>
      <c r="EK300" s="19"/>
      <c r="EL300" s="19" t="s">
        <v>2282</v>
      </c>
      <c r="EM300" s="19" t="s">
        <v>7491</v>
      </c>
      <c r="EN300" s="19" t="s">
        <v>891</v>
      </c>
      <c r="EO300" s="19" t="s">
        <v>2167</v>
      </c>
      <c r="EP300" s="19" t="s">
        <v>2122</v>
      </c>
      <c r="EQ300" s="19" t="s">
        <v>2176</v>
      </c>
      <c r="ER300" s="19"/>
      <c r="ES300" s="19" t="s">
        <v>891</v>
      </c>
      <c r="ET300" s="19" t="s">
        <v>891</v>
      </c>
      <c r="EU300" s="19" t="s">
        <v>7489</v>
      </c>
      <c r="EV300" s="19">
        <v>7124.0</v>
      </c>
      <c r="EW300" s="19" t="s">
        <v>16</v>
      </c>
      <c r="EX300" s="19">
        <v>5.0</v>
      </c>
      <c r="EY300" s="25" t="s">
        <v>890</v>
      </c>
      <c r="EZ300" s="19" t="s">
        <v>2154</v>
      </c>
      <c r="FA300" s="5" t="s">
        <v>7500</v>
      </c>
      <c r="FB300" s="26" t="s">
        <v>2156</v>
      </c>
      <c r="FC300" s="26"/>
    </row>
    <row r="301">
      <c r="A301" s="19" t="s">
        <v>2112</v>
      </c>
      <c r="B301" s="19"/>
      <c r="C301" s="19" t="s">
        <v>2113</v>
      </c>
      <c r="D301" s="19" t="s">
        <v>892</v>
      </c>
      <c r="E301" s="19" t="s">
        <v>7501</v>
      </c>
      <c r="F301" s="19" t="s">
        <v>892</v>
      </c>
      <c r="G301" s="19"/>
      <c r="H301" s="19" t="s">
        <v>892</v>
      </c>
      <c r="I301" s="19" t="s">
        <v>894</v>
      </c>
      <c r="J301" s="19" t="s">
        <v>7502</v>
      </c>
      <c r="K301" s="19" t="s">
        <v>7503</v>
      </c>
      <c r="L301" s="20">
        <v>45460.0</v>
      </c>
      <c r="M301" s="20">
        <v>45462.0</v>
      </c>
      <c r="N301" s="20">
        <v>45462.0</v>
      </c>
      <c r="O301" s="19" t="s">
        <v>893</v>
      </c>
      <c r="P301" s="19">
        <v>0.0</v>
      </c>
      <c r="Q301" s="19">
        <v>20.0</v>
      </c>
      <c r="R301" s="19">
        <v>7662.0</v>
      </c>
      <c r="S301" s="20" t="s">
        <v>7504</v>
      </c>
      <c r="T301" s="20">
        <v>45461.0</v>
      </c>
      <c r="U301" s="19" t="s">
        <v>892</v>
      </c>
      <c r="V301" s="19"/>
      <c r="W301" s="19"/>
      <c r="X301" s="21">
        <v>0.0</v>
      </c>
      <c r="Y301" s="21">
        <v>10.0</v>
      </c>
      <c r="Z301" s="21">
        <v>5.0</v>
      </c>
      <c r="AA301" s="21">
        <v>0.0</v>
      </c>
      <c r="AB301" s="5">
        <v>15.0</v>
      </c>
      <c r="AC301" s="19">
        <v>4.0</v>
      </c>
      <c r="AD301" s="19">
        <v>3.3</v>
      </c>
      <c r="AE301" s="19">
        <v>3.6</v>
      </c>
      <c r="AF301" s="19">
        <v>3.8</v>
      </c>
      <c r="AG301" s="19">
        <v>3.6</v>
      </c>
      <c r="AH301" s="19">
        <v>3.6</v>
      </c>
      <c r="AI301" s="22">
        <v>10.865625</v>
      </c>
      <c r="AJ301" s="19">
        <v>15.0</v>
      </c>
      <c r="AK301" s="19">
        <v>15.0</v>
      </c>
      <c r="AL301" s="19">
        <v>15.0</v>
      </c>
      <c r="AM301" s="19">
        <v>45.0</v>
      </c>
      <c r="AN301" s="19">
        <v>55.9</v>
      </c>
      <c r="AO301" s="19">
        <v>70.9</v>
      </c>
      <c r="AP301" s="19">
        <v>489.0</v>
      </c>
      <c r="AQ301" s="23">
        <v>294.0</v>
      </c>
      <c r="AR301" s="23">
        <v>44.0</v>
      </c>
      <c r="AS301" s="22"/>
      <c r="AT301" s="19" t="s">
        <v>2117</v>
      </c>
      <c r="AU301" s="19" t="s">
        <v>2164</v>
      </c>
      <c r="AV301" s="19" t="s">
        <v>7505</v>
      </c>
      <c r="AW301" s="19"/>
      <c r="AX301" s="20">
        <v>37799.0</v>
      </c>
      <c r="AY301" s="19" t="s">
        <v>2167</v>
      </c>
      <c r="AZ301" s="19" t="s">
        <v>2122</v>
      </c>
      <c r="BA301" s="19" t="s">
        <v>7506</v>
      </c>
      <c r="BB301" s="19" t="s">
        <v>7507</v>
      </c>
      <c r="BC301" s="19" t="s">
        <v>7508</v>
      </c>
      <c r="BD301" s="19" t="s">
        <v>7509</v>
      </c>
      <c r="BE301" s="19" t="s">
        <v>7502</v>
      </c>
      <c r="BF301" s="19">
        <v>1.1991050102E10</v>
      </c>
      <c r="BG301" s="19" t="s">
        <v>2127</v>
      </c>
      <c r="BH301" s="19" t="s">
        <v>2128</v>
      </c>
      <c r="BI301" s="19"/>
      <c r="BJ301" s="19" t="s">
        <v>2128</v>
      </c>
      <c r="BK301" s="19" t="s">
        <v>17</v>
      </c>
      <c r="BL301" s="19" t="s">
        <v>2113</v>
      </c>
      <c r="BM301" s="19" t="s">
        <v>5411</v>
      </c>
      <c r="BN301" s="19" t="s">
        <v>2172</v>
      </c>
      <c r="BO301" s="19" t="s">
        <v>2132</v>
      </c>
      <c r="BP301" s="19"/>
      <c r="BQ301" s="19" t="s">
        <v>2174</v>
      </c>
      <c r="BR301" s="19" t="s">
        <v>2174</v>
      </c>
      <c r="BS301" s="19" t="s">
        <v>2134</v>
      </c>
      <c r="BT301" s="19" t="s">
        <v>21</v>
      </c>
      <c r="BU301" s="19"/>
      <c r="BV301" s="19"/>
      <c r="BW301" s="19"/>
      <c r="BX301" s="19"/>
      <c r="BY301" s="19"/>
      <c r="BZ301" s="19"/>
      <c r="CA301" s="19"/>
      <c r="CB301" s="19" t="s">
        <v>2113</v>
      </c>
      <c r="CC301" s="19"/>
      <c r="CD301" s="19" t="s">
        <v>2137</v>
      </c>
      <c r="CE301" s="19" t="s">
        <v>16</v>
      </c>
      <c r="CF301" s="19"/>
      <c r="CG301" s="19"/>
      <c r="CH301" s="19" t="s">
        <v>16</v>
      </c>
      <c r="CI301" s="21">
        <v>0.0</v>
      </c>
      <c r="CJ301" s="19" t="s">
        <v>17</v>
      </c>
      <c r="CK301" s="19"/>
      <c r="CL301" s="19"/>
      <c r="CM301" s="19" t="s">
        <v>2138</v>
      </c>
      <c r="CN301" s="19" t="s">
        <v>2176</v>
      </c>
      <c r="CO301" s="19"/>
      <c r="CP301" s="19" t="s">
        <v>2178</v>
      </c>
      <c r="CQ301" s="19"/>
      <c r="CR301" s="19"/>
      <c r="CS301" s="19"/>
      <c r="CT301" s="19" t="s">
        <v>2113</v>
      </c>
      <c r="CU301" s="19" t="s">
        <v>2113</v>
      </c>
      <c r="CV301" s="19" t="s">
        <v>2141</v>
      </c>
      <c r="CW301" s="19"/>
      <c r="CX301" s="19"/>
      <c r="CY301" s="19" t="s">
        <v>2113</v>
      </c>
      <c r="CZ301" s="19" t="s">
        <v>2113</v>
      </c>
      <c r="DA301" s="19" t="s">
        <v>16</v>
      </c>
      <c r="DB301" s="19" t="s">
        <v>17</v>
      </c>
      <c r="DC301" s="19" t="s">
        <v>2180</v>
      </c>
      <c r="DD301" s="19"/>
      <c r="DE301" s="19"/>
      <c r="DF301" s="19" t="s">
        <v>2226</v>
      </c>
      <c r="DG301" s="19" t="s">
        <v>2247</v>
      </c>
      <c r="DH301" s="19" t="s">
        <v>2144</v>
      </c>
      <c r="DI301" s="24">
        <v>45526.0</v>
      </c>
      <c r="DJ301" s="19" t="s">
        <v>2174</v>
      </c>
      <c r="DK301" s="19" t="s">
        <v>2145</v>
      </c>
      <c r="DL301" s="19" t="s">
        <v>2183</v>
      </c>
      <c r="DM301" s="19"/>
      <c r="DN301" s="19">
        <v>11.0</v>
      </c>
      <c r="DO301" s="19">
        <v>11.0</v>
      </c>
      <c r="DP301" s="19" t="s">
        <v>7510</v>
      </c>
      <c r="DQ301" s="19" t="s">
        <v>7511</v>
      </c>
      <c r="DR301" s="19" t="s">
        <v>7512</v>
      </c>
      <c r="DS301" s="19" t="s">
        <v>2151</v>
      </c>
      <c r="DT301" s="19" t="s">
        <v>2209</v>
      </c>
      <c r="DU301" s="19"/>
      <c r="DV301" s="19"/>
      <c r="DW301" s="19" t="s">
        <v>2188</v>
      </c>
      <c r="DX301" s="19">
        <v>15.0</v>
      </c>
      <c r="DY301" s="19">
        <v>10.0</v>
      </c>
      <c r="DZ301" s="19">
        <v>0.0</v>
      </c>
      <c r="EA301" s="19">
        <v>10.0</v>
      </c>
      <c r="EB301" s="19">
        <v>0.0</v>
      </c>
      <c r="EC301" s="19">
        <v>0.0</v>
      </c>
      <c r="ED301" s="19" t="s">
        <v>2174</v>
      </c>
      <c r="EE301" s="24">
        <v>45526.0</v>
      </c>
      <c r="EF301" s="19" t="s">
        <v>2174</v>
      </c>
      <c r="EG301" s="19" t="s">
        <v>2145</v>
      </c>
      <c r="EH301" s="19" t="s">
        <v>2183</v>
      </c>
      <c r="EI301" s="22">
        <v>10.865625</v>
      </c>
      <c r="EJ301" s="19">
        <v>45.0</v>
      </c>
      <c r="EK301" s="19" t="s">
        <v>2113</v>
      </c>
      <c r="EL301" s="19" t="s">
        <v>2117</v>
      </c>
      <c r="EM301" s="19" t="s">
        <v>2164</v>
      </c>
      <c r="EN301" s="19" t="s">
        <v>894</v>
      </c>
      <c r="EO301" s="19" t="s">
        <v>2167</v>
      </c>
      <c r="EP301" s="19" t="s">
        <v>2122</v>
      </c>
      <c r="EQ301" s="19" t="s">
        <v>2176</v>
      </c>
      <c r="ER301" s="19"/>
      <c r="ES301" s="19" t="s">
        <v>894</v>
      </c>
      <c r="ET301" s="19" t="s">
        <v>894</v>
      </c>
      <c r="EU301" s="19" t="s">
        <v>7503</v>
      </c>
      <c r="EV301" s="19">
        <v>7662.0</v>
      </c>
      <c r="EW301" s="19" t="s">
        <v>16</v>
      </c>
      <c r="EX301" s="19">
        <v>5.0</v>
      </c>
      <c r="EY301" s="25" t="s">
        <v>893</v>
      </c>
      <c r="EZ301" s="19" t="s">
        <v>2154</v>
      </c>
      <c r="FA301" s="5" t="s">
        <v>7513</v>
      </c>
      <c r="FB301" s="26" t="s">
        <v>2156</v>
      </c>
      <c r="FC301" s="26"/>
    </row>
    <row r="302">
      <c r="A302" s="19" t="s">
        <v>2112</v>
      </c>
      <c r="B302" s="19"/>
      <c r="C302" s="19" t="s">
        <v>2113</v>
      </c>
      <c r="D302" s="19" t="s">
        <v>895</v>
      </c>
      <c r="E302" s="19" t="s">
        <v>7514</v>
      </c>
      <c r="F302" s="19" t="s">
        <v>895</v>
      </c>
      <c r="G302" s="19"/>
      <c r="H302" s="19" t="s">
        <v>895</v>
      </c>
      <c r="I302" s="19" t="s">
        <v>897</v>
      </c>
      <c r="J302" s="19" t="s">
        <v>7515</v>
      </c>
      <c r="K302" s="19" t="s">
        <v>7516</v>
      </c>
      <c r="L302" s="20">
        <v>45443.0</v>
      </c>
      <c r="M302" s="20">
        <v>45446.0</v>
      </c>
      <c r="N302" s="20">
        <v>45446.0</v>
      </c>
      <c r="O302" s="19" t="s">
        <v>896</v>
      </c>
      <c r="P302" s="19">
        <v>0.0</v>
      </c>
      <c r="Q302" s="19">
        <v>20.0</v>
      </c>
      <c r="R302" s="19">
        <v>7646.0</v>
      </c>
      <c r="S302" s="20" t="s">
        <v>7517</v>
      </c>
      <c r="T302" s="20">
        <v>45461.0</v>
      </c>
      <c r="U302" s="19" t="s">
        <v>895</v>
      </c>
      <c r="V302" s="19"/>
      <c r="W302" s="19"/>
      <c r="X302" s="21">
        <v>0.0</v>
      </c>
      <c r="Y302" s="21">
        <v>10.0</v>
      </c>
      <c r="Z302" s="21">
        <v>5.0</v>
      </c>
      <c r="AA302" s="21">
        <v>0.0</v>
      </c>
      <c r="AB302" s="5">
        <v>15.0</v>
      </c>
      <c r="AC302" s="19">
        <v>5.0</v>
      </c>
      <c r="AD302" s="19">
        <v>5.0</v>
      </c>
      <c r="AE302" s="19">
        <v>5.0</v>
      </c>
      <c r="AF302" s="19">
        <v>4.0</v>
      </c>
      <c r="AG302" s="19">
        <v>4.0</v>
      </c>
      <c r="AH302" s="19">
        <v>4.0</v>
      </c>
      <c r="AI302" s="22">
        <v>13.875</v>
      </c>
      <c r="AJ302" s="19">
        <v>14.0</v>
      </c>
      <c r="AK302" s="19">
        <v>15.0</v>
      </c>
      <c r="AL302" s="19">
        <v>13.0</v>
      </c>
      <c r="AM302" s="19">
        <v>42.0</v>
      </c>
      <c r="AN302" s="19">
        <v>55.9</v>
      </c>
      <c r="AO302" s="19">
        <v>70.9</v>
      </c>
      <c r="AP302" s="19">
        <v>492.0</v>
      </c>
      <c r="AQ302" s="23">
        <v>295.0</v>
      </c>
      <c r="AR302" s="23">
        <v>36.0</v>
      </c>
      <c r="AS302" s="22"/>
      <c r="AT302" s="19" t="s">
        <v>2282</v>
      </c>
      <c r="AU302" s="19" t="s">
        <v>2993</v>
      </c>
      <c r="AV302" s="19" t="s">
        <v>7518</v>
      </c>
      <c r="AW302" s="19"/>
      <c r="AX302" s="20">
        <v>37815.0</v>
      </c>
      <c r="AY302" s="19" t="s">
        <v>2286</v>
      </c>
      <c r="AZ302" s="19" t="s">
        <v>2122</v>
      </c>
      <c r="BA302" s="19" t="s">
        <v>7519</v>
      </c>
      <c r="BB302" s="19" t="s">
        <v>2885</v>
      </c>
      <c r="BC302" s="19" t="s">
        <v>7520</v>
      </c>
      <c r="BD302" s="19" t="s">
        <v>7521</v>
      </c>
      <c r="BE302" s="19" t="s">
        <v>7522</v>
      </c>
      <c r="BF302" s="19">
        <v>1.1958694468E10</v>
      </c>
      <c r="BG302" s="19" t="s">
        <v>2127</v>
      </c>
      <c r="BH302" s="19" t="s">
        <v>2128</v>
      </c>
      <c r="BI302" s="19"/>
      <c r="BJ302" s="19" t="s">
        <v>2128</v>
      </c>
      <c r="BK302" s="19" t="s">
        <v>17</v>
      </c>
      <c r="BL302" s="19"/>
      <c r="BM302" s="19" t="s">
        <v>5563</v>
      </c>
      <c r="BN302" s="19" t="s">
        <v>2131</v>
      </c>
      <c r="BO302" s="19" t="s">
        <v>2132</v>
      </c>
      <c r="BP302" s="19"/>
      <c r="BQ302" s="19" t="s">
        <v>2133</v>
      </c>
      <c r="BR302" s="19" t="s">
        <v>2133</v>
      </c>
      <c r="BS302" s="19" t="s">
        <v>2134</v>
      </c>
      <c r="BT302" s="19" t="s">
        <v>38</v>
      </c>
      <c r="BU302" s="19" t="s">
        <v>4613</v>
      </c>
      <c r="BV302" s="19"/>
      <c r="BW302" s="19" t="s">
        <v>2113</v>
      </c>
      <c r="BX302" s="19"/>
      <c r="BY302" s="19"/>
      <c r="BZ302" s="19"/>
      <c r="CA302" s="19"/>
      <c r="CB302" s="19" t="s">
        <v>2113</v>
      </c>
      <c r="CC302" s="19"/>
      <c r="CD302" s="19" t="s">
        <v>2137</v>
      </c>
      <c r="CE302" s="19" t="s">
        <v>16</v>
      </c>
      <c r="CF302" s="19"/>
      <c r="CG302" s="19"/>
      <c r="CH302" s="19" t="s">
        <v>16</v>
      </c>
      <c r="CI302" s="21">
        <v>0.0</v>
      </c>
      <c r="CJ302" s="19" t="s">
        <v>16</v>
      </c>
      <c r="CK302" s="19"/>
      <c r="CL302" s="19"/>
      <c r="CM302" s="19" t="s">
        <v>2344</v>
      </c>
      <c r="CN302" s="19" t="s">
        <v>2294</v>
      </c>
      <c r="CO302" s="19"/>
      <c r="CP302" s="19" t="s">
        <v>2246</v>
      </c>
      <c r="CQ302" s="19"/>
      <c r="CR302" s="19" t="s">
        <v>2113</v>
      </c>
      <c r="CS302" s="19" t="s">
        <v>2113</v>
      </c>
      <c r="CT302" s="19" t="s">
        <v>2113</v>
      </c>
      <c r="CU302" s="19" t="s">
        <v>2113</v>
      </c>
      <c r="CV302" s="19" t="s">
        <v>2141</v>
      </c>
      <c r="CW302" s="19"/>
      <c r="CX302" s="19"/>
      <c r="CY302" s="19" t="s">
        <v>2113</v>
      </c>
      <c r="CZ302" s="19" t="s">
        <v>2113</v>
      </c>
      <c r="DA302" s="19" t="s">
        <v>16</v>
      </c>
      <c r="DB302" s="19" t="s">
        <v>16</v>
      </c>
      <c r="DC302" s="19" t="s">
        <v>4541</v>
      </c>
      <c r="DD302" s="19" t="s">
        <v>2113</v>
      </c>
      <c r="DE302" s="19" t="s">
        <v>2113</v>
      </c>
      <c r="DF302" s="19" t="s">
        <v>2578</v>
      </c>
      <c r="DG302" s="19" t="s">
        <v>2804</v>
      </c>
      <c r="DH302" s="19" t="s">
        <v>2144</v>
      </c>
      <c r="DI302" s="24">
        <v>45531.0</v>
      </c>
      <c r="DJ302" s="19" t="s">
        <v>2133</v>
      </c>
      <c r="DK302" s="19" t="s">
        <v>2271</v>
      </c>
      <c r="DL302" s="19" t="s">
        <v>2146</v>
      </c>
      <c r="DM302" s="19" t="s">
        <v>2827</v>
      </c>
      <c r="DN302" s="19">
        <v>14.0</v>
      </c>
      <c r="DO302" s="19">
        <v>14.0</v>
      </c>
      <c r="DP302" s="19" t="s">
        <v>7523</v>
      </c>
      <c r="DQ302" s="19" t="s">
        <v>7524</v>
      </c>
      <c r="DR302" s="19" t="s">
        <v>7525</v>
      </c>
      <c r="DS302" s="19" t="s">
        <v>2365</v>
      </c>
      <c r="DT302" s="19" t="s">
        <v>2152</v>
      </c>
      <c r="DU302" s="19"/>
      <c r="DV302" s="19"/>
      <c r="DW302" s="19" t="s">
        <v>2153</v>
      </c>
      <c r="DX302" s="19">
        <v>9.0</v>
      </c>
      <c r="DY302" s="19">
        <v>10.0</v>
      </c>
      <c r="DZ302" s="19">
        <v>0.0</v>
      </c>
      <c r="EA302" s="19">
        <v>10.0</v>
      </c>
      <c r="EB302" s="19">
        <v>0.0</v>
      </c>
      <c r="EC302" s="19">
        <v>0.0</v>
      </c>
      <c r="ED302" s="19" t="s">
        <v>2133</v>
      </c>
      <c r="EE302" s="24">
        <v>45531.0</v>
      </c>
      <c r="EF302" s="19" t="s">
        <v>2133</v>
      </c>
      <c r="EG302" s="19" t="s">
        <v>2271</v>
      </c>
      <c r="EH302" s="19" t="s">
        <v>2146</v>
      </c>
      <c r="EI302" s="22">
        <v>13.875</v>
      </c>
      <c r="EJ302" s="19">
        <v>42.0</v>
      </c>
      <c r="EK302" s="19"/>
      <c r="EL302" s="19" t="s">
        <v>2282</v>
      </c>
      <c r="EM302" s="19" t="s">
        <v>2993</v>
      </c>
      <c r="EN302" s="19" t="s">
        <v>897</v>
      </c>
      <c r="EO302" s="19" t="s">
        <v>2286</v>
      </c>
      <c r="EP302" s="19" t="s">
        <v>2122</v>
      </c>
      <c r="EQ302" s="19" t="s">
        <v>2294</v>
      </c>
      <c r="ER302" s="19"/>
      <c r="ES302" s="19" t="s">
        <v>897</v>
      </c>
      <c r="ET302" s="19" t="s">
        <v>897</v>
      </c>
      <c r="EU302" s="19" t="s">
        <v>7516</v>
      </c>
      <c r="EV302" s="19">
        <v>7646.0</v>
      </c>
      <c r="EW302" s="19" t="s">
        <v>16</v>
      </c>
      <c r="EX302" s="19">
        <v>5.0</v>
      </c>
      <c r="EY302" s="25" t="s">
        <v>896</v>
      </c>
      <c r="EZ302" s="19" t="s">
        <v>2154</v>
      </c>
      <c r="FA302" s="5" t="s">
        <v>7526</v>
      </c>
      <c r="FB302" s="26" t="s">
        <v>2156</v>
      </c>
      <c r="FC302" s="26"/>
    </row>
    <row r="303">
      <c r="A303" s="19" t="s">
        <v>2112</v>
      </c>
      <c r="B303" s="19"/>
      <c r="C303" s="19" t="s">
        <v>2113</v>
      </c>
      <c r="D303" s="19" t="s">
        <v>898</v>
      </c>
      <c r="E303" s="19" t="s">
        <v>7527</v>
      </c>
      <c r="F303" s="19" t="s">
        <v>898</v>
      </c>
      <c r="G303" s="19"/>
      <c r="H303" s="19" t="s">
        <v>898</v>
      </c>
      <c r="I303" s="19" t="s">
        <v>900</v>
      </c>
      <c r="J303" s="19" t="s">
        <v>7528</v>
      </c>
      <c r="K303" s="19" t="s">
        <v>7529</v>
      </c>
      <c r="L303" s="20">
        <v>45411.0</v>
      </c>
      <c r="M303" s="20">
        <v>45414.0</v>
      </c>
      <c r="N303" s="20">
        <v>45414.0</v>
      </c>
      <c r="O303" s="19" t="s">
        <v>899</v>
      </c>
      <c r="P303" s="19">
        <v>0.0</v>
      </c>
      <c r="Q303" s="19">
        <v>18.0</v>
      </c>
      <c r="R303" s="19">
        <v>6784.0</v>
      </c>
      <c r="S303" s="20" t="s">
        <v>7530</v>
      </c>
      <c r="T303" s="20">
        <v>45461.0</v>
      </c>
      <c r="U303" s="19" t="s">
        <v>898</v>
      </c>
      <c r="V303" s="19"/>
      <c r="W303" s="19"/>
      <c r="X303" s="21">
        <v>0.0</v>
      </c>
      <c r="Y303" s="21">
        <v>10.0</v>
      </c>
      <c r="Z303" s="21">
        <v>5.0</v>
      </c>
      <c r="AA303" s="21">
        <v>0.0</v>
      </c>
      <c r="AB303" s="5">
        <v>15.0</v>
      </c>
      <c r="AC303" s="19">
        <v>4.0</v>
      </c>
      <c r="AD303" s="19">
        <v>3.5</v>
      </c>
      <c r="AE303" s="19">
        <v>4.5</v>
      </c>
      <c r="AF303" s="19">
        <v>4.0</v>
      </c>
      <c r="AG303" s="19">
        <v>3.0</v>
      </c>
      <c r="AH303" s="19">
        <v>4.0</v>
      </c>
      <c r="AI303" s="22">
        <v>11.671875</v>
      </c>
      <c r="AJ303" s="19">
        <v>15.0</v>
      </c>
      <c r="AK303" s="19">
        <v>15.0</v>
      </c>
      <c r="AL303" s="19">
        <v>14.0</v>
      </c>
      <c r="AM303" s="19">
        <v>44.0</v>
      </c>
      <c r="AN303" s="19">
        <v>55.7</v>
      </c>
      <c r="AO303" s="19">
        <v>70.7</v>
      </c>
      <c r="AP303" s="19">
        <v>546.0</v>
      </c>
      <c r="AQ303" s="23">
        <v>296.0</v>
      </c>
      <c r="AR303" s="23">
        <v>37.0</v>
      </c>
      <c r="AS303" s="19"/>
      <c r="AT303" s="19" t="s">
        <v>2163</v>
      </c>
      <c r="AU303" s="19" t="s">
        <v>7531</v>
      </c>
      <c r="AV303" s="19" t="s">
        <v>7532</v>
      </c>
      <c r="AW303" s="19"/>
      <c r="AX303" s="20">
        <v>38677.0</v>
      </c>
      <c r="AY303" s="19" t="s">
        <v>2817</v>
      </c>
      <c r="AZ303" s="19" t="s">
        <v>2122</v>
      </c>
      <c r="BA303" s="19" t="s">
        <v>7533</v>
      </c>
      <c r="BB303" s="19" t="s">
        <v>7534</v>
      </c>
      <c r="BC303" s="19" t="s">
        <v>7535</v>
      </c>
      <c r="BD303" s="19" t="s">
        <v>7536</v>
      </c>
      <c r="BE303" s="19" t="s">
        <v>7537</v>
      </c>
      <c r="BF303" s="19">
        <v>1.1957685568E10</v>
      </c>
      <c r="BG303" s="19" t="s">
        <v>2127</v>
      </c>
      <c r="BH303" s="19" t="s">
        <v>2128</v>
      </c>
      <c r="BI303" s="19"/>
      <c r="BJ303" s="19" t="s">
        <v>2128</v>
      </c>
      <c r="BK303" s="19" t="s">
        <v>17</v>
      </c>
      <c r="BL303" s="19" t="s">
        <v>2113</v>
      </c>
      <c r="BM303" s="19" t="s">
        <v>5411</v>
      </c>
      <c r="BN303" s="19" t="s">
        <v>17</v>
      </c>
      <c r="BO303" s="19" t="s">
        <v>2132</v>
      </c>
      <c r="BP303" s="19"/>
      <c r="BQ303" s="19" t="s">
        <v>2133</v>
      </c>
      <c r="BR303" s="19" t="s">
        <v>2133</v>
      </c>
      <c r="BS303" s="19" t="s">
        <v>2134</v>
      </c>
      <c r="BT303" s="19" t="s">
        <v>38</v>
      </c>
      <c r="BU303" s="19" t="s">
        <v>4422</v>
      </c>
      <c r="BV303" s="19"/>
      <c r="BW303" s="19"/>
      <c r="BX303" s="19" t="s">
        <v>2113</v>
      </c>
      <c r="BY303" s="19" t="s">
        <v>2113</v>
      </c>
      <c r="BZ303" s="19" t="s">
        <v>2113</v>
      </c>
      <c r="CA303" s="19"/>
      <c r="CB303" s="19" t="s">
        <v>2113</v>
      </c>
      <c r="CC303" s="19"/>
      <c r="CD303" s="19" t="s">
        <v>2137</v>
      </c>
      <c r="CE303" s="19" t="s">
        <v>16</v>
      </c>
      <c r="CF303" s="19"/>
      <c r="CG303" s="19"/>
      <c r="CH303" s="19" t="s">
        <v>16</v>
      </c>
      <c r="CI303" s="21">
        <v>0.0</v>
      </c>
      <c r="CJ303" s="19" t="s">
        <v>17</v>
      </c>
      <c r="CK303" s="19"/>
      <c r="CL303" s="19"/>
      <c r="CM303" s="19" t="s">
        <v>2344</v>
      </c>
      <c r="CN303" s="19" t="s">
        <v>2294</v>
      </c>
      <c r="CO303" s="19"/>
      <c r="CP303" s="19" t="s">
        <v>2140</v>
      </c>
      <c r="CQ303" s="19"/>
      <c r="CR303" s="19"/>
      <c r="CS303" s="19"/>
      <c r="CT303" s="19"/>
      <c r="CU303" s="19"/>
      <c r="CV303" s="19" t="s">
        <v>2141</v>
      </c>
      <c r="CW303" s="19" t="s">
        <v>2113</v>
      </c>
      <c r="CX303" s="19" t="s">
        <v>2113</v>
      </c>
      <c r="CY303" s="19"/>
      <c r="CZ303" s="19"/>
      <c r="DA303" s="19" t="s">
        <v>16</v>
      </c>
      <c r="DB303" s="19" t="s">
        <v>17</v>
      </c>
      <c r="DC303" s="19" t="s">
        <v>4540</v>
      </c>
      <c r="DD303" s="19" t="s">
        <v>2113</v>
      </c>
      <c r="DE303" s="19" t="s">
        <v>2113</v>
      </c>
      <c r="DF303" s="19" t="s">
        <v>4424</v>
      </c>
      <c r="DG303" s="19" t="s">
        <v>2602</v>
      </c>
      <c r="DH303" s="19" t="s">
        <v>2144</v>
      </c>
      <c r="DI303" s="24">
        <v>45533.0</v>
      </c>
      <c r="DJ303" s="19" t="s">
        <v>2133</v>
      </c>
      <c r="DK303" s="19" t="s">
        <v>2145</v>
      </c>
      <c r="DL303" s="19" t="s">
        <v>2207</v>
      </c>
      <c r="DM303" s="19" t="s">
        <v>2208</v>
      </c>
      <c r="DN303" s="19">
        <v>9.0</v>
      </c>
      <c r="DO303" s="19">
        <v>9.0</v>
      </c>
      <c r="DP303" s="19" t="s">
        <v>7538</v>
      </c>
      <c r="DQ303" s="19" t="s">
        <v>7539</v>
      </c>
      <c r="DR303" s="19" t="s">
        <v>7540</v>
      </c>
      <c r="DS303" s="19" t="s">
        <v>2185</v>
      </c>
      <c r="DT303" s="19" t="s">
        <v>2301</v>
      </c>
      <c r="DU303" s="19"/>
      <c r="DV303" s="19" t="s">
        <v>7541</v>
      </c>
      <c r="DW303" s="19" t="s">
        <v>2479</v>
      </c>
      <c r="DX303" s="19">
        <v>6.0</v>
      </c>
      <c r="DY303" s="19">
        <v>10.0</v>
      </c>
      <c r="DZ303" s="19">
        <v>0.0</v>
      </c>
      <c r="EA303" s="19">
        <v>10.0</v>
      </c>
      <c r="EB303" s="19">
        <v>0.0</v>
      </c>
      <c r="EC303" s="19">
        <v>0.0</v>
      </c>
      <c r="ED303" s="19" t="s">
        <v>2133</v>
      </c>
      <c r="EE303" s="24">
        <v>45533.0</v>
      </c>
      <c r="EF303" s="19" t="s">
        <v>2133</v>
      </c>
      <c r="EG303" s="19" t="s">
        <v>2145</v>
      </c>
      <c r="EH303" s="19" t="s">
        <v>2207</v>
      </c>
      <c r="EI303" s="22">
        <v>11.671875</v>
      </c>
      <c r="EJ303" s="19">
        <v>44.0</v>
      </c>
      <c r="EK303" s="19" t="s">
        <v>2113</v>
      </c>
      <c r="EL303" s="19" t="s">
        <v>2163</v>
      </c>
      <c r="EM303" s="19" t="s">
        <v>7531</v>
      </c>
      <c r="EN303" s="19" t="s">
        <v>900</v>
      </c>
      <c r="EO303" s="19" t="s">
        <v>2817</v>
      </c>
      <c r="EP303" s="19" t="s">
        <v>2122</v>
      </c>
      <c r="EQ303" s="19" t="s">
        <v>2294</v>
      </c>
      <c r="ER303" s="19"/>
      <c r="ES303" s="19" t="s">
        <v>900</v>
      </c>
      <c r="ET303" s="19" t="s">
        <v>900</v>
      </c>
      <c r="EU303" s="19" t="s">
        <v>7529</v>
      </c>
      <c r="EV303" s="19">
        <v>6784.0</v>
      </c>
      <c r="EW303" s="19" t="s">
        <v>16</v>
      </c>
      <c r="EX303" s="19">
        <v>5.0</v>
      </c>
      <c r="EY303" s="25" t="s">
        <v>899</v>
      </c>
      <c r="EZ303" s="19" t="s">
        <v>2154</v>
      </c>
      <c r="FA303" s="5" t="s">
        <v>7542</v>
      </c>
      <c r="FB303" s="26" t="s">
        <v>2156</v>
      </c>
      <c r="FC303" s="26"/>
    </row>
    <row r="304">
      <c r="A304" s="19" t="s">
        <v>2112</v>
      </c>
      <c r="B304" s="19"/>
      <c r="C304" s="19" t="s">
        <v>2113</v>
      </c>
      <c r="D304" s="19" t="s">
        <v>7543</v>
      </c>
      <c r="E304" s="19" t="s">
        <v>7544</v>
      </c>
      <c r="F304" s="19" t="s">
        <v>7543</v>
      </c>
      <c r="G304" s="19"/>
      <c r="H304" s="19" t="s">
        <v>901</v>
      </c>
      <c r="I304" s="19" t="s">
        <v>903</v>
      </c>
      <c r="J304" s="19" t="s">
        <v>7545</v>
      </c>
      <c r="K304" s="19" t="s">
        <v>7546</v>
      </c>
      <c r="L304" s="20">
        <v>45443.0</v>
      </c>
      <c r="M304" s="20">
        <v>45446.0</v>
      </c>
      <c r="N304" s="20">
        <v>45446.0</v>
      </c>
      <c r="O304" s="19" t="s">
        <v>902</v>
      </c>
      <c r="P304" s="19">
        <v>0.0</v>
      </c>
      <c r="Q304" s="19">
        <v>24.0</v>
      </c>
      <c r="R304" s="19">
        <v>8983.0</v>
      </c>
      <c r="S304" s="20" t="s">
        <v>7547</v>
      </c>
      <c r="T304" s="20">
        <v>45461.0</v>
      </c>
      <c r="U304" s="19" t="s">
        <v>7543</v>
      </c>
      <c r="V304" s="19"/>
      <c r="W304" s="19"/>
      <c r="X304" s="21">
        <v>0.0</v>
      </c>
      <c r="Y304" s="21">
        <v>10.0</v>
      </c>
      <c r="Z304" s="21">
        <v>5.0</v>
      </c>
      <c r="AA304" s="21">
        <v>0.0</v>
      </c>
      <c r="AB304" s="5">
        <v>15.0</v>
      </c>
      <c r="AC304" s="19">
        <v>4.0</v>
      </c>
      <c r="AD304" s="19">
        <v>4.0</v>
      </c>
      <c r="AE304" s="19">
        <v>4.0</v>
      </c>
      <c r="AF304" s="19">
        <v>4.0</v>
      </c>
      <c r="AG304" s="19">
        <v>3.0</v>
      </c>
      <c r="AH304" s="19">
        <v>4.0</v>
      </c>
      <c r="AI304" s="22">
        <v>11.625</v>
      </c>
      <c r="AJ304" s="19">
        <v>15.0</v>
      </c>
      <c r="AK304" s="19">
        <v>15.0</v>
      </c>
      <c r="AL304" s="19">
        <v>14.0</v>
      </c>
      <c r="AM304" s="19">
        <v>44.0</v>
      </c>
      <c r="AN304" s="19">
        <v>55.6</v>
      </c>
      <c r="AO304" s="19">
        <v>70.6</v>
      </c>
      <c r="AP304" s="19">
        <v>435.0</v>
      </c>
      <c r="AQ304" s="23">
        <v>297.0</v>
      </c>
      <c r="AR304" s="23">
        <v>45.0</v>
      </c>
      <c r="AS304" s="22"/>
      <c r="AT304" s="19" t="s">
        <v>2163</v>
      </c>
      <c r="AU304" s="19" t="s">
        <v>7548</v>
      </c>
      <c r="AV304" s="19" t="s">
        <v>7549</v>
      </c>
      <c r="AW304" s="19" t="s">
        <v>2166</v>
      </c>
      <c r="AX304" s="20">
        <v>36478.0</v>
      </c>
      <c r="AY304" s="19" t="s">
        <v>2338</v>
      </c>
      <c r="AZ304" s="19" t="s">
        <v>2122</v>
      </c>
      <c r="BA304" s="19" t="s">
        <v>7550</v>
      </c>
      <c r="BB304" s="19" t="s">
        <v>7494</v>
      </c>
      <c r="BC304" s="19" t="s">
        <v>7551</v>
      </c>
      <c r="BD304" s="19" t="s">
        <v>7552</v>
      </c>
      <c r="BE304" s="19" t="s">
        <v>7545</v>
      </c>
      <c r="BF304" s="19">
        <v>2.1964408087E10</v>
      </c>
      <c r="BG304" s="19" t="s">
        <v>2127</v>
      </c>
      <c r="BH304" s="19" t="s">
        <v>4080</v>
      </c>
      <c r="BI304" s="19"/>
      <c r="BJ304" s="19" t="s">
        <v>2128</v>
      </c>
      <c r="BK304" s="19" t="s">
        <v>17</v>
      </c>
      <c r="BL304" s="19"/>
      <c r="BM304" s="19" t="s">
        <v>5411</v>
      </c>
      <c r="BN304" s="19" t="s">
        <v>2172</v>
      </c>
      <c r="BO304" s="19" t="s">
        <v>2132</v>
      </c>
      <c r="BP304" s="19" t="s">
        <v>7553</v>
      </c>
      <c r="BQ304" s="19" t="s">
        <v>2174</v>
      </c>
      <c r="BR304" s="19" t="s">
        <v>2174</v>
      </c>
      <c r="BS304" s="19" t="s">
        <v>2134</v>
      </c>
      <c r="BT304" s="19" t="s">
        <v>21</v>
      </c>
      <c r="BU304" s="19"/>
      <c r="BV304" s="19"/>
      <c r="BW304" s="19"/>
      <c r="BX304" s="19"/>
      <c r="BY304" s="19" t="s">
        <v>2113</v>
      </c>
      <c r="BZ304" s="19"/>
      <c r="CA304" s="19" t="s">
        <v>2113</v>
      </c>
      <c r="CB304" s="19" t="s">
        <v>2113</v>
      </c>
      <c r="CC304" s="19"/>
      <c r="CD304" s="19" t="s">
        <v>2137</v>
      </c>
      <c r="CE304" s="19" t="s">
        <v>16</v>
      </c>
      <c r="CF304" s="19"/>
      <c r="CG304" s="19"/>
      <c r="CH304" s="19" t="s">
        <v>16</v>
      </c>
      <c r="CI304" s="21">
        <v>0.0</v>
      </c>
      <c r="CJ304" s="19" t="s">
        <v>17</v>
      </c>
      <c r="CK304" s="19"/>
      <c r="CL304" s="19"/>
      <c r="CM304" s="19" t="s">
        <v>2138</v>
      </c>
      <c r="CN304" s="19" t="s">
        <v>2204</v>
      </c>
      <c r="CO304" s="19"/>
      <c r="CP304" s="19" t="s">
        <v>2225</v>
      </c>
      <c r="CQ304" s="19"/>
      <c r="CR304" s="19"/>
      <c r="CS304" s="19"/>
      <c r="CT304" s="19" t="s">
        <v>2113</v>
      </c>
      <c r="CU304" s="19" t="s">
        <v>2113</v>
      </c>
      <c r="CV304" s="19" t="s">
        <v>2141</v>
      </c>
      <c r="CW304" s="19" t="s">
        <v>2113</v>
      </c>
      <c r="CX304" s="19" t="s">
        <v>2113</v>
      </c>
      <c r="CY304" s="19" t="s">
        <v>2113</v>
      </c>
      <c r="CZ304" s="19" t="s">
        <v>2113</v>
      </c>
      <c r="DA304" s="19" t="s">
        <v>16</v>
      </c>
      <c r="DB304" s="19" t="s">
        <v>17</v>
      </c>
      <c r="DC304" s="19" t="s">
        <v>2181</v>
      </c>
      <c r="DD304" s="19" t="s">
        <v>2113</v>
      </c>
      <c r="DE304" s="19" t="s">
        <v>2113</v>
      </c>
      <c r="DF304" s="19" t="s">
        <v>4966</v>
      </c>
      <c r="DG304" s="19" t="s">
        <v>4707</v>
      </c>
      <c r="DH304" s="19" t="s">
        <v>2144</v>
      </c>
      <c r="DI304" s="24">
        <v>45525.0</v>
      </c>
      <c r="DJ304" s="19" t="s">
        <v>2174</v>
      </c>
      <c r="DK304" s="19" t="s">
        <v>2271</v>
      </c>
      <c r="DL304" s="19" t="s">
        <v>2183</v>
      </c>
      <c r="DM304" s="19" t="s">
        <v>2249</v>
      </c>
      <c r="DN304" s="19">
        <v>10.0</v>
      </c>
      <c r="DO304" s="19">
        <v>10.0</v>
      </c>
      <c r="DP304" s="19" t="s">
        <v>7554</v>
      </c>
      <c r="DQ304" s="19" t="s">
        <v>7555</v>
      </c>
      <c r="DR304" s="19" t="s">
        <v>7556</v>
      </c>
      <c r="DS304" s="19" t="s">
        <v>2151</v>
      </c>
      <c r="DT304" s="19" t="s">
        <v>2350</v>
      </c>
      <c r="DU304" s="19"/>
      <c r="DV304" s="19"/>
      <c r="DW304" s="19" t="s">
        <v>2188</v>
      </c>
      <c r="DX304" s="19">
        <v>15.0</v>
      </c>
      <c r="DY304" s="19">
        <v>10.0</v>
      </c>
      <c r="DZ304" s="19">
        <v>0.0</v>
      </c>
      <c r="EA304" s="19">
        <v>10.0</v>
      </c>
      <c r="EB304" s="19">
        <v>0.0</v>
      </c>
      <c r="EC304" s="19">
        <v>0.0</v>
      </c>
      <c r="ED304" s="19" t="s">
        <v>2174</v>
      </c>
      <c r="EE304" s="24">
        <v>45525.0</v>
      </c>
      <c r="EF304" s="19" t="s">
        <v>2174</v>
      </c>
      <c r="EG304" s="19" t="s">
        <v>2271</v>
      </c>
      <c r="EH304" s="19" t="s">
        <v>2183</v>
      </c>
      <c r="EI304" s="22">
        <v>11.625</v>
      </c>
      <c r="EJ304" s="19">
        <v>44.0</v>
      </c>
      <c r="EK304" s="19" t="s">
        <v>2113</v>
      </c>
      <c r="EL304" s="19" t="s">
        <v>2163</v>
      </c>
      <c r="EM304" s="19" t="s">
        <v>7548</v>
      </c>
      <c r="EN304" s="19" t="s">
        <v>903</v>
      </c>
      <c r="EO304" s="19" t="s">
        <v>2338</v>
      </c>
      <c r="EP304" s="19" t="s">
        <v>2122</v>
      </c>
      <c r="EQ304" s="19" t="s">
        <v>2204</v>
      </c>
      <c r="ER304" s="19"/>
      <c r="ES304" s="19" t="s">
        <v>903</v>
      </c>
      <c r="ET304" s="19" t="s">
        <v>903</v>
      </c>
      <c r="EU304" s="19" t="s">
        <v>7546</v>
      </c>
      <c r="EV304" s="19">
        <v>8983.0</v>
      </c>
      <c r="EW304" s="19" t="s">
        <v>16</v>
      </c>
      <c r="EX304" s="19">
        <v>5.0</v>
      </c>
      <c r="EY304" s="25" t="s">
        <v>902</v>
      </c>
      <c r="EZ304" s="19" t="s">
        <v>2154</v>
      </c>
      <c r="FA304" s="5" t="s">
        <v>7557</v>
      </c>
      <c r="FB304" s="26" t="s">
        <v>2156</v>
      </c>
      <c r="FC304" s="26"/>
    </row>
    <row r="305">
      <c r="A305" s="19" t="s">
        <v>2112</v>
      </c>
      <c r="B305" s="19"/>
      <c r="C305" s="19" t="s">
        <v>2113</v>
      </c>
      <c r="D305" s="19" t="s">
        <v>904</v>
      </c>
      <c r="E305" s="19" t="s">
        <v>7558</v>
      </c>
      <c r="F305" s="19" t="s">
        <v>904</v>
      </c>
      <c r="G305" s="19" t="s">
        <v>7558</v>
      </c>
      <c r="H305" s="19" t="s">
        <v>904</v>
      </c>
      <c r="I305" s="19" t="s">
        <v>906</v>
      </c>
      <c r="J305" s="19" t="s">
        <v>7559</v>
      </c>
      <c r="K305" s="19" t="s">
        <v>7560</v>
      </c>
      <c r="L305" s="20">
        <v>45448.0</v>
      </c>
      <c r="M305" s="20">
        <v>45449.0</v>
      </c>
      <c r="N305" s="20">
        <v>45449.0</v>
      </c>
      <c r="O305" s="19" t="s">
        <v>905</v>
      </c>
      <c r="P305" s="19">
        <v>0.0</v>
      </c>
      <c r="Q305" s="19">
        <v>19.0</v>
      </c>
      <c r="R305" s="19">
        <v>7232.0</v>
      </c>
      <c r="S305" s="20" t="s">
        <v>7561</v>
      </c>
      <c r="T305" s="20">
        <v>45461.0</v>
      </c>
      <c r="U305" s="19" t="s">
        <v>904</v>
      </c>
      <c r="V305" s="19"/>
      <c r="W305" s="19"/>
      <c r="X305" s="21">
        <v>0.0</v>
      </c>
      <c r="Y305" s="21">
        <v>10.0</v>
      </c>
      <c r="Z305" s="21">
        <v>4.0</v>
      </c>
      <c r="AA305" s="21">
        <v>0.0</v>
      </c>
      <c r="AB305" s="5">
        <v>14.0</v>
      </c>
      <c r="AC305" s="19">
        <v>4.3</v>
      </c>
      <c r="AD305" s="19">
        <v>4.3</v>
      </c>
      <c r="AE305" s="19">
        <v>4.1</v>
      </c>
      <c r="AF305" s="19">
        <v>4.3</v>
      </c>
      <c r="AG305" s="19">
        <v>4.0</v>
      </c>
      <c r="AH305" s="19">
        <v>4.3</v>
      </c>
      <c r="AI305" s="22">
        <v>12.6375</v>
      </c>
      <c r="AJ305" s="19">
        <v>14.5</v>
      </c>
      <c r="AK305" s="19">
        <v>14.5</v>
      </c>
      <c r="AL305" s="19">
        <v>15.0</v>
      </c>
      <c r="AM305" s="19">
        <v>44.0</v>
      </c>
      <c r="AN305" s="19">
        <v>56.6</v>
      </c>
      <c r="AO305" s="19">
        <v>70.6</v>
      </c>
      <c r="AP305" s="19">
        <v>627.0</v>
      </c>
      <c r="AQ305" s="23">
        <v>298.0</v>
      </c>
      <c r="AR305" s="23">
        <v>24.0</v>
      </c>
      <c r="AS305" s="22"/>
      <c r="AT305" s="19" t="s">
        <v>2282</v>
      </c>
      <c r="AU305" s="19" t="s">
        <v>7562</v>
      </c>
      <c r="AV305" s="19" t="s">
        <v>7563</v>
      </c>
      <c r="AW305" s="19" t="s">
        <v>7564</v>
      </c>
      <c r="AX305" s="20">
        <v>38229.0</v>
      </c>
      <c r="AY305" s="19" t="s">
        <v>2309</v>
      </c>
      <c r="AZ305" s="19" t="s">
        <v>2122</v>
      </c>
      <c r="BA305" s="19" t="s">
        <v>7565</v>
      </c>
      <c r="BB305" s="19" t="s">
        <v>7564</v>
      </c>
      <c r="BC305" s="19" t="s">
        <v>7566</v>
      </c>
      <c r="BD305" s="19" t="s">
        <v>7567</v>
      </c>
      <c r="BE305" s="19" t="s">
        <v>7568</v>
      </c>
      <c r="BF305" s="19">
        <v>1.1992742947E10</v>
      </c>
      <c r="BG305" s="19" t="s">
        <v>2127</v>
      </c>
      <c r="BH305" s="19" t="s">
        <v>2128</v>
      </c>
      <c r="BI305" s="19"/>
      <c r="BJ305" s="19"/>
      <c r="BK305" s="19" t="s">
        <v>16</v>
      </c>
      <c r="BL305" s="19"/>
      <c r="BM305" s="19" t="s">
        <v>5796</v>
      </c>
      <c r="BN305" s="19" t="s">
        <v>4223</v>
      </c>
      <c r="BO305" s="19" t="s">
        <v>2317</v>
      </c>
      <c r="BP305" s="19" t="s">
        <v>7569</v>
      </c>
      <c r="BQ305" s="19" t="s">
        <v>2318</v>
      </c>
      <c r="BR305" s="19" t="s">
        <v>2318</v>
      </c>
      <c r="BS305" s="19" t="s">
        <v>2243</v>
      </c>
      <c r="BT305" s="19" t="s">
        <v>42</v>
      </c>
      <c r="BU305" s="19" t="s">
        <v>7570</v>
      </c>
      <c r="BV305" s="19"/>
      <c r="BW305" s="19"/>
      <c r="BX305" s="19"/>
      <c r="BY305" s="19"/>
      <c r="BZ305" s="19" t="s">
        <v>2113</v>
      </c>
      <c r="CA305" s="19"/>
      <c r="CB305" s="19" t="s">
        <v>2113</v>
      </c>
      <c r="CC305" s="19"/>
      <c r="CD305" s="19" t="s">
        <v>2137</v>
      </c>
      <c r="CE305" s="19" t="s">
        <v>16</v>
      </c>
      <c r="CF305" s="19"/>
      <c r="CG305" s="19"/>
      <c r="CH305" s="19" t="s">
        <v>16</v>
      </c>
      <c r="CI305" s="21">
        <v>0.0</v>
      </c>
      <c r="CJ305" s="19" t="s">
        <v>16</v>
      </c>
      <c r="CK305" s="19"/>
      <c r="CL305" s="19"/>
      <c r="CM305" s="19" t="s">
        <v>2344</v>
      </c>
      <c r="CN305" s="19" t="s">
        <v>2321</v>
      </c>
      <c r="CO305" s="19"/>
      <c r="CP305" s="19" t="s">
        <v>2267</v>
      </c>
      <c r="CQ305" s="19"/>
      <c r="CR305" s="19" t="s">
        <v>2113</v>
      </c>
      <c r="CS305" s="19" t="s">
        <v>2113</v>
      </c>
      <c r="CT305" s="19"/>
      <c r="CU305" s="19"/>
      <c r="CV305" s="19" t="s">
        <v>2141</v>
      </c>
      <c r="CW305" s="19"/>
      <c r="CX305" s="19"/>
      <c r="CY305" s="19" t="s">
        <v>2113</v>
      </c>
      <c r="CZ305" s="19" t="s">
        <v>2113</v>
      </c>
      <c r="DA305" s="19" t="s">
        <v>16</v>
      </c>
      <c r="DB305" s="19" t="s">
        <v>16</v>
      </c>
      <c r="DC305" s="19" t="s">
        <v>2322</v>
      </c>
      <c r="DD305" s="19" t="s">
        <v>2113</v>
      </c>
      <c r="DE305" s="19" t="s">
        <v>2113</v>
      </c>
      <c r="DF305" s="19" t="s">
        <v>2712</v>
      </c>
      <c r="DG305" s="19" t="s">
        <v>2324</v>
      </c>
      <c r="DH305" s="19" t="s">
        <v>2144</v>
      </c>
      <c r="DI305" s="24">
        <v>45525.0</v>
      </c>
      <c r="DJ305" s="19" t="s">
        <v>2325</v>
      </c>
      <c r="DK305" s="19" t="s">
        <v>2271</v>
      </c>
      <c r="DL305" s="19" t="s">
        <v>2326</v>
      </c>
      <c r="DM305" s="19"/>
      <c r="DN305" s="19">
        <v>10.0</v>
      </c>
      <c r="DO305" s="19">
        <v>10.0</v>
      </c>
      <c r="DP305" s="19" t="s">
        <v>7571</v>
      </c>
      <c r="DQ305" s="19" t="s">
        <v>7572</v>
      </c>
      <c r="DR305" s="19" t="s">
        <v>7573</v>
      </c>
      <c r="DS305" s="19" t="s">
        <v>2365</v>
      </c>
      <c r="DT305" s="19" t="s">
        <v>2209</v>
      </c>
      <c r="DU305" s="19"/>
      <c r="DV305" s="19"/>
      <c r="DW305" s="19" t="s">
        <v>2153</v>
      </c>
      <c r="DX305" s="19">
        <v>9.0</v>
      </c>
      <c r="DY305" s="19">
        <v>10.0</v>
      </c>
      <c r="DZ305" s="19">
        <v>0.0</v>
      </c>
      <c r="EA305" s="19">
        <v>10.0</v>
      </c>
      <c r="EB305" s="19">
        <v>0.0</v>
      </c>
      <c r="EC305" s="19">
        <v>0.0</v>
      </c>
      <c r="ED305" s="19" t="s">
        <v>2325</v>
      </c>
      <c r="EE305" s="24">
        <v>45525.0</v>
      </c>
      <c r="EF305" s="19" t="s">
        <v>2325</v>
      </c>
      <c r="EG305" s="19" t="s">
        <v>2271</v>
      </c>
      <c r="EH305" s="19" t="s">
        <v>2326</v>
      </c>
      <c r="EI305" s="22">
        <v>12.6375</v>
      </c>
      <c r="EJ305" s="19">
        <v>44.0</v>
      </c>
      <c r="EK305" s="19"/>
      <c r="EL305" s="19" t="s">
        <v>2282</v>
      </c>
      <c r="EM305" s="19" t="s">
        <v>7562</v>
      </c>
      <c r="EN305" s="19" t="s">
        <v>906</v>
      </c>
      <c r="EO305" s="19" t="s">
        <v>2309</v>
      </c>
      <c r="EP305" s="19" t="s">
        <v>2122</v>
      </c>
      <c r="EQ305" s="19" t="s">
        <v>2321</v>
      </c>
      <c r="ER305" s="19"/>
      <c r="ES305" s="19" t="s">
        <v>906</v>
      </c>
      <c r="ET305" s="19" t="s">
        <v>906</v>
      </c>
      <c r="EU305" s="19" t="s">
        <v>7560</v>
      </c>
      <c r="EV305" s="19">
        <v>7232.0</v>
      </c>
      <c r="EW305" s="19" t="s">
        <v>16</v>
      </c>
      <c r="EX305" s="19">
        <v>4.0</v>
      </c>
      <c r="EY305" s="25" t="s">
        <v>905</v>
      </c>
      <c r="EZ305" s="19" t="s">
        <v>2154</v>
      </c>
      <c r="FA305" s="5" t="s">
        <v>7574</v>
      </c>
      <c r="FB305" s="26" t="s">
        <v>2156</v>
      </c>
      <c r="FC305" s="26"/>
    </row>
    <row r="306">
      <c r="A306" s="19" t="s">
        <v>2112</v>
      </c>
      <c r="B306" s="19"/>
      <c r="C306" s="19" t="s">
        <v>2113</v>
      </c>
      <c r="D306" s="19" t="s">
        <v>907</v>
      </c>
      <c r="E306" s="19" t="s">
        <v>7575</v>
      </c>
      <c r="F306" s="19" t="s">
        <v>7576</v>
      </c>
      <c r="G306" s="19" t="s">
        <v>7577</v>
      </c>
      <c r="H306" s="19" t="s">
        <v>907</v>
      </c>
      <c r="I306" s="19" t="s">
        <v>909</v>
      </c>
      <c r="J306" s="19" t="s">
        <v>7578</v>
      </c>
      <c r="K306" s="19" t="s">
        <v>7579</v>
      </c>
      <c r="L306" s="20">
        <v>45413.0</v>
      </c>
      <c r="M306" s="20">
        <v>45414.0</v>
      </c>
      <c r="N306" s="20">
        <v>45414.0</v>
      </c>
      <c r="O306" s="19" t="s">
        <v>908</v>
      </c>
      <c r="P306" s="19">
        <v>0.0</v>
      </c>
      <c r="Q306" s="19">
        <v>28.0</v>
      </c>
      <c r="R306" s="19">
        <v>10547.0</v>
      </c>
      <c r="S306" s="20" t="s">
        <v>7580</v>
      </c>
      <c r="T306" s="20">
        <v>45461.0</v>
      </c>
      <c r="U306" s="19" t="s">
        <v>7576</v>
      </c>
      <c r="V306" s="19"/>
      <c r="W306" s="19" t="s">
        <v>7581</v>
      </c>
      <c r="X306" s="21">
        <v>0.0</v>
      </c>
      <c r="Y306" s="21">
        <v>10.0</v>
      </c>
      <c r="Z306" s="21">
        <v>3.0</v>
      </c>
      <c r="AA306" s="21">
        <v>0.0</v>
      </c>
      <c r="AB306" s="5">
        <v>13.0</v>
      </c>
      <c r="AC306" s="19">
        <v>5.0</v>
      </c>
      <c r="AD306" s="19">
        <v>5.0</v>
      </c>
      <c r="AE306" s="19">
        <v>5.0</v>
      </c>
      <c r="AF306" s="19">
        <v>4.0</v>
      </c>
      <c r="AG306" s="19">
        <v>5.0</v>
      </c>
      <c r="AH306" s="19">
        <v>5.0</v>
      </c>
      <c r="AI306" s="22">
        <v>14.625</v>
      </c>
      <c r="AJ306" s="19">
        <v>15.0</v>
      </c>
      <c r="AK306" s="19">
        <v>13.0</v>
      </c>
      <c r="AL306" s="19">
        <v>15.0</v>
      </c>
      <c r="AM306" s="19">
        <v>43.0</v>
      </c>
      <c r="AN306" s="19">
        <v>57.6</v>
      </c>
      <c r="AO306" s="19">
        <v>70.6</v>
      </c>
      <c r="AP306" s="19">
        <v>665.0</v>
      </c>
      <c r="AQ306" s="23">
        <v>299.0</v>
      </c>
      <c r="AR306" s="23">
        <v>38.0</v>
      </c>
      <c r="AS306" s="22"/>
      <c r="AT306" s="19" t="s">
        <v>2117</v>
      </c>
      <c r="AU306" s="19" t="s">
        <v>7582</v>
      </c>
      <c r="AV306" s="19" t="s">
        <v>7583</v>
      </c>
      <c r="AW306" s="19"/>
      <c r="AX306" s="20">
        <v>34914.0</v>
      </c>
      <c r="AY306" s="19" t="s">
        <v>3015</v>
      </c>
      <c r="AZ306" s="19" t="s">
        <v>2445</v>
      </c>
      <c r="BA306" s="19" t="s">
        <v>7584</v>
      </c>
      <c r="BB306" s="19" t="s">
        <v>4312</v>
      </c>
      <c r="BC306" s="19" t="s">
        <v>7585</v>
      </c>
      <c r="BD306" s="19" t="s">
        <v>7586</v>
      </c>
      <c r="BE306" s="19" t="s">
        <v>7587</v>
      </c>
      <c r="BF306" s="19">
        <v>1.1978485214E10</v>
      </c>
      <c r="BG306" s="19" t="s">
        <v>2127</v>
      </c>
      <c r="BH306" s="19" t="s">
        <v>2128</v>
      </c>
      <c r="BI306" s="19"/>
      <c r="BJ306" s="19" t="s">
        <v>2128</v>
      </c>
      <c r="BK306" s="19" t="s">
        <v>17</v>
      </c>
      <c r="BL306" s="19"/>
      <c r="BM306" s="19" t="s">
        <v>5411</v>
      </c>
      <c r="BN306" s="19" t="s">
        <v>2401</v>
      </c>
      <c r="BO306" s="19" t="s">
        <v>2473</v>
      </c>
      <c r="BP306" s="19" t="s">
        <v>7588</v>
      </c>
      <c r="BQ306" s="19" t="s">
        <v>2133</v>
      </c>
      <c r="BR306" s="19" t="s">
        <v>2133</v>
      </c>
      <c r="BS306" s="19" t="s">
        <v>2243</v>
      </c>
      <c r="BT306" s="19" t="s">
        <v>38</v>
      </c>
      <c r="BU306" s="19" t="s">
        <v>7589</v>
      </c>
      <c r="BV306" s="19"/>
      <c r="BW306" s="19"/>
      <c r="BX306" s="19"/>
      <c r="BY306" s="19"/>
      <c r="BZ306" s="19"/>
      <c r="CA306" s="19"/>
      <c r="CB306" s="19" t="s">
        <v>2113</v>
      </c>
      <c r="CC306" s="19" t="s">
        <v>2113</v>
      </c>
      <c r="CD306" s="19" t="s">
        <v>2137</v>
      </c>
      <c r="CE306" s="19" t="s">
        <v>16</v>
      </c>
      <c r="CF306" s="19"/>
      <c r="CG306" s="19"/>
      <c r="CH306" s="19" t="s">
        <v>16</v>
      </c>
      <c r="CI306" s="21">
        <v>0.0</v>
      </c>
      <c r="CJ306" s="19" t="s">
        <v>17</v>
      </c>
      <c r="CK306" s="19"/>
      <c r="CL306" s="19"/>
      <c r="CM306" s="19" t="s">
        <v>2138</v>
      </c>
      <c r="CN306" s="19" t="s">
        <v>3020</v>
      </c>
      <c r="CO306" s="19"/>
      <c r="CP306" s="19" t="s">
        <v>2267</v>
      </c>
      <c r="CQ306" s="19"/>
      <c r="CR306" s="19" t="s">
        <v>2113</v>
      </c>
      <c r="CS306" s="19" t="s">
        <v>2113</v>
      </c>
      <c r="CT306" s="19" t="s">
        <v>2113</v>
      </c>
      <c r="CU306" s="19" t="s">
        <v>2113</v>
      </c>
      <c r="CV306" s="19" t="s">
        <v>2141</v>
      </c>
      <c r="CW306" s="19"/>
      <c r="CX306" s="19"/>
      <c r="CY306" s="19"/>
      <c r="CZ306" s="19"/>
      <c r="DA306" s="19" t="s">
        <v>16</v>
      </c>
      <c r="DB306" s="19" t="s">
        <v>17</v>
      </c>
      <c r="DC306" s="19" t="s">
        <v>2601</v>
      </c>
      <c r="DD306" s="19" t="s">
        <v>2113</v>
      </c>
      <c r="DE306" s="19" t="s">
        <v>2113</v>
      </c>
      <c r="DF306" s="19" t="s">
        <v>2579</v>
      </c>
      <c r="DG306" s="19" t="s">
        <v>2602</v>
      </c>
      <c r="DH306" s="19" t="s">
        <v>2144</v>
      </c>
      <c r="DI306" s="24">
        <v>45533.0</v>
      </c>
      <c r="DJ306" s="19" t="s">
        <v>2133</v>
      </c>
      <c r="DK306" s="19" t="s">
        <v>2271</v>
      </c>
      <c r="DL306" s="19" t="s">
        <v>2146</v>
      </c>
      <c r="DM306" s="19" t="s">
        <v>2906</v>
      </c>
      <c r="DN306" s="19">
        <v>18.0</v>
      </c>
      <c r="DO306" s="19">
        <v>18.0</v>
      </c>
      <c r="DP306" s="19" t="s">
        <v>7590</v>
      </c>
      <c r="DQ306" s="19" t="s">
        <v>7591</v>
      </c>
      <c r="DR306" s="19" t="s">
        <v>7592</v>
      </c>
      <c r="DS306" s="19" t="s">
        <v>2151</v>
      </c>
      <c r="DT306" s="19" t="s">
        <v>2186</v>
      </c>
      <c r="DU306" s="19"/>
      <c r="DV306" s="19"/>
      <c r="DW306" s="19" t="s">
        <v>2153</v>
      </c>
      <c r="DX306" s="19">
        <v>12.0</v>
      </c>
      <c r="DY306" s="19">
        <v>10.0</v>
      </c>
      <c r="DZ306" s="19">
        <v>0.0</v>
      </c>
      <c r="EA306" s="19">
        <v>10.0</v>
      </c>
      <c r="EB306" s="19">
        <v>0.0</v>
      </c>
      <c r="EC306" s="19">
        <v>0.0</v>
      </c>
      <c r="ED306" s="19" t="s">
        <v>2133</v>
      </c>
      <c r="EE306" s="24">
        <v>45533.0</v>
      </c>
      <c r="EF306" s="19" t="s">
        <v>2133</v>
      </c>
      <c r="EG306" s="19" t="s">
        <v>2271</v>
      </c>
      <c r="EH306" s="19" t="s">
        <v>2146</v>
      </c>
      <c r="EI306" s="22">
        <v>14.625</v>
      </c>
      <c r="EJ306" s="19">
        <v>43.0</v>
      </c>
      <c r="EK306" s="19" t="s">
        <v>2113</v>
      </c>
      <c r="EL306" s="19" t="s">
        <v>2117</v>
      </c>
      <c r="EM306" s="19" t="s">
        <v>7582</v>
      </c>
      <c r="EN306" s="19" t="s">
        <v>909</v>
      </c>
      <c r="EO306" s="19" t="s">
        <v>3015</v>
      </c>
      <c r="EP306" s="19" t="s">
        <v>2445</v>
      </c>
      <c r="EQ306" s="19" t="s">
        <v>3020</v>
      </c>
      <c r="ER306" s="19"/>
      <c r="ES306" s="19" t="s">
        <v>909</v>
      </c>
      <c r="ET306" s="19" t="s">
        <v>909</v>
      </c>
      <c r="EU306" s="19" t="s">
        <v>7579</v>
      </c>
      <c r="EV306" s="19">
        <v>10547.0</v>
      </c>
      <c r="EW306" s="19" t="s">
        <v>16</v>
      </c>
      <c r="EX306" s="19">
        <v>3.0</v>
      </c>
      <c r="EY306" s="25" t="s">
        <v>908</v>
      </c>
      <c r="EZ306" s="19" t="s">
        <v>2154</v>
      </c>
      <c r="FA306" s="5" t="s">
        <v>7593</v>
      </c>
      <c r="FB306" s="26" t="s">
        <v>2156</v>
      </c>
      <c r="FC306" s="26"/>
    </row>
    <row r="307">
      <c r="A307" s="19" t="s">
        <v>2156</v>
      </c>
      <c r="B307" s="19"/>
      <c r="C307" s="19" t="s">
        <v>2113</v>
      </c>
      <c r="D307" s="19" t="s">
        <v>7594</v>
      </c>
      <c r="E307" s="19" t="s">
        <v>7595</v>
      </c>
      <c r="F307" s="19" t="s">
        <v>910</v>
      </c>
      <c r="G307" s="19" t="s">
        <v>7596</v>
      </c>
      <c r="H307" s="19" t="s">
        <v>910</v>
      </c>
      <c r="I307" s="19" t="s">
        <v>912</v>
      </c>
      <c r="J307" s="19" t="s">
        <v>7597</v>
      </c>
      <c r="K307" s="19" t="s">
        <v>7598</v>
      </c>
      <c r="L307" s="20">
        <v>45445.0</v>
      </c>
      <c r="M307" s="20">
        <v>45446.0</v>
      </c>
      <c r="N307" s="20">
        <v>45446.0</v>
      </c>
      <c r="O307" s="19" t="s">
        <v>911</v>
      </c>
      <c r="P307" s="19">
        <v>0.0</v>
      </c>
      <c r="Q307" s="19">
        <v>18.0</v>
      </c>
      <c r="R307" s="19">
        <v>6923.0</v>
      </c>
      <c r="S307" s="20" t="s">
        <v>7599</v>
      </c>
      <c r="T307" s="20">
        <v>45461.0</v>
      </c>
      <c r="U307" s="19" t="s">
        <v>910</v>
      </c>
      <c r="V307" s="19"/>
      <c r="W307" s="19"/>
      <c r="X307" s="21">
        <v>0.0</v>
      </c>
      <c r="Y307" s="21">
        <v>10.0</v>
      </c>
      <c r="Z307" s="21">
        <v>3.0</v>
      </c>
      <c r="AA307" s="21">
        <v>0.0</v>
      </c>
      <c r="AB307" s="5">
        <v>13.0</v>
      </c>
      <c r="AC307" s="19">
        <v>5.0</v>
      </c>
      <c r="AD307" s="19">
        <v>5.0</v>
      </c>
      <c r="AE307" s="19">
        <v>5.0</v>
      </c>
      <c r="AF307" s="19">
        <v>5.0</v>
      </c>
      <c r="AG307" s="19">
        <v>4.0</v>
      </c>
      <c r="AH307" s="19">
        <v>5.0</v>
      </c>
      <c r="AI307" s="22">
        <v>14.625</v>
      </c>
      <c r="AJ307" s="19">
        <v>14.0</v>
      </c>
      <c r="AK307" s="19">
        <v>15.0</v>
      </c>
      <c r="AL307" s="19">
        <v>14.0</v>
      </c>
      <c r="AM307" s="19">
        <v>43.0</v>
      </c>
      <c r="AN307" s="19">
        <v>57.6</v>
      </c>
      <c r="AO307" s="19">
        <v>70.6</v>
      </c>
      <c r="AP307" s="19">
        <v>802.0</v>
      </c>
      <c r="AQ307" s="23">
        <v>300.0</v>
      </c>
      <c r="AR307" s="23">
        <v>22.0</v>
      </c>
      <c r="AS307" s="22"/>
      <c r="AT307" s="19" t="s">
        <v>2282</v>
      </c>
      <c r="AU307" s="19" t="s">
        <v>2118</v>
      </c>
      <c r="AV307" s="19" t="s">
        <v>7600</v>
      </c>
      <c r="AW307" s="19"/>
      <c r="AX307" s="20">
        <v>38538.0</v>
      </c>
      <c r="AY307" s="19" t="s">
        <v>4661</v>
      </c>
      <c r="AZ307" s="19" t="s">
        <v>2122</v>
      </c>
      <c r="BA307" s="19" t="s">
        <v>7601</v>
      </c>
      <c r="BB307" s="19" t="s">
        <v>3828</v>
      </c>
      <c r="BC307" s="19" t="s">
        <v>7602</v>
      </c>
      <c r="BD307" s="19" t="s">
        <v>7603</v>
      </c>
      <c r="BE307" s="19"/>
      <c r="BF307" s="19"/>
      <c r="BG307" s="19" t="s">
        <v>2127</v>
      </c>
      <c r="BH307" s="19" t="s">
        <v>2128</v>
      </c>
      <c r="BI307" s="19"/>
      <c r="BJ307" s="19"/>
      <c r="BK307" s="19" t="s">
        <v>16</v>
      </c>
      <c r="BL307" s="19"/>
      <c r="BM307" s="19" t="s">
        <v>5563</v>
      </c>
      <c r="BN307" s="19" t="s">
        <v>7604</v>
      </c>
      <c r="BO307" s="19" t="s">
        <v>2473</v>
      </c>
      <c r="BP307" s="19" t="s">
        <v>7605</v>
      </c>
      <c r="BQ307" s="19" t="s">
        <v>2133</v>
      </c>
      <c r="BR307" s="19" t="s">
        <v>2133</v>
      </c>
      <c r="BS307" s="19" t="s">
        <v>2134</v>
      </c>
      <c r="BT307" s="19" t="s">
        <v>52</v>
      </c>
      <c r="BU307" s="19" t="s">
        <v>7606</v>
      </c>
      <c r="BV307" s="19"/>
      <c r="BW307" s="19" t="s">
        <v>2113</v>
      </c>
      <c r="BX307" s="19"/>
      <c r="BY307" s="19"/>
      <c r="BZ307" s="19"/>
      <c r="CA307" s="19"/>
      <c r="CB307" s="19" t="s">
        <v>2113</v>
      </c>
      <c r="CC307" s="19"/>
      <c r="CD307" s="19" t="s">
        <v>2137</v>
      </c>
      <c r="CE307" s="19" t="s">
        <v>16</v>
      </c>
      <c r="CF307" s="19"/>
      <c r="CG307" s="19"/>
      <c r="CH307" s="19" t="s">
        <v>16</v>
      </c>
      <c r="CI307" s="21">
        <v>0.0</v>
      </c>
      <c r="CJ307" s="19" t="s">
        <v>16</v>
      </c>
      <c r="CK307" s="19"/>
      <c r="CL307" s="19"/>
      <c r="CM307" s="19" t="s">
        <v>2926</v>
      </c>
      <c r="CN307" s="19" t="s">
        <v>3544</v>
      </c>
      <c r="CO307" s="19"/>
      <c r="CP307" s="19" t="s">
        <v>2134</v>
      </c>
      <c r="CQ307" s="19"/>
      <c r="CR307" s="19" t="s">
        <v>2113</v>
      </c>
      <c r="CS307" s="19" t="s">
        <v>2113</v>
      </c>
      <c r="CT307" s="19" t="s">
        <v>2113</v>
      </c>
      <c r="CU307" s="19" t="s">
        <v>2113</v>
      </c>
      <c r="CV307" s="19" t="s">
        <v>2141</v>
      </c>
      <c r="CW307" s="19" t="s">
        <v>2113</v>
      </c>
      <c r="CX307" s="19" t="s">
        <v>2113</v>
      </c>
      <c r="CY307" s="19" t="s">
        <v>2113</v>
      </c>
      <c r="CZ307" s="19" t="s">
        <v>2113</v>
      </c>
      <c r="DA307" s="19" t="s">
        <v>16</v>
      </c>
      <c r="DB307" s="19" t="s">
        <v>16</v>
      </c>
      <c r="DC307" s="19" t="s">
        <v>2579</v>
      </c>
      <c r="DD307" s="19" t="s">
        <v>2113</v>
      </c>
      <c r="DE307" s="19" t="s">
        <v>2113</v>
      </c>
      <c r="DF307" s="19" t="s">
        <v>4540</v>
      </c>
      <c r="DG307" s="19" t="s">
        <v>2297</v>
      </c>
      <c r="DH307" s="19" t="s">
        <v>2580</v>
      </c>
      <c r="DI307" s="24">
        <v>45517.0</v>
      </c>
      <c r="DJ307" s="19" t="s">
        <v>2133</v>
      </c>
      <c r="DK307" s="19" t="s">
        <v>2271</v>
      </c>
      <c r="DL307" s="19" t="s">
        <v>2146</v>
      </c>
      <c r="DM307" s="19"/>
      <c r="DN307" s="19">
        <v>2.0</v>
      </c>
      <c r="DO307" s="19">
        <v>2.0</v>
      </c>
      <c r="DP307" s="19" t="s">
        <v>7607</v>
      </c>
      <c r="DQ307" s="19" t="s">
        <v>7608</v>
      </c>
      <c r="DR307" s="19" t="s">
        <v>7609</v>
      </c>
      <c r="DS307" s="19" t="s">
        <v>2365</v>
      </c>
      <c r="DT307" s="19" t="s">
        <v>2350</v>
      </c>
      <c r="DU307" s="19"/>
      <c r="DV307" s="19"/>
      <c r="DW307" s="19" t="s">
        <v>2153</v>
      </c>
      <c r="DX307" s="19">
        <v>7.0</v>
      </c>
      <c r="DY307" s="19">
        <v>10.0</v>
      </c>
      <c r="DZ307" s="19">
        <v>0.0</v>
      </c>
      <c r="EA307" s="19">
        <v>10.0</v>
      </c>
      <c r="EB307" s="19">
        <v>0.0</v>
      </c>
      <c r="EC307" s="19">
        <v>0.0</v>
      </c>
      <c r="ED307" s="19" t="s">
        <v>2133</v>
      </c>
      <c r="EE307" s="24">
        <v>45517.0</v>
      </c>
      <c r="EF307" s="19" t="s">
        <v>2133</v>
      </c>
      <c r="EG307" s="19" t="s">
        <v>2271</v>
      </c>
      <c r="EH307" s="19" t="s">
        <v>2146</v>
      </c>
      <c r="EI307" s="22">
        <v>14.625</v>
      </c>
      <c r="EJ307" s="19">
        <v>43.0</v>
      </c>
      <c r="EK307" s="19"/>
      <c r="EL307" s="19" t="s">
        <v>2282</v>
      </c>
      <c r="EM307" s="19" t="s">
        <v>2118</v>
      </c>
      <c r="EN307" s="19" t="s">
        <v>912</v>
      </c>
      <c r="EO307" s="19" t="s">
        <v>4661</v>
      </c>
      <c r="EP307" s="19" t="s">
        <v>2122</v>
      </c>
      <c r="EQ307" s="19" t="s">
        <v>3544</v>
      </c>
      <c r="ER307" s="19"/>
      <c r="ES307" s="19" t="s">
        <v>912</v>
      </c>
      <c r="ET307" s="19" t="s">
        <v>912</v>
      </c>
      <c r="EU307" s="19" t="s">
        <v>7598</v>
      </c>
      <c r="EV307" s="19">
        <v>6923.0</v>
      </c>
      <c r="EW307" s="19" t="s">
        <v>16</v>
      </c>
      <c r="EX307" s="19">
        <v>3.0</v>
      </c>
      <c r="EY307" s="25" t="s">
        <v>911</v>
      </c>
      <c r="EZ307" s="19" t="s">
        <v>2154</v>
      </c>
      <c r="FA307" s="5" t="s">
        <v>7610</v>
      </c>
      <c r="FB307" s="26" t="s">
        <v>2156</v>
      </c>
      <c r="FC307" s="26"/>
    </row>
    <row r="308">
      <c r="A308" s="19" t="s">
        <v>2112</v>
      </c>
      <c r="B308" s="19"/>
      <c r="C308" s="19" t="s">
        <v>2113</v>
      </c>
      <c r="D308" s="19" t="s">
        <v>7611</v>
      </c>
      <c r="E308" s="19" t="s">
        <v>7612</v>
      </c>
      <c r="F308" s="19" t="s">
        <v>913</v>
      </c>
      <c r="G308" s="19" t="s">
        <v>7613</v>
      </c>
      <c r="H308" s="19" t="s">
        <v>913</v>
      </c>
      <c r="I308" s="19" t="s">
        <v>915</v>
      </c>
      <c r="J308" s="19" t="s">
        <v>7614</v>
      </c>
      <c r="K308" s="19" t="s">
        <v>7615</v>
      </c>
      <c r="L308" s="20">
        <v>45446.0</v>
      </c>
      <c r="M308" s="20">
        <v>45447.0</v>
      </c>
      <c r="N308" s="20">
        <v>45447.0</v>
      </c>
      <c r="O308" s="19" t="s">
        <v>914</v>
      </c>
      <c r="P308" s="19">
        <v>0.0</v>
      </c>
      <c r="Q308" s="19">
        <v>18.0</v>
      </c>
      <c r="R308" s="19">
        <v>6591.0</v>
      </c>
      <c r="S308" s="20" t="s">
        <v>7616</v>
      </c>
      <c r="T308" s="20">
        <v>45461.0</v>
      </c>
      <c r="U308" s="19" t="s">
        <v>913</v>
      </c>
      <c r="V308" s="19"/>
      <c r="W308" s="19" t="s">
        <v>7617</v>
      </c>
      <c r="X308" s="21">
        <v>0.0</v>
      </c>
      <c r="Y308" s="21">
        <v>10.0</v>
      </c>
      <c r="Z308" s="21">
        <v>5.0</v>
      </c>
      <c r="AA308" s="21">
        <v>2.0</v>
      </c>
      <c r="AB308" s="5">
        <v>17.0</v>
      </c>
      <c r="AC308" s="19">
        <v>2.6</v>
      </c>
      <c r="AD308" s="19">
        <v>3.0</v>
      </c>
      <c r="AE308" s="19">
        <v>3.0</v>
      </c>
      <c r="AF308" s="19">
        <v>2.3</v>
      </c>
      <c r="AG308" s="19">
        <v>2.3</v>
      </c>
      <c r="AH308" s="19">
        <v>3.6</v>
      </c>
      <c r="AI308" s="22">
        <v>8.512500000000001</v>
      </c>
      <c r="AJ308" s="19">
        <v>15.0</v>
      </c>
      <c r="AK308" s="19">
        <v>15.0</v>
      </c>
      <c r="AL308" s="19">
        <v>15.0</v>
      </c>
      <c r="AM308" s="19">
        <v>45.0</v>
      </c>
      <c r="AN308" s="19">
        <v>53.5</v>
      </c>
      <c r="AO308" s="19">
        <v>70.5</v>
      </c>
      <c r="AP308" s="19">
        <v>372.0</v>
      </c>
      <c r="AQ308" s="23">
        <v>301.0</v>
      </c>
      <c r="AR308" s="23">
        <v>28.0</v>
      </c>
      <c r="AS308" s="22"/>
      <c r="AT308" s="19" t="s">
        <v>2117</v>
      </c>
      <c r="AU308" s="19" t="s">
        <v>6781</v>
      </c>
      <c r="AV308" s="19" t="s">
        <v>6782</v>
      </c>
      <c r="AW308" s="19" t="s">
        <v>2466</v>
      </c>
      <c r="AX308" s="20">
        <v>38870.0</v>
      </c>
      <c r="AY308" s="19" t="s">
        <v>2358</v>
      </c>
      <c r="AZ308" s="19" t="s">
        <v>2554</v>
      </c>
      <c r="BA308" s="19" t="s">
        <v>7618</v>
      </c>
      <c r="BB308" s="19" t="s">
        <v>6784</v>
      </c>
      <c r="BC308" s="19" t="s">
        <v>7619</v>
      </c>
      <c r="BD308" s="19" t="s">
        <v>7620</v>
      </c>
      <c r="BE308" s="19" t="s">
        <v>7614</v>
      </c>
      <c r="BF308" s="19">
        <v>1.1958415085E10</v>
      </c>
      <c r="BG308" s="19" t="s">
        <v>2127</v>
      </c>
      <c r="BH308" s="19" t="s">
        <v>2128</v>
      </c>
      <c r="BI308" s="19"/>
      <c r="BJ308" s="19" t="s">
        <v>2128</v>
      </c>
      <c r="BK308" s="19" t="s">
        <v>17</v>
      </c>
      <c r="BL308" s="19"/>
      <c r="BM308" s="19" t="s">
        <v>5411</v>
      </c>
      <c r="BN308" s="19" t="s">
        <v>2172</v>
      </c>
      <c r="BO308" s="19" t="s">
        <v>2132</v>
      </c>
      <c r="BP308" s="19"/>
      <c r="BQ308" s="19" t="s">
        <v>2174</v>
      </c>
      <c r="BR308" s="19" t="s">
        <v>2174</v>
      </c>
      <c r="BS308" s="19" t="s">
        <v>2134</v>
      </c>
      <c r="BT308" s="19" t="s">
        <v>34</v>
      </c>
      <c r="BU308" s="19"/>
      <c r="BV308" s="19"/>
      <c r="BW308" s="19"/>
      <c r="BX308" s="19"/>
      <c r="BY308" s="19" t="s">
        <v>2113</v>
      </c>
      <c r="BZ308" s="19" t="s">
        <v>2113</v>
      </c>
      <c r="CA308" s="19"/>
      <c r="CB308" s="19"/>
      <c r="CC308" s="19"/>
      <c r="CD308" s="19" t="s">
        <v>2137</v>
      </c>
      <c r="CE308" s="19" t="s">
        <v>16</v>
      </c>
      <c r="CF308" s="19"/>
      <c r="CG308" s="19"/>
      <c r="CH308" s="19" t="s">
        <v>16</v>
      </c>
      <c r="CI308" s="21">
        <v>0.0</v>
      </c>
      <c r="CJ308" s="19" t="s">
        <v>16</v>
      </c>
      <c r="CK308" s="19"/>
      <c r="CL308" s="19"/>
      <c r="CM308" s="19" t="s">
        <v>2926</v>
      </c>
      <c r="CN308" s="19" t="s">
        <v>2266</v>
      </c>
      <c r="CO308" s="19"/>
      <c r="CP308" s="19" t="s">
        <v>2134</v>
      </c>
      <c r="CQ308" s="19"/>
      <c r="CR308" s="19" t="s">
        <v>2113</v>
      </c>
      <c r="CS308" s="19" t="s">
        <v>2113</v>
      </c>
      <c r="CT308" s="19"/>
      <c r="CU308" s="19"/>
      <c r="CV308" s="19" t="s">
        <v>2141</v>
      </c>
      <c r="CW308" s="19"/>
      <c r="CX308" s="19"/>
      <c r="CY308" s="19" t="s">
        <v>2113</v>
      </c>
      <c r="CZ308" s="19" t="s">
        <v>2113</v>
      </c>
      <c r="DA308" s="19" t="s">
        <v>16</v>
      </c>
      <c r="DB308" s="19" t="s">
        <v>16</v>
      </c>
      <c r="DC308" s="19" t="s">
        <v>2785</v>
      </c>
      <c r="DD308" s="19"/>
      <c r="DE308" s="19"/>
      <c r="DF308" s="19" t="s">
        <v>2270</v>
      </c>
      <c r="DG308" s="19" t="s">
        <v>7621</v>
      </c>
      <c r="DH308" s="19" t="s">
        <v>2144</v>
      </c>
      <c r="DI308" s="24">
        <v>45525.0</v>
      </c>
      <c r="DJ308" s="19" t="s">
        <v>2174</v>
      </c>
      <c r="DK308" s="19" t="s">
        <v>2145</v>
      </c>
      <c r="DL308" s="19" t="s">
        <v>2183</v>
      </c>
      <c r="DM308" s="19" t="s">
        <v>2249</v>
      </c>
      <c r="DN308" s="19">
        <v>9.0</v>
      </c>
      <c r="DO308" s="19">
        <v>9.0</v>
      </c>
      <c r="DP308" s="19" t="s">
        <v>7622</v>
      </c>
      <c r="DQ308" s="19" t="s">
        <v>7623</v>
      </c>
      <c r="DR308" s="19" t="s">
        <v>7624</v>
      </c>
      <c r="DS308" s="19" t="s">
        <v>2151</v>
      </c>
      <c r="DT308" s="19" t="s">
        <v>2350</v>
      </c>
      <c r="DU308" s="19"/>
      <c r="DV308" s="19"/>
      <c r="DW308" s="19" t="s">
        <v>2479</v>
      </c>
      <c r="DX308" s="19">
        <v>16.0</v>
      </c>
      <c r="DY308" s="19">
        <v>10.0</v>
      </c>
      <c r="DZ308" s="19">
        <v>2.0</v>
      </c>
      <c r="EA308" s="19">
        <v>10.0</v>
      </c>
      <c r="EB308" s="19">
        <v>0.0</v>
      </c>
      <c r="EC308" s="19">
        <v>0.0</v>
      </c>
      <c r="ED308" s="19" t="s">
        <v>2174</v>
      </c>
      <c r="EE308" s="24">
        <v>45525.0</v>
      </c>
      <c r="EF308" s="19" t="s">
        <v>2174</v>
      </c>
      <c r="EG308" s="19" t="s">
        <v>2145</v>
      </c>
      <c r="EH308" s="19" t="s">
        <v>2183</v>
      </c>
      <c r="EI308" s="22">
        <v>8.512500000000001</v>
      </c>
      <c r="EJ308" s="19">
        <v>45.0</v>
      </c>
      <c r="EK308" s="19"/>
      <c r="EL308" s="19" t="s">
        <v>2117</v>
      </c>
      <c r="EM308" s="19" t="s">
        <v>6781</v>
      </c>
      <c r="EN308" s="19" t="s">
        <v>915</v>
      </c>
      <c r="EO308" s="19" t="s">
        <v>2358</v>
      </c>
      <c r="EP308" s="19" t="s">
        <v>2554</v>
      </c>
      <c r="EQ308" s="19" t="s">
        <v>2266</v>
      </c>
      <c r="ER308" s="19"/>
      <c r="ES308" s="19" t="s">
        <v>915</v>
      </c>
      <c r="ET308" s="19" t="s">
        <v>915</v>
      </c>
      <c r="EU308" s="19" t="s">
        <v>7615</v>
      </c>
      <c r="EV308" s="19">
        <v>6591.0</v>
      </c>
      <c r="EW308" s="19" t="s">
        <v>16</v>
      </c>
      <c r="EX308" s="19">
        <v>5.0</v>
      </c>
      <c r="EY308" s="25" t="s">
        <v>914</v>
      </c>
      <c r="EZ308" s="19" t="s">
        <v>2154</v>
      </c>
      <c r="FA308" s="5" t="s">
        <v>7625</v>
      </c>
      <c r="FB308" s="26" t="s">
        <v>2156</v>
      </c>
      <c r="FC308" s="26"/>
    </row>
    <row r="309">
      <c r="A309" s="19" t="s">
        <v>2156</v>
      </c>
      <c r="B309" s="19"/>
      <c r="C309" s="19" t="s">
        <v>2113</v>
      </c>
      <c r="D309" s="19" t="s">
        <v>916</v>
      </c>
      <c r="E309" s="19" t="s">
        <v>7626</v>
      </c>
      <c r="F309" s="19" t="s">
        <v>7627</v>
      </c>
      <c r="G309" s="19" t="s">
        <v>7628</v>
      </c>
      <c r="H309" s="19" t="s">
        <v>916</v>
      </c>
      <c r="I309" s="19" t="s">
        <v>918</v>
      </c>
      <c r="J309" s="19" t="s">
        <v>7629</v>
      </c>
      <c r="K309" s="19" t="s">
        <v>7630</v>
      </c>
      <c r="L309" s="20">
        <v>45413.0</v>
      </c>
      <c r="M309" s="20">
        <v>45414.0</v>
      </c>
      <c r="N309" s="20">
        <v>45414.0</v>
      </c>
      <c r="O309" s="19" t="s">
        <v>917</v>
      </c>
      <c r="P309" s="19">
        <v>0.0</v>
      </c>
      <c r="Q309" s="19">
        <v>23.0</v>
      </c>
      <c r="R309" s="19">
        <v>8534.0</v>
      </c>
      <c r="S309" s="20" t="s">
        <v>7631</v>
      </c>
      <c r="T309" s="20">
        <v>45461.0</v>
      </c>
      <c r="U309" s="19" t="s">
        <v>7627</v>
      </c>
      <c r="V309" s="19"/>
      <c r="W309" s="19"/>
      <c r="X309" s="21">
        <v>0.0</v>
      </c>
      <c r="Y309" s="21">
        <v>10.0</v>
      </c>
      <c r="Z309" s="21">
        <v>5.0</v>
      </c>
      <c r="AA309" s="21">
        <v>0.0</v>
      </c>
      <c r="AB309" s="5">
        <v>15.0</v>
      </c>
      <c r="AC309" s="19">
        <v>4.0</v>
      </c>
      <c r="AD309" s="19">
        <v>3.5</v>
      </c>
      <c r="AE309" s="19">
        <v>3.5</v>
      </c>
      <c r="AF309" s="19">
        <v>3.5</v>
      </c>
      <c r="AG309" s="19">
        <v>3.5</v>
      </c>
      <c r="AH309" s="19">
        <v>3.0</v>
      </c>
      <c r="AI309" s="22">
        <v>10.546875</v>
      </c>
      <c r="AJ309" s="19">
        <v>15.0</v>
      </c>
      <c r="AK309" s="19">
        <v>15.0</v>
      </c>
      <c r="AL309" s="19">
        <v>15.0</v>
      </c>
      <c r="AM309" s="19">
        <v>45.0</v>
      </c>
      <c r="AN309" s="19">
        <v>55.5</v>
      </c>
      <c r="AO309" s="19">
        <v>70.5</v>
      </c>
      <c r="AP309" s="19">
        <v>449.0</v>
      </c>
      <c r="AQ309" s="23">
        <v>302.0</v>
      </c>
      <c r="AR309" s="23">
        <v>25.0</v>
      </c>
      <c r="AS309" s="22"/>
      <c r="AT309" s="19" t="s">
        <v>2163</v>
      </c>
      <c r="AU309" s="19" t="s">
        <v>2485</v>
      </c>
      <c r="AV309" s="19" t="s">
        <v>7632</v>
      </c>
      <c r="AW309" s="19" t="s">
        <v>2485</v>
      </c>
      <c r="AX309" s="20">
        <v>36927.0</v>
      </c>
      <c r="AY309" s="19" t="s">
        <v>2487</v>
      </c>
      <c r="AZ309" s="19" t="s">
        <v>2122</v>
      </c>
      <c r="BA309" s="19" t="s">
        <v>7633</v>
      </c>
      <c r="BB309" s="19" t="s">
        <v>3139</v>
      </c>
      <c r="BC309" s="19" t="s">
        <v>7634</v>
      </c>
      <c r="BD309" s="19" t="s">
        <v>7635</v>
      </c>
      <c r="BE309" s="19" t="s">
        <v>7629</v>
      </c>
      <c r="BF309" s="19">
        <v>1.196795149E10</v>
      </c>
      <c r="BG309" s="19" t="s">
        <v>2127</v>
      </c>
      <c r="BH309" s="19" t="s">
        <v>2128</v>
      </c>
      <c r="BI309" s="19"/>
      <c r="BJ309" s="19" t="s">
        <v>2128</v>
      </c>
      <c r="BK309" s="19" t="s">
        <v>17</v>
      </c>
      <c r="BL309" s="19" t="s">
        <v>2113</v>
      </c>
      <c r="BM309" s="19" t="s">
        <v>5563</v>
      </c>
      <c r="BN309" s="19" t="s">
        <v>2451</v>
      </c>
      <c r="BO309" s="19" t="s">
        <v>2132</v>
      </c>
      <c r="BP309" s="19" t="s">
        <v>7636</v>
      </c>
      <c r="BQ309" s="19" t="s">
        <v>2325</v>
      </c>
      <c r="BR309" s="19" t="s">
        <v>2325</v>
      </c>
      <c r="BS309" s="19" t="s">
        <v>2134</v>
      </c>
      <c r="BT309" s="19" t="s">
        <v>59</v>
      </c>
      <c r="BU309" s="19" t="s">
        <v>7637</v>
      </c>
      <c r="BV309" s="19"/>
      <c r="BW309" s="19"/>
      <c r="BX309" s="19"/>
      <c r="BY309" s="19"/>
      <c r="BZ309" s="19"/>
      <c r="CA309" s="19"/>
      <c r="CB309" s="19" t="s">
        <v>2113</v>
      </c>
      <c r="CC309" s="19"/>
      <c r="CD309" s="19" t="s">
        <v>2137</v>
      </c>
      <c r="CE309" s="19" t="s">
        <v>16</v>
      </c>
      <c r="CF309" s="19"/>
      <c r="CG309" s="19"/>
      <c r="CH309" s="19" t="s">
        <v>16</v>
      </c>
      <c r="CI309" s="21">
        <v>0.0</v>
      </c>
      <c r="CJ309" s="19" t="s">
        <v>17</v>
      </c>
      <c r="CK309" s="19"/>
      <c r="CL309" s="19"/>
      <c r="CM309" s="19" t="s">
        <v>2344</v>
      </c>
      <c r="CN309" s="19" t="s">
        <v>2431</v>
      </c>
      <c r="CO309" s="19"/>
      <c r="CP309" s="19" t="s">
        <v>2140</v>
      </c>
      <c r="CQ309" s="19"/>
      <c r="CR309" s="19"/>
      <c r="CS309" s="19"/>
      <c r="CT309" s="19"/>
      <c r="CU309" s="19"/>
      <c r="CV309" s="19" t="s">
        <v>2141</v>
      </c>
      <c r="CW309" s="19" t="s">
        <v>2113</v>
      </c>
      <c r="CX309" s="19" t="s">
        <v>2113</v>
      </c>
      <c r="CY309" s="19" t="s">
        <v>2113</v>
      </c>
      <c r="CZ309" s="19" t="s">
        <v>2113</v>
      </c>
      <c r="DA309" s="19" t="s">
        <v>16</v>
      </c>
      <c r="DB309" s="19" t="s">
        <v>17</v>
      </c>
      <c r="DC309" s="19" t="s">
        <v>2496</v>
      </c>
      <c r="DD309" s="19"/>
      <c r="DE309" s="19"/>
      <c r="DF309" s="19" t="s">
        <v>3163</v>
      </c>
      <c r="DG309" s="19" t="s">
        <v>2433</v>
      </c>
      <c r="DH309" s="19" t="s">
        <v>2144</v>
      </c>
      <c r="DI309" s="24">
        <v>45518.0</v>
      </c>
      <c r="DJ309" s="19" t="s">
        <v>2325</v>
      </c>
      <c r="DK309" s="19" t="s">
        <v>2271</v>
      </c>
      <c r="DL309" s="19" t="s">
        <v>2326</v>
      </c>
      <c r="DM309" s="19"/>
      <c r="DN309" s="19">
        <v>4.0</v>
      </c>
      <c r="DO309" s="19">
        <v>4.0</v>
      </c>
      <c r="DP309" s="19" t="s">
        <v>7638</v>
      </c>
      <c r="DQ309" s="19" t="s">
        <v>7639</v>
      </c>
      <c r="DR309" s="19" t="s">
        <v>7640</v>
      </c>
      <c r="DS309" s="19" t="s">
        <v>2185</v>
      </c>
      <c r="DT309" s="19" t="s">
        <v>2350</v>
      </c>
      <c r="DU309" s="19"/>
      <c r="DV309" s="19"/>
      <c r="DW309" s="19" t="s">
        <v>2153</v>
      </c>
      <c r="DX309" s="19">
        <v>3.0</v>
      </c>
      <c r="DY309" s="19">
        <v>10.0</v>
      </c>
      <c r="DZ309" s="19">
        <v>0.0</v>
      </c>
      <c r="EA309" s="19">
        <v>10.0</v>
      </c>
      <c r="EB309" s="19">
        <v>0.0</v>
      </c>
      <c r="EC309" s="19">
        <v>0.0</v>
      </c>
      <c r="ED309" s="19" t="s">
        <v>2325</v>
      </c>
      <c r="EE309" s="24">
        <v>45518.0</v>
      </c>
      <c r="EF309" s="19" t="s">
        <v>2325</v>
      </c>
      <c r="EG309" s="19" t="s">
        <v>2271</v>
      </c>
      <c r="EH309" s="19" t="s">
        <v>2326</v>
      </c>
      <c r="EI309" s="22">
        <v>10.546875</v>
      </c>
      <c r="EJ309" s="19">
        <v>45.0</v>
      </c>
      <c r="EK309" s="19" t="s">
        <v>2113</v>
      </c>
      <c r="EL309" s="19" t="s">
        <v>2163</v>
      </c>
      <c r="EM309" s="19" t="s">
        <v>2485</v>
      </c>
      <c r="EN309" s="19" t="s">
        <v>918</v>
      </c>
      <c r="EO309" s="19" t="s">
        <v>2487</v>
      </c>
      <c r="EP309" s="19" t="s">
        <v>2122</v>
      </c>
      <c r="EQ309" s="19" t="s">
        <v>2431</v>
      </c>
      <c r="ER309" s="19"/>
      <c r="ES309" s="19" t="s">
        <v>918</v>
      </c>
      <c r="ET309" s="19" t="s">
        <v>918</v>
      </c>
      <c r="EU309" s="19" t="s">
        <v>7630</v>
      </c>
      <c r="EV309" s="19">
        <v>8534.0</v>
      </c>
      <c r="EW309" s="19" t="s">
        <v>16</v>
      </c>
      <c r="EX309" s="19">
        <v>5.0</v>
      </c>
      <c r="EY309" s="25" t="s">
        <v>917</v>
      </c>
      <c r="EZ309" s="19" t="s">
        <v>2154</v>
      </c>
      <c r="FA309" s="5" t="s">
        <v>7641</v>
      </c>
      <c r="FB309" s="26" t="s">
        <v>2156</v>
      </c>
      <c r="FC309" s="26"/>
    </row>
    <row r="310">
      <c r="A310" s="19" t="s">
        <v>2156</v>
      </c>
      <c r="B310" s="19"/>
      <c r="C310" s="19" t="s">
        <v>2113</v>
      </c>
      <c r="D310" s="19" t="s">
        <v>919</v>
      </c>
      <c r="E310" s="19" t="s">
        <v>7642</v>
      </c>
      <c r="F310" s="19" t="s">
        <v>919</v>
      </c>
      <c r="G310" s="19"/>
      <c r="H310" s="19" t="s">
        <v>919</v>
      </c>
      <c r="I310" s="19" t="s">
        <v>921</v>
      </c>
      <c r="J310" s="19" t="s">
        <v>7643</v>
      </c>
      <c r="K310" s="19" t="s">
        <v>7644</v>
      </c>
      <c r="L310" s="20">
        <v>45442.0</v>
      </c>
      <c r="M310" s="20">
        <v>45446.0</v>
      </c>
      <c r="N310" s="20">
        <v>45446.0</v>
      </c>
      <c r="O310" s="19" t="s">
        <v>920</v>
      </c>
      <c r="P310" s="19">
        <v>0.0</v>
      </c>
      <c r="Q310" s="19">
        <v>20.0</v>
      </c>
      <c r="R310" s="19">
        <v>7650.0</v>
      </c>
      <c r="S310" s="20" t="s">
        <v>7645</v>
      </c>
      <c r="T310" s="20">
        <v>45461.0</v>
      </c>
      <c r="U310" s="19" t="s">
        <v>919</v>
      </c>
      <c r="V310" s="19"/>
      <c r="W310" s="19"/>
      <c r="X310" s="21">
        <v>0.0</v>
      </c>
      <c r="Y310" s="21">
        <v>10.0</v>
      </c>
      <c r="Z310" s="21">
        <v>5.0</v>
      </c>
      <c r="AA310" s="21">
        <v>0.0</v>
      </c>
      <c r="AB310" s="5">
        <v>15.0</v>
      </c>
      <c r="AC310" s="19">
        <v>5.0</v>
      </c>
      <c r="AD310" s="19">
        <v>4.5</v>
      </c>
      <c r="AE310" s="19">
        <v>4.5</v>
      </c>
      <c r="AF310" s="19">
        <v>5.0</v>
      </c>
      <c r="AG310" s="19">
        <v>4.0</v>
      </c>
      <c r="AH310" s="19">
        <v>4.0</v>
      </c>
      <c r="AI310" s="22">
        <v>13.546875</v>
      </c>
      <c r="AJ310" s="19">
        <v>14.0</v>
      </c>
      <c r="AK310" s="19">
        <v>15.0</v>
      </c>
      <c r="AL310" s="19">
        <v>13.0</v>
      </c>
      <c r="AM310" s="19">
        <v>42.0</v>
      </c>
      <c r="AN310" s="19">
        <v>55.5</v>
      </c>
      <c r="AO310" s="19">
        <v>70.5</v>
      </c>
      <c r="AP310" s="19">
        <v>491.0</v>
      </c>
      <c r="AQ310" s="23">
        <v>303.0</v>
      </c>
      <c r="AR310" s="23">
        <v>26.0</v>
      </c>
      <c r="AS310" s="22"/>
      <c r="AT310" s="19" t="s">
        <v>2282</v>
      </c>
      <c r="AU310" s="19" t="s">
        <v>4289</v>
      </c>
      <c r="AV310" s="19" t="s">
        <v>7646</v>
      </c>
      <c r="AW310" s="19" t="s">
        <v>7647</v>
      </c>
      <c r="AX310" s="20">
        <v>37811.0</v>
      </c>
      <c r="AY310" s="19" t="s">
        <v>2421</v>
      </c>
      <c r="AZ310" s="19" t="s">
        <v>2122</v>
      </c>
      <c r="BA310" s="19" t="s">
        <v>7648</v>
      </c>
      <c r="BB310" s="19" t="s">
        <v>7649</v>
      </c>
      <c r="BC310" s="19" t="s">
        <v>7650</v>
      </c>
      <c r="BD310" s="19" t="s">
        <v>7651</v>
      </c>
      <c r="BE310" s="19" t="s">
        <v>7643</v>
      </c>
      <c r="BF310" s="19" t="s">
        <v>7652</v>
      </c>
      <c r="BG310" s="19" t="s">
        <v>2127</v>
      </c>
      <c r="BH310" s="19" t="s">
        <v>2128</v>
      </c>
      <c r="BI310" s="19"/>
      <c r="BJ310" s="19" t="s">
        <v>2129</v>
      </c>
      <c r="BK310" s="19" t="s">
        <v>17</v>
      </c>
      <c r="BL310" s="19"/>
      <c r="BM310" s="19" t="s">
        <v>5411</v>
      </c>
      <c r="BN310" s="19" t="s">
        <v>17</v>
      </c>
      <c r="BO310" s="19" t="s">
        <v>2132</v>
      </c>
      <c r="BP310" s="19"/>
      <c r="BQ310" s="19" t="s">
        <v>2325</v>
      </c>
      <c r="BR310" s="19" t="s">
        <v>2325</v>
      </c>
      <c r="BS310" s="19" t="s">
        <v>2134</v>
      </c>
      <c r="BT310" s="19" t="s">
        <v>59</v>
      </c>
      <c r="BU310" s="19" t="s">
        <v>7653</v>
      </c>
      <c r="BV310" s="19"/>
      <c r="BW310" s="19" t="s">
        <v>2113</v>
      </c>
      <c r="BX310" s="19"/>
      <c r="BY310" s="19"/>
      <c r="BZ310" s="19"/>
      <c r="CA310" s="19"/>
      <c r="CB310" s="19" t="s">
        <v>2113</v>
      </c>
      <c r="CC310" s="19"/>
      <c r="CD310" s="19" t="s">
        <v>2137</v>
      </c>
      <c r="CE310" s="19" t="s">
        <v>16</v>
      </c>
      <c r="CF310" s="19"/>
      <c r="CG310" s="19"/>
      <c r="CH310" s="19" t="s">
        <v>16</v>
      </c>
      <c r="CI310" s="21">
        <v>0.0</v>
      </c>
      <c r="CJ310" s="19" t="s">
        <v>16</v>
      </c>
      <c r="CK310" s="19"/>
      <c r="CL310" s="19"/>
      <c r="CM310" s="19" t="s">
        <v>2344</v>
      </c>
      <c r="CN310" s="19" t="s">
        <v>2431</v>
      </c>
      <c r="CO310" s="19"/>
      <c r="CP310" s="19" t="s">
        <v>2225</v>
      </c>
      <c r="CQ310" s="19"/>
      <c r="CR310" s="19" t="s">
        <v>2113</v>
      </c>
      <c r="CS310" s="19" t="s">
        <v>2113</v>
      </c>
      <c r="CT310" s="19" t="s">
        <v>2113</v>
      </c>
      <c r="CU310" s="19" t="s">
        <v>2113</v>
      </c>
      <c r="CV310" s="19" t="s">
        <v>2141</v>
      </c>
      <c r="CW310" s="19" t="s">
        <v>2113</v>
      </c>
      <c r="CX310" s="19" t="s">
        <v>2113</v>
      </c>
      <c r="CY310" s="19"/>
      <c r="CZ310" s="19"/>
      <c r="DA310" s="19" t="s">
        <v>16</v>
      </c>
      <c r="DB310" s="19" t="s">
        <v>16</v>
      </c>
      <c r="DC310" s="19" t="s">
        <v>2653</v>
      </c>
      <c r="DD310" s="19" t="s">
        <v>2113</v>
      </c>
      <c r="DE310" s="19" t="s">
        <v>2113</v>
      </c>
      <c r="DF310" s="19" t="s">
        <v>2562</v>
      </c>
      <c r="DG310" s="19" t="s">
        <v>3256</v>
      </c>
      <c r="DH310" s="19" t="s">
        <v>2144</v>
      </c>
      <c r="DI310" s="24">
        <v>45518.0</v>
      </c>
      <c r="DJ310" s="19" t="s">
        <v>2325</v>
      </c>
      <c r="DK310" s="19" t="s">
        <v>2145</v>
      </c>
      <c r="DL310" s="19" t="s">
        <v>2326</v>
      </c>
      <c r="DM310" s="19"/>
      <c r="DN310" s="19">
        <v>3.0</v>
      </c>
      <c r="DO310" s="19">
        <v>3.0</v>
      </c>
      <c r="DP310" s="19" t="s">
        <v>7654</v>
      </c>
      <c r="DQ310" s="19" t="s">
        <v>7655</v>
      </c>
      <c r="DR310" s="19" t="s">
        <v>7656</v>
      </c>
      <c r="DS310" s="19" t="s">
        <v>2185</v>
      </c>
      <c r="DT310" s="19" t="s">
        <v>2350</v>
      </c>
      <c r="DU310" s="19"/>
      <c r="DV310" s="19"/>
      <c r="DW310" s="19" t="s">
        <v>2153</v>
      </c>
      <c r="DX310" s="19">
        <v>3.0</v>
      </c>
      <c r="DY310" s="19">
        <v>10.0</v>
      </c>
      <c r="DZ310" s="19">
        <v>0.0</v>
      </c>
      <c r="EA310" s="19">
        <v>10.0</v>
      </c>
      <c r="EB310" s="19">
        <v>0.0</v>
      </c>
      <c r="EC310" s="19">
        <v>0.0</v>
      </c>
      <c r="ED310" s="19" t="s">
        <v>2325</v>
      </c>
      <c r="EE310" s="24">
        <v>45518.0</v>
      </c>
      <c r="EF310" s="19" t="s">
        <v>2325</v>
      </c>
      <c r="EG310" s="19" t="s">
        <v>2145</v>
      </c>
      <c r="EH310" s="19" t="s">
        <v>2326</v>
      </c>
      <c r="EI310" s="22">
        <v>13.546875</v>
      </c>
      <c r="EJ310" s="19">
        <v>42.0</v>
      </c>
      <c r="EK310" s="19"/>
      <c r="EL310" s="19" t="s">
        <v>2282</v>
      </c>
      <c r="EM310" s="19" t="s">
        <v>4289</v>
      </c>
      <c r="EN310" s="19" t="s">
        <v>921</v>
      </c>
      <c r="EO310" s="19" t="s">
        <v>2421</v>
      </c>
      <c r="EP310" s="19" t="s">
        <v>2122</v>
      </c>
      <c r="EQ310" s="19" t="s">
        <v>2431</v>
      </c>
      <c r="ER310" s="19"/>
      <c r="ES310" s="19" t="s">
        <v>921</v>
      </c>
      <c r="ET310" s="19" t="s">
        <v>921</v>
      </c>
      <c r="EU310" s="19" t="s">
        <v>7644</v>
      </c>
      <c r="EV310" s="19">
        <v>7650.0</v>
      </c>
      <c r="EW310" s="19" t="s">
        <v>16</v>
      </c>
      <c r="EX310" s="19">
        <v>5.0</v>
      </c>
      <c r="EY310" s="25" t="s">
        <v>920</v>
      </c>
      <c r="EZ310" s="19" t="s">
        <v>2154</v>
      </c>
      <c r="FA310" s="5" t="s">
        <v>7657</v>
      </c>
      <c r="FB310" s="26" t="s">
        <v>2156</v>
      </c>
      <c r="FC310" s="26"/>
    </row>
    <row r="311">
      <c r="A311" s="27" t="s">
        <v>2112</v>
      </c>
      <c r="B311" s="27" t="s">
        <v>2113</v>
      </c>
      <c r="C311" s="27" t="s">
        <v>2113</v>
      </c>
      <c r="D311" s="27" t="s">
        <v>7658</v>
      </c>
      <c r="E311" s="27" t="s">
        <v>7659</v>
      </c>
      <c r="F311" s="27" t="s">
        <v>922</v>
      </c>
      <c r="G311" s="27" t="s">
        <v>7660</v>
      </c>
      <c r="H311" s="39" t="s">
        <v>922</v>
      </c>
      <c r="I311" s="27" t="s">
        <v>924</v>
      </c>
      <c r="J311" s="27" t="s">
        <v>7661</v>
      </c>
      <c r="K311" s="27" t="s">
        <v>7662</v>
      </c>
      <c r="L311" s="28">
        <v>45460.0</v>
      </c>
      <c r="M311" s="28">
        <v>45460.0</v>
      </c>
      <c r="N311" s="28">
        <v>45460.0</v>
      </c>
      <c r="O311" s="27" t="s">
        <v>923</v>
      </c>
      <c r="P311" s="27">
        <v>0.0</v>
      </c>
      <c r="Q311" s="27">
        <v>23.0</v>
      </c>
      <c r="R311" s="27">
        <v>8568.0</v>
      </c>
      <c r="S311" s="28" t="s">
        <v>7663</v>
      </c>
      <c r="T311" s="28">
        <v>45461.0</v>
      </c>
      <c r="U311" s="27" t="s">
        <v>922</v>
      </c>
      <c r="V311" s="27" t="s">
        <v>6251</v>
      </c>
      <c r="W311" s="27"/>
      <c r="X311" s="40">
        <v>0.0</v>
      </c>
      <c r="Y311" s="29">
        <v>10.0</v>
      </c>
      <c r="Z311" s="29">
        <v>3.0</v>
      </c>
      <c r="AA311" s="40">
        <v>0.0</v>
      </c>
      <c r="AB311" s="43">
        <v>13.0</v>
      </c>
      <c r="AC311" s="27">
        <v>5.0</v>
      </c>
      <c r="AD311" s="27">
        <v>4.0</v>
      </c>
      <c r="AE311" s="27">
        <v>5.0</v>
      </c>
      <c r="AF311" s="27">
        <v>5.0</v>
      </c>
      <c r="AG311" s="27">
        <v>4.0</v>
      </c>
      <c r="AH311" s="27">
        <v>5.0</v>
      </c>
      <c r="AI311" s="31">
        <v>13.96875</v>
      </c>
      <c r="AJ311" s="27">
        <v>15.0</v>
      </c>
      <c r="AK311" s="27">
        <v>14.5</v>
      </c>
      <c r="AL311" s="27">
        <v>14.0</v>
      </c>
      <c r="AM311" s="27">
        <v>43.5</v>
      </c>
      <c r="AN311" s="27">
        <v>57.5</v>
      </c>
      <c r="AO311" s="42">
        <v>70.5</v>
      </c>
      <c r="AP311" s="27">
        <v>101.0</v>
      </c>
      <c r="AQ311" s="23">
        <v>304.0</v>
      </c>
      <c r="AR311" s="23">
        <v>39.0</v>
      </c>
      <c r="AS311" s="31"/>
      <c r="AT311" s="27" t="s">
        <v>2163</v>
      </c>
      <c r="AU311" s="27" t="s">
        <v>6330</v>
      </c>
      <c r="AV311" s="27" t="s">
        <v>7664</v>
      </c>
      <c r="AW311" s="27" t="s">
        <v>3923</v>
      </c>
      <c r="AX311" s="28">
        <v>36893.0</v>
      </c>
      <c r="AY311" s="27" t="s">
        <v>2467</v>
      </c>
      <c r="AZ311" s="27" t="s">
        <v>2554</v>
      </c>
      <c r="BA311" s="27" t="s">
        <v>7665</v>
      </c>
      <c r="BB311" s="27" t="s">
        <v>7666</v>
      </c>
      <c r="BC311" s="27" t="s">
        <v>7667</v>
      </c>
      <c r="BD311" s="27" t="s">
        <v>7668</v>
      </c>
      <c r="BE311" s="27" t="s">
        <v>7669</v>
      </c>
      <c r="BF311" s="27">
        <v>1.1948912876E10</v>
      </c>
      <c r="BG311" s="27" t="s">
        <v>2127</v>
      </c>
      <c r="BH311" s="27" t="s">
        <v>2128</v>
      </c>
      <c r="BI311" s="27"/>
      <c r="BJ311" s="27"/>
      <c r="BK311" s="27" t="s">
        <v>16</v>
      </c>
      <c r="BL311" s="27" t="s">
        <v>2113</v>
      </c>
      <c r="BM311" s="27" t="s">
        <v>2130</v>
      </c>
      <c r="BN311" s="27" t="s">
        <v>2172</v>
      </c>
      <c r="BO311" s="27" t="s">
        <v>2473</v>
      </c>
      <c r="BP311" s="27" t="s">
        <v>7670</v>
      </c>
      <c r="BQ311" s="27" t="s">
        <v>2133</v>
      </c>
      <c r="BR311" s="27" t="s">
        <v>2133</v>
      </c>
      <c r="BS311" s="27" t="s">
        <v>2134</v>
      </c>
      <c r="BT311" s="27" t="s">
        <v>38</v>
      </c>
      <c r="BU311" s="27"/>
      <c r="BV311" s="27" t="s">
        <v>7671</v>
      </c>
      <c r="BW311" s="27"/>
      <c r="BX311" s="27"/>
      <c r="BY311" s="27" t="s">
        <v>2113</v>
      </c>
      <c r="BZ311" s="27" t="s">
        <v>2113</v>
      </c>
      <c r="CA311" s="27" t="s">
        <v>2113</v>
      </c>
      <c r="CB311" s="27" t="s">
        <v>2113</v>
      </c>
      <c r="CC311" s="27" t="s">
        <v>2113</v>
      </c>
      <c r="CD311" s="27" t="s">
        <v>2137</v>
      </c>
      <c r="CE311" s="27" t="s">
        <v>16</v>
      </c>
      <c r="CF311" s="27"/>
      <c r="CG311" s="27"/>
      <c r="CH311" s="27" t="s">
        <v>16</v>
      </c>
      <c r="CI311" s="29">
        <v>0.0</v>
      </c>
      <c r="CJ311" s="27" t="s">
        <v>17</v>
      </c>
      <c r="CK311" s="27"/>
      <c r="CL311" s="27"/>
      <c r="CM311" s="27" t="s">
        <v>2138</v>
      </c>
      <c r="CN311" s="27" t="s">
        <v>2475</v>
      </c>
      <c r="CO311" s="27"/>
      <c r="CP311" s="27"/>
      <c r="CQ311" s="27"/>
      <c r="CR311" s="27"/>
      <c r="CS311" s="27"/>
      <c r="CT311" s="27"/>
      <c r="CU311" s="27"/>
      <c r="CV311" s="27" t="s">
        <v>2141</v>
      </c>
      <c r="CW311" s="27" t="s">
        <v>2113</v>
      </c>
      <c r="CX311" s="27" t="s">
        <v>2113</v>
      </c>
      <c r="CY311" s="27"/>
      <c r="CZ311" s="27"/>
      <c r="DA311" s="27" t="s">
        <v>16</v>
      </c>
      <c r="DB311" s="27" t="s">
        <v>17</v>
      </c>
      <c r="DC311" s="27" t="s">
        <v>2477</v>
      </c>
      <c r="DD311" s="27"/>
      <c r="DE311" s="27"/>
      <c r="DF311" s="27" t="s">
        <v>2142</v>
      </c>
      <c r="DG311" s="27" t="s">
        <v>2476</v>
      </c>
      <c r="DH311" s="27" t="s">
        <v>2144</v>
      </c>
      <c r="DI311" s="36">
        <v>45524.0</v>
      </c>
      <c r="DJ311" s="27" t="s">
        <v>2133</v>
      </c>
      <c r="DK311" s="27" t="s">
        <v>2145</v>
      </c>
      <c r="DL311" s="27" t="s">
        <v>2146</v>
      </c>
      <c r="DM311" s="27" t="s">
        <v>3302</v>
      </c>
      <c r="DN311" s="27">
        <v>7.0</v>
      </c>
      <c r="DO311" s="27">
        <v>7.0</v>
      </c>
      <c r="DP311" s="27" t="s">
        <v>7672</v>
      </c>
      <c r="DQ311" s="27" t="s">
        <v>7673</v>
      </c>
      <c r="DR311" s="27" t="s">
        <v>7674</v>
      </c>
      <c r="DS311" s="27" t="s">
        <v>2185</v>
      </c>
      <c r="DT311" s="27" t="s">
        <v>2152</v>
      </c>
      <c r="DU311" s="27"/>
      <c r="DV311" s="27"/>
      <c r="DW311" s="27" t="s">
        <v>3306</v>
      </c>
      <c r="DX311" s="27">
        <v>4.0</v>
      </c>
      <c r="DY311" s="27">
        <v>10.0</v>
      </c>
      <c r="DZ311" s="44">
        <v>0.0</v>
      </c>
      <c r="EA311" s="27">
        <v>10.0</v>
      </c>
      <c r="EB311" s="27">
        <v>0.0</v>
      </c>
      <c r="EC311" s="27">
        <v>20.0</v>
      </c>
      <c r="ED311" s="27" t="s">
        <v>2133</v>
      </c>
      <c r="EE311" s="36">
        <v>45524.0</v>
      </c>
      <c r="EF311" s="27" t="s">
        <v>2133</v>
      </c>
      <c r="EG311" s="27" t="s">
        <v>2145</v>
      </c>
      <c r="EH311" s="27" t="s">
        <v>2146</v>
      </c>
      <c r="EI311" s="31">
        <v>13.96875</v>
      </c>
      <c r="EJ311" s="27">
        <v>43.5</v>
      </c>
      <c r="EK311" s="27" t="s">
        <v>2113</v>
      </c>
      <c r="EL311" s="27" t="s">
        <v>2163</v>
      </c>
      <c r="EM311" s="27" t="s">
        <v>6330</v>
      </c>
      <c r="EN311" s="27" t="s">
        <v>924</v>
      </c>
      <c r="EO311" s="27" t="s">
        <v>2467</v>
      </c>
      <c r="EP311" s="27" t="s">
        <v>2554</v>
      </c>
      <c r="EQ311" s="27" t="s">
        <v>2475</v>
      </c>
      <c r="ER311" s="27"/>
      <c r="ES311" s="27" t="s">
        <v>924</v>
      </c>
      <c r="ET311" s="27" t="s">
        <v>924</v>
      </c>
      <c r="EU311" s="27" t="s">
        <v>7662</v>
      </c>
      <c r="EV311" s="27">
        <v>8568.0</v>
      </c>
      <c r="EW311" s="27" t="s">
        <v>16</v>
      </c>
      <c r="EX311" s="27">
        <v>3.0</v>
      </c>
      <c r="EY311" s="37" t="s">
        <v>923</v>
      </c>
      <c r="EZ311" s="27" t="s">
        <v>2154</v>
      </c>
      <c r="FA311" s="30" t="s">
        <v>7675</v>
      </c>
      <c r="FB311" s="38" t="s">
        <v>2156</v>
      </c>
      <c r="FC311" s="38" t="s">
        <v>7676</v>
      </c>
    </row>
    <row r="312">
      <c r="A312" s="19" t="s">
        <v>2156</v>
      </c>
      <c r="B312" s="19"/>
      <c r="C312" s="19" t="s">
        <v>2113</v>
      </c>
      <c r="D312" s="19" t="s">
        <v>7677</v>
      </c>
      <c r="E312" s="19" t="s">
        <v>7678</v>
      </c>
      <c r="F312" s="19" t="s">
        <v>925</v>
      </c>
      <c r="G312" s="19" t="s">
        <v>7679</v>
      </c>
      <c r="H312" s="19" t="s">
        <v>925</v>
      </c>
      <c r="I312" s="19" t="s">
        <v>927</v>
      </c>
      <c r="J312" s="19" t="s">
        <v>7680</v>
      </c>
      <c r="K312" s="19" t="s">
        <v>7681</v>
      </c>
      <c r="L312" s="20">
        <v>45433.0</v>
      </c>
      <c r="M312" s="20">
        <v>45433.0</v>
      </c>
      <c r="N312" s="20">
        <v>45433.0</v>
      </c>
      <c r="O312" s="19" t="s">
        <v>926</v>
      </c>
      <c r="P312" s="19">
        <v>0.0</v>
      </c>
      <c r="Q312" s="19">
        <v>19.0</v>
      </c>
      <c r="R312" s="19">
        <v>7045.0</v>
      </c>
      <c r="S312" s="20" t="s">
        <v>7682</v>
      </c>
      <c r="T312" s="20">
        <v>45461.0</v>
      </c>
      <c r="U312" s="19" t="s">
        <v>925</v>
      </c>
      <c r="V312" s="19"/>
      <c r="W312" s="19"/>
      <c r="X312" s="21">
        <v>0.0</v>
      </c>
      <c r="Y312" s="21">
        <v>10.0</v>
      </c>
      <c r="Z312" s="21">
        <v>1.0</v>
      </c>
      <c r="AA312" s="21">
        <v>2.0</v>
      </c>
      <c r="AB312" s="5">
        <v>13.0</v>
      </c>
      <c r="AC312" s="19">
        <v>4.0</v>
      </c>
      <c r="AD312" s="19">
        <v>4.5</v>
      </c>
      <c r="AE312" s="19">
        <v>4.0</v>
      </c>
      <c r="AF312" s="19">
        <v>4.5</v>
      </c>
      <c r="AG312" s="19">
        <v>4.0</v>
      </c>
      <c r="AH312" s="19">
        <v>4.0</v>
      </c>
      <c r="AI312" s="22">
        <v>12.515625</v>
      </c>
      <c r="AJ312" s="19">
        <v>15.0</v>
      </c>
      <c r="AK312" s="19">
        <v>15.0</v>
      </c>
      <c r="AL312" s="19">
        <v>15.0</v>
      </c>
      <c r="AM312" s="19">
        <v>45.0</v>
      </c>
      <c r="AN312" s="19">
        <v>57.5</v>
      </c>
      <c r="AO312" s="19">
        <v>70.5</v>
      </c>
      <c r="AP312" s="19">
        <v>826.0</v>
      </c>
      <c r="AQ312" s="23">
        <v>305.0</v>
      </c>
      <c r="AR312" s="23">
        <v>22.0</v>
      </c>
      <c r="AS312" s="22"/>
      <c r="AT312" s="19" t="s">
        <v>2163</v>
      </c>
      <c r="AU312" s="19" t="s">
        <v>7683</v>
      </c>
      <c r="AV312" s="19" t="s">
        <v>7684</v>
      </c>
      <c r="AW312" s="19"/>
      <c r="AX312" s="20">
        <v>38416.0</v>
      </c>
      <c r="AY312" s="19" t="s">
        <v>3494</v>
      </c>
      <c r="AZ312" s="19" t="s">
        <v>3849</v>
      </c>
      <c r="BA312" s="19" t="s">
        <v>7685</v>
      </c>
      <c r="BB312" s="19" t="s">
        <v>2120</v>
      </c>
      <c r="BC312" s="19" t="s">
        <v>7686</v>
      </c>
      <c r="BD312" s="19" t="s">
        <v>7687</v>
      </c>
      <c r="BE312" s="19"/>
      <c r="BF312" s="19"/>
      <c r="BG312" s="19" t="s">
        <v>2127</v>
      </c>
      <c r="BH312" s="19" t="s">
        <v>2128</v>
      </c>
      <c r="BI312" s="19"/>
      <c r="BJ312" s="19" t="s">
        <v>2128</v>
      </c>
      <c r="BK312" s="19" t="s">
        <v>17</v>
      </c>
      <c r="BL312" s="19"/>
      <c r="BM312" s="19" t="s">
        <v>5411</v>
      </c>
      <c r="BN312" s="19" t="s">
        <v>17</v>
      </c>
      <c r="BO312" s="19" t="s">
        <v>3082</v>
      </c>
      <c r="BP312" s="19" t="s">
        <v>7688</v>
      </c>
      <c r="BQ312" s="19" t="s">
        <v>2325</v>
      </c>
      <c r="BR312" s="19" t="s">
        <v>2325</v>
      </c>
      <c r="BS312" s="19" t="s">
        <v>2134</v>
      </c>
      <c r="BT312" s="19" t="s">
        <v>118</v>
      </c>
      <c r="BU312" s="19" t="s">
        <v>7689</v>
      </c>
      <c r="BV312" s="19"/>
      <c r="BW312" s="19" t="s">
        <v>2113</v>
      </c>
      <c r="BX312" s="19"/>
      <c r="BY312" s="19"/>
      <c r="BZ312" s="19"/>
      <c r="CA312" s="19"/>
      <c r="CB312" s="19" t="s">
        <v>2113</v>
      </c>
      <c r="CC312" s="19"/>
      <c r="CD312" s="19" t="s">
        <v>2137</v>
      </c>
      <c r="CE312" s="19" t="s">
        <v>16</v>
      </c>
      <c r="CF312" s="19"/>
      <c r="CG312" s="19"/>
      <c r="CH312" s="19" t="s">
        <v>16</v>
      </c>
      <c r="CI312" s="21">
        <v>0.0</v>
      </c>
      <c r="CJ312" s="19" t="s">
        <v>17</v>
      </c>
      <c r="CK312" s="19"/>
      <c r="CL312" s="19"/>
      <c r="CM312" s="19" t="s">
        <v>2749</v>
      </c>
      <c r="CN312" s="19" t="s">
        <v>3503</v>
      </c>
      <c r="CO312" s="19"/>
      <c r="CP312" s="19" t="s">
        <v>2140</v>
      </c>
      <c r="CQ312" s="19"/>
      <c r="CR312" s="19"/>
      <c r="CS312" s="19"/>
      <c r="CT312" s="19"/>
      <c r="CU312" s="19"/>
      <c r="CV312" s="19" t="s">
        <v>2179</v>
      </c>
      <c r="CW312" s="19" t="s">
        <v>2113</v>
      </c>
      <c r="CX312" s="19" t="s">
        <v>2113</v>
      </c>
      <c r="CY312" s="19"/>
      <c r="CZ312" s="19"/>
      <c r="DA312" s="19" t="s">
        <v>16</v>
      </c>
      <c r="DB312" s="19" t="s">
        <v>17</v>
      </c>
      <c r="DC312" s="19" t="s">
        <v>3221</v>
      </c>
      <c r="DD312" s="19" t="s">
        <v>2113</v>
      </c>
      <c r="DE312" s="19" t="s">
        <v>2113</v>
      </c>
      <c r="DF312" s="19" t="s">
        <v>2433</v>
      </c>
      <c r="DG312" s="19" t="s">
        <v>2869</v>
      </c>
      <c r="DH312" s="19" t="s">
        <v>2144</v>
      </c>
      <c r="DI312" s="24">
        <v>45517.0</v>
      </c>
      <c r="DJ312" s="19" t="s">
        <v>2325</v>
      </c>
      <c r="DK312" s="19" t="s">
        <v>2271</v>
      </c>
      <c r="DL312" s="19" t="s">
        <v>2326</v>
      </c>
      <c r="DM312" s="19"/>
      <c r="DN312" s="19">
        <v>2.0</v>
      </c>
      <c r="DO312" s="19">
        <v>2.0</v>
      </c>
      <c r="DP312" s="19"/>
      <c r="DQ312" s="19"/>
      <c r="DR312" s="19"/>
      <c r="DS312" s="19" t="s">
        <v>2185</v>
      </c>
      <c r="DT312" s="19" t="s">
        <v>2301</v>
      </c>
      <c r="DU312" s="19" t="s">
        <v>7690</v>
      </c>
      <c r="DV312" s="19"/>
      <c r="DW312" s="19" t="s">
        <v>2153</v>
      </c>
      <c r="DX312" s="19">
        <v>3.0</v>
      </c>
      <c r="DY312" s="19">
        <v>10.0</v>
      </c>
      <c r="DZ312" s="19">
        <v>2.0</v>
      </c>
      <c r="EA312" s="19">
        <v>10.0</v>
      </c>
      <c r="EB312" s="19">
        <v>0.0</v>
      </c>
      <c r="EC312" s="19">
        <v>0.0</v>
      </c>
      <c r="ED312" s="19" t="s">
        <v>2325</v>
      </c>
      <c r="EE312" s="24">
        <v>45517.0</v>
      </c>
      <c r="EF312" s="19" t="s">
        <v>2325</v>
      </c>
      <c r="EG312" s="19" t="s">
        <v>2271</v>
      </c>
      <c r="EH312" s="19" t="s">
        <v>2326</v>
      </c>
      <c r="EI312" s="22">
        <v>12.515625</v>
      </c>
      <c r="EJ312" s="19">
        <v>45.0</v>
      </c>
      <c r="EK312" s="19" t="s">
        <v>2113</v>
      </c>
      <c r="EL312" s="19" t="s">
        <v>2163</v>
      </c>
      <c r="EM312" s="19" t="s">
        <v>7683</v>
      </c>
      <c r="EN312" s="19" t="s">
        <v>927</v>
      </c>
      <c r="EO312" s="19" t="s">
        <v>3494</v>
      </c>
      <c r="EP312" s="19" t="s">
        <v>3849</v>
      </c>
      <c r="EQ312" s="19" t="s">
        <v>3503</v>
      </c>
      <c r="ER312" s="19"/>
      <c r="ES312" s="19" t="s">
        <v>927</v>
      </c>
      <c r="ET312" s="19" t="s">
        <v>927</v>
      </c>
      <c r="EU312" s="19" t="s">
        <v>7681</v>
      </c>
      <c r="EV312" s="19">
        <v>7045.0</v>
      </c>
      <c r="EW312" s="19" t="s">
        <v>16</v>
      </c>
      <c r="EX312" s="19">
        <v>1.0</v>
      </c>
      <c r="EY312" s="25" t="s">
        <v>926</v>
      </c>
      <c r="EZ312" s="19" t="s">
        <v>2154</v>
      </c>
      <c r="FA312" s="5" t="s">
        <v>7691</v>
      </c>
      <c r="FB312" s="26" t="s">
        <v>2156</v>
      </c>
      <c r="FC312" s="26"/>
    </row>
    <row r="313">
      <c r="A313" s="19" t="s">
        <v>2112</v>
      </c>
      <c r="B313" s="19"/>
      <c r="C313" s="19" t="s">
        <v>2113</v>
      </c>
      <c r="D313" s="19" t="s">
        <v>928</v>
      </c>
      <c r="E313" s="19" t="s">
        <v>7692</v>
      </c>
      <c r="F313" s="19" t="s">
        <v>7693</v>
      </c>
      <c r="G313" s="19" t="s">
        <v>7694</v>
      </c>
      <c r="H313" s="19" t="s">
        <v>928</v>
      </c>
      <c r="I313" s="19" t="s">
        <v>930</v>
      </c>
      <c r="J313" s="19" t="s">
        <v>7695</v>
      </c>
      <c r="K313" s="19" t="s">
        <v>7696</v>
      </c>
      <c r="L313" s="20">
        <v>45460.0</v>
      </c>
      <c r="M313" s="20">
        <v>45460.0</v>
      </c>
      <c r="N313" s="20">
        <v>45460.0</v>
      </c>
      <c r="O313" s="19" t="s">
        <v>929</v>
      </c>
      <c r="P313" s="19">
        <v>0.0</v>
      </c>
      <c r="Q313" s="19">
        <v>25.0</v>
      </c>
      <c r="R313" s="19">
        <v>9314.0</v>
      </c>
      <c r="S313" s="20" t="s">
        <v>7697</v>
      </c>
      <c r="T313" s="20">
        <v>45461.0</v>
      </c>
      <c r="U313" s="19" t="s">
        <v>7693</v>
      </c>
      <c r="V313" s="19"/>
      <c r="W313" s="19"/>
      <c r="X313" s="21">
        <v>0.0</v>
      </c>
      <c r="Y313" s="21">
        <v>10.0</v>
      </c>
      <c r="Z313" s="21">
        <v>4.0</v>
      </c>
      <c r="AA313" s="21">
        <v>3.0</v>
      </c>
      <c r="AB313" s="5">
        <v>17.0</v>
      </c>
      <c r="AC313" s="19">
        <v>4.4</v>
      </c>
      <c r="AD313" s="19">
        <v>5.0</v>
      </c>
      <c r="AE313" s="19">
        <v>4.6</v>
      </c>
      <c r="AF313" s="19">
        <v>4.6</v>
      </c>
      <c r="AG313" s="19">
        <v>4.0</v>
      </c>
      <c r="AH313" s="19">
        <v>5.0</v>
      </c>
      <c r="AI313" s="22">
        <v>13.893749999999999</v>
      </c>
      <c r="AJ313" s="19">
        <v>13.5</v>
      </c>
      <c r="AK313" s="19">
        <v>12.0</v>
      </c>
      <c r="AL313" s="19">
        <v>14.0</v>
      </c>
      <c r="AM313" s="19">
        <v>39.5</v>
      </c>
      <c r="AN313" s="19">
        <v>53.4</v>
      </c>
      <c r="AO313" s="19">
        <v>70.4</v>
      </c>
      <c r="AP313" s="19">
        <v>375.0</v>
      </c>
      <c r="AQ313" s="23">
        <v>306.0</v>
      </c>
      <c r="AR313" s="23">
        <v>21.0</v>
      </c>
      <c r="AS313" s="22"/>
      <c r="AT313" s="19" t="s">
        <v>2282</v>
      </c>
      <c r="AU313" s="19" t="s">
        <v>7698</v>
      </c>
      <c r="AV313" s="19" t="s">
        <v>7699</v>
      </c>
      <c r="AW313" s="19"/>
      <c r="AX313" s="20">
        <v>36147.0</v>
      </c>
      <c r="AY313" s="19" t="s">
        <v>4876</v>
      </c>
      <c r="AZ313" s="19" t="s">
        <v>2122</v>
      </c>
      <c r="BA313" s="19" t="s">
        <v>7700</v>
      </c>
      <c r="BB313" s="19" t="s">
        <v>7701</v>
      </c>
      <c r="BC313" s="19" t="s">
        <v>7702</v>
      </c>
      <c r="BD313" s="19" t="s">
        <v>7703</v>
      </c>
      <c r="BE313" s="19" t="s">
        <v>7695</v>
      </c>
      <c r="BF313" s="19">
        <v>1.1975219603E10</v>
      </c>
      <c r="BG313" s="19" t="s">
        <v>2127</v>
      </c>
      <c r="BH313" s="19" t="s">
        <v>2128</v>
      </c>
      <c r="BI313" s="19"/>
      <c r="BJ313" s="19"/>
      <c r="BK313" s="19" t="s">
        <v>16</v>
      </c>
      <c r="BL313" s="19"/>
      <c r="BM313" s="19" t="s">
        <v>5563</v>
      </c>
      <c r="BN313" s="19" t="s">
        <v>17</v>
      </c>
      <c r="BO313" s="19" t="s">
        <v>2317</v>
      </c>
      <c r="BP313" s="19" t="s">
        <v>7704</v>
      </c>
      <c r="BQ313" s="19" t="s">
        <v>2174</v>
      </c>
      <c r="BR313" s="19" t="s">
        <v>2174</v>
      </c>
      <c r="BS313" s="19" t="s">
        <v>2243</v>
      </c>
      <c r="BT313" s="19" t="s">
        <v>75</v>
      </c>
      <c r="BU313" s="19" t="s">
        <v>7705</v>
      </c>
      <c r="BV313" s="19"/>
      <c r="BW313" s="19"/>
      <c r="BX313" s="19"/>
      <c r="BY313" s="19"/>
      <c r="BZ313" s="19"/>
      <c r="CA313" s="19"/>
      <c r="CB313" s="19" t="s">
        <v>2113</v>
      </c>
      <c r="CC313" s="19"/>
      <c r="CD313" s="19" t="s">
        <v>2137</v>
      </c>
      <c r="CE313" s="19" t="s">
        <v>16</v>
      </c>
      <c r="CF313" s="19"/>
      <c r="CG313" s="19"/>
      <c r="CH313" s="19" t="s">
        <v>17</v>
      </c>
      <c r="CI313" s="21">
        <v>3.0</v>
      </c>
      <c r="CJ313" s="19" t="s">
        <v>16</v>
      </c>
      <c r="CK313" s="19"/>
      <c r="CL313" s="19"/>
      <c r="CM313" s="19" t="s">
        <v>2138</v>
      </c>
      <c r="CN313" s="19" t="s">
        <v>4884</v>
      </c>
      <c r="CO313" s="19"/>
      <c r="CP313" s="19"/>
      <c r="CQ313" s="19" t="s">
        <v>2113</v>
      </c>
      <c r="CR313" s="19"/>
      <c r="CS313" s="19"/>
      <c r="CT313" s="19" t="s">
        <v>2113</v>
      </c>
      <c r="CU313" s="19" t="s">
        <v>2113</v>
      </c>
      <c r="CV313" s="19" t="s">
        <v>2141</v>
      </c>
      <c r="CW313" s="19"/>
      <c r="CX313" s="19"/>
      <c r="CY313" s="19" t="s">
        <v>2113</v>
      </c>
      <c r="CZ313" s="19" t="s">
        <v>2113</v>
      </c>
      <c r="DA313" s="19" t="s">
        <v>16</v>
      </c>
      <c r="DB313" s="19" t="s">
        <v>16</v>
      </c>
      <c r="DC313" s="19" t="s">
        <v>4044</v>
      </c>
      <c r="DD313" s="19" t="s">
        <v>2113</v>
      </c>
      <c r="DE313" s="19" t="s">
        <v>2113</v>
      </c>
      <c r="DF313" s="19" t="s">
        <v>2540</v>
      </c>
      <c r="DG313" s="19" t="s">
        <v>4791</v>
      </c>
      <c r="DH313" s="19" t="s">
        <v>2144</v>
      </c>
      <c r="DI313" s="24">
        <v>45519.0</v>
      </c>
      <c r="DJ313" s="19" t="s">
        <v>2174</v>
      </c>
      <c r="DK313" s="19" t="s">
        <v>2271</v>
      </c>
      <c r="DL313" s="19" t="s">
        <v>2183</v>
      </c>
      <c r="DM313" s="19" t="s">
        <v>2272</v>
      </c>
      <c r="DN313" s="19">
        <v>6.0</v>
      </c>
      <c r="DO313" s="19">
        <v>6.0</v>
      </c>
      <c r="DP313" s="19" t="s">
        <v>7706</v>
      </c>
      <c r="DQ313" s="19" t="s">
        <v>7707</v>
      </c>
      <c r="DR313" s="19" t="s">
        <v>7708</v>
      </c>
      <c r="DS313" s="19" t="s">
        <v>2151</v>
      </c>
      <c r="DT313" s="19" t="s">
        <v>2301</v>
      </c>
      <c r="DU313" s="19"/>
      <c r="DV313" s="19"/>
      <c r="DW313" s="19" t="s">
        <v>2188</v>
      </c>
      <c r="DX313" s="19">
        <v>15.0</v>
      </c>
      <c r="DY313" s="19">
        <v>10.0</v>
      </c>
      <c r="DZ313" s="19">
        <v>0.0</v>
      </c>
      <c r="EA313" s="19">
        <v>10.0</v>
      </c>
      <c r="EB313" s="19">
        <v>3.0</v>
      </c>
      <c r="EC313" s="19">
        <v>0.0</v>
      </c>
      <c r="ED313" s="19" t="s">
        <v>2174</v>
      </c>
      <c r="EE313" s="24">
        <v>45519.0</v>
      </c>
      <c r="EF313" s="19" t="s">
        <v>2174</v>
      </c>
      <c r="EG313" s="19" t="s">
        <v>2271</v>
      </c>
      <c r="EH313" s="19" t="s">
        <v>2183</v>
      </c>
      <c r="EI313" s="22">
        <v>13.893749999999999</v>
      </c>
      <c r="EJ313" s="19">
        <v>39.5</v>
      </c>
      <c r="EK313" s="19"/>
      <c r="EL313" s="19" t="s">
        <v>2282</v>
      </c>
      <c r="EM313" s="19" t="s">
        <v>7698</v>
      </c>
      <c r="EN313" s="19" t="s">
        <v>930</v>
      </c>
      <c r="EO313" s="19" t="s">
        <v>4876</v>
      </c>
      <c r="EP313" s="19" t="s">
        <v>2122</v>
      </c>
      <c r="EQ313" s="19" t="s">
        <v>4884</v>
      </c>
      <c r="ER313" s="19"/>
      <c r="ES313" s="19" t="s">
        <v>930</v>
      </c>
      <c r="ET313" s="19" t="s">
        <v>930</v>
      </c>
      <c r="EU313" s="19" t="s">
        <v>7696</v>
      </c>
      <c r="EV313" s="19">
        <v>9314.0</v>
      </c>
      <c r="EW313" s="19" t="s">
        <v>16</v>
      </c>
      <c r="EX313" s="19">
        <v>4.0</v>
      </c>
      <c r="EY313" s="25" t="s">
        <v>929</v>
      </c>
      <c r="EZ313" s="19" t="s">
        <v>2154</v>
      </c>
      <c r="FA313" s="5" t="s">
        <v>7709</v>
      </c>
      <c r="FB313" s="26" t="s">
        <v>2156</v>
      </c>
      <c r="FC313" s="26"/>
    </row>
    <row r="314">
      <c r="A314" s="19" t="s">
        <v>2112</v>
      </c>
      <c r="B314" s="19"/>
      <c r="C314" s="19" t="s">
        <v>2113</v>
      </c>
      <c r="D314" s="19" t="s">
        <v>7710</v>
      </c>
      <c r="E314" s="19" t="s">
        <v>7711</v>
      </c>
      <c r="F314" s="19" t="s">
        <v>7712</v>
      </c>
      <c r="G314" s="19" t="s">
        <v>7713</v>
      </c>
      <c r="H314" s="19" t="s">
        <v>931</v>
      </c>
      <c r="I314" s="19" t="s">
        <v>933</v>
      </c>
      <c r="J314" s="19" t="s">
        <v>7714</v>
      </c>
      <c r="K314" s="19" t="s">
        <v>7715</v>
      </c>
      <c r="L314" s="20">
        <v>45460.0</v>
      </c>
      <c r="M314" s="20">
        <v>45462.0</v>
      </c>
      <c r="N314" s="20">
        <v>45462.0</v>
      </c>
      <c r="O314" s="19" t="s">
        <v>932</v>
      </c>
      <c r="P314" s="19">
        <v>0.0</v>
      </c>
      <c r="Q314" s="19">
        <v>19.0</v>
      </c>
      <c r="R314" s="19">
        <v>7271.0</v>
      </c>
      <c r="S314" s="20" t="s">
        <v>7716</v>
      </c>
      <c r="T314" s="20">
        <v>45461.0</v>
      </c>
      <c r="U314" s="19" t="s">
        <v>7712</v>
      </c>
      <c r="V314" s="19"/>
      <c r="W314" s="19" t="s">
        <v>7717</v>
      </c>
      <c r="X314" s="21">
        <v>0.0</v>
      </c>
      <c r="Y314" s="21">
        <v>10.0</v>
      </c>
      <c r="Z314" s="21">
        <v>3.0</v>
      </c>
      <c r="AA314" s="21">
        <v>0.0</v>
      </c>
      <c r="AB314" s="5">
        <v>13.0</v>
      </c>
      <c r="AC314" s="19">
        <v>4.5</v>
      </c>
      <c r="AD314" s="19">
        <v>5.0</v>
      </c>
      <c r="AE314" s="19">
        <v>5.0</v>
      </c>
      <c r="AF314" s="19">
        <v>4.5</v>
      </c>
      <c r="AG314" s="19">
        <v>5.0</v>
      </c>
      <c r="AH314" s="19">
        <v>4.5</v>
      </c>
      <c r="AI314" s="22">
        <v>14.390625</v>
      </c>
      <c r="AJ314" s="19">
        <v>14.0</v>
      </c>
      <c r="AK314" s="19">
        <v>15.0</v>
      </c>
      <c r="AL314" s="19">
        <v>14.0</v>
      </c>
      <c r="AM314" s="19">
        <v>43.0</v>
      </c>
      <c r="AN314" s="19">
        <v>57.4</v>
      </c>
      <c r="AO314" s="19">
        <v>70.4</v>
      </c>
      <c r="AP314" s="19">
        <v>776.0</v>
      </c>
      <c r="AQ314" s="23">
        <v>307.0</v>
      </c>
      <c r="AR314" s="23">
        <v>18.0</v>
      </c>
      <c r="AS314" s="22"/>
      <c r="AT314" s="19" t="s">
        <v>2163</v>
      </c>
      <c r="AU314" s="19" t="s">
        <v>7718</v>
      </c>
      <c r="AV314" s="19" t="s">
        <v>7719</v>
      </c>
      <c r="AW314" s="19" t="s">
        <v>7720</v>
      </c>
      <c r="AX314" s="20">
        <v>38190.0</v>
      </c>
      <c r="AY314" s="19" t="s">
        <v>3826</v>
      </c>
      <c r="AZ314" s="19" t="s">
        <v>2122</v>
      </c>
      <c r="BA314" s="19" t="s">
        <v>7721</v>
      </c>
      <c r="BB314" s="19" t="s">
        <v>7722</v>
      </c>
      <c r="BC314" s="19" t="s">
        <v>7723</v>
      </c>
      <c r="BD314" s="19" t="s">
        <v>7724</v>
      </c>
      <c r="BE314" s="19" t="s">
        <v>7714</v>
      </c>
      <c r="BF314" s="19">
        <v>1.1987332045E10</v>
      </c>
      <c r="BG314" s="19" t="s">
        <v>2127</v>
      </c>
      <c r="BH314" s="19" t="s">
        <v>2128</v>
      </c>
      <c r="BI314" s="19"/>
      <c r="BJ314" s="19"/>
      <c r="BK314" s="19" t="s">
        <v>16</v>
      </c>
      <c r="BL314" s="19"/>
      <c r="BM314" s="19" t="s">
        <v>5411</v>
      </c>
      <c r="BN314" s="19" t="s">
        <v>17</v>
      </c>
      <c r="BO314" s="19" t="s">
        <v>2473</v>
      </c>
      <c r="BP314" s="19" t="s">
        <v>7725</v>
      </c>
      <c r="BQ314" s="19" t="s">
        <v>3832</v>
      </c>
      <c r="BR314" s="19" t="s">
        <v>3832</v>
      </c>
      <c r="BS314" s="19" t="s">
        <v>2134</v>
      </c>
      <c r="BT314" s="19" t="s">
        <v>268</v>
      </c>
      <c r="BU314" s="19" t="s">
        <v>7726</v>
      </c>
      <c r="BV314" s="19"/>
      <c r="BW314" s="19" t="s">
        <v>2113</v>
      </c>
      <c r="BX314" s="19"/>
      <c r="BY314" s="19"/>
      <c r="BZ314" s="19"/>
      <c r="CA314" s="19"/>
      <c r="CB314" s="19"/>
      <c r="CC314" s="19"/>
      <c r="CD314" s="19" t="s">
        <v>2137</v>
      </c>
      <c r="CE314" s="19" t="s">
        <v>16</v>
      </c>
      <c r="CF314" s="19"/>
      <c r="CG314" s="19"/>
      <c r="CH314" s="19" t="s">
        <v>16</v>
      </c>
      <c r="CI314" s="21">
        <v>0.0</v>
      </c>
      <c r="CJ314" s="19" t="s">
        <v>17</v>
      </c>
      <c r="CK314" s="19"/>
      <c r="CL314" s="19"/>
      <c r="CM314" s="19" t="s">
        <v>2926</v>
      </c>
      <c r="CN314" s="19" t="s">
        <v>3835</v>
      </c>
      <c r="CO314" s="19"/>
      <c r="CP314" s="19"/>
      <c r="CQ314" s="19"/>
      <c r="CR314" s="19"/>
      <c r="CS314" s="19"/>
      <c r="CT314" s="19"/>
      <c r="CU314" s="19"/>
      <c r="CV314" s="19" t="s">
        <v>2141</v>
      </c>
      <c r="CW314" s="19"/>
      <c r="CX314" s="19"/>
      <c r="CY314" s="19" t="s">
        <v>2113</v>
      </c>
      <c r="CZ314" s="19" t="s">
        <v>2113</v>
      </c>
      <c r="DA314" s="19" t="s">
        <v>16</v>
      </c>
      <c r="DB314" s="19" t="s">
        <v>17</v>
      </c>
      <c r="DC314" s="19" t="s">
        <v>3836</v>
      </c>
      <c r="DD314" s="19" t="s">
        <v>2113</v>
      </c>
      <c r="DE314" s="19" t="s">
        <v>2113</v>
      </c>
      <c r="DF314" s="19" t="s">
        <v>2433</v>
      </c>
      <c r="DG314" s="19" t="s">
        <v>4083</v>
      </c>
      <c r="DH314" s="19" t="s">
        <v>2144</v>
      </c>
      <c r="DI314" s="24">
        <v>45519.0</v>
      </c>
      <c r="DJ314" s="19" t="s">
        <v>3257</v>
      </c>
      <c r="DK314" s="19" t="s">
        <v>2271</v>
      </c>
      <c r="DL314" s="19" t="s">
        <v>2207</v>
      </c>
      <c r="DM314" s="22" t="s">
        <v>5286</v>
      </c>
      <c r="DN314" s="19">
        <v>3.0</v>
      </c>
      <c r="DO314" s="19">
        <v>3.0</v>
      </c>
      <c r="DP314" s="19" t="s">
        <v>7727</v>
      </c>
      <c r="DQ314" s="19" t="s">
        <v>7728</v>
      </c>
      <c r="DR314" s="19" t="s">
        <v>7729</v>
      </c>
      <c r="DS314" s="19" t="s">
        <v>2185</v>
      </c>
      <c r="DT314" s="19" t="s">
        <v>2350</v>
      </c>
      <c r="DU314" s="19"/>
      <c r="DV314" s="19"/>
      <c r="DW314" s="19" t="s">
        <v>2153</v>
      </c>
      <c r="DX314" s="19">
        <v>2.0</v>
      </c>
      <c r="DY314" s="19">
        <v>10.0</v>
      </c>
      <c r="DZ314" s="19">
        <v>0.0</v>
      </c>
      <c r="EA314" s="19">
        <v>10.0</v>
      </c>
      <c r="EB314" s="19">
        <v>0.0</v>
      </c>
      <c r="EC314" s="19">
        <v>0.0</v>
      </c>
      <c r="ED314" s="19" t="s">
        <v>3257</v>
      </c>
      <c r="EE314" s="24">
        <v>45519.0</v>
      </c>
      <c r="EF314" s="19" t="s">
        <v>3257</v>
      </c>
      <c r="EG314" s="19" t="s">
        <v>2271</v>
      </c>
      <c r="EH314" s="19" t="s">
        <v>2207</v>
      </c>
      <c r="EI314" s="22">
        <v>14.390625</v>
      </c>
      <c r="EJ314" s="19">
        <v>43.0</v>
      </c>
      <c r="EK314" s="19" t="s">
        <v>2113</v>
      </c>
      <c r="EL314" s="19" t="s">
        <v>2163</v>
      </c>
      <c r="EM314" s="19" t="s">
        <v>7718</v>
      </c>
      <c r="EN314" s="19" t="s">
        <v>933</v>
      </c>
      <c r="EO314" s="19" t="s">
        <v>3826</v>
      </c>
      <c r="EP314" s="19" t="s">
        <v>2122</v>
      </c>
      <c r="EQ314" s="19" t="s">
        <v>3835</v>
      </c>
      <c r="ER314" s="19"/>
      <c r="ES314" s="19" t="s">
        <v>933</v>
      </c>
      <c r="ET314" s="19" t="s">
        <v>933</v>
      </c>
      <c r="EU314" s="19" t="s">
        <v>7715</v>
      </c>
      <c r="EV314" s="19">
        <v>7271.0</v>
      </c>
      <c r="EW314" s="19" t="s">
        <v>16</v>
      </c>
      <c r="EX314" s="19">
        <v>3.0</v>
      </c>
      <c r="EY314" s="25" t="s">
        <v>932</v>
      </c>
      <c r="EZ314" s="19" t="s">
        <v>2154</v>
      </c>
      <c r="FA314" s="5" t="s">
        <v>7730</v>
      </c>
      <c r="FB314" s="26" t="s">
        <v>2156</v>
      </c>
      <c r="FC314" s="26"/>
    </row>
    <row r="315">
      <c r="A315" s="19" t="s">
        <v>2112</v>
      </c>
      <c r="B315" s="19"/>
      <c r="C315" s="19" t="s">
        <v>2113</v>
      </c>
      <c r="D315" s="19" t="s">
        <v>7731</v>
      </c>
      <c r="E315" s="19" t="s">
        <v>7732</v>
      </c>
      <c r="F315" s="19" t="s">
        <v>7733</v>
      </c>
      <c r="G315" s="19" t="s">
        <v>7734</v>
      </c>
      <c r="H315" s="19" t="s">
        <v>934</v>
      </c>
      <c r="I315" s="19" t="s">
        <v>936</v>
      </c>
      <c r="J315" s="19" t="s">
        <v>7735</v>
      </c>
      <c r="K315" s="19" t="s">
        <v>7736</v>
      </c>
      <c r="L315" s="20">
        <v>45401.0</v>
      </c>
      <c r="M315" s="20">
        <v>45411.0</v>
      </c>
      <c r="N315" s="20">
        <v>45411.0</v>
      </c>
      <c r="O315" s="19" t="s">
        <v>935</v>
      </c>
      <c r="P315" s="19">
        <v>0.0</v>
      </c>
      <c r="Q315" s="19">
        <v>19.0</v>
      </c>
      <c r="R315" s="19">
        <v>7279.0</v>
      </c>
      <c r="S315" s="20" t="s">
        <v>7737</v>
      </c>
      <c r="T315" s="20">
        <v>45461.0</v>
      </c>
      <c r="U315" s="19" t="s">
        <v>7733</v>
      </c>
      <c r="V315" s="19"/>
      <c r="W315" s="19"/>
      <c r="X315" s="21">
        <v>0.0</v>
      </c>
      <c r="Y315" s="21">
        <v>10.0</v>
      </c>
      <c r="Z315" s="21">
        <v>1.0</v>
      </c>
      <c r="AA315" s="21">
        <v>0.0</v>
      </c>
      <c r="AB315" s="5">
        <v>11.0</v>
      </c>
      <c r="AC315" s="19">
        <v>4.8</v>
      </c>
      <c r="AD315" s="19">
        <v>4.6</v>
      </c>
      <c r="AE315" s="19">
        <v>5.0</v>
      </c>
      <c r="AF315" s="19">
        <v>4.8</v>
      </c>
      <c r="AG315" s="19">
        <v>5.0</v>
      </c>
      <c r="AH315" s="19">
        <v>4.6</v>
      </c>
      <c r="AI315" s="22">
        <v>14.418750000000001</v>
      </c>
      <c r="AJ315" s="19">
        <v>15.0</v>
      </c>
      <c r="AK315" s="19">
        <v>15.0</v>
      </c>
      <c r="AL315" s="19">
        <v>15.0</v>
      </c>
      <c r="AM315" s="19">
        <v>45.0</v>
      </c>
      <c r="AN315" s="19">
        <v>59.4</v>
      </c>
      <c r="AO315" s="19">
        <v>70.4</v>
      </c>
      <c r="AP315" s="19">
        <v>941.0</v>
      </c>
      <c r="AQ315" s="23">
        <v>308.0</v>
      </c>
      <c r="AR315" s="23">
        <v>46.0</v>
      </c>
      <c r="AS315" s="22"/>
      <c r="AT315" s="19" t="s">
        <v>2163</v>
      </c>
      <c r="AU315" s="19" t="s">
        <v>7738</v>
      </c>
      <c r="AV315" s="19" t="s">
        <v>7739</v>
      </c>
      <c r="AW315" s="19" t="s">
        <v>3269</v>
      </c>
      <c r="AX315" s="20">
        <v>38182.0</v>
      </c>
      <c r="AY315" s="19" t="s">
        <v>7740</v>
      </c>
      <c r="AZ315" s="19" t="s">
        <v>2122</v>
      </c>
      <c r="BA315" s="19" t="s">
        <v>7741</v>
      </c>
      <c r="BB315" s="19" t="s">
        <v>7742</v>
      </c>
      <c r="BC315" s="19" t="s">
        <v>7743</v>
      </c>
      <c r="BD315" s="19" t="s">
        <v>7744</v>
      </c>
      <c r="BE315" s="19" t="s">
        <v>7735</v>
      </c>
      <c r="BF315" s="19">
        <v>1.1949262343E10</v>
      </c>
      <c r="BG315" s="19" t="s">
        <v>2127</v>
      </c>
      <c r="BH315" s="19" t="s">
        <v>2128</v>
      </c>
      <c r="BI315" s="19"/>
      <c r="BJ315" s="19"/>
      <c r="BK315" s="19" t="s">
        <v>16</v>
      </c>
      <c r="BL315" s="19"/>
      <c r="BM315" s="19" t="s">
        <v>5411</v>
      </c>
      <c r="BN315" s="19" t="s">
        <v>17</v>
      </c>
      <c r="BO315" s="19" t="s">
        <v>3082</v>
      </c>
      <c r="BP315" s="19" t="s">
        <v>7745</v>
      </c>
      <c r="BQ315" s="19" t="s">
        <v>2174</v>
      </c>
      <c r="BR315" s="19" t="s">
        <v>2174</v>
      </c>
      <c r="BS315" s="19" t="s">
        <v>2243</v>
      </c>
      <c r="BT315" s="19" t="s">
        <v>21</v>
      </c>
      <c r="BU315" s="19" t="s">
        <v>7746</v>
      </c>
      <c r="BV315" s="19"/>
      <c r="BW315" s="19"/>
      <c r="BX315" s="19"/>
      <c r="BY315" s="19"/>
      <c r="BZ315" s="19"/>
      <c r="CA315" s="19"/>
      <c r="CB315" s="19" t="s">
        <v>2113</v>
      </c>
      <c r="CC315" s="19" t="s">
        <v>2113</v>
      </c>
      <c r="CD315" s="19" t="s">
        <v>2137</v>
      </c>
      <c r="CE315" s="19" t="s">
        <v>16</v>
      </c>
      <c r="CF315" s="19"/>
      <c r="CG315" s="19"/>
      <c r="CH315" s="19" t="s">
        <v>16</v>
      </c>
      <c r="CI315" s="21">
        <v>0.0</v>
      </c>
      <c r="CJ315" s="19" t="s">
        <v>17</v>
      </c>
      <c r="CK315" s="19"/>
      <c r="CL315" s="19"/>
      <c r="CM315" s="19" t="s">
        <v>2138</v>
      </c>
      <c r="CN315" s="19" t="s">
        <v>3085</v>
      </c>
      <c r="CO315" s="19"/>
      <c r="CP315" s="19" t="s">
        <v>2267</v>
      </c>
      <c r="CQ315" s="19"/>
      <c r="CR315" s="19" t="s">
        <v>2113</v>
      </c>
      <c r="CS315" s="19" t="s">
        <v>2113</v>
      </c>
      <c r="CT315" s="19" t="s">
        <v>2113</v>
      </c>
      <c r="CU315" s="19" t="s">
        <v>2113</v>
      </c>
      <c r="CV315" s="19" t="s">
        <v>2141</v>
      </c>
      <c r="CW315" s="19"/>
      <c r="CX315" s="19"/>
      <c r="CY315" s="19"/>
      <c r="CZ315" s="19"/>
      <c r="DA315" s="19" t="s">
        <v>16</v>
      </c>
      <c r="DB315" s="19" t="s">
        <v>17</v>
      </c>
      <c r="DC315" s="19" t="s">
        <v>2270</v>
      </c>
      <c r="DD315" s="19" t="s">
        <v>2113</v>
      </c>
      <c r="DE315" s="19" t="s">
        <v>2113</v>
      </c>
      <c r="DF315" s="19" t="s">
        <v>2268</v>
      </c>
      <c r="DG315" s="19" t="s">
        <v>2539</v>
      </c>
      <c r="DH315" s="19" t="s">
        <v>2144</v>
      </c>
      <c r="DI315" s="24">
        <v>45519.0</v>
      </c>
      <c r="DJ315" s="19" t="s">
        <v>2174</v>
      </c>
      <c r="DK315" s="19" t="s">
        <v>2145</v>
      </c>
      <c r="DL315" s="19" t="s">
        <v>2183</v>
      </c>
      <c r="DM315" s="19" t="s">
        <v>4885</v>
      </c>
      <c r="DN315" s="19">
        <v>5.0</v>
      </c>
      <c r="DO315" s="19">
        <v>5.0</v>
      </c>
      <c r="DP315" s="19" t="s">
        <v>7747</v>
      </c>
      <c r="DQ315" s="19" t="s">
        <v>7748</v>
      </c>
      <c r="DR315" s="19" t="s">
        <v>7749</v>
      </c>
      <c r="DS315" s="19" t="s">
        <v>2151</v>
      </c>
      <c r="DT315" s="19" t="s">
        <v>2209</v>
      </c>
      <c r="DU315" s="19"/>
      <c r="DV315" s="19"/>
      <c r="DW315" s="19" t="s">
        <v>2153</v>
      </c>
      <c r="DX315" s="19">
        <v>13.0</v>
      </c>
      <c r="DY315" s="19">
        <v>10.0</v>
      </c>
      <c r="DZ315" s="19">
        <v>0.0</v>
      </c>
      <c r="EA315" s="19">
        <v>10.0</v>
      </c>
      <c r="EB315" s="19">
        <v>0.0</v>
      </c>
      <c r="EC315" s="19">
        <v>0.0</v>
      </c>
      <c r="ED315" s="19" t="s">
        <v>2174</v>
      </c>
      <c r="EE315" s="24">
        <v>45519.0</v>
      </c>
      <c r="EF315" s="19" t="s">
        <v>2174</v>
      </c>
      <c r="EG315" s="19" t="s">
        <v>2145</v>
      </c>
      <c r="EH315" s="19" t="s">
        <v>2183</v>
      </c>
      <c r="EI315" s="22">
        <v>14.418750000000001</v>
      </c>
      <c r="EJ315" s="19">
        <v>45.0</v>
      </c>
      <c r="EK315" s="19" t="s">
        <v>2113</v>
      </c>
      <c r="EL315" s="19" t="s">
        <v>2163</v>
      </c>
      <c r="EM315" s="19" t="s">
        <v>7738</v>
      </c>
      <c r="EN315" s="19" t="s">
        <v>936</v>
      </c>
      <c r="EO315" s="19" t="s">
        <v>7740</v>
      </c>
      <c r="EP315" s="19" t="s">
        <v>2122</v>
      </c>
      <c r="EQ315" s="19" t="s">
        <v>3085</v>
      </c>
      <c r="ER315" s="19"/>
      <c r="ES315" s="19" t="s">
        <v>936</v>
      </c>
      <c r="ET315" s="19" t="s">
        <v>936</v>
      </c>
      <c r="EU315" s="19" t="s">
        <v>7736</v>
      </c>
      <c r="EV315" s="19">
        <v>7279.0</v>
      </c>
      <c r="EW315" s="19" t="s">
        <v>16</v>
      </c>
      <c r="EX315" s="19">
        <v>1.0</v>
      </c>
      <c r="EY315" s="25" t="s">
        <v>935</v>
      </c>
      <c r="EZ315" s="19" t="s">
        <v>2154</v>
      </c>
      <c r="FA315" s="5" t="s">
        <v>7750</v>
      </c>
      <c r="FB315" s="26" t="s">
        <v>2156</v>
      </c>
      <c r="FC315" s="26"/>
    </row>
    <row r="316">
      <c r="A316" s="19" t="s">
        <v>2112</v>
      </c>
      <c r="B316" s="19" t="s">
        <v>2113</v>
      </c>
      <c r="C316" s="19" t="s">
        <v>2113</v>
      </c>
      <c r="D316" s="19" t="s">
        <v>7751</v>
      </c>
      <c r="E316" s="19" t="s">
        <v>7752</v>
      </c>
      <c r="F316" s="19" t="s">
        <v>7751</v>
      </c>
      <c r="G316" s="19"/>
      <c r="H316" s="19" t="s">
        <v>937</v>
      </c>
      <c r="I316" s="19" t="s">
        <v>939</v>
      </c>
      <c r="J316" s="19" t="s">
        <v>7753</v>
      </c>
      <c r="K316" s="19" t="s">
        <v>7754</v>
      </c>
      <c r="L316" s="20">
        <v>45396.0</v>
      </c>
      <c r="M316" s="20">
        <v>45411.0</v>
      </c>
      <c r="N316" s="20">
        <v>45411.0</v>
      </c>
      <c r="O316" s="19" t="s">
        <v>938</v>
      </c>
      <c r="P316" s="19">
        <v>0.0</v>
      </c>
      <c r="Q316" s="19">
        <v>27.0</v>
      </c>
      <c r="R316" s="19">
        <v>10043.0</v>
      </c>
      <c r="S316" s="20" t="s">
        <v>6748</v>
      </c>
      <c r="T316" s="20">
        <v>45461.0</v>
      </c>
      <c r="U316" s="19" t="s">
        <v>7751</v>
      </c>
      <c r="V316" s="19"/>
      <c r="W316" s="19" t="s">
        <v>7755</v>
      </c>
      <c r="X316" s="21">
        <v>20.0</v>
      </c>
      <c r="Y316" s="21">
        <v>0.0</v>
      </c>
      <c r="Z316" s="21">
        <v>2.0</v>
      </c>
      <c r="AA316" s="21">
        <v>0.0</v>
      </c>
      <c r="AB316" s="5">
        <v>22.0</v>
      </c>
      <c r="AC316" s="19">
        <v>4.3</v>
      </c>
      <c r="AD316" s="19">
        <v>4.3</v>
      </c>
      <c r="AE316" s="19">
        <v>4.0</v>
      </c>
      <c r="AF316" s="19">
        <v>4.6</v>
      </c>
      <c r="AG316" s="19">
        <v>3.6</v>
      </c>
      <c r="AH316" s="19">
        <v>3.6</v>
      </c>
      <c r="AI316" s="22">
        <v>12.2625</v>
      </c>
      <c r="AJ316" s="19">
        <v>12.0</v>
      </c>
      <c r="AK316" s="19">
        <v>12.0</v>
      </c>
      <c r="AL316" s="19">
        <v>12.0</v>
      </c>
      <c r="AM316" s="19">
        <v>36.0</v>
      </c>
      <c r="AN316" s="19">
        <v>48.3</v>
      </c>
      <c r="AO316" s="19">
        <v>70.3</v>
      </c>
      <c r="AP316" s="19">
        <v>331.0</v>
      </c>
      <c r="AQ316" s="23">
        <v>309.0</v>
      </c>
      <c r="AR316" s="23">
        <v>29.0</v>
      </c>
      <c r="AS316" s="22"/>
      <c r="AT316" s="19" t="s">
        <v>2282</v>
      </c>
      <c r="AU316" s="19" t="s">
        <v>7756</v>
      </c>
      <c r="AV316" s="19" t="s">
        <v>7757</v>
      </c>
      <c r="AW316" s="19" t="s">
        <v>3923</v>
      </c>
      <c r="AX316" s="20">
        <v>35418.0</v>
      </c>
      <c r="AY316" s="19" t="s">
        <v>4165</v>
      </c>
      <c r="AZ316" s="19" t="s">
        <v>2445</v>
      </c>
      <c r="BA316" s="19" t="s">
        <v>7758</v>
      </c>
      <c r="BB316" s="19" t="s">
        <v>7759</v>
      </c>
      <c r="BC316" s="19" t="s">
        <v>7760</v>
      </c>
      <c r="BD316" s="19" t="s">
        <v>7761</v>
      </c>
      <c r="BE316" s="19" t="s">
        <v>7753</v>
      </c>
      <c r="BF316" s="19">
        <v>1.1968259146E10</v>
      </c>
      <c r="BG316" s="19" t="s">
        <v>4316</v>
      </c>
      <c r="BH316" s="19" t="s">
        <v>2128</v>
      </c>
      <c r="BI316" s="19"/>
      <c r="BJ316" s="19"/>
      <c r="BK316" s="19" t="s">
        <v>16</v>
      </c>
      <c r="BL316" s="19"/>
      <c r="BM316" s="19" t="s">
        <v>2130</v>
      </c>
      <c r="BN316" s="19" t="s">
        <v>17</v>
      </c>
      <c r="BO316" s="19" t="s">
        <v>3199</v>
      </c>
      <c r="BP316" s="19"/>
      <c r="BQ316" s="19" t="s">
        <v>2174</v>
      </c>
      <c r="BR316" s="19" t="s">
        <v>2174</v>
      </c>
      <c r="BS316" s="19" t="s">
        <v>2134</v>
      </c>
      <c r="BT316" s="19" t="s">
        <v>34</v>
      </c>
      <c r="BU316" s="19" t="s">
        <v>7762</v>
      </c>
      <c r="BV316" s="19" t="s">
        <v>7763</v>
      </c>
      <c r="BW316" s="19" t="s">
        <v>2113</v>
      </c>
      <c r="BX316" s="19"/>
      <c r="BY316" s="19"/>
      <c r="BZ316" s="19"/>
      <c r="CA316" s="19"/>
      <c r="CB316" s="19"/>
      <c r="CC316" s="19"/>
      <c r="CD316" s="19" t="s">
        <v>2137</v>
      </c>
      <c r="CE316" s="19" t="s">
        <v>16</v>
      </c>
      <c r="CF316" s="19"/>
      <c r="CG316" s="19"/>
      <c r="CH316" s="19" t="s">
        <v>16</v>
      </c>
      <c r="CI316" s="21">
        <v>0.0</v>
      </c>
      <c r="CJ316" s="19" t="s">
        <v>16</v>
      </c>
      <c r="CK316" s="19"/>
      <c r="CL316" s="19"/>
      <c r="CM316" s="19" t="s">
        <v>2138</v>
      </c>
      <c r="CN316" s="19" t="s">
        <v>4172</v>
      </c>
      <c r="CO316" s="19"/>
      <c r="CP316" s="19"/>
      <c r="CQ316" s="19"/>
      <c r="CR316" s="19"/>
      <c r="CS316" s="19"/>
      <c r="CT316" s="19"/>
      <c r="CU316" s="19"/>
      <c r="CV316" s="19" t="s">
        <v>2141</v>
      </c>
      <c r="CW316" s="19"/>
      <c r="CX316" s="19"/>
      <c r="CY316" s="19"/>
      <c r="CZ316" s="19"/>
      <c r="DA316" s="19" t="s">
        <v>16</v>
      </c>
      <c r="DB316" s="19" t="s">
        <v>16</v>
      </c>
      <c r="DC316" s="19" t="s">
        <v>3042</v>
      </c>
      <c r="DD316" s="19" t="s">
        <v>2113</v>
      </c>
      <c r="DE316" s="19" t="s">
        <v>2113</v>
      </c>
      <c r="DF316" s="19" t="s">
        <v>2539</v>
      </c>
      <c r="DG316" s="19" t="s">
        <v>2433</v>
      </c>
      <c r="DH316" s="19" t="s">
        <v>2144</v>
      </c>
      <c r="DI316" s="24">
        <v>45531.0</v>
      </c>
      <c r="DJ316" s="19" t="s">
        <v>2174</v>
      </c>
      <c r="DK316" s="19" t="s">
        <v>2145</v>
      </c>
      <c r="DL316" s="19" t="s">
        <v>2183</v>
      </c>
      <c r="DM316" s="19"/>
      <c r="DN316" s="19">
        <v>7.0</v>
      </c>
      <c r="DO316" s="19">
        <v>7.0</v>
      </c>
      <c r="DP316" s="19" t="s">
        <v>7764</v>
      </c>
      <c r="DQ316" s="19" t="s">
        <v>7765</v>
      </c>
      <c r="DR316" s="19" t="s">
        <v>7766</v>
      </c>
      <c r="DS316" s="19" t="s">
        <v>2151</v>
      </c>
      <c r="DT316" s="19" t="s">
        <v>2209</v>
      </c>
      <c r="DU316" s="19"/>
      <c r="DV316" s="19"/>
      <c r="DW316" s="19" t="s">
        <v>2153</v>
      </c>
      <c r="DX316" s="19">
        <v>14.0</v>
      </c>
      <c r="DY316" s="19">
        <v>0.0</v>
      </c>
      <c r="DZ316" s="19">
        <v>0.0</v>
      </c>
      <c r="EA316" s="19">
        <v>0.0</v>
      </c>
      <c r="EB316" s="19">
        <v>0.0</v>
      </c>
      <c r="EC316" s="19">
        <v>20.0</v>
      </c>
      <c r="ED316" s="19" t="s">
        <v>2174</v>
      </c>
      <c r="EE316" s="24">
        <v>45531.0</v>
      </c>
      <c r="EF316" s="19" t="s">
        <v>2174</v>
      </c>
      <c r="EG316" s="19" t="s">
        <v>2145</v>
      </c>
      <c r="EH316" s="19" t="s">
        <v>2183</v>
      </c>
      <c r="EI316" s="22">
        <v>12.2625</v>
      </c>
      <c r="EJ316" s="19">
        <v>36.0</v>
      </c>
      <c r="EK316" s="19"/>
      <c r="EL316" s="19" t="s">
        <v>2282</v>
      </c>
      <c r="EM316" s="19" t="s">
        <v>7756</v>
      </c>
      <c r="EN316" s="19" t="s">
        <v>939</v>
      </c>
      <c r="EO316" s="19" t="s">
        <v>4165</v>
      </c>
      <c r="EP316" s="19" t="s">
        <v>2445</v>
      </c>
      <c r="EQ316" s="19" t="s">
        <v>4172</v>
      </c>
      <c r="ER316" s="19"/>
      <c r="ES316" s="19" t="s">
        <v>939</v>
      </c>
      <c r="ET316" s="19" t="s">
        <v>939</v>
      </c>
      <c r="EU316" s="19" t="s">
        <v>7754</v>
      </c>
      <c r="EV316" s="19">
        <v>10043.0</v>
      </c>
      <c r="EW316" s="19" t="s">
        <v>16</v>
      </c>
      <c r="EX316" s="19">
        <v>2.0</v>
      </c>
      <c r="EY316" s="25" t="s">
        <v>938</v>
      </c>
      <c r="EZ316" s="19" t="s">
        <v>2154</v>
      </c>
      <c r="FA316" s="5" t="s">
        <v>7767</v>
      </c>
      <c r="FB316" s="26" t="s">
        <v>2156</v>
      </c>
      <c r="FC316" s="26"/>
    </row>
    <row r="317">
      <c r="A317" s="19" t="s">
        <v>2112</v>
      </c>
      <c r="B317" s="19"/>
      <c r="C317" s="19" t="s">
        <v>2113</v>
      </c>
      <c r="D317" s="19" t="s">
        <v>940</v>
      </c>
      <c r="E317" s="19" t="s">
        <v>7768</v>
      </c>
      <c r="F317" s="19" t="s">
        <v>940</v>
      </c>
      <c r="G317" s="19"/>
      <c r="H317" s="19" t="s">
        <v>940</v>
      </c>
      <c r="I317" s="19" t="s">
        <v>942</v>
      </c>
      <c r="J317" s="19" t="s">
        <v>7769</v>
      </c>
      <c r="K317" s="19" t="s">
        <v>7770</v>
      </c>
      <c r="L317" s="20">
        <v>45456.0</v>
      </c>
      <c r="M317" s="20">
        <v>45457.0</v>
      </c>
      <c r="N317" s="20">
        <v>45457.0</v>
      </c>
      <c r="O317" s="19" t="s">
        <v>941</v>
      </c>
      <c r="P317" s="19">
        <v>0.0</v>
      </c>
      <c r="Q317" s="19">
        <v>22.0</v>
      </c>
      <c r="R317" s="19">
        <v>8146.0</v>
      </c>
      <c r="S317" s="20" t="s">
        <v>7771</v>
      </c>
      <c r="T317" s="20">
        <v>45461.0</v>
      </c>
      <c r="U317" s="19" t="s">
        <v>940</v>
      </c>
      <c r="V317" s="19"/>
      <c r="W317" s="19"/>
      <c r="X317" s="21">
        <v>0.0</v>
      </c>
      <c r="Y317" s="21">
        <v>10.0</v>
      </c>
      <c r="Z317" s="21">
        <v>5.0</v>
      </c>
      <c r="AA317" s="21">
        <v>0.0</v>
      </c>
      <c r="AB317" s="5">
        <v>15.0</v>
      </c>
      <c r="AC317" s="19">
        <v>5.0</v>
      </c>
      <c r="AD317" s="19">
        <v>5.0</v>
      </c>
      <c r="AE317" s="19">
        <v>5.0</v>
      </c>
      <c r="AF317" s="19">
        <v>4.0</v>
      </c>
      <c r="AG317" s="19">
        <v>4.0</v>
      </c>
      <c r="AH317" s="19">
        <v>5.0</v>
      </c>
      <c r="AI317" s="22">
        <v>14.25</v>
      </c>
      <c r="AJ317" s="19">
        <v>14.0</v>
      </c>
      <c r="AK317" s="19">
        <v>14.0</v>
      </c>
      <c r="AL317" s="19">
        <v>13.0</v>
      </c>
      <c r="AM317" s="19">
        <v>41.0</v>
      </c>
      <c r="AN317" s="19">
        <v>55.3</v>
      </c>
      <c r="AO317" s="19">
        <v>70.3</v>
      </c>
      <c r="AP317" s="19">
        <v>465.0</v>
      </c>
      <c r="AQ317" s="23">
        <v>310.0</v>
      </c>
      <c r="AR317" s="23">
        <v>22.0</v>
      </c>
      <c r="AS317" s="22"/>
      <c r="AT317" s="19" t="s">
        <v>2117</v>
      </c>
      <c r="AU317" s="19" t="s">
        <v>7772</v>
      </c>
      <c r="AV317" s="19" t="s">
        <v>7773</v>
      </c>
      <c r="AW317" s="19" t="s">
        <v>2257</v>
      </c>
      <c r="AX317" s="20">
        <v>37315.0</v>
      </c>
      <c r="AY317" s="19" t="s">
        <v>2529</v>
      </c>
      <c r="AZ317" s="19" t="s">
        <v>2122</v>
      </c>
      <c r="BA317" s="19" t="s">
        <v>7774</v>
      </c>
      <c r="BB317" s="19" t="s">
        <v>7775</v>
      </c>
      <c r="BC317" s="19" t="s">
        <v>7776</v>
      </c>
      <c r="BD317" s="19" t="s">
        <v>7777</v>
      </c>
      <c r="BE317" s="19" t="s">
        <v>7769</v>
      </c>
      <c r="BF317" s="19">
        <v>1.1955892002E10</v>
      </c>
      <c r="BG317" s="19" t="s">
        <v>2127</v>
      </c>
      <c r="BH317" s="19" t="s">
        <v>2128</v>
      </c>
      <c r="BI317" s="19"/>
      <c r="BJ317" s="19" t="s">
        <v>2427</v>
      </c>
      <c r="BK317" s="19" t="s">
        <v>17</v>
      </c>
      <c r="BL317" s="19"/>
      <c r="BM317" s="19" t="s">
        <v>5411</v>
      </c>
      <c r="BN317" s="19" t="s">
        <v>17</v>
      </c>
      <c r="BO317" s="19" t="s">
        <v>2132</v>
      </c>
      <c r="BP317" s="19" t="s">
        <v>7778</v>
      </c>
      <c r="BQ317" s="19" t="s">
        <v>2174</v>
      </c>
      <c r="BR317" s="19" t="s">
        <v>2174</v>
      </c>
      <c r="BS317" s="19" t="s">
        <v>2134</v>
      </c>
      <c r="BT317" s="19" t="s">
        <v>75</v>
      </c>
      <c r="BU317" s="19" t="s">
        <v>7779</v>
      </c>
      <c r="BV317" s="19"/>
      <c r="BW317" s="19"/>
      <c r="BX317" s="19"/>
      <c r="BY317" s="19"/>
      <c r="BZ317" s="19" t="s">
        <v>2113</v>
      </c>
      <c r="CA317" s="19"/>
      <c r="CB317" s="19" t="s">
        <v>2113</v>
      </c>
      <c r="CC317" s="19"/>
      <c r="CD317" s="19" t="s">
        <v>2137</v>
      </c>
      <c r="CE317" s="19" t="s">
        <v>16</v>
      </c>
      <c r="CF317" s="19"/>
      <c r="CG317" s="19"/>
      <c r="CH317" s="19" t="s">
        <v>16</v>
      </c>
      <c r="CI317" s="21">
        <v>0.0</v>
      </c>
      <c r="CJ317" s="19" t="s">
        <v>17</v>
      </c>
      <c r="CK317" s="19" t="s">
        <v>2113</v>
      </c>
      <c r="CL317" s="19"/>
      <c r="CM317" s="19" t="s">
        <v>2138</v>
      </c>
      <c r="CN317" s="19" t="s">
        <v>2537</v>
      </c>
      <c r="CO317" s="19"/>
      <c r="CP317" s="19" t="s">
        <v>2140</v>
      </c>
      <c r="CQ317" s="19"/>
      <c r="CR317" s="19" t="s">
        <v>2113</v>
      </c>
      <c r="CS317" s="19" t="s">
        <v>2113</v>
      </c>
      <c r="CT317" s="19" t="s">
        <v>2113</v>
      </c>
      <c r="CU317" s="19" t="s">
        <v>2113</v>
      </c>
      <c r="CV317" s="19" t="s">
        <v>2141</v>
      </c>
      <c r="CW317" s="19" t="s">
        <v>2113</v>
      </c>
      <c r="CX317" s="19" t="s">
        <v>2113</v>
      </c>
      <c r="CY317" s="19" t="s">
        <v>2113</v>
      </c>
      <c r="CZ317" s="19" t="s">
        <v>2113</v>
      </c>
      <c r="DA317" s="19" t="s">
        <v>16</v>
      </c>
      <c r="DB317" s="19" t="s">
        <v>17</v>
      </c>
      <c r="DC317" s="19" t="s">
        <v>2538</v>
      </c>
      <c r="DD317" s="19" t="s">
        <v>2113</v>
      </c>
      <c r="DE317" s="19" t="s">
        <v>2113</v>
      </c>
      <c r="DF317" s="19" t="s">
        <v>2539</v>
      </c>
      <c r="DG317" s="19" t="s">
        <v>2540</v>
      </c>
      <c r="DH317" s="19" t="s">
        <v>2144</v>
      </c>
      <c r="DI317" s="24">
        <v>45525.0</v>
      </c>
      <c r="DJ317" s="19" t="s">
        <v>2174</v>
      </c>
      <c r="DK317" s="19" t="s">
        <v>2271</v>
      </c>
      <c r="DL317" s="19" t="s">
        <v>2183</v>
      </c>
      <c r="DM317" s="19" t="s">
        <v>2249</v>
      </c>
      <c r="DN317" s="19">
        <v>10.0</v>
      </c>
      <c r="DO317" s="19">
        <v>10.0</v>
      </c>
      <c r="DP317" s="19" t="s">
        <v>7780</v>
      </c>
      <c r="DQ317" s="19" t="s">
        <v>7781</v>
      </c>
      <c r="DR317" s="19" t="s">
        <v>7782</v>
      </c>
      <c r="DS317" s="19" t="s">
        <v>2151</v>
      </c>
      <c r="DT317" s="19" t="s">
        <v>2301</v>
      </c>
      <c r="DU317" s="19"/>
      <c r="DV317" s="19"/>
      <c r="DW317" s="19" t="s">
        <v>2479</v>
      </c>
      <c r="DX317" s="19">
        <v>16.0</v>
      </c>
      <c r="DY317" s="19">
        <v>10.0</v>
      </c>
      <c r="DZ317" s="19">
        <v>0.0</v>
      </c>
      <c r="EA317" s="19">
        <v>10.0</v>
      </c>
      <c r="EB317" s="19">
        <v>0.0</v>
      </c>
      <c r="EC317" s="19">
        <v>0.0</v>
      </c>
      <c r="ED317" s="19" t="s">
        <v>2174</v>
      </c>
      <c r="EE317" s="24">
        <v>45525.0</v>
      </c>
      <c r="EF317" s="19" t="s">
        <v>2174</v>
      </c>
      <c r="EG317" s="19" t="s">
        <v>2271</v>
      </c>
      <c r="EH317" s="19" t="s">
        <v>2183</v>
      </c>
      <c r="EI317" s="22">
        <v>14.25</v>
      </c>
      <c r="EJ317" s="19">
        <v>41.0</v>
      </c>
      <c r="EK317" s="19" t="s">
        <v>2113</v>
      </c>
      <c r="EL317" s="19" t="s">
        <v>2117</v>
      </c>
      <c r="EM317" s="19" t="s">
        <v>7772</v>
      </c>
      <c r="EN317" s="19" t="s">
        <v>942</v>
      </c>
      <c r="EO317" s="19" t="s">
        <v>2529</v>
      </c>
      <c r="EP317" s="19" t="s">
        <v>2122</v>
      </c>
      <c r="EQ317" s="19" t="s">
        <v>2537</v>
      </c>
      <c r="ER317" s="19"/>
      <c r="ES317" s="19" t="s">
        <v>942</v>
      </c>
      <c r="ET317" s="19" t="s">
        <v>942</v>
      </c>
      <c r="EU317" s="19" t="s">
        <v>7770</v>
      </c>
      <c r="EV317" s="19">
        <v>8146.0</v>
      </c>
      <c r="EW317" s="19" t="s">
        <v>16</v>
      </c>
      <c r="EX317" s="19">
        <v>5.0</v>
      </c>
      <c r="EY317" s="25" t="s">
        <v>941</v>
      </c>
      <c r="EZ317" s="19" t="s">
        <v>2154</v>
      </c>
      <c r="FA317" s="5" t="s">
        <v>7783</v>
      </c>
      <c r="FB317" s="26" t="s">
        <v>2156</v>
      </c>
      <c r="FC317" s="26"/>
    </row>
    <row r="318">
      <c r="A318" s="19" t="s">
        <v>2156</v>
      </c>
      <c r="B318" s="19"/>
      <c r="C318" s="19" t="s">
        <v>2113</v>
      </c>
      <c r="D318" s="19" t="s">
        <v>943</v>
      </c>
      <c r="E318" s="19" t="s">
        <v>7784</v>
      </c>
      <c r="F318" s="19" t="s">
        <v>943</v>
      </c>
      <c r="G318" s="19"/>
      <c r="H318" s="19" t="s">
        <v>943</v>
      </c>
      <c r="I318" s="19" t="s">
        <v>191</v>
      </c>
      <c r="J318" s="19" t="s">
        <v>7785</v>
      </c>
      <c r="K318" s="19" t="s">
        <v>7786</v>
      </c>
      <c r="L318" s="20">
        <v>45460.0</v>
      </c>
      <c r="M318" s="20">
        <v>45462.0</v>
      </c>
      <c r="N318" s="20">
        <v>45462.0</v>
      </c>
      <c r="O318" s="19" t="s">
        <v>944</v>
      </c>
      <c r="P318" s="19">
        <v>0.0</v>
      </c>
      <c r="Q318" s="19">
        <v>23.0</v>
      </c>
      <c r="R318" s="19">
        <v>8451.0</v>
      </c>
      <c r="S318" s="20" t="s">
        <v>7787</v>
      </c>
      <c r="T318" s="20">
        <v>45461.0</v>
      </c>
      <c r="U318" s="19" t="s">
        <v>943</v>
      </c>
      <c r="V318" s="19"/>
      <c r="W318" s="19"/>
      <c r="X318" s="21">
        <v>0.0</v>
      </c>
      <c r="Y318" s="21">
        <v>10.0</v>
      </c>
      <c r="Z318" s="21">
        <v>4.0</v>
      </c>
      <c r="AA318" s="21">
        <v>0.0</v>
      </c>
      <c r="AB318" s="5">
        <v>14.0</v>
      </c>
      <c r="AC318" s="19">
        <v>5.0</v>
      </c>
      <c r="AD318" s="19">
        <v>5.0</v>
      </c>
      <c r="AE318" s="19">
        <v>5.0</v>
      </c>
      <c r="AF318" s="19">
        <v>4.0</v>
      </c>
      <c r="AG318" s="19">
        <v>4.5</v>
      </c>
      <c r="AH318" s="19">
        <v>4.5</v>
      </c>
      <c r="AI318" s="22">
        <v>14.25</v>
      </c>
      <c r="AJ318" s="19">
        <v>15.0</v>
      </c>
      <c r="AK318" s="19">
        <v>15.0</v>
      </c>
      <c r="AL318" s="19">
        <v>12.0</v>
      </c>
      <c r="AM318" s="19">
        <v>42.0</v>
      </c>
      <c r="AN318" s="19">
        <v>56.3</v>
      </c>
      <c r="AO318" s="19">
        <v>70.3</v>
      </c>
      <c r="AP318" s="19">
        <v>607.0</v>
      </c>
      <c r="AQ318" s="23">
        <v>311.0</v>
      </c>
      <c r="AR318" s="23">
        <v>23.0</v>
      </c>
      <c r="AS318" s="22"/>
      <c r="AT318" s="19" t="s">
        <v>2282</v>
      </c>
      <c r="AU318" s="19" t="s">
        <v>7788</v>
      </c>
      <c r="AV318" s="19" t="s">
        <v>7789</v>
      </c>
      <c r="AW318" s="19" t="s">
        <v>2166</v>
      </c>
      <c r="AX318" s="20">
        <v>37010.0</v>
      </c>
      <c r="AY318" s="19" t="s">
        <v>3232</v>
      </c>
      <c r="AZ318" s="19" t="s">
        <v>2310</v>
      </c>
      <c r="BA318" s="19" t="s">
        <v>7790</v>
      </c>
      <c r="BB318" s="19" t="s">
        <v>7791</v>
      </c>
      <c r="BC318" s="19" t="s">
        <v>7792</v>
      </c>
      <c r="BD318" s="19" t="s">
        <v>7793</v>
      </c>
      <c r="BE318" s="19"/>
      <c r="BF318" s="19"/>
      <c r="BG318" s="19" t="s">
        <v>2127</v>
      </c>
      <c r="BH318" s="19" t="s">
        <v>2128</v>
      </c>
      <c r="BI318" s="19"/>
      <c r="BJ318" s="19" t="s">
        <v>2427</v>
      </c>
      <c r="BK318" s="19" t="s">
        <v>17</v>
      </c>
      <c r="BL318" s="19"/>
      <c r="BM318" s="19" t="s">
        <v>5411</v>
      </c>
      <c r="BN318" s="19" t="s">
        <v>5844</v>
      </c>
      <c r="BO318" s="19" t="s">
        <v>2317</v>
      </c>
      <c r="BP318" s="19" t="s">
        <v>7794</v>
      </c>
      <c r="BQ318" s="19" t="s">
        <v>2325</v>
      </c>
      <c r="BR318" s="19" t="s">
        <v>2325</v>
      </c>
      <c r="BS318" s="19" t="s">
        <v>2134</v>
      </c>
      <c r="BT318" s="19" t="s">
        <v>118</v>
      </c>
      <c r="BU318" s="19" t="s">
        <v>2452</v>
      </c>
      <c r="BV318" s="19"/>
      <c r="BW318" s="19" t="s">
        <v>2113</v>
      </c>
      <c r="BX318" s="19"/>
      <c r="BY318" s="19"/>
      <c r="BZ318" s="19"/>
      <c r="CA318" s="19"/>
      <c r="CB318" s="19" t="s">
        <v>2113</v>
      </c>
      <c r="CC318" s="19"/>
      <c r="CD318" s="19" t="s">
        <v>2137</v>
      </c>
      <c r="CE318" s="19" t="s">
        <v>16</v>
      </c>
      <c r="CF318" s="19"/>
      <c r="CG318" s="19"/>
      <c r="CH318" s="19" t="s">
        <v>16</v>
      </c>
      <c r="CI318" s="21">
        <v>0.0</v>
      </c>
      <c r="CJ318" s="19" t="s">
        <v>16</v>
      </c>
      <c r="CK318" s="19"/>
      <c r="CL318" s="19"/>
      <c r="CM318" s="19" t="s">
        <v>2138</v>
      </c>
      <c r="CN318" s="19" t="s">
        <v>2868</v>
      </c>
      <c r="CO318" s="19"/>
      <c r="CP318" s="19" t="s">
        <v>2267</v>
      </c>
      <c r="CQ318" s="19"/>
      <c r="CR318" s="19" t="s">
        <v>2113</v>
      </c>
      <c r="CS318" s="19" t="s">
        <v>2113</v>
      </c>
      <c r="CT318" s="19"/>
      <c r="CU318" s="19"/>
      <c r="CV318" s="19" t="s">
        <v>2179</v>
      </c>
      <c r="CW318" s="19"/>
      <c r="CX318" s="19"/>
      <c r="CY318" s="19"/>
      <c r="CZ318" s="19"/>
      <c r="DA318" s="19" t="s">
        <v>16</v>
      </c>
      <c r="DB318" s="19" t="s">
        <v>16</v>
      </c>
      <c r="DC318" s="19" t="s">
        <v>2455</v>
      </c>
      <c r="DD318" s="19" t="s">
        <v>2113</v>
      </c>
      <c r="DE318" s="19" t="s">
        <v>2113</v>
      </c>
      <c r="DF318" s="19" t="s">
        <v>2248</v>
      </c>
      <c r="DG318" s="19" t="s">
        <v>3163</v>
      </c>
      <c r="DH318" s="19" t="s">
        <v>2144</v>
      </c>
      <c r="DI318" s="24">
        <v>45517.0</v>
      </c>
      <c r="DJ318" s="19" t="s">
        <v>2325</v>
      </c>
      <c r="DK318" s="19" t="s">
        <v>2271</v>
      </c>
      <c r="DL318" s="19" t="s">
        <v>2326</v>
      </c>
      <c r="DM318" s="19"/>
      <c r="DN318" s="19">
        <v>2.0</v>
      </c>
      <c r="DO318" s="19">
        <v>2.0</v>
      </c>
      <c r="DP318" s="19"/>
      <c r="DQ318" s="19"/>
      <c r="DR318" s="19"/>
      <c r="DS318" s="19" t="s">
        <v>2185</v>
      </c>
      <c r="DT318" s="19" t="s">
        <v>2229</v>
      </c>
      <c r="DU318" s="19" t="s">
        <v>7795</v>
      </c>
      <c r="DV318" s="19"/>
      <c r="DW318" s="19" t="s">
        <v>2153</v>
      </c>
      <c r="DX318" s="19">
        <v>3.0</v>
      </c>
      <c r="DY318" s="19">
        <v>10.0</v>
      </c>
      <c r="DZ318" s="19">
        <v>0.0</v>
      </c>
      <c r="EA318" s="19">
        <v>10.0</v>
      </c>
      <c r="EB318" s="19">
        <v>0.0</v>
      </c>
      <c r="EC318" s="19">
        <v>0.0</v>
      </c>
      <c r="ED318" s="19" t="s">
        <v>2325</v>
      </c>
      <c r="EE318" s="24">
        <v>45517.0</v>
      </c>
      <c r="EF318" s="19" t="s">
        <v>2325</v>
      </c>
      <c r="EG318" s="19" t="s">
        <v>2271</v>
      </c>
      <c r="EH318" s="19" t="s">
        <v>2326</v>
      </c>
      <c r="EI318" s="22">
        <v>14.25</v>
      </c>
      <c r="EJ318" s="19">
        <v>42.0</v>
      </c>
      <c r="EK318" s="19"/>
      <c r="EL318" s="19" t="s">
        <v>2282</v>
      </c>
      <c r="EM318" s="19" t="s">
        <v>7788</v>
      </c>
      <c r="EN318" s="19" t="s">
        <v>191</v>
      </c>
      <c r="EO318" s="19" t="s">
        <v>3232</v>
      </c>
      <c r="EP318" s="19" t="s">
        <v>2310</v>
      </c>
      <c r="EQ318" s="19" t="s">
        <v>2868</v>
      </c>
      <c r="ER318" s="19"/>
      <c r="ES318" s="19" t="s">
        <v>191</v>
      </c>
      <c r="ET318" s="19" t="s">
        <v>191</v>
      </c>
      <c r="EU318" s="19" t="s">
        <v>7786</v>
      </c>
      <c r="EV318" s="19">
        <v>8451.0</v>
      </c>
      <c r="EW318" s="19" t="s">
        <v>16</v>
      </c>
      <c r="EX318" s="19">
        <v>4.0</v>
      </c>
      <c r="EY318" s="25" t="s">
        <v>944</v>
      </c>
      <c r="EZ318" s="19" t="s">
        <v>2154</v>
      </c>
      <c r="FA318" s="5" t="s">
        <v>7796</v>
      </c>
      <c r="FB318" s="26" t="s">
        <v>2156</v>
      </c>
      <c r="FC318" s="26"/>
    </row>
    <row r="319">
      <c r="A319" s="19" t="s">
        <v>2156</v>
      </c>
      <c r="B319" s="19"/>
      <c r="C319" s="19" t="s">
        <v>2113</v>
      </c>
      <c r="D319" s="19" t="s">
        <v>945</v>
      </c>
      <c r="E319" s="19" t="s">
        <v>7797</v>
      </c>
      <c r="F319" s="19" t="s">
        <v>7798</v>
      </c>
      <c r="G319" s="19" t="s">
        <v>7799</v>
      </c>
      <c r="H319" s="19" t="s">
        <v>945</v>
      </c>
      <c r="I319" s="19" t="s">
        <v>947</v>
      </c>
      <c r="J319" s="19" t="s">
        <v>7800</v>
      </c>
      <c r="K319" s="19" t="s">
        <v>7801</v>
      </c>
      <c r="L319" s="20">
        <v>45455.0</v>
      </c>
      <c r="M319" s="20">
        <v>45456.0</v>
      </c>
      <c r="N319" s="20">
        <v>45456.0</v>
      </c>
      <c r="O319" s="19" t="s">
        <v>946</v>
      </c>
      <c r="P319" s="19">
        <v>0.0</v>
      </c>
      <c r="Q319" s="19">
        <v>26.0</v>
      </c>
      <c r="R319" s="19">
        <v>9625.0</v>
      </c>
      <c r="S319" s="20" t="s">
        <v>7802</v>
      </c>
      <c r="T319" s="20">
        <v>45461.0</v>
      </c>
      <c r="U319" s="19" t="s">
        <v>7798</v>
      </c>
      <c r="V319" s="19"/>
      <c r="W319" s="19"/>
      <c r="X319" s="21">
        <v>0.0</v>
      </c>
      <c r="Y319" s="21">
        <v>10.0</v>
      </c>
      <c r="Z319" s="21">
        <v>3.0</v>
      </c>
      <c r="AA319" s="21">
        <v>0.0</v>
      </c>
      <c r="AB319" s="5">
        <v>13.0</v>
      </c>
      <c r="AC319" s="19">
        <v>5.0</v>
      </c>
      <c r="AD319" s="19">
        <v>4.5</v>
      </c>
      <c r="AE319" s="19">
        <v>4.5</v>
      </c>
      <c r="AF319" s="19">
        <v>5.0</v>
      </c>
      <c r="AG319" s="19">
        <v>5.0</v>
      </c>
      <c r="AH319" s="19">
        <v>5.0</v>
      </c>
      <c r="AI319" s="22">
        <v>14.296875</v>
      </c>
      <c r="AJ319" s="19">
        <v>14.0</v>
      </c>
      <c r="AK319" s="19">
        <v>14.0</v>
      </c>
      <c r="AL319" s="19">
        <v>15.0</v>
      </c>
      <c r="AM319" s="19">
        <v>43.0</v>
      </c>
      <c r="AN319" s="19">
        <v>57.3</v>
      </c>
      <c r="AO319" s="19">
        <v>70.3</v>
      </c>
      <c r="AP319" s="19">
        <v>685.0</v>
      </c>
      <c r="AQ319" s="23">
        <v>312.0</v>
      </c>
      <c r="AR319" s="23">
        <v>27.0</v>
      </c>
      <c r="AS319" s="22"/>
      <c r="AT319" s="19" t="s">
        <v>2163</v>
      </c>
      <c r="AU319" s="19" t="s">
        <v>7803</v>
      </c>
      <c r="AV319" s="19" t="s">
        <v>7804</v>
      </c>
      <c r="AW319" s="19" t="s">
        <v>2257</v>
      </c>
      <c r="AX319" s="20">
        <v>35836.0</v>
      </c>
      <c r="AY319" s="19" t="s">
        <v>3053</v>
      </c>
      <c r="AZ319" s="19" t="s">
        <v>2310</v>
      </c>
      <c r="BA319" s="19" t="s">
        <v>7805</v>
      </c>
      <c r="BB319" s="19" t="s">
        <v>7806</v>
      </c>
      <c r="BC319" s="19" t="s">
        <v>7807</v>
      </c>
      <c r="BD319" s="19" t="s">
        <v>7808</v>
      </c>
      <c r="BE319" s="19"/>
      <c r="BF319" s="19"/>
      <c r="BG319" s="19" t="s">
        <v>2127</v>
      </c>
      <c r="BH319" s="19" t="s">
        <v>2128</v>
      </c>
      <c r="BI319" s="19"/>
      <c r="BJ319" s="19"/>
      <c r="BK319" s="19" t="s">
        <v>16</v>
      </c>
      <c r="BL319" s="19"/>
      <c r="BM319" s="19" t="s">
        <v>5411</v>
      </c>
      <c r="BN319" s="19" t="s">
        <v>7809</v>
      </c>
      <c r="BO319" s="19" t="s">
        <v>2473</v>
      </c>
      <c r="BP319" s="19" t="s">
        <v>7810</v>
      </c>
      <c r="BQ319" s="19" t="s">
        <v>2325</v>
      </c>
      <c r="BR319" s="19" t="s">
        <v>2325</v>
      </c>
      <c r="BS319" s="19" t="s">
        <v>2134</v>
      </c>
      <c r="BT319" s="19" t="s">
        <v>59</v>
      </c>
      <c r="BU319" s="19" t="s">
        <v>4006</v>
      </c>
      <c r="BV319" s="19"/>
      <c r="BW319" s="19"/>
      <c r="BX319" s="19"/>
      <c r="BY319" s="19"/>
      <c r="BZ319" s="19"/>
      <c r="CA319" s="19"/>
      <c r="CB319" s="19"/>
      <c r="CC319" s="19" t="s">
        <v>2113</v>
      </c>
      <c r="CD319" s="19" t="s">
        <v>2137</v>
      </c>
      <c r="CE319" s="19" t="s">
        <v>16</v>
      </c>
      <c r="CF319" s="19"/>
      <c r="CG319" s="19"/>
      <c r="CH319" s="19" t="s">
        <v>16</v>
      </c>
      <c r="CI319" s="21">
        <v>0.0</v>
      </c>
      <c r="CJ319" s="19" t="s">
        <v>17</v>
      </c>
      <c r="CK319" s="19"/>
      <c r="CL319" s="19"/>
      <c r="CM319" s="19" t="s">
        <v>2138</v>
      </c>
      <c r="CN319" s="19" t="s">
        <v>3064</v>
      </c>
      <c r="CO319" s="19"/>
      <c r="CP319" s="19"/>
      <c r="CQ319" s="19"/>
      <c r="CR319" s="19"/>
      <c r="CS319" s="19"/>
      <c r="CT319" s="19"/>
      <c r="CU319" s="19"/>
      <c r="CV319" s="19" t="s">
        <v>2179</v>
      </c>
      <c r="CW319" s="19"/>
      <c r="CX319" s="19"/>
      <c r="CY319" s="19"/>
      <c r="CZ319" s="19"/>
      <c r="DA319" s="19" t="s">
        <v>16</v>
      </c>
      <c r="DB319" s="19" t="s">
        <v>17</v>
      </c>
      <c r="DC319" s="19" t="s">
        <v>3221</v>
      </c>
      <c r="DD319" s="19" t="s">
        <v>2113</v>
      </c>
      <c r="DE319" s="19" t="s">
        <v>2113</v>
      </c>
      <c r="DF319" s="19" t="s">
        <v>2497</v>
      </c>
      <c r="DG319" s="19" t="s">
        <v>2496</v>
      </c>
      <c r="DH319" s="19" t="s">
        <v>2144</v>
      </c>
      <c r="DI319" s="24">
        <v>45517.0</v>
      </c>
      <c r="DJ319" s="19" t="s">
        <v>2325</v>
      </c>
      <c r="DK319" s="19" t="s">
        <v>2145</v>
      </c>
      <c r="DL319" s="19" t="s">
        <v>2326</v>
      </c>
      <c r="DM319" s="19"/>
      <c r="DN319" s="19">
        <v>1.0</v>
      </c>
      <c r="DO319" s="19">
        <v>1.0</v>
      </c>
      <c r="DP319" s="19"/>
      <c r="DQ319" s="19"/>
      <c r="DR319" s="19"/>
      <c r="DS319" s="19" t="s">
        <v>2185</v>
      </c>
      <c r="DT319" s="19" t="s">
        <v>2186</v>
      </c>
      <c r="DU319" s="19" t="s">
        <v>7811</v>
      </c>
      <c r="DV319" s="19"/>
      <c r="DW319" s="19" t="s">
        <v>2153</v>
      </c>
      <c r="DX319" s="19">
        <v>3.0</v>
      </c>
      <c r="DY319" s="19">
        <v>10.0</v>
      </c>
      <c r="DZ319" s="19">
        <v>0.0</v>
      </c>
      <c r="EA319" s="19">
        <v>10.0</v>
      </c>
      <c r="EB319" s="19">
        <v>0.0</v>
      </c>
      <c r="EC319" s="19">
        <v>0.0</v>
      </c>
      <c r="ED319" s="19" t="s">
        <v>2325</v>
      </c>
      <c r="EE319" s="24">
        <v>45517.0</v>
      </c>
      <c r="EF319" s="19" t="s">
        <v>2325</v>
      </c>
      <c r="EG319" s="19" t="s">
        <v>2145</v>
      </c>
      <c r="EH319" s="19" t="s">
        <v>2326</v>
      </c>
      <c r="EI319" s="22">
        <v>14.296875</v>
      </c>
      <c r="EJ319" s="19">
        <v>43.0</v>
      </c>
      <c r="EK319" s="19" t="s">
        <v>2113</v>
      </c>
      <c r="EL319" s="19" t="s">
        <v>2163</v>
      </c>
      <c r="EM319" s="19" t="s">
        <v>7803</v>
      </c>
      <c r="EN319" s="19" t="s">
        <v>947</v>
      </c>
      <c r="EO319" s="19" t="s">
        <v>3053</v>
      </c>
      <c r="EP319" s="19" t="s">
        <v>2310</v>
      </c>
      <c r="EQ319" s="19" t="s">
        <v>3064</v>
      </c>
      <c r="ER319" s="19"/>
      <c r="ES319" s="19" t="s">
        <v>947</v>
      </c>
      <c r="ET319" s="19" t="s">
        <v>947</v>
      </c>
      <c r="EU319" s="19" t="s">
        <v>7801</v>
      </c>
      <c r="EV319" s="19">
        <v>9625.0</v>
      </c>
      <c r="EW319" s="19" t="s">
        <v>16</v>
      </c>
      <c r="EX319" s="19">
        <v>3.0</v>
      </c>
      <c r="EY319" s="25" t="s">
        <v>946</v>
      </c>
      <c r="EZ319" s="19" t="s">
        <v>2154</v>
      </c>
      <c r="FA319" s="5" t="s">
        <v>7812</v>
      </c>
      <c r="FB319" s="26" t="s">
        <v>2156</v>
      </c>
      <c r="FC319" s="26"/>
    </row>
    <row r="320">
      <c r="A320" s="19" t="s">
        <v>2112</v>
      </c>
      <c r="B320" s="19"/>
      <c r="C320" s="19" t="s">
        <v>2113</v>
      </c>
      <c r="D320" s="19" t="s">
        <v>948</v>
      </c>
      <c r="E320" s="19" t="s">
        <v>7813</v>
      </c>
      <c r="F320" s="19" t="s">
        <v>7814</v>
      </c>
      <c r="G320" s="19" t="s">
        <v>7815</v>
      </c>
      <c r="H320" s="19" t="s">
        <v>948</v>
      </c>
      <c r="I320" s="19" t="s">
        <v>950</v>
      </c>
      <c r="J320" s="19" t="s">
        <v>7816</v>
      </c>
      <c r="K320" s="19" t="s">
        <v>7817</v>
      </c>
      <c r="L320" s="20">
        <v>45402.0</v>
      </c>
      <c r="M320" s="20">
        <v>45411.0</v>
      </c>
      <c r="N320" s="20">
        <v>45411.0</v>
      </c>
      <c r="O320" s="19" t="s">
        <v>949</v>
      </c>
      <c r="P320" s="19">
        <v>0.0</v>
      </c>
      <c r="Q320" s="19">
        <v>18.0</v>
      </c>
      <c r="R320" s="19">
        <v>6676.0</v>
      </c>
      <c r="S320" s="20" t="s">
        <v>7818</v>
      </c>
      <c r="T320" s="20">
        <v>45461.0</v>
      </c>
      <c r="U320" s="19" t="s">
        <v>7814</v>
      </c>
      <c r="V320" s="19"/>
      <c r="W320" s="19"/>
      <c r="X320" s="21">
        <v>0.0</v>
      </c>
      <c r="Y320" s="21">
        <v>10.0</v>
      </c>
      <c r="Z320" s="21">
        <v>3.0</v>
      </c>
      <c r="AA320" s="21">
        <v>0.0</v>
      </c>
      <c r="AB320" s="5">
        <v>13.0</v>
      </c>
      <c r="AC320" s="19">
        <v>5.0</v>
      </c>
      <c r="AD320" s="19">
        <v>5.0</v>
      </c>
      <c r="AE320" s="19">
        <v>5.0</v>
      </c>
      <c r="AF320" s="19">
        <v>4.0</v>
      </c>
      <c r="AG320" s="19">
        <v>4.0</v>
      </c>
      <c r="AH320" s="19">
        <v>5.0</v>
      </c>
      <c r="AI320" s="22">
        <v>14.25</v>
      </c>
      <c r="AJ320" s="19">
        <v>13.0</v>
      </c>
      <c r="AK320" s="19">
        <v>15.0</v>
      </c>
      <c r="AL320" s="19">
        <v>15.0</v>
      </c>
      <c r="AM320" s="19">
        <v>43.0</v>
      </c>
      <c r="AN320" s="19">
        <v>57.3</v>
      </c>
      <c r="AO320" s="19">
        <v>70.3</v>
      </c>
      <c r="AP320" s="19">
        <v>819.0</v>
      </c>
      <c r="AQ320" s="23">
        <v>313.0</v>
      </c>
      <c r="AR320" s="23">
        <v>40.0</v>
      </c>
      <c r="AS320" s="22"/>
      <c r="AT320" s="19" t="s">
        <v>2282</v>
      </c>
      <c r="AU320" s="19" t="s">
        <v>4996</v>
      </c>
      <c r="AV320" s="19" t="s">
        <v>7819</v>
      </c>
      <c r="AW320" s="19"/>
      <c r="AX320" s="20">
        <v>38785.0</v>
      </c>
      <c r="AY320" s="19" t="s">
        <v>2467</v>
      </c>
      <c r="AZ320" s="19" t="s">
        <v>2122</v>
      </c>
      <c r="BA320" s="19" t="s">
        <v>7820</v>
      </c>
      <c r="BB320" s="19" t="s">
        <v>2132</v>
      </c>
      <c r="BC320" s="19" t="s">
        <v>7821</v>
      </c>
      <c r="BD320" s="19" t="s">
        <v>7822</v>
      </c>
      <c r="BE320" s="19" t="s">
        <v>7823</v>
      </c>
      <c r="BF320" s="19">
        <v>1.1998695418E10</v>
      </c>
      <c r="BG320" s="19" t="s">
        <v>2127</v>
      </c>
      <c r="BH320" s="19" t="s">
        <v>2128</v>
      </c>
      <c r="BI320" s="19"/>
      <c r="BJ320" s="19"/>
      <c r="BK320" s="19" t="s">
        <v>16</v>
      </c>
      <c r="BL320" s="19"/>
      <c r="BM320" s="19" t="s">
        <v>5411</v>
      </c>
      <c r="BN320" s="19" t="s">
        <v>2172</v>
      </c>
      <c r="BO320" s="19" t="s">
        <v>2473</v>
      </c>
      <c r="BP320" s="19" t="s">
        <v>7824</v>
      </c>
      <c r="BQ320" s="19" t="s">
        <v>2133</v>
      </c>
      <c r="BR320" s="19" t="s">
        <v>2133</v>
      </c>
      <c r="BS320" s="19" t="s">
        <v>2134</v>
      </c>
      <c r="BT320" s="19" t="s">
        <v>38</v>
      </c>
      <c r="BU320" s="19" t="s">
        <v>4099</v>
      </c>
      <c r="BV320" s="19"/>
      <c r="BW320" s="19" t="s">
        <v>2113</v>
      </c>
      <c r="BX320" s="19"/>
      <c r="BY320" s="19"/>
      <c r="BZ320" s="19"/>
      <c r="CA320" s="19"/>
      <c r="CB320" s="19" t="s">
        <v>2113</v>
      </c>
      <c r="CC320" s="19"/>
      <c r="CD320" s="19" t="s">
        <v>2137</v>
      </c>
      <c r="CE320" s="19" t="s">
        <v>16</v>
      </c>
      <c r="CF320" s="19"/>
      <c r="CG320" s="19"/>
      <c r="CH320" s="19" t="s">
        <v>16</v>
      </c>
      <c r="CI320" s="21">
        <v>0.0</v>
      </c>
      <c r="CJ320" s="19" t="s">
        <v>16</v>
      </c>
      <c r="CK320" s="19"/>
      <c r="CL320" s="19"/>
      <c r="CM320" s="19" t="s">
        <v>2926</v>
      </c>
      <c r="CN320" s="19" t="s">
        <v>2475</v>
      </c>
      <c r="CO320" s="19"/>
      <c r="CP320" s="19"/>
      <c r="CQ320" s="19"/>
      <c r="CR320" s="19" t="s">
        <v>2113</v>
      </c>
      <c r="CS320" s="19" t="s">
        <v>2113</v>
      </c>
      <c r="CT320" s="19" t="s">
        <v>2113</v>
      </c>
      <c r="CU320" s="19" t="s">
        <v>2113</v>
      </c>
      <c r="CV320" s="19" t="s">
        <v>2141</v>
      </c>
      <c r="CW320" s="19" t="s">
        <v>2113</v>
      </c>
      <c r="CX320" s="19" t="s">
        <v>2113</v>
      </c>
      <c r="CY320" s="19" t="s">
        <v>2113</v>
      </c>
      <c r="CZ320" s="19" t="s">
        <v>2113</v>
      </c>
      <c r="DA320" s="19" t="s">
        <v>16</v>
      </c>
      <c r="DB320" s="19" t="s">
        <v>16</v>
      </c>
      <c r="DC320" s="19" t="s">
        <v>2477</v>
      </c>
      <c r="DD320" s="19" t="s">
        <v>2113</v>
      </c>
      <c r="DE320" s="19" t="s">
        <v>2113</v>
      </c>
      <c r="DF320" s="19" t="s">
        <v>2142</v>
      </c>
      <c r="DG320" s="19" t="s">
        <v>2143</v>
      </c>
      <c r="DH320" s="19" t="s">
        <v>2144</v>
      </c>
      <c r="DI320" s="24">
        <v>45533.0</v>
      </c>
      <c r="DJ320" s="19" t="s">
        <v>2133</v>
      </c>
      <c r="DK320" s="19" t="s">
        <v>2271</v>
      </c>
      <c r="DL320" s="19" t="s">
        <v>2146</v>
      </c>
      <c r="DM320" s="19" t="s">
        <v>2906</v>
      </c>
      <c r="DN320" s="19">
        <v>18.0</v>
      </c>
      <c r="DO320" s="19">
        <v>18.0</v>
      </c>
      <c r="DP320" s="19" t="s">
        <v>7825</v>
      </c>
      <c r="DQ320" s="19" t="s">
        <v>7826</v>
      </c>
      <c r="DR320" s="19" t="s">
        <v>7827</v>
      </c>
      <c r="DS320" s="19" t="s">
        <v>2151</v>
      </c>
      <c r="DT320" s="19" t="s">
        <v>2186</v>
      </c>
      <c r="DU320" s="19"/>
      <c r="DV320" s="19"/>
      <c r="DW320" s="19" t="s">
        <v>2153</v>
      </c>
      <c r="DX320" s="19">
        <v>12.0</v>
      </c>
      <c r="DY320" s="19">
        <v>10.0</v>
      </c>
      <c r="DZ320" s="19">
        <v>0.0</v>
      </c>
      <c r="EA320" s="19">
        <v>10.0</v>
      </c>
      <c r="EB320" s="19">
        <v>0.0</v>
      </c>
      <c r="EC320" s="19">
        <v>0.0</v>
      </c>
      <c r="ED320" s="19" t="s">
        <v>2133</v>
      </c>
      <c r="EE320" s="24">
        <v>45533.0</v>
      </c>
      <c r="EF320" s="19" t="s">
        <v>2133</v>
      </c>
      <c r="EG320" s="19" t="s">
        <v>2271</v>
      </c>
      <c r="EH320" s="19" t="s">
        <v>2146</v>
      </c>
      <c r="EI320" s="22">
        <v>14.25</v>
      </c>
      <c r="EJ320" s="19">
        <v>43.0</v>
      </c>
      <c r="EK320" s="19"/>
      <c r="EL320" s="19" t="s">
        <v>2282</v>
      </c>
      <c r="EM320" s="19" t="s">
        <v>4996</v>
      </c>
      <c r="EN320" s="19" t="s">
        <v>950</v>
      </c>
      <c r="EO320" s="19" t="s">
        <v>2467</v>
      </c>
      <c r="EP320" s="19" t="s">
        <v>2122</v>
      </c>
      <c r="EQ320" s="19" t="s">
        <v>2475</v>
      </c>
      <c r="ER320" s="19"/>
      <c r="ES320" s="19" t="s">
        <v>950</v>
      </c>
      <c r="ET320" s="19" t="s">
        <v>950</v>
      </c>
      <c r="EU320" s="19" t="s">
        <v>7817</v>
      </c>
      <c r="EV320" s="19">
        <v>6676.0</v>
      </c>
      <c r="EW320" s="19" t="s">
        <v>16</v>
      </c>
      <c r="EX320" s="19">
        <v>3.0</v>
      </c>
      <c r="EY320" s="25" t="s">
        <v>949</v>
      </c>
      <c r="EZ320" s="19" t="s">
        <v>2154</v>
      </c>
      <c r="FA320" s="5" t="s">
        <v>7828</v>
      </c>
      <c r="FB320" s="26" t="s">
        <v>2156</v>
      </c>
      <c r="FC320" s="26"/>
    </row>
    <row r="321">
      <c r="A321" s="19" t="s">
        <v>17</v>
      </c>
      <c r="B321" s="19"/>
      <c r="C321" s="19" t="s">
        <v>2113</v>
      </c>
      <c r="D321" s="19" t="s">
        <v>7829</v>
      </c>
      <c r="E321" s="19" t="s">
        <v>7830</v>
      </c>
      <c r="F321" s="19" t="s">
        <v>7831</v>
      </c>
      <c r="G321" s="19" t="s">
        <v>7832</v>
      </c>
      <c r="H321" s="19" t="s">
        <v>951</v>
      </c>
      <c r="I321" s="19" t="s">
        <v>953</v>
      </c>
      <c r="J321" s="19" t="s">
        <v>7833</v>
      </c>
      <c r="K321" s="19" t="s">
        <v>7834</v>
      </c>
      <c r="L321" s="20">
        <v>45401.0</v>
      </c>
      <c r="M321" s="20">
        <v>45411.0</v>
      </c>
      <c r="N321" s="20">
        <v>45411.0</v>
      </c>
      <c r="O321" s="19" t="s">
        <v>952</v>
      </c>
      <c r="P321" s="19">
        <v>0.0</v>
      </c>
      <c r="Q321" s="19">
        <v>19.0</v>
      </c>
      <c r="R321" s="19">
        <v>7104.0</v>
      </c>
      <c r="S321" s="20" t="s">
        <v>7835</v>
      </c>
      <c r="T321" s="20">
        <v>45461.0</v>
      </c>
      <c r="U321" s="19" t="s">
        <v>7831</v>
      </c>
      <c r="V321" s="19"/>
      <c r="W321" s="19"/>
      <c r="X321" s="21">
        <v>0.0</v>
      </c>
      <c r="Y321" s="21">
        <v>10.0</v>
      </c>
      <c r="Z321" s="21">
        <v>2.0</v>
      </c>
      <c r="AA321" s="21">
        <v>0.0</v>
      </c>
      <c r="AB321" s="5">
        <v>12.0</v>
      </c>
      <c r="AC321" s="19">
        <v>4.333333333333333</v>
      </c>
      <c r="AD321" s="19">
        <v>4.666666666666667</v>
      </c>
      <c r="AE321" s="19">
        <v>4.333333333333333</v>
      </c>
      <c r="AF321" s="19">
        <v>4.666666666666667</v>
      </c>
      <c r="AG321" s="19">
        <v>4.666666666666667</v>
      </c>
      <c r="AH321" s="19">
        <v>4.0</v>
      </c>
      <c r="AI321" s="22">
        <v>13.34375</v>
      </c>
      <c r="AJ321" s="19">
        <v>15.0</v>
      </c>
      <c r="AK321" s="19">
        <v>15.0</v>
      </c>
      <c r="AL321" s="19">
        <v>15.0</v>
      </c>
      <c r="AM321" s="19">
        <v>45.0</v>
      </c>
      <c r="AN321" s="19">
        <v>58.3</v>
      </c>
      <c r="AO321" s="19">
        <v>70.3</v>
      </c>
      <c r="AP321" s="19">
        <v>889.0</v>
      </c>
      <c r="AQ321" s="23">
        <v>314.0</v>
      </c>
      <c r="AR321" s="23">
        <v>8.0</v>
      </c>
      <c r="AS321" s="22"/>
      <c r="AT321" s="19" t="s">
        <v>2163</v>
      </c>
      <c r="AU321" s="19" t="s">
        <v>7836</v>
      </c>
      <c r="AV321" s="19" t="s">
        <v>7837</v>
      </c>
      <c r="AW321" s="19" t="s">
        <v>7838</v>
      </c>
      <c r="AX321" s="20">
        <v>38357.0</v>
      </c>
      <c r="AY321" s="19" t="s">
        <v>7839</v>
      </c>
      <c r="AZ321" s="19" t="s">
        <v>2122</v>
      </c>
      <c r="BA321" s="19" t="s">
        <v>7840</v>
      </c>
      <c r="BB321" s="19" t="s">
        <v>7841</v>
      </c>
      <c r="BC321" s="19" t="s">
        <v>7842</v>
      </c>
      <c r="BD321" s="19" t="s">
        <v>7843</v>
      </c>
      <c r="BE321" s="19" t="s">
        <v>7844</v>
      </c>
      <c r="BF321" s="19">
        <v>1.1984161545E10</v>
      </c>
      <c r="BG321" s="19" t="s">
        <v>2127</v>
      </c>
      <c r="BH321" s="19" t="s">
        <v>2128</v>
      </c>
      <c r="BI321" s="19"/>
      <c r="BJ321" s="19" t="s">
        <v>2129</v>
      </c>
      <c r="BK321" s="19" t="s">
        <v>17</v>
      </c>
      <c r="BL321" s="19"/>
      <c r="BM321" s="19" t="s">
        <v>5411</v>
      </c>
      <c r="BN321" s="19" t="s">
        <v>3198</v>
      </c>
      <c r="BO321" s="19" t="s">
        <v>3199</v>
      </c>
      <c r="BP321" s="19"/>
      <c r="BQ321" s="19" t="s">
        <v>3251</v>
      </c>
      <c r="BR321" s="19" t="s">
        <v>3251</v>
      </c>
      <c r="BS321" s="19" t="s">
        <v>2134</v>
      </c>
      <c r="BT321" s="19" t="s">
        <v>177</v>
      </c>
      <c r="BU321" s="19" t="s">
        <v>7845</v>
      </c>
      <c r="BV321" s="19"/>
      <c r="BW321" s="19" t="s">
        <v>2113</v>
      </c>
      <c r="BX321" s="19"/>
      <c r="BY321" s="19"/>
      <c r="BZ321" s="19"/>
      <c r="CA321" s="19"/>
      <c r="CB321" s="19"/>
      <c r="CC321" s="19"/>
      <c r="CD321" s="19" t="s">
        <v>2137</v>
      </c>
      <c r="CE321" s="19" t="s">
        <v>16</v>
      </c>
      <c r="CF321" s="19"/>
      <c r="CG321" s="19"/>
      <c r="CH321" s="19" t="s">
        <v>16</v>
      </c>
      <c r="CI321" s="21">
        <v>0.0</v>
      </c>
      <c r="CJ321" s="19" t="s">
        <v>17</v>
      </c>
      <c r="CK321" s="19"/>
      <c r="CL321" s="19"/>
      <c r="CM321" s="19" t="s">
        <v>2344</v>
      </c>
      <c r="CN321" s="19" t="s">
        <v>3253</v>
      </c>
      <c r="CO321" s="19"/>
      <c r="CP321" s="19" t="s">
        <v>2225</v>
      </c>
      <c r="CQ321" s="19"/>
      <c r="CR321" s="19" t="s">
        <v>2113</v>
      </c>
      <c r="CS321" s="19" t="s">
        <v>2113</v>
      </c>
      <c r="CT321" s="19" t="s">
        <v>2113</v>
      </c>
      <c r="CU321" s="19" t="s">
        <v>2113</v>
      </c>
      <c r="CV321" s="19" t="s">
        <v>2141</v>
      </c>
      <c r="CW321" s="19"/>
      <c r="CX321" s="19"/>
      <c r="CY321" s="19" t="s">
        <v>2113</v>
      </c>
      <c r="CZ321" s="19" t="s">
        <v>2113</v>
      </c>
      <c r="DA321" s="19" t="s">
        <v>16</v>
      </c>
      <c r="DB321" s="19" t="s">
        <v>17</v>
      </c>
      <c r="DC321" s="19" t="s">
        <v>3222</v>
      </c>
      <c r="DD321" s="19" t="s">
        <v>2113</v>
      </c>
      <c r="DE321" s="19" t="s">
        <v>2113</v>
      </c>
      <c r="DF321" s="19" t="s">
        <v>3103</v>
      </c>
      <c r="DG321" s="19" t="s">
        <v>2323</v>
      </c>
      <c r="DH321" s="19" t="s">
        <v>2144</v>
      </c>
      <c r="DI321" s="24">
        <v>45525.0</v>
      </c>
      <c r="DJ321" s="19" t="s">
        <v>3257</v>
      </c>
      <c r="DK321" s="19" t="s">
        <v>2271</v>
      </c>
      <c r="DL321" s="19" t="s">
        <v>2207</v>
      </c>
      <c r="DM321" s="22" t="s">
        <v>7846</v>
      </c>
      <c r="DN321" s="19">
        <v>4.0</v>
      </c>
      <c r="DO321" s="19">
        <v>4.0</v>
      </c>
      <c r="DP321" s="19" t="s">
        <v>7847</v>
      </c>
      <c r="DQ321" s="19" t="s">
        <v>7848</v>
      </c>
      <c r="DR321" s="19" t="s">
        <v>7849</v>
      </c>
      <c r="DS321" s="19" t="s">
        <v>2151</v>
      </c>
      <c r="DT321" s="19" t="s">
        <v>2152</v>
      </c>
      <c r="DU321" s="19"/>
      <c r="DV321" s="19"/>
      <c r="DW321" s="19" t="s">
        <v>2479</v>
      </c>
      <c r="DX321" s="19">
        <v>16.0</v>
      </c>
      <c r="DY321" s="19">
        <v>10.0</v>
      </c>
      <c r="DZ321" s="19">
        <v>0.0</v>
      </c>
      <c r="EA321" s="19">
        <v>10.0</v>
      </c>
      <c r="EB321" s="19">
        <v>0.0</v>
      </c>
      <c r="EC321" s="19">
        <v>0.0</v>
      </c>
      <c r="ED321" s="19" t="s">
        <v>3257</v>
      </c>
      <c r="EE321" s="24">
        <v>45525.0</v>
      </c>
      <c r="EF321" s="19" t="s">
        <v>3257</v>
      </c>
      <c r="EG321" s="19" t="s">
        <v>2271</v>
      </c>
      <c r="EH321" s="19" t="s">
        <v>2207</v>
      </c>
      <c r="EI321" s="22">
        <v>13.34375</v>
      </c>
      <c r="EJ321" s="19">
        <v>45.0</v>
      </c>
      <c r="EK321" s="19" t="s">
        <v>2113</v>
      </c>
      <c r="EL321" s="19" t="s">
        <v>2163</v>
      </c>
      <c r="EM321" s="19" t="s">
        <v>7836</v>
      </c>
      <c r="EN321" s="19" t="s">
        <v>953</v>
      </c>
      <c r="EO321" s="19" t="s">
        <v>7839</v>
      </c>
      <c r="EP321" s="19" t="s">
        <v>2122</v>
      </c>
      <c r="EQ321" s="19" t="s">
        <v>3253</v>
      </c>
      <c r="ER321" s="19"/>
      <c r="ES321" s="19" t="s">
        <v>953</v>
      </c>
      <c r="ET321" s="19" t="s">
        <v>953</v>
      </c>
      <c r="EU321" s="19" t="s">
        <v>7834</v>
      </c>
      <c r="EV321" s="19">
        <v>7104.0</v>
      </c>
      <c r="EW321" s="19" t="s">
        <v>16</v>
      </c>
      <c r="EX321" s="19">
        <v>2.0</v>
      </c>
      <c r="EY321" s="25" t="s">
        <v>952</v>
      </c>
      <c r="EZ321" s="19" t="s">
        <v>2154</v>
      </c>
      <c r="FA321" s="5" t="s">
        <v>7850</v>
      </c>
      <c r="FB321" s="26" t="s">
        <v>2156</v>
      </c>
      <c r="FC321" s="26"/>
    </row>
    <row r="322">
      <c r="A322" s="19"/>
      <c r="B322" s="19"/>
      <c r="C322" s="19" t="s">
        <v>2113</v>
      </c>
      <c r="D322" s="19" t="s">
        <v>7851</v>
      </c>
      <c r="E322" s="19" t="s">
        <v>7852</v>
      </c>
      <c r="F322" s="19" t="s">
        <v>7851</v>
      </c>
      <c r="G322" s="19"/>
      <c r="H322" s="19" t="s">
        <v>954</v>
      </c>
      <c r="I322" s="19" t="s">
        <v>956</v>
      </c>
      <c r="J322" s="19" t="s">
        <v>7853</v>
      </c>
      <c r="K322" s="19" t="s">
        <v>7854</v>
      </c>
      <c r="L322" s="20">
        <v>45420.0</v>
      </c>
      <c r="M322" s="20">
        <v>45428.0</v>
      </c>
      <c r="N322" s="20">
        <v>45428.0</v>
      </c>
      <c r="O322" s="19" t="s">
        <v>955</v>
      </c>
      <c r="P322" s="19">
        <v>0.0</v>
      </c>
      <c r="Q322" s="19">
        <v>20.0</v>
      </c>
      <c r="R322" s="19">
        <v>7592.0</v>
      </c>
      <c r="S322" s="20" t="s">
        <v>7855</v>
      </c>
      <c r="T322" s="20">
        <v>45461.0</v>
      </c>
      <c r="U322" s="19" t="s">
        <v>7851</v>
      </c>
      <c r="V322" s="19"/>
      <c r="W322" s="19" t="s">
        <v>7856</v>
      </c>
      <c r="X322" s="21">
        <v>0.0</v>
      </c>
      <c r="Y322" s="21">
        <v>10.0</v>
      </c>
      <c r="Z322" s="21">
        <v>2.0</v>
      </c>
      <c r="AA322" s="21">
        <v>0.0</v>
      </c>
      <c r="AB322" s="5">
        <v>12.0</v>
      </c>
      <c r="AC322" s="19">
        <v>5.0</v>
      </c>
      <c r="AD322" s="19">
        <v>5.0</v>
      </c>
      <c r="AE322" s="19">
        <v>5.0</v>
      </c>
      <c r="AF322" s="19">
        <v>5.0</v>
      </c>
      <c r="AG322" s="19">
        <v>4.0</v>
      </c>
      <c r="AH322" s="19">
        <v>4.0</v>
      </c>
      <c r="AI322" s="22">
        <v>14.25</v>
      </c>
      <c r="AJ322" s="19">
        <v>14.0</v>
      </c>
      <c r="AK322" s="19">
        <v>15.0</v>
      </c>
      <c r="AL322" s="19">
        <v>15.0</v>
      </c>
      <c r="AM322" s="19">
        <v>44.0</v>
      </c>
      <c r="AN322" s="19">
        <v>58.3</v>
      </c>
      <c r="AO322" s="19">
        <v>70.3</v>
      </c>
      <c r="AP322" s="19">
        <v>875.0</v>
      </c>
      <c r="AQ322" s="23">
        <v>315.0</v>
      </c>
      <c r="AR322" s="23">
        <v>35.0</v>
      </c>
      <c r="AS322" s="22"/>
      <c r="AT322" s="19" t="s">
        <v>2282</v>
      </c>
      <c r="AU322" s="19" t="s">
        <v>7857</v>
      </c>
      <c r="AV322" s="19" t="s">
        <v>7858</v>
      </c>
      <c r="AW322" s="19" t="s">
        <v>7859</v>
      </c>
      <c r="AX322" s="20">
        <v>37869.0</v>
      </c>
      <c r="AY322" s="19" t="s">
        <v>3193</v>
      </c>
      <c r="AZ322" s="19" t="s">
        <v>2122</v>
      </c>
      <c r="BA322" s="19" t="s">
        <v>7860</v>
      </c>
      <c r="BB322" s="19" t="s">
        <v>7861</v>
      </c>
      <c r="BC322" s="19" t="s">
        <v>7862</v>
      </c>
      <c r="BD322" s="19" t="s">
        <v>7863</v>
      </c>
      <c r="BE322" s="19" t="s">
        <v>7864</v>
      </c>
      <c r="BF322" s="19">
        <v>1.1991714415E10</v>
      </c>
      <c r="BG322" s="19" t="s">
        <v>2127</v>
      </c>
      <c r="BH322" s="19" t="s">
        <v>2128</v>
      </c>
      <c r="BI322" s="19"/>
      <c r="BJ322" s="19" t="s">
        <v>2128</v>
      </c>
      <c r="BK322" s="19" t="s">
        <v>17</v>
      </c>
      <c r="BL322" s="19" t="s">
        <v>2113</v>
      </c>
      <c r="BM322" s="19" t="s">
        <v>5411</v>
      </c>
      <c r="BN322" s="19" t="s">
        <v>3951</v>
      </c>
      <c r="BO322" s="19" t="s">
        <v>3199</v>
      </c>
      <c r="BP322" s="19"/>
      <c r="BQ322" s="19" t="s">
        <v>2133</v>
      </c>
      <c r="BR322" s="19" t="s">
        <v>2133</v>
      </c>
      <c r="BS322" s="19" t="s">
        <v>2134</v>
      </c>
      <c r="BT322" s="19" t="s">
        <v>15</v>
      </c>
      <c r="BU322" s="19" t="s">
        <v>4570</v>
      </c>
      <c r="BV322" s="19"/>
      <c r="BW322" s="19"/>
      <c r="BX322" s="19"/>
      <c r="BY322" s="19"/>
      <c r="BZ322" s="19"/>
      <c r="CA322" s="19"/>
      <c r="CB322" s="19" t="s">
        <v>2113</v>
      </c>
      <c r="CC322" s="19"/>
      <c r="CD322" s="19" t="s">
        <v>2137</v>
      </c>
      <c r="CE322" s="19" t="s">
        <v>16</v>
      </c>
      <c r="CF322" s="19"/>
      <c r="CG322" s="19"/>
      <c r="CH322" s="19" t="s">
        <v>16</v>
      </c>
      <c r="CI322" s="21">
        <v>0.0</v>
      </c>
      <c r="CJ322" s="19" t="s">
        <v>16</v>
      </c>
      <c r="CK322" s="19"/>
      <c r="CL322" s="19"/>
      <c r="CM322" s="19" t="s">
        <v>2138</v>
      </c>
      <c r="CN322" s="19" t="s">
        <v>3202</v>
      </c>
      <c r="CO322" s="19"/>
      <c r="CP322" s="19" t="s">
        <v>2140</v>
      </c>
      <c r="CQ322" s="19"/>
      <c r="CR322" s="19" t="s">
        <v>2113</v>
      </c>
      <c r="CS322" s="19" t="s">
        <v>2113</v>
      </c>
      <c r="CT322" s="19" t="s">
        <v>2113</v>
      </c>
      <c r="CU322" s="19" t="s">
        <v>2113</v>
      </c>
      <c r="CV322" s="19" t="s">
        <v>2141</v>
      </c>
      <c r="CW322" s="19" t="s">
        <v>2113</v>
      </c>
      <c r="CX322" s="19" t="s">
        <v>2113</v>
      </c>
      <c r="CY322" s="19"/>
      <c r="CZ322" s="19"/>
      <c r="DA322" s="19" t="s">
        <v>16</v>
      </c>
      <c r="DB322" s="19" t="s">
        <v>16</v>
      </c>
      <c r="DC322" s="19" t="s">
        <v>3337</v>
      </c>
      <c r="DD322" s="19" t="s">
        <v>2113</v>
      </c>
      <c r="DE322" s="19" t="s">
        <v>2113</v>
      </c>
      <c r="DF322" s="19" t="s">
        <v>2804</v>
      </c>
      <c r="DG322" s="19" t="s">
        <v>3163</v>
      </c>
      <c r="DH322" s="19" t="s">
        <v>2144</v>
      </c>
      <c r="DI322" s="24">
        <v>45525.0</v>
      </c>
      <c r="DJ322" s="19" t="s">
        <v>2133</v>
      </c>
      <c r="DK322" s="19" t="s">
        <v>2271</v>
      </c>
      <c r="DL322" s="19" t="s">
        <v>2146</v>
      </c>
      <c r="DM322" s="19" t="s">
        <v>2408</v>
      </c>
      <c r="DN322" s="19">
        <v>10.0</v>
      </c>
      <c r="DO322" s="19">
        <v>10.0</v>
      </c>
      <c r="DP322" s="19" t="s">
        <v>7865</v>
      </c>
      <c r="DQ322" s="19" t="s">
        <v>7866</v>
      </c>
      <c r="DR322" s="19" t="s">
        <v>7867</v>
      </c>
      <c r="DS322" s="19" t="s">
        <v>2365</v>
      </c>
      <c r="DT322" s="19" t="s">
        <v>2209</v>
      </c>
      <c r="DU322" s="19"/>
      <c r="DV322" s="19"/>
      <c r="DW322" s="19" t="s">
        <v>2153</v>
      </c>
      <c r="DX322" s="19">
        <v>8.0</v>
      </c>
      <c r="DY322" s="19">
        <v>10.0</v>
      </c>
      <c r="DZ322" s="19">
        <v>0.0</v>
      </c>
      <c r="EA322" s="19">
        <v>10.0</v>
      </c>
      <c r="EB322" s="19">
        <v>0.0</v>
      </c>
      <c r="EC322" s="19">
        <v>0.0</v>
      </c>
      <c r="ED322" s="19" t="s">
        <v>2133</v>
      </c>
      <c r="EE322" s="24">
        <v>45525.0</v>
      </c>
      <c r="EF322" s="19" t="s">
        <v>2133</v>
      </c>
      <c r="EG322" s="19" t="s">
        <v>2271</v>
      </c>
      <c r="EH322" s="19" t="s">
        <v>2146</v>
      </c>
      <c r="EI322" s="22">
        <v>14.25</v>
      </c>
      <c r="EJ322" s="19">
        <v>44.0</v>
      </c>
      <c r="EK322" s="19"/>
      <c r="EL322" s="19" t="s">
        <v>2282</v>
      </c>
      <c r="EM322" s="19" t="s">
        <v>7857</v>
      </c>
      <c r="EN322" s="19" t="s">
        <v>956</v>
      </c>
      <c r="EO322" s="19" t="s">
        <v>3193</v>
      </c>
      <c r="EP322" s="19" t="s">
        <v>2122</v>
      </c>
      <c r="EQ322" s="19" t="s">
        <v>3202</v>
      </c>
      <c r="ER322" s="19"/>
      <c r="ES322" s="19" t="s">
        <v>956</v>
      </c>
      <c r="ET322" s="19" t="s">
        <v>956</v>
      </c>
      <c r="EU322" s="19" t="s">
        <v>7854</v>
      </c>
      <c r="EV322" s="19">
        <v>7592.0</v>
      </c>
      <c r="EW322" s="19" t="s">
        <v>16</v>
      </c>
      <c r="EX322" s="19">
        <v>2.0</v>
      </c>
      <c r="EY322" s="25" t="s">
        <v>955</v>
      </c>
      <c r="EZ322" s="19" t="s">
        <v>2154</v>
      </c>
      <c r="FA322" s="5" t="s">
        <v>7868</v>
      </c>
      <c r="FB322" s="26" t="s">
        <v>2156</v>
      </c>
      <c r="FC322" s="26"/>
    </row>
    <row r="323">
      <c r="A323" s="19" t="s">
        <v>2156</v>
      </c>
      <c r="B323" s="19"/>
      <c r="C323" s="19" t="s">
        <v>2113</v>
      </c>
      <c r="D323" s="19" t="s">
        <v>957</v>
      </c>
      <c r="E323" s="19" t="s">
        <v>7869</v>
      </c>
      <c r="F323" s="19" t="s">
        <v>957</v>
      </c>
      <c r="G323" s="19"/>
      <c r="H323" s="19" t="s">
        <v>957</v>
      </c>
      <c r="I323" s="19" t="s">
        <v>959</v>
      </c>
      <c r="J323" s="19" t="s">
        <v>7870</v>
      </c>
      <c r="K323" s="19" t="s">
        <v>7871</v>
      </c>
      <c r="L323" s="20">
        <v>45428.0</v>
      </c>
      <c r="M323" s="20">
        <v>45429.0</v>
      </c>
      <c r="N323" s="20">
        <v>45429.0</v>
      </c>
      <c r="O323" s="19" t="s">
        <v>958</v>
      </c>
      <c r="P323" s="19">
        <v>0.0</v>
      </c>
      <c r="Q323" s="19">
        <v>21.0</v>
      </c>
      <c r="R323" s="19">
        <v>7981.0</v>
      </c>
      <c r="S323" s="20" t="s">
        <v>7872</v>
      </c>
      <c r="T323" s="20">
        <v>45461.0</v>
      </c>
      <c r="U323" s="19" t="s">
        <v>957</v>
      </c>
      <c r="V323" s="19"/>
      <c r="W323" s="19" t="s">
        <v>7873</v>
      </c>
      <c r="X323" s="21">
        <v>0.0</v>
      </c>
      <c r="Y323" s="21">
        <v>10.0</v>
      </c>
      <c r="Z323" s="21">
        <v>4.0</v>
      </c>
      <c r="AA323" s="21">
        <v>0.0</v>
      </c>
      <c r="AB323" s="5">
        <v>14.0</v>
      </c>
      <c r="AC323" s="19">
        <v>3.0</v>
      </c>
      <c r="AD323" s="19">
        <v>4.0</v>
      </c>
      <c r="AE323" s="19">
        <v>4.0</v>
      </c>
      <c r="AF323" s="19">
        <v>4.0</v>
      </c>
      <c r="AG323" s="19">
        <v>3.0</v>
      </c>
      <c r="AH323" s="19">
        <v>4.0</v>
      </c>
      <c r="AI323" s="22">
        <v>11.15625</v>
      </c>
      <c r="AJ323" s="19">
        <v>15.0</v>
      </c>
      <c r="AK323" s="19">
        <v>15.0</v>
      </c>
      <c r="AL323" s="19">
        <v>15.0</v>
      </c>
      <c r="AM323" s="19">
        <v>45.0</v>
      </c>
      <c r="AN323" s="19">
        <v>56.2</v>
      </c>
      <c r="AO323" s="19">
        <v>70.2</v>
      </c>
      <c r="AP323" s="19">
        <v>618.0</v>
      </c>
      <c r="AQ323" s="23">
        <v>316.0</v>
      </c>
      <c r="AR323" s="23">
        <v>23.0</v>
      </c>
      <c r="AS323" s="22"/>
      <c r="AT323" s="19" t="s">
        <v>2282</v>
      </c>
      <c r="AU323" s="19" t="s">
        <v>4513</v>
      </c>
      <c r="AV323" s="19" t="s">
        <v>7874</v>
      </c>
      <c r="AW323" s="19"/>
      <c r="AX323" s="20">
        <v>37480.0</v>
      </c>
      <c r="AY323" s="19" t="s">
        <v>2375</v>
      </c>
      <c r="AZ323" s="19" t="s">
        <v>2122</v>
      </c>
      <c r="BA323" s="19" t="s">
        <v>7875</v>
      </c>
      <c r="BB323" s="19" t="s">
        <v>3793</v>
      </c>
      <c r="BC323" s="19" t="s">
        <v>7876</v>
      </c>
      <c r="BD323" s="19" t="s">
        <v>7877</v>
      </c>
      <c r="BE323" s="19" t="s">
        <v>7878</v>
      </c>
      <c r="BF323" s="19">
        <v>1.1986317589E10</v>
      </c>
      <c r="BG323" s="19" t="s">
        <v>2127</v>
      </c>
      <c r="BH323" s="19" t="s">
        <v>2128</v>
      </c>
      <c r="BI323" s="19"/>
      <c r="BJ323" s="19"/>
      <c r="BK323" s="19" t="s">
        <v>16</v>
      </c>
      <c r="BL323" s="19"/>
      <c r="BM323" s="19" t="s">
        <v>5563</v>
      </c>
      <c r="BN323" s="19" t="s">
        <v>2291</v>
      </c>
      <c r="BO323" s="19" t="s">
        <v>2317</v>
      </c>
      <c r="BP323" s="19"/>
      <c r="BQ323" s="19" t="s">
        <v>2133</v>
      </c>
      <c r="BR323" s="19" t="s">
        <v>2133</v>
      </c>
      <c r="BS323" s="19" t="s">
        <v>2134</v>
      </c>
      <c r="BT323" s="19" t="s">
        <v>52</v>
      </c>
      <c r="BU323" s="19" t="s">
        <v>7879</v>
      </c>
      <c r="BV323" s="19"/>
      <c r="BW323" s="19" t="s">
        <v>2113</v>
      </c>
      <c r="BX323" s="19"/>
      <c r="BY323" s="19"/>
      <c r="BZ323" s="19"/>
      <c r="CA323" s="19"/>
      <c r="CB323" s="19" t="s">
        <v>2113</v>
      </c>
      <c r="CC323" s="19"/>
      <c r="CD323" s="19" t="s">
        <v>2137</v>
      </c>
      <c r="CE323" s="19" t="s">
        <v>16</v>
      </c>
      <c r="CF323" s="19"/>
      <c r="CG323" s="19"/>
      <c r="CH323" s="19" t="s">
        <v>16</v>
      </c>
      <c r="CI323" s="21">
        <v>0.0</v>
      </c>
      <c r="CJ323" s="19" t="s">
        <v>16</v>
      </c>
      <c r="CK323" s="19"/>
      <c r="CL323" s="19"/>
      <c r="CM323" s="19" t="s">
        <v>2138</v>
      </c>
      <c r="CN323" s="19" t="s">
        <v>2382</v>
      </c>
      <c r="CO323" s="19"/>
      <c r="CP323" s="19"/>
      <c r="CQ323" s="19"/>
      <c r="CR323" s="19" t="s">
        <v>2113</v>
      </c>
      <c r="CS323" s="19" t="s">
        <v>2113</v>
      </c>
      <c r="CT323" s="19" t="s">
        <v>2113</v>
      </c>
      <c r="CU323" s="19" t="s">
        <v>2113</v>
      </c>
      <c r="CV323" s="19" t="s">
        <v>2141</v>
      </c>
      <c r="CW323" s="19" t="s">
        <v>2113</v>
      </c>
      <c r="CX323" s="19" t="s">
        <v>2113</v>
      </c>
      <c r="CY323" s="19" t="s">
        <v>2113</v>
      </c>
      <c r="CZ323" s="19" t="s">
        <v>2113</v>
      </c>
      <c r="DA323" s="19" t="s">
        <v>16</v>
      </c>
      <c r="DB323" s="19" t="s">
        <v>16</v>
      </c>
      <c r="DC323" s="19" t="s">
        <v>2671</v>
      </c>
      <c r="DD323" s="19" t="s">
        <v>2113</v>
      </c>
      <c r="DE323" s="19" t="s">
        <v>2113</v>
      </c>
      <c r="DF323" s="19" t="s">
        <v>2627</v>
      </c>
      <c r="DG323" s="19" t="s">
        <v>3163</v>
      </c>
      <c r="DH323" s="19" t="s">
        <v>2144</v>
      </c>
      <c r="DI323" s="24">
        <v>45518.0</v>
      </c>
      <c r="DJ323" s="19" t="s">
        <v>2133</v>
      </c>
      <c r="DK323" s="19" t="s">
        <v>2145</v>
      </c>
      <c r="DL323" s="19" t="s">
        <v>2146</v>
      </c>
      <c r="DM323" s="19" t="s">
        <v>2672</v>
      </c>
      <c r="DN323" s="19">
        <v>3.0</v>
      </c>
      <c r="DO323" s="19">
        <v>3.0</v>
      </c>
      <c r="DP323" s="19" t="s">
        <v>7880</v>
      </c>
      <c r="DQ323" s="19" t="s">
        <v>7881</v>
      </c>
      <c r="DR323" s="19" t="s">
        <v>7882</v>
      </c>
      <c r="DS323" s="19" t="s">
        <v>2365</v>
      </c>
      <c r="DT323" s="19" t="s">
        <v>2350</v>
      </c>
      <c r="DU323" s="19"/>
      <c r="DV323" s="19"/>
      <c r="DW323" s="19" t="s">
        <v>2153</v>
      </c>
      <c r="DX323" s="19">
        <v>7.0</v>
      </c>
      <c r="DY323" s="19">
        <v>10.0</v>
      </c>
      <c r="DZ323" s="19">
        <v>0.0</v>
      </c>
      <c r="EA323" s="19">
        <v>10.0</v>
      </c>
      <c r="EB323" s="19">
        <v>0.0</v>
      </c>
      <c r="EC323" s="19">
        <v>0.0</v>
      </c>
      <c r="ED323" s="19" t="s">
        <v>2133</v>
      </c>
      <c r="EE323" s="24">
        <v>45518.0</v>
      </c>
      <c r="EF323" s="19" t="s">
        <v>2133</v>
      </c>
      <c r="EG323" s="19" t="s">
        <v>2145</v>
      </c>
      <c r="EH323" s="19" t="s">
        <v>2146</v>
      </c>
      <c r="EI323" s="22">
        <v>11.15625</v>
      </c>
      <c r="EJ323" s="19">
        <v>45.0</v>
      </c>
      <c r="EK323" s="19"/>
      <c r="EL323" s="19" t="s">
        <v>2282</v>
      </c>
      <c r="EM323" s="19" t="s">
        <v>4513</v>
      </c>
      <c r="EN323" s="19" t="s">
        <v>959</v>
      </c>
      <c r="EO323" s="19" t="s">
        <v>2375</v>
      </c>
      <c r="EP323" s="19" t="s">
        <v>2122</v>
      </c>
      <c r="EQ323" s="19" t="s">
        <v>2382</v>
      </c>
      <c r="ER323" s="19"/>
      <c r="ES323" s="19" t="s">
        <v>959</v>
      </c>
      <c r="ET323" s="19" t="s">
        <v>959</v>
      </c>
      <c r="EU323" s="19" t="s">
        <v>7871</v>
      </c>
      <c r="EV323" s="19">
        <v>7981.0</v>
      </c>
      <c r="EW323" s="19" t="s">
        <v>16</v>
      </c>
      <c r="EX323" s="19">
        <v>4.0</v>
      </c>
      <c r="EY323" s="25" t="s">
        <v>958</v>
      </c>
      <c r="EZ323" s="19" t="s">
        <v>2154</v>
      </c>
      <c r="FA323" s="5" t="s">
        <v>7883</v>
      </c>
      <c r="FB323" s="26" t="s">
        <v>2156</v>
      </c>
      <c r="FC323" s="26"/>
    </row>
    <row r="324">
      <c r="A324" s="19" t="s">
        <v>2156</v>
      </c>
      <c r="B324" s="19"/>
      <c r="C324" s="19" t="s">
        <v>2113</v>
      </c>
      <c r="D324" s="19" t="s">
        <v>960</v>
      </c>
      <c r="E324" s="19" t="s">
        <v>7884</v>
      </c>
      <c r="F324" s="19" t="s">
        <v>960</v>
      </c>
      <c r="G324" s="19"/>
      <c r="H324" s="19" t="s">
        <v>960</v>
      </c>
      <c r="I324" s="19" t="s">
        <v>962</v>
      </c>
      <c r="J324" s="19" t="s">
        <v>7885</v>
      </c>
      <c r="K324" s="19" t="s">
        <v>7886</v>
      </c>
      <c r="L324" s="20">
        <v>45419.0</v>
      </c>
      <c r="M324" s="20">
        <v>45428.0</v>
      </c>
      <c r="N324" s="20">
        <v>45428.0</v>
      </c>
      <c r="O324" s="19" t="s">
        <v>961</v>
      </c>
      <c r="P324" s="19">
        <v>0.0</v>
      </c>
      <c r="Q324" s="19">
        <v>19.0</v>
      </c>
      <c r="R324" s="19">
        <v>7161.0</v>
      </c>
      <c r="S324" s="20" t="s">
        <v>7887</v>
      </c>
      <c r="T324" s="20">
        <v>45461.0</v>
      </c>
      <c r="U324" s="19" t="s">
        <v>960</v>
      </c>
      <c r="V324" s="19"/>
      <c r="W324" s="19"/>
      <c r="X324" s="21">
        <v>0.0</v>
      </c>
      <c r="Y324" s="21">
        <v>10.0</v>
      </c>
      <c r="Z324" s="21">
        <v>4.0</v>
      </c>
      <c r="AA324" s="21">
        <v>0.0</v>
      </c>
      <c r="AB324" s="5">
        <v>14.0</v>
      </c>
      <c r="AC324" s="19">
        <v>4.5</v>
      </c>
      <c r="AD324" s="19">
        <v>5.0</v>
      </c>
      <c r="AE324" s="19">
        <v>4.5</v>
      </c>
      <c r="AF324" s="19">
        <v>4.5</v>
      </c>
      <c r="AG324" s="19">
        <v>5.0</v>
      </c>
      <c r="AH324" s="19">
        <v>5.0</v>
      </c>
      <c r="AI324" s="22">
        <v>14.203125</v>
      </c>
      <c r="AJ324" s="19">
        <v>14.0</v>
      </c>
      <c r="AK324" s="19">
        <v>15.0</v>
      </c>
      <c r="AL324" s="19">
        <v>13.0</v>
      </c>
      <c r="AM324" s="19">
        <v>42.0</v>
      </c>
      <c r="AN324" s="19">
        <v>56.2</v>
      </c>
      <c r="AO324" s="19">
        <v>70.2</v>
      </c>
      <c r="AP324" s="19">
        <v>629.0</v>
      </c>
      <c r="AQ324" s="23">
        <v>317.0</v>
      </c>
      <c r="AR324" s="23">
        <v>24.0</v>
      </c>
      <c r="AS324" s="22"/>
      <c r="AT324" s="19" t="s">
        <v>2163</v>
      </c>
      <c r="AU324" s="19" t="s">
        <v>7888</v>
      </c>
      <c r="AV324" s="19" t="s">
        <v>7889</v>
      </c>
      <c r="AW324" s="19"/>
      <c r="AX324" s="20">
        <v>38300.0</v>
      </c>
      <c r="AY324" s="19" t="s">
        <v>2858</v>
      </c>
      <c r="AZ324" s="19" t="s">
        <v>2122</v>
      </c>
      <c r="BA324" s="19" t="s">
        <v>7890</v>
      </c>
      <c r="BB324" s="19" t="s">
        <v>7891</v>
      </c>
      <c r="BC324" s="19" t="s">
        <v>7892</v>
      </c>
      <c r="BD324" s="19" t="s">
        <v>7893</v>
      </c>
      <c r="BE324" s="19"/>
      <c r="BF324" s="19"/>
      <c r="BG324" s="19" t="s">
        <v>2127</v>
      </c>
      <c r="BH324" s="19" t="s">
        <v>2128</v>
      </c>
      <c r="BI324" s="19"/>
      <c r="BJ324" s="19" t="s">
        <v>2128</v>
      </c>
      <c r="BK324" s="19" t="s">
        <v>17</v>
      </c>
      <c r="BL324" s="19"/>
      <c r="BM324" s="19" t="s">
        <v>5411</v>
      </c>
      <c r="BN324" s="19" t="s">
        <v>17</v>
      </c>
      <c r="BO324" s="19" t="s">
        <v>2317</v>
      </c>
      <c r="BP324" s="19" t="s">
        <v>7894</v>
      </c>
      <c r="BQ324" s="19" t="s">
        <v>2325</v>
      </c>
      <c r="BR324" s="19" t="s">
        <v>2325</v>
      </c>
      <c r="BS324" s="19" t="s">
        <v>2134</v>
      </c>
      <c r="BT324" s="19" t="s">
        <v>118</v>
      </c>
      <c r="BU324" s="19" t="s">
        <v>7895</v>
      </c>
      <c r="BV324" s="19"/>
      <c r="BW324" s="19"/>
      <c r="BX324" s="19"/>
      <c r="BY324" s="19"/>
      <c r="BZ324" s="19"/>
      <c r="CA324" s="19"/>
      <c r="CB324" s="19" t="s">
        <v>2113</v>
      </c>
      <c r="CC324" s="19"/>
      <c r="CD324" s="19" t="s">
        <v>2137</v>
      </c>
      <c r="CE324" s="19" t="s">
        <v>16</v>
      </c>
      <c r="CF324" s="19"/>
      <c r="CG324" s="19"/>
      <c r="CH324" s="19" t="s">
        <v>16</v>
      </c>
      <c r="CI324" s="21">
        <v>0.0</v>
      </c>
      <c r="CJ324" s="19" t="s">
        <v>17</v>
      </c>
      <c r="CK324" s="19"/>
      <c r="CL324" s="19"/>
      <c r="CM324" s="19" t="s">
        <v>2138</v>
      </c>
      <c r="CN324" s="19" t="s">
        <v>2868</v>
      </c>
      <c r="CO324" s="19"/>
      <c r="CP324" s="19" t="s">
        <v>2140</v>
      </c>
      <c r="CQ324" s="19"/>
      <c r="CR324" s="19"/>
      <c r="CS324" s="19"/>
      <c r="CT324" s="19"/>
      <c r="CU324" s="19"/>
      <c r="CV324" s="19" t="s">
        <v>2141</v>
      </c>
      <c r="CW324" s="19"/>
      <c r="CX324" s="19"/>
      <c r="CY324" s="19"/>
      <c r="CZ324" s="19"/>
      <c r="DA324" s="19" t="s">
        <v>16</v>
      </c>
      <c r="DB324" s="19" t="s">
        <v>17</v>
      </c>
      <c r="DC324" s="19" t="s">
        <v>2455</v>
      </c>
      <c r="DD324" s="19" t="s">
        <v>2113</v>
      </c>
      <c r="DE324" s="19" t="s">
        <v>2113</v>
      </c>
      <c r="DF324" s="19" t="s">
        <v>2498</v>
      </c>
      <c r="DG324" s="19" t="s">
        <v>2433</v>
      </c>
      <c r="DH324" s="19" t="s">
        <v>2144</v>
      </c>
      <c r="DI324" s="24">
        <v>45517.0</v>
      </c>
      <c r="DJ324" s="19" t="s">
        <v>2325</v>
      </c>
      <c r="DK324" s="19" t="s">
        <v>2271</v>
      </c>
      <c r="DL324" s="19" t="s">
        <v>2326</v>
      </c>
      <c r="DM324" s="19"/>
      <c r="DN324" s="19">
        <v>2.0</v>
      </c>
      <c r="DO324" s="19">
        <v>2.0</v>
      </c>
      <c r="DP324" s="19" t="s">
        <v>7896</v>
      </c>
      <c r="DQ324" s="19" t="s">
        <v>7897</v>
      </c>
      <c r="DR324" s="19" t="s">
        <v>7898</v>
      </c>
      <c r="DS324" s="19" t="s">
        <v>2185</v>
      </c>
      <c r="DT324" s="19" t="s">
        <v>2366</v>
      </c>
      <c r="DU324" s="19"/>
      <c r="DV324" s="19"/>
      <c r="DW324" s="19" t="s">
        <v>2153</v>
      </c>
      <c r="DX324" s="19">
        <v>3.0</v>
      </c>
      <c r="DY324" s="19">
        <v>10.0</v>
      </c>
      <c r="DZ324" s="19">
        <v>0.0</v>
      </c>
      <c r="EA324" s="19">
        <v>10.0</v>
      </c>
      <c r="EB324" s="19">
        <v>0.0</v>
      </c>
      <c r="EC324" s="19">
        <v>0.0</v>
      </c>
      <c r="ED324" s="19" t="s">
        <v>2325</v>
      </c>
      <c r="EE324" s="24">
        <v>45517.0</v>
      </c>
      <c r="EF324" s="19" t="s">
        <v>2325</v>
      </c>
      <c r="EG324" s="19" t="s">
        <v>2271</v>
      </c>
      <c r="EH324" s="19" t="s">
        <v>2326</v>
      </c>
      <c r="EI324" s="22">
        <v>14.203125</v>
      </c>
      <c r="EJ324" s="19">
        <v>42.0</v>
      </c>
      <c r="EK324" s="19" t="s">
        <v>2113</v>
      </c>
      <c r="EL324" s="19" t="s">
        <v>2163</v>
      </c>
      <c r="EM324" s="19" t="s">
        <v>7888</v>
      </c>
      <c r="EN324" s="19" t="s">
        <v>962</v>
      </c>
      <c r="EO324" s="19" t="s">
        <v>2858</v>
      </c>
      <c r="EP324" s="19" t="s">
        <v>2122</v>
      </c>
      <c r="EQ324" s="19" t="s">
        <v>2868</v>
      </c>
      <c r="ER324" s="19"/>
      <c r="ES324" s="19" t="s">
        <v>962</v>
      </c>
      <c r="ET324" s="19" t="s">
        <v>962</v>
      </c>
      <c r="EU324" s="19" t="s">
        <v>7886</v>
      </c>
      <c r="EV324" s="19">
        <v>7161.0</v>
      </c>
      <c r="EW324" s="19" t="s">
        <v>16</v>
      </c>
      <c r="EX324" s="19">
        <v>4.0</v>
      </c>
      <c r="EY324" s="25" t="s">
        <v>961</v>
      </c>
      <c r="EZ324" s="19" t="s">
        <v>2154</v>
      </c>
      <c r="FA324" s="5" t="s">
        <v>7899</v>
      </c>
      <c r="FB324" s="26" t="s">
        <v>2156</v>
      </c>
      <c r="FC324" s="26"/>
    </row>
    <row r="325">
      <c r="A325" s="19" t="s">
        <v>2112</v>
      </c>
      <c r="B325" s="19"/>
      <c r="C325" s="19" t="s">
        <v>2113</v>
      </c>
      <c r="D325" s="19" t="s">
        <v>963</v>
      </c>
      <c r="E325" s="19" t="s">
        <v>7900</v>
      </c>
      <c r="F325" s="19" t="s">
        <v>963</v>
      </c>
      <c r="G325" s="19"/>
      <c r="H325" s="19" t="s">
        <v>963</v>
      </c>
      <c r="I325" s="19" t="s">
        <v>965</v>
      </c>
      <c r="J325" s="19" t="s">
        <v>7901</v>
      </c>
      <c r="K325" s="19" t="s">
        <v>7902</v>
      </c>
      <c r="L325" s="20">
        <v>45445.0</v>
      </c>
      <c r="M325" s="20">
        <v>45446.0</v>
      </c>
      <c r="N325" s="20">
        <v>45446.0</v>
      </c>
      <c r="O325" s="19" t="s">
        <v>964</v>
      </c>
      <c r="P325" s="19">
        <v>0.0</v>
      </c>
      <c r="Q325" s="19">
        <v>28.0</v>
      </c>
      <c r="R325" s="19">
        <v>10263.0</v>
      </c>
      <c r="S325" s="20" t="s">
        <v>7903</v>
      </c>
      <c r="T325" s="20">
        <v>45461.0</v>
      </c>
      <c r="U325" s="19" t="s">
        <v>963</v>
      </c>
      <c r="V325" s="19"/>
      <c r="W325" s="19"/>
      <c r="X325" s="21">
        <v>0.0</v>
      </c>
      <c r="Y325" s="21">
        <v>10.0</v>
      </c>
      <c r="Z325" s="21">
        <v>5.0</v>
      </c>
      <c r="AA325" s="21">
        <v>0.0</v>
      </c>
      <c r="AB325" s="5">
        <v>15.0</v>
      </c>
      <c r="AC325" s="19">
        <v>3.4</v>
      </c>
      <c r="AD325" s="19">
        <v>3.2</v>
      </c>
      <c r="AE325" s="19">
        <v>3.2</v>
      </c>
      <c r="AF325" s="19">
        <v>3.8</v>
      </c>
      <c r="AG325" s="19">
        <v>3.2</v>
      </c>
      <c r="AH325" s="19">
        <v>3.8</v>
      </c>
      <c r="AI325" s="22">
        <v>10.14375</v>
      </c>
      <c r="AJ325" s="19">
        <v>15.0</v>
      </c>
      <c r="AK325" s="19">
        <v>15.0</v>
      </c>
      <c r="AL325" s="19">
        <v>15.0</v>
      </c>
      <c r="AM325" s="19">
        <v>45.0</v>
      </c>
      <c r="AN325" s="19">
        <v>55.1</v>
      </c>
      <c r="AO325" s="19">
        <v>70.1</v>
      </c>
      <c r="AP325" s="19">
        <v>399.0</v>
      </c>
      <c r="AQ325" s="23">
        <v>318.0</v>
      </c>
      <c r="AR325" s="23">
        <v>23.0</v>
      </c>
      <c r="AS325" s="22"/>
      <c r="AT325" s="19" t="s">
        <v>2117</v>
      </c>
      <c r="AU325" s="19" t="s">
        <v>4679</v>
      </c>
      <c r="AV325" s="19" t="s">
        <v>7904</v>
      </c>
      <c r="AW325" s="19" t="s">
        <v>4438</v>
      </c>
      <c r="AX325" s="20">
        <v>35198.0</v>
      </c>
      <c r="AY325" s="19" t="s">
        <v>2529</v>
      </c>
      <c r="AZ325" s="19" t="s">
        <v>2310</v>
      </c>
      <c r="BA325" s="19" t="s">
        <v>7905</v>
      </c>
      <c r="BB325" s="19" t="s">
        <v>7906</v>
      </c>
      <c r="BC325" s="19" t="s">
        <v>7907</v>
      </c>
      <c r="BD325" s="19" t="s">
        <v>7908</v>
      </c>
      <c r="BE325" s="19" t="s">
        <v>7901</v>
      </c>
      <c r="BF325" s="19">
        <v>1.1986731002E10</v>
      </c>
      <c r="BG325" s="19" t="s">
        <v>2127</v>
      </c>
      <c r="BH325" s="19" t="s">
        <v>2128</v>
      </c>
      <c r="BI325" s="19"/>
      <c r="BJ325" s="19"/>
      <c r="BK325" s="19" t="s">
        <v>16</v>
      </c>
      <c r="BL325" s="19"/>
      <c r="BM325" s="19" t="s">
        <v>5411</v>
      </c>
      <c r="BN325" s="19" t="s">
        <v>17</v>
      </c>
      <c r="BO325" s="19" t="s">
        <v>2132</v>
      </c>
      <c r="BP325" s="19" t="s">
        <v>7909</v>
      </c>
      <c r="BQ325" s="19" t="s">
        <v>2174</v>
      </c>
      <c r="BR325" s="19" t="s">
        <v>2174</v>
      </c>
      <c r="BS325" s="19" t="s">
        <v>2243</v>
      </c>
      <c r="BT325" s="19" t="s">
        <v>75</v>
      </c>
      <c r="BU325" s="19" t="s">
        <v>7910</v>
      </c>
      <c r="BV325" s="19"/>
      <c r="BW325" s="19"/>
      <c r="BX325" s="19"/>
      <c r="BY325" s="19"/>
      <c r="BZ325" s="19" t="s">
        <v>2113</v>
      </c>
      <c r="CA325" s="19"/>
      <c r="CB325" s="19" t="s">
        <v>2113</v>
      </c>
      <c r="CC325" s="19"/>
      <c r="CD325" s="19" t="s">
        <v>2137</v>
      </c>
      <c r="CE325" s="19" t="s">
        <v>16</v>
      </c>
      <c r="CF325" s="19"/>
      <c r="CG325" s="19"/>
      <c r="CH325" s="19" t="s">
        <v>16</v>
      </c>
      <c r="CI325" s="21">
        <v>0.0</v>
      </c>
      <c r="CJ325" s="19" t="s">
        <v>17</v>
      </c>
      <c r="CK325" s="19"/>
      <c r="CL325" s="19"/>
      <c r="CM325" s="19" t="s">
        <v>2138</v>
      </c>
      <c r="CN325" s="19" t="s">
        <v>2537</v>
      </c>
      <c r="CO325" s="19"/>
      <c r="CP325" s="19"/>
      <c r="CQ325" s="19"/>
      <c r="CR325" s="19"/>
      <c r="CS325" s="19"/>
      <c r="CT325" s="19"/>
      <c r="CU325" s="19"/>
      <c r="CV325" s="19" t="s">
        <v>2141</v>
      </c>
      <c r="CW325" s="19"/>
      <c r="CX325" s="19"/>
      <c r="CY325" s="19"/>
      <c r="CZ325" s="19"/>
      <c r="DA325" s="19" t="s">
        <v>16</v>
      </c>
      <c r="DB325" s="19" t="s">
        <v>17</v>
      </c>
      <c r="DC325" s="19" t="s">
        <v>3562</v>
      </c>
      <c r="DD325" s="19" t="s">
        <v>2113</v>
      </c>
      <c r="DE325" s="19" t="s">
        <v>2113</v>
      </c>
      <c r="DF325" s="19" t="s">
        <v>2538</v>
      </c>
      <c r="DG325" s="19" t="s">
        <v>3684</v>
      </c>
      <c r="DH325" s="19" t="s">
        <v>2144</v>
      </c>
      <c r="DI325" s="24">
        <v>45519.0</v>
      </c>
      <c r="DJ325" s="19" t="s">
        <v>2174</v>
      </c>
      <c r="DK325" s="19" t="s">
        <v>2145</v>
      </c>
      <c r="DL325" s="19" t="s">
        <v>2183</v>
      </c>
      <c r="DM325" s="19" t="s">
        <v>4885</v>
      </c>
      <c r="DN325" s="19">
        <v>5.0</v>
      </c>
      <c r="DO325" s="19">
        <v>5.0</v>
      </c>
      <c r="DP325" s="19" t="s">
        <v>7911</v>
      </c>
      <c r="DQ325" s="19" t="s">
        <v>7912</v>
      </c>
      <c r="DR325" s="19" t="s">
        <v>7913</v>
      </c>
      <c r="DS325" s="19" t="s">
        <v>2151</v>
      </c>
      <c r="DT325" s="19" t="s">
        <v>2350</v>
      </c>
      <c r="DU325" s="19"/>
      <c r="DV325" s="19"/>
      <c r="DW325" s="19" t="s">
        <v>2153</v>
      </c>
      <c r="DX325" s="19">
        <v>14.0</v>
      </c>
      <c r="DY325" s="19">
        <v>10.0</v>
      </c>
      <c r="DZ325" s="19">
        <v>0.0</v>
      </c>
      <c r="EA325" s="19">
        <v>10.0</v>
      </c>
      <c r="EB325" s="19">
        <v>0.0</v>
      </c>
      <c r="EC325" s="19">
        <v>0.0</v>
      </c>
      <c r="ED325" s="19" t="s">
        <v>2174</v>
      </c>
      <c r="EE325" s="24">
        <v>45519.0</v>
      </c>
      <c r="EF325" s="19" t="s">
        <v>2174</v>
      </c>
      <c r="EG325" s="19" t="s">
        <v>2145</v>
      </c>
      <c r="EH325" s="19" t="s">
        <v>2183</v>
      </c>
      <c r="EI325" s="22">
        <v>10.14375</v>
      </c>
      <c r="EJ325" s="19">
        <v>45.0</v>
      </c>
      <c r="EK325" s="19" t="s">
        <v>2113</v>
      </c>
      <c r="EL325" s="19" t="s">
        <v>2117</v>
      </c>
      <c r="EM325" s="19" t="s">
        <v>4679</v>
      </c>
      <c r="EN325" s="19" t="s">
        <v>965</v>
      </c>
      <c r="EO325" s="19" t="s">
        <v>2529</v>
      </c>
      <c r="EP325" s="19" t="s">
        <v>2310</v>
      </c>
      <c r="EQ325" s="19" t="s">
        <v>2537</v>
      </c>
      <c r="ER325" s="19"/>
      <c r="ES325" s="19" t="s">
        <v>965</v>
      </c>
      <c r="ET325" s="19" t="s">
        <v>965</v>
      </c>
      <c r="EU325" s="19" t="s">
        <v>7902</v>
      </c>
      <c r="EV325" s="19">
        <v>10263.0</v>
      </c>
      <c r="EW325" s="19" t="s">
        <v>16</v>
      </c>
      <c r="EX325" s="19">
        <v>5.0</v>
      </c>
      <c r="EY325" s="25" t="s">
        <v>964</v>
      </c>
      <c r="EZ325" s="19" t="s">
        <v>2154</v>
      </c>
      <c r="FA325" s="5" t="s">
        <v>7914</v>
      </c>
      <c r="FB325" s="26" t="s">
        <v>2156</v>
      </c>
      <c r="FC325" s="26"/>
    </row>
    <row r="326">
      <c r="A326" s="19" t="s">
        <v>2112</v>
      </c>
      <c r="B326" s="19"/>
      <c r="C326" s="19" t="s">
        <v>2113</v>
      </c>
      <c r="D326" s="19" t="s">
        <v>966</v>
      </c>
      <c r="E326" s="19" t="s">
        <v>7915</v>
      </c>
      <c r="F326" s="19" t="s">
        <v>966</v>
      </c>
      <c r="G326" s="19"/>
      <c r="H326" s="19" t="s">
        <v>966</v>
      </c>
      <c r="I326" s="19" t="s">
        <v>968</v>
      </c>
      <c r="J326" s="19" t="s">
        <v>7916</v>
      </c>
      <c r="K326" s="19" t="s">
        <v>7917</v>
      </c>
      <c r="L326" s="20">
        <v>45440.0</v>
      </c>
      <c r="M326" s="20">
        <v>45441.0</v>
      </c>
      <c r="N326" s="20">
        <v>45441.0</v>
      </c>
      <c r="O326" s="19" t="s">
        <v>967</v>
      </c>
      <c r="P326" s="19">
        <v>1.0</v>
      </c>
      <c r="Q326" s="19">
        <v>20.0</v>
      </c>
      <c r="R326" s="19">
        <v>7666.0</v>
      </c>
      <c r="S326" s="20" t="s">
        <v>7918</v>
      </c>
      <c r="T326" s="20">
        <v>45461.0</v>
      </c>
      <c r="U326" s="19" t="s">
        <v>966</v>
      </c>
      <c r="V326" s="19"/>
      <c r="W326" s="19"/>
      <c r="X326" s="21">
        <v>0.0</v>
      </c>
      <c r="Y326" s="21">
        <v>10.0</v>
      </c>
      <c r="Z326" s="21">
        <v>5.0</v>
      </c>
      <c r="AA326" s="21">
        <v>0.0</v>
      </c>
      <c r="AB326" s="5">
        <v>15.0</v>
      </c>
      <c r="AC326" s="19">
        <v>5.0</v>
      </c>
      <c r="AD326" s="19">
        <v>4.0</v>
      </c>
      <c r="AE326" s="19">
        <v>4.0</v>
      </c>
      <c r="AF326" s="19">
        <v>3.0</v>
      </c>
      <c r="AG326" s="19">
        <v>4.0</v>
      </c>
      <c r="AH326" s="19">
        <v>4.0</v>
      </c>
      <c r="AI326" s="22">
        <v>12.09375</v>
      </c>
      <c r="AJ326" s="19">
        <v>14.0</v>
      </c>
      <c r="AK326" s="19">
        <v>15.0</v>
      </c>
      <c r="AL326" s="19">
        <v>14.0</v>
      </c>
      <c r="AM326" s="19">
        <v>43.0</v>
      </c>
      <c r="AN326" s="19">
        <v>55.1</v>
      </c>
      <c r="AO326" s="19">
        <v>70.1</v>
      </c>
      <c r="AP326" s="19">
        <v>488.0</v>
      </c>
      <c r="AQ326" s="23">
        <v>319.0</v>
      </c>
      <c r="AR326" s="23">
        <v>41.0</v>
      </c>
      <c r="AS326" s="22"/>
      <c r="AT326" s="19" t="s">
        <v>2282</v>
      </c>
      <c r="AU326" s="19" t="s">
        <v>7919</v>
      </c>
      <c r="AV326" s="19" t="s">
        <v>7920</v>
      </c>
      <c r="AW326" s="19" t="s">
        <v>7921</v>
      </c>
      <c r="AX326" s="20">
        <v>37795.0</v>
      </c>
      <c r="AY326" s="19" t="s">
        <v>2286</v>
      </c>
      <c r="AZ326" s="19" t="s">
        <v>2122</v>
      </c>
      <c r="BA326" s="19" t="s">
        <v>7922</v>
      </c>
      <c r="BB326" s="19" t="s">
        <v>7923</v>
      </c>
      <c r="BC326" s="19" t="s">
        <v>7924</v>
      </c>
      <c r="BD326" s="19" t="s">
        <v>7925</v>
      </c>
      <c r="BE326" s="19" t="s">
        <v>7926</v>
      </c>
      <c r="BF326" s="19">
        <v>1.1910996363E10</v>
      </c>
      <c r="BG326" s="19" t="s">
        <v>2127</v>
      </c>
      <c r="BH326" s="19" t="s">
        <v>4080</v>
      </c>
      <c r="BI326" s="19"/>
      <c r="BJ326" s="19" t="s">
        <v>2128</v>
      </c>
      <c r="BK326" s="19" t="s">
        <v>17</v>
      </c>
      <c r="BL326" s="19" t="s">
        <v>2113</v>
      </c>
      <c r="BM326" s="19" t="s">
        <v>5563</v>
      </c>
      <c r="BN326" s="19" t="s">
        <v>2112</v>
      </c>
      <c r="BO326" s="19" t="s">
        <v>2132</v>
      </c>
      <c r="BP326" s="19"/>
      <c r="BQ326" s="19" t="s">
        <v>2133</v>
      </c>
      <c r="BR326" s="19" t="s">
        <v>2133</v>
      </c>
      <c r="BS326" s="19" t="s">
        <v>2243</v>
      </c>
      <c r="BT326" s="19" t="s">
        <v>38</v>
      </c>
      <c r="BU326" s="19" t="s">
        <v>7927</v>
      </c>
      <c r="BV326" s="19"/>
      <c r="BW326" s="19"/>
      <c r="BX326" s="19" t="s">
        <v>2113</v>
      </c>
      <c r="BY326" s="19" t="s">
        <v>2113</v>
      </c>
      <c r="BZ326" s="19" t="s">
        <v>2113</v>
      </c>
      <c r="CA326" s="19" t="s">
        <v>2113</v>
      </c>
      <c r="CB326" s="19" t="s">
        <v>2113</v>
      </c>
      <c r="CC326" s="19"/>
      <c r="CD326" s="19" t="s">
        <v>2137</v>
      </c>
      <c r="CE326" s="19" t="s">
        <v>16</v>
      </c>
      <c r="CF326" s="19"/>
      <c r="CG326" s="19"/>
      <c r="CH326" s="19" t="s">
        <v>16</v>
      </c>
      <c r="CI326" s="21">
        <v>0.0</v>
      </c>
      <c r="CJ326" s="19" t="s">
        <v>16</v>
      </c>
      <c r="CK326" s="19"/>
      <c r="CL326" s="19"/>
      <c r="CM326" s="19" t="s">
        <v>2344</v>
      </c>
      <c r="CN326" s="19" t="s">
        <v>2294</v>
      </c>
      <c r="CO326" s="19"/>
      <c r="CP326" s="19" t="s">
        <v>2225</v>
      </c>
      <c r="CQ326" s="19"/>
      <c r="CR326" s="19" t="s">
        <v>2113</v>
      </c>
      <c r="CS326" s="19" t="s">
        <v>2113</v>
      </c>
      <c r="CT326" s="19" t="s">
        <v>2113</v>
      </c>
      <c r="CU326" s="19" t="s">
        <v>2113</v>
      </c>
      <c r="CV326" s="19" t="s">
        <v>2141</v>
      </c>
      <c r="CW326" s="19" t="s">
        <v>2113</v>
      </c>
      <c r="CX326" s="19" t="s">
        <v>2113</v>
      </c>
      <c r="CY326" s="19"/>
      <c r="CZ326" s="19"/>
      <c r="DA326" s="19" t="s">
        <v>16</v>
      </c>
      <c r="DB326" s="19" t="s">
        <v>16</v>
      </c>
      <c r="DC326" s="19" t="s">
        <v>2146</v>
      </c>
      <c r="DD326" s="19" t="s">
        <v>2113</v>
      </c>
      <c r="DE326" s="19" t="s">
        <v>2113</v>
      </c>
      <c r="DF326" s="19" t="s">
        <v>2433</v>
      </c>
      <c r="DG326" s="19" t="s">
        <v>2477</v>
      </c>
      <c r="DH326" s="19" t="s">
        <v>2144</v>
      </c>
      <c r="DI326" s="24">
        <v>45532.0</v>
      </c>
      <c r="DJ326" s="19" t="s">
        <v>2133</v>
      </c>
      <c r="DK326" s="19" t="s">
        <v>2145</v>
      </c>
      <c r="DL326" s="19" t="s">
        <v>2146</v>
      </c>
      <c r="DM326" s="19" t="s">
        <v>4101</v>
      </c>
      <c r="DN326" s="19">
        <v>15.0</v>
      </c>
      <c r="DO326" s="19">
        <v>15.0</v>
      </c>
      <c r="DP326" s="19" t="s">
        <v>7928</v>
      </c>
      <c r="DQ326" s="19" t="s">
        <v>7929</v>
      </c>
      <c r="DR326" s="19" t="s">
        <v>7930</v>
      </c>
      <c r="DS326" s="19" t="s">
        <v>2365</v>
      </c>
      <c r="DT326" s="19" t="s">
        <v>2152</v>
      </c>
      <c r="DU326" s="19"/>
      <c r="DV326" s="19"/>
      <c r="DW326" s="19" t="s">
        <v>2153</v>
      </c>
      <c r="DX326" s="19">
        <v>9.0</v>
      </c>
      <c r="DY326" s="19">
        <v>10.0</v>
      </c>
      <c r="DZ326" s="19">
        <v>0.0</v>
      </c>
      <c r="EA326" s="19">
        <v>10.0</v>
      </c>
      <c r="EB326" s="19">
        <v>0.0</v>
      </c>
      <c r="EC326" s="19">
        <v>0.0</v>
      </c>
      <c r="ED326" s="19" t="s">
        <v>2133</v>
      </c>
      <c r="EE326" s="24">
        <v>45532.0</v>
      </c>
      <c r="EF326" s="19" t="s">
        <v>2133</v>
      </c>
      <c r="EG326" s="19" t="s">
        <v>2145</v>
      </c>
      <c r="EH326" s="19" t="s">
        <v>2146</v>
      </c>
      <c r="EI326" s="22">
        <v>12.09375</v>
      </c>
      <c r="EJ326" s="19">
        <v>43.0</v>
      </c>
      <c r="EK326" s="19"/>
      <c r="EL326" s="19" t="s">
        <v>2282</v>
      </c>
      <c r="EM326" s="19" t="s">
        <v>7919</v>
      </c>
      <c r="EN326" s="19" t="s">
        <v>968</v>
      </c>
      <c r="EO326" s="19" t="s">
        <v>2286</v>
      </c>
      <c r="EP326" s="19" t="s">
        <v>2122</v>
      </c>
      <c r="EQ326" s="19" t="s">
        <v>2294</v>
      </c>
      <c r="ER326" s="19"/>
      <c r="ES326" s="19" t="s">
        <v>968</v>
      </c>
      <c r="ET326" s="19" t="s">
        <v>968</v>
      </c>
      <c r="EU326" s="19" t="s">
        <v>7917</v>
      </c>
      <c r="EV326" s="19">
        <v>7666.0</v>
      </c>
      <c r="EW326" s="19" t="s">
        <v>16</v>
      </c>
      <c r="EX326" s="19">
        <v>5.0</v>
      </c>
      <c r="EY326" s="25" t="s">
        <v>967</v>
      </c>
      <c r="EZ326" s="19" t="s">
        <v>2154</v>
      </c>
      <c r="FA326" s="5" t="s">
        <v>7931</v>
      </c>
      <c r="FB326" s="26" t="s">
        <v>2156</v>
      </c>
      <c r="FC326" s="26"/>
    </row>
    <row r="327">
      <c r="A327" s="19" t="s">
        <v>2112</v>
      </c>
      <c r="B327" s="19"/>
      <c r="C327" s="19" t="s">
        <v>2113</v>
      </c>
      <c r="D327" s="19" t="s">
        <v>969</v>
      </c>
      <c r="E327" s="19" t="s">
        <v>7932</v>
      </c>
      <c r="F327" s="19" t="s">
        <v>969</v>
      </c>
      <c r="G327" s="19"/>
      <c r="H327" s="19" t="s">
        <v>969</v>
      </c>
      <c r="I327" s="19" t="s">
        <v>971</v>
      </c>
      <c r="J327" s="19" t="s">
        <v>7933</v>
      </c>
      <c r="K327" s="19" t="s">
        <v>7934</v>
      </c>
      <c r="L327" s="20">
        <v>45425.0</v>
      </c>
      <c r="M327" s="20">
        <v>45428.0</v>
      </c>
      <c r="N327" s="20">
        <v>45428.0</v>
      </c>
      <c r="O327" s="19" t="s">
        <v>970</v>
      </c>
      <c r="P327" s="19">
        <v>1.0</v>
      </c>
      <c r="Q327" s="19">
        <v>19.0</v>
      </c>
      <c r="R327" s="19">
        <v>7187.0</v>
      </c>
      <c r="S327" s="20" t="s">
        <v>7935</v>
      </c>
      <c r="T327" s="20">
        <v>45461.0</v>
      </c>
      <c r="U327" s="19" t="s">
        <v>969</v>
      </c>
      <c r="V327" s="19"/>
      <c r="W327" s="19"/>
      <c r="X327" s="21">
        <v>0.0</v>
      </c>
      <c r="Y327" s="21">
        <v>10.0</v>
      </c>
      <c r="Z327" s="21">
        <v>5.0</v>
      </c>
      <c r="AA327" s="21">
        <v>0.0</v>
      </c>
      <c r="AB327" s="5">
        <v>15.0</v>
      </c>
      <c r="AC327" s="19">
        <v>5.0</v>
      </c>
      <c r="AD327" s="19">
        <v>4.0</v>
      </c>
      <c r="AE327" s="19">
        <v>4.0</v>
      </c>
      <c r="AF327" s="19">
        <v>5.0</v>
      </c>
      <c r="AG327" s="19">
        <v>5.0</v>
      </c>
      <c r="AH327" s="19">
        <v>3.6</v>
      </c>
      <c r="AI327" s="22">
        <v>13.068750000000001</v>
      </c>
      <c r="AJ327" s="19">
        <v>15.0</v>
      </c>
      <c r="AK327" s="19">
        <v>13.0</v>
      </c>
      <c r="AL327" s="19">
        <v>14.0</v>
      </c>
      <c r="AM327" s="19">
        <v>42.0</v>
      </c>
      <c r="AN327" s="19">
        <v>55.1</v>
      </c>
      <c r="AO327" s="19">
        <v>70.1</v>
      </c>
      <c r="AP327" s="19">
        <v>524.0</v>
      </c>
      <c r="AQ327" s="23">
        <v>320.0</v>
      </c>
      <c r="AR327" s="23">
        <v>47.0</v>
      </c>
      <c r="AS327" s="22"/>
      <c r="AT327" s="19" t="s">
        <v>2117</v>
      </c>
      <c r="AU327" s="19" t="s">
        <v>7936</v>
      </c>
      <c r="AV327" s="19" t="s">
        <v>7937</v>
      </c>
      <c r="AW327" s="19"/>
      <c r="AX327" s="20">
        <v>38274.0</v>
      </c>
      <c r="AY327" s="19" t="s">
        <v>2167</v>
      </c>
      <c r="AZ327" s="19" t="s">
        <v>2122</v>
      </c>
      <c r="BA327" s="19" t="s">
        <v>7938</v>
      </c>
      <c r="BB327" s="19" t="s">
        <v>7939</v>
      </c>
      <c r="BC327" s="19" t="s">
        <v>7940</v>
      </c>
      <c r="BD327" s="19" t="s">
        <v>7941</v>
      </c>
      <c r="BE327" s="19" t="s">
        <v>7933</v>
      </c>
      <c r="BF327" s="19">
        <v>1.1967418236E10</v>
      </c>
      <c r="BG327" s="19" t="s">
        <v>2127</v>
      </c>
      <c r="BH327" s="19" t="s">
        <v>2128</v>
      </c>
      <c r="BI327" s="19"/>
      <c r="BJ327" s="19"/>
      <c r="BK327" s="19"/>
      <c r="BL327" s="19" t="s">
        <v>2113</v>
      </c>
      <c r="BM327" s="19" t="s">
        <v>5411</v>
      </c>
      <c r="BN327" s="19" t="s">
        <v>17</v>
      </c>
      <c r="BO327" s="19" t="s">
        <v>2132</v>
      </c>
      <c r="BP327" s="19"/>
      <c r="BQ327" s="19" t="s">
        <v>2174</v>
      </c>
      <c r="BR327" s="19" t="s">
        <v>2174</v>
      </c>
      <c r="BS327" s="19" t="s">
        <v>2243</v>
      </c>
      <c r="BT327" s="19" t="s">
        <v>21</v>
      </c>
      <c r="BU327" s="19" t="s">
        <v>7942</v>
      </c>
      <c r="BV327" s="19"/>
      <c r="BW327" s="19"/>
      <c r="BX327" s="19"/>
      <c r="BY327" s="19"/>
      <c r="BZ327" s="19"/>
      <c r="CA327" s="19" t="s">
        <v>2113</v>
      </c>
      <c r="CB327" s="19" t="s">
        <v>2113</v>
      </c>
      <c r="CC327" s="19"/>
      <c r="CD327" s="19" t="s">
        <v>2137</v>
      </c>
      <c r="CE327" s="19" t="s">
        <v>16</v>
      </c>
      <c r="CF327" s="19"/>
      <c r="CG327" s="19"/>
      <c r="CH327" s="19" t="s">
        <v>16</v>
      </c>
      <c r="CI327" s="21">
        <v>0.0</v>
      </c>
      <c r="CJ327" s="19" t="s">
        <v>17</v>
      </c>
      <c r="CK327" s="19"/>
      <c r="CL327" s="19"/>
      <c r="CM327" s="19"/>
      <c r="CN327" s="19" t="s">
        <v>2176</v>
      </c>
      <c r="CO327" s="19"/>
      <c r="CP327" s="19"/>
      <c r="CQ327" s="19"/>
      <c r="CR327" s="19" t="s">
        <v>2113</v>
      </c>
      <c r="CS327" s="19" t="s">
        <v>2113</v>
      </c>
      <c r="CT327" s="19" t="s">
        <v>2113</v>
      </c>
      <c r="CU327" s="19" t="s">
        <v>2113</v>
      </c>
      <c r="CV327" s="19" t="s">
        <v>2179</v>
      </c>
      <c r="CW327" s="19"/>
      <c r="CX327" s="19"/>
      <c r="CY327" s="19"/>
      <c r="CZ327" s="19"/>
      <c r="DA327" s="19" t="s">
        <v>16</v>
      </c>
      <c r="DB327" s="19" t="s">
        <v>17</v>
      </c>
      <c r="DC327" s="19" t="s">
        <v>7081</v>
      </c>
      <c r="DD327" s="19" t="s">
        <v>2113</v>
      </c>
      <c r="DE327" s="19" t="s">
        <v>2113</v>
      </c>
      <c r="DF327" s="19" t="s">
        <v>6757</v>
      </c>
      <c r="DG327" s="19" t="s">
        <v>2180</v>
      </c>
      <c r="DH327" s="19" t="s">
        <v>2144</v>
      </c>
      <c r="DI327" s="24">
        <v>45531.0</v>
      </c>
      <c r="DJ327" s="19" t="s">
        <v>2174</v>
      </c>
      <c r="DK327" s="19" t="s">
        <v>2145</v>
      </c>
      <c r="DL327" s="19" t="s">
        <v>2183</v>
      </c>
      <c r="DM327" s="19"/>
      <c r="DN327" s="19">
        <v>7.0</v>
      </c>
      <c r="DO327" s="19">
        <v>7.0</v>
      </c>
      <c r="DP327" s="19"/>
      <c r="DQ327" s="19"/>
      <c r="DR327" s="19"/>
      <c r="DS327" s="19" t="s">
        <v>2151</v>
      </c>
      <c r="DT327" s="19" t="s">
        <v>2186</v>
      </c>
      <c r="DU327" s="19" t="s">
        <v>7943</v>
      </c>
      <c r="DV327" s="19"/>
      <c r="DW327" s="19" t="s">
        <v>2153</v>
      </c>
      <c r="DX327" s="19">
        <v>14.0</v>
      </c>
      <c r="DY327" s="19">
        <v>10.0</v>
      </c>
      <c r="DZ327" s="19">
        <v>0.0</v>
      </c>
      <c r="EA327" s="19">
        <v>10.0</v>
      </c>
      <c r="EB327" s="19">
        <v>0.0</v>
      </c>
      <c r="EC327" s="19">
        <v>0.0</v>
      </c>
      <c r="ED327" s="19" t="s">
        <v>2174</v>
      </c>
      <c r="EE327" s="24">
        <v>45531.0</v>
      </c>
      <c r="EF327" s="19" t="s">
        <v>2174</v>
      </c>
      <c r="EG327" s="19" t="s">
        <v>2145</v>
      </c>
      <c r="EH327" s="19" t="s">
        <v>2183</v>
      </c>
      <c r="EI327" s="22">
        <v>13.068750000000001</v>
      </c>
      <c r="EJ327" s="19">
        <v>42.0</v>
      </c>
      <c r="EK327" s="19" t="s">
        <v>2113</v>
      </c>
      <c r="EL327" s="19" t="s">
        <v>2117</v>
      </c>
      <c r="EM327" s="19" t="s">
        <v>7936</v>
      </c>
      <c r="EN327" s="19" t="s">
        <v>971</v>
      </c>
      <c r="EO327" s="19" t="s">
        <v>2167</v>
      </c>
      <c r="EP327" s="19" t="s">
        <v>2122</v>
      </c>
      <c r="EQ327" s="19" t="s">
        <v>2176</v>
      </c>
      <c r="ER327" s="19"/>
      <c r="ES327" s="19" t="s">
        <v>971</v>
      </c>
      <c r="ET327" s="19" t="s">
        <v>971</v>
      </c>
      <c r="EU327" s="19" t="s">
        <v>7934</v>
      </c>
      <c r="EV327" s="19">
        <v>7187.0</v>
      </c>
      <c r="EW327" s="19" t="s">
        <v>16</v>
      </c>
      <c r="EX327" s="19">
        <v>5.0</v>
      </c>
      <c r="EY327" s="25" t="s">
        <v>970</v>
      </c>
      <c r="EZ327" s="19" t="s">
        <v>2154</v>
      </c>
      <c r="FA327" s="5" t="s">
        <v>7944</v>
      </c>
      <c r="FB327" s="26" t="s">
        <v>2156</v>
      </c>
      <c r="FC327" s="26"/>
    </row>
    <row r="328">
      <c r="A328" s="19" t="s">
        <v>2156</v>
      </c>
      <c r="B328" s="19"/>
      <c r="C328" s="19" t="s">
        <v>2113</v>
      </c>
      <c r="D328" s="19" t="s">
        <v>972</v>
      </c>
      <c r="E328" s="19" t="s">
        <v>7945</v>
      </c>
      <c r="F328" s="19" t="s">
        <v>972</v>
      </c>
      <c r="G328" s="19"/>
      <c r="H328" s="19" t="s">
        <v>972</v>
      </c>
      <c r="I328" s="19" t="s">
        <v>974</v>
      </c>
      <c r="J328" s="19" t="s">
        <v>7946</v>
      </c>
      <c r="K328" s="19" t="s">
        <v>7947</v>
      </c>
      <c r="L328" s="20">
        <v>45460.0</v>
      </c>
      <c r="M328" s="20">
        <v>45462.0</v>
      </c>
      <c r="N328" s="20">
        <v>45462.0</v>
      </c>
      <c r="O328" s="19" t="s">
        <v>973</v>
      </c>
      <c r="P328" s="19">
        <v>0.0</v>
      </c>
      <c r="Q328" s="19">
        <v>19.0</v>
      </c>
      <c r="R328" s="19">
        <v>7105.0</v>
      </c>
      <c r="S328" s="20" t="s">
        <v>7948</v>
      </c>
      <c r="T328" s="20">
        <v>45461.0</v>
      </c>
      <c r="U328" s="19" t="s">
        <v>972</v>
      </c>
      <c r="V328" s="19"/>
      <c r="W328" s="19"/>
      <c r="X328" s="21">
        <v>0.0</v>
      </c>
      <c r="Y328" s="21">
        <v>10.0</v>
      </c>
      <c r="Z328" s="21">
        <v>4.0</v>
      </c>
      <c r="AA328" s="21">
        <v>0.0</v>
      </c>
      <c r="AB328" s="5">
        <v>14.0</v>
      </c>
      <c r="AC328" s="19">
        <v>4.0</v>
      </c>
      <c r="AD328" s="19">
        <v>4.0</v>
      </c>
      <c r="AE328" s="19">
        <v>4.0</v>
      </c>
      <c r="AF328" s="19">
        <v>4.0</v>
      </c>
      <c r="AG328" s="19">
        <v>4.0</v>
      </c>
      <c r="AH328" s="19">
        <v>4.0</v>
      </c>
      <c r="AI328" s="22">
        <v>12.0</v>
      </c>
      <c r="AJ328" s="19">
        <v>15.0</v>
      </c>
      <c r="AK328" s="19">
        <v>15.0</v>
      </c>
      <c r="AL328" s="19">
        <v>14.0</v>
      </c>
      <c r="AM328" s="19">
        <v>44.0</v>
      </c>
      <c r="AN328" s="19">
        <v>56.0</v>
      </c>
      <c r="AO328" s="19">
        <v>70.0</v>
      </c>
      <c r="AP328" s="19">
        <v>631.0</v>
      </c>
      <c r="AQ328" s="23">
        <v>321.0</v>
      </c>
      <c r="AR328" s="23">
        <v>24.0</v>
      </c>
      <c r="AS328" s="22"/>
      <c r="AT328" s="19" t="s">
        <v>2163</v>
      </c>
      <c r="AU328" s="19" t="s">
        <v>7949</v>
      </c>
      <c r="AV328" s="19" t="s">
        <v>7950</v>
      </c>
      <c r="AW328" s="19"/>
      <c r="AX328" s="20">
        <v>38356.0</v>
      </c>
      <c r="AY328" s="19" t="s">
        <v>7951</v>
      </c>
      <c r="AZ328" s="19" t="s">
        <v>2122</v>
      </c>
      <c r="BA328" s="19" t="s">
        <v>7952</v>
      </c>
      <c r="BB328" s="19" t="s">
        <v>7953</v>
      </c>
      <c r="BC328" s="19" t="s">
        <v>7954</v>
      </c>
      <c r="BD328" s="19" t="s">
        <v>7955</v>
      </c>
      <c r="BE328" s="19"/>
      <c r="BF328" s="19"/>
      <c r="BG328" s="19" t="s">
        <v>2127</v>
      </c>
      <c r="BH328" s="19" t="s">
        <v>2128</v>
      </c>
      <c r="BI328" s="19"/>
      <c r="BJ328" s="19" t="s">
        <v>2128</v>
      </c>
      <c r="BK328" s="19" t="s">
        <v>17</v>
      </c>
      <c r="BL328" s="19" t="s">
        <v>2113</v>
      </c>
      <c r="BM328" s="19" t="s">
        <v>5796</v>
      </c>
      <c r="BN328" s="19" t="s">
        <v>7956</v>
      </c>
      <c r="BO328" s="19" t="s">
        <v>2317</v>
      </c>
      <c r="BP328" s="19"/>
      <c r="BQ328" s="19" t="s">
        <v>2133</v>
      </c>
      <c r="BR328" s="19" t="s">
        <v>2133</v>
      </c>
      <c r="BS328" s="19" t="s">
        <v>2134</v>
      </c>
      <c r="BT328" s="19" t="s">
        <v>52</v>
      </c>
      <c r="BU328" s="19" t="s">
        <v>7957</v>
      </c>
      <c r="BV328" s="19"/>
      <c r="BW328" s="19"/>
      <c r="BX328" s="19"/>
      <c r="BY328" s="19"/>
      <c r="BZ328" s="19"/>
      <c r="CA328" s="19"/>
      <c r="CB328" s="19" t="s">
        <v>2113</v>
      </c>
      <c r="CC328" s="19"/>
      <c r="CD328" s="19" t="s">
        <v>2137</v>
      </c>
      <c r="CE328" s="19" t="s">
        <v>16</v>
      </c>
      <c r="CF328" s="19"/>
      <c r="CG328" s="19"/>
      <c r="CH328" s="19" t="s">
        <v>16</v>
      </c>
      <c r="CI328" s="21">
        <v>0.0</v>
      </c>
      <c r="CJ328" s="19" t="s">
        <v>16</v>
      </c>
      <c r="CK328" s="19"/>
      <c r="CL328" s="19"/>
      <c r="CM328" s="19" t="s">
        <v>2926</v>
      </c>
      <c r="CN328" s="19" t="s">
        <v>2382</v>
      </c>
      <c r="CO328" s="19"/>
      <c r="CP328" s="19" t="s">
        <v>2225</v>
      </c>
      <c r="CQ328" s="19"/>
      <c r="CR328" s="19"/>
      <c r="CS328" s="19"/>
      <c r="CT328" s="19"/>
      <c r="CU328" s="19"/>
      <c r="CV328" s="19" t="s">
        <v>2141</v>
      </c>
      <c r="CW328" s="19"/>
      <c r="CX328" s="19"/>
      <c r="CY328" s="19" t="s">
        <v>2113</v>
      </c>
      <c r="CZ328" s="19" t="s">
        <v>2113</v>
      </c>
      <c r="DA328" s="19" t="s">
        <v>16</v>
      </c>
      <c r="DB328" s="19" t="s">
        <v>16</v>
      </c>
      <c r="DC328" s="19" t="s">
        <v>6592</v>
      </c>
      <c r="DD328" s="19" t="s">
        <v>2113</v>
      </c>
      <c r="DE328" s="19" t="s">
        <v>2113</v>
      </c>
      <c r="DF328" s="19" t="s">
        <v>2627</v>
      </c>
      <c r="DG328" s="19" t="s">
        <v>2383</v>
      </c>
      <c r="DH328" s="19" t="s">
        <v>2580</v>
      </c>
      <c r="DI328" s="24">
        <v>45517.0</v>
      </c>
      <c r="DJ328" s="19" t="s">
        <v>2133</v>
      </c>
      <c r="DK328" s="19" t="s">
        <v>2145</v>
      </c>
      <c r="DL328" s="19" t="s">
        <v>2146</v>
      </c>
      <c r="DM328" s="19" t="s">
        <v>3021</v>
      </c>
      <c r="DN328" s="19">
        <v>1.0</v>
      </c>
      <c r="DO328" s="19">
        <v>1.0</v>
      </c>
      <c r="DP328" s="19" t="s">
        <v>7958</v>
      </c>
      <c r="DQ328" s="19" t="s">
        <v>7959</v>
      </c>
      <c r="DR328" s="19" t="s">
        <v>7960</v>
      </c>
      <c r="DS328" s="19" t="s">
        <v>2365</v>
      </c>
      <c r="DT328" s="19" t="s">
        <v>2186</v>
      </c>
      <c r="DU328" s="19"/>
      <c r="DV328" s="19"/>
      <c r="DW328" s="19" t="s">
        <v>2153</v>
      </c>
      <c r="DX328" s="19">
        <v>7.0</v>
      </c>
      <c r="DY328" s="19">
        <v>10.0</v>
      </c>
      <c r="DZ328" s="19">
        <v>0.0</v>
      </c>
      <c r="EA328" s="19">
        <v>10.0</v>
      </c>
      <c r="EB328" s="19">
        <v>0.0</v>
      </c>
      <c r="EC328" s="19">
        <v>0.0</v>
      </c>
      <c r="ED328" s="19" t="s">
        <v>2133</v>
      </c>
      <c r="EE328" s="24">
        <v>45517.0</v>
      </c>
      <c r="EF328" s="19" t="s">
        <v>2133</v>
      </c>
      <c r="EG328" s="19" t="s">
        <v>2145</v>
      </c>
      <c r="EH328" s="19" t="s">
        <v>2146</v>
      </c>
      <c r="EI328" s="22">
        <v>12.0</v>
      </c>
      <c r="EJ328" s="19">
        <v>44.0</v>
      </c>
      <c r="EK328" s="19"/>
      <c r="EL328" s="19" t="s">
        <v>2163</v>
      </c>
      <c r="EM328" s="19" t="s">
        <v>7949</v>
      </c>
      <c r="EN328" s="19" t="s">
        <v>974</v>
      </c>
      <c r="EO328" s="19" t="s">
        <v>7951</v>
      </c>
      <c r="EP328" s="19" t="s">
        <v>2122</v>
      </c>
      <c r="EQ328" s="19" t="s">
        <v>2382</v>
      </c>
      <c r="ER328" s="19"/>
      <c r="ES328" s="19" t="s">
        <v>974</v>
      </c>
      <c r="ET328" s="19" t="s">
        <v>974</v>
      </c>
      <c r="EU328" s="19" t="s">
        <v>7947</v>
      </c>
      <c r="EV328" s="19">
        <v>7105.0</v>
      </c>
      <c r="EW328" s="19" t="s">
        <v>16</v>
      </c>
      <c r="EX328" s="19">
        <v>4.0</v>
      </c>
      <c r="EY328" s="25" t="s">
        <v>973</v>
      </c>
      <c r="EZ328" s="19" t="s">
        <v>2154</v>
      </c>
      <c r="FA328" s="5" t="s">
        <v>7961</v>
      </c>
      <c r="FB328" s="26" t="s">
        <v>2156</v>
      </c>
      <c r="FC328" s="26"/>
    </row>
    <row r="329">
      <c r="A329" s="19" t="s">
        <v>2112</v>
      </c>
      <c r="B329" s="19"/>
      <c r="C329" s="19" t="s">
        <v>2113</v>
      </c>
      <c r="D329" s="19" t="s">
        <v>975</v>
      </c>
      <c r="E329" s="19" t="s">
        <v>7962</v>
      </c>
      <c r="F329" s="19" t="s">
        <v>975</v>
      </c>
      <c r="G329" s="19"/>
      <c r="H329" s="19" t="s">
        <v>975</v>
      </c>
      <c r="I329" s="19" t="s">
        <v>977</v>
      </c>
      <c r="J329" s="19" t="s">
        <v>7963</v>
      </c>
      <c r="K329" s="19" t="s">
        <v>7964</v>
      </c>
      <c r="L329" s="20">
        <v>45459.0</v>
      </c>
      <c r="M329" s="20">
        <v>45460.0</v>
      </c>
      <c r="N329" s="20">
        <v>45460.0</v>
      </c>
      <c r="O329" s="19" t="s">
        <v>976</v>
      </c>
      <c r="P329" s="19">
        <v>0.0</v>
      </c>
      <c r="Q329" s="19">
        <v>20.0</v>
      </c>
      <c r="R329" s="19">
        <v>7597.0</v>
      </c>
      <c r="S329" s="20" t="s">
        <v>7965</v>
      </c>
      <c r="T329" s="20">
        <v>45461.0</v>
      </c>
      <c r="U329" s="19" t="s">
        <v>975</v>
      </c>
      <c r="V329" s="19"/>
      <c r="W329" s="19"/>
      <c r="X329" s="21">
        <v>0.0</v>
      </c>
      <c r="Y329" s="21">
        <v>10.0</v>
      </c>
      <c r="Z329" s="21">
        <v>3.0</v>
      </c>
      <c r="AA329" s="21">
        <v>0.0</v>
      </c>
      <c r="AB329" s="5">
        <v>13.0</v>
      </c>
      <c r="AC329" s="19">
        <v>4.0</v>
      </c>
      <c r="AD329" s="19">
        <v>4.0</v>
      </c>
      <c r="AE329" s="19">
        <v>4.0</v>
      </c>
      <c r="AF329" s="19">
        <v>4.0</v>
      </c>
      <c r="AG329" s="19">
        <v>4.0</v>
      </c>
      <c r="AH329" s="19">
        <v>4.0</v>
      </c>
      <c r="AI329" s="22">
        <v>12.0</v>
      </c>
      <c r="AJ329" s="19">
        <v>15.0</v>
      </c>
      <c r="AK329" s="19">
        <v>15.0</v>
      </c>
      <c r="AL329" s="19">
        <v>15.0</v>
      </c>
      <c r="AM329" s="19">
        <v>45.0</v>
      </c>
      <c r="AN329" s="19">
        <v>57.0</v>
      </c>
      <c r="AO329" s="19">
        <v>70.0</v>
      </c>
      <c r="AP329" s="19">
        <v>762.0</v>
      </c>
      <c r="AQ329" s="23">
        <v>322.0</v>
      </c>
      <c r="AR329" s="23">
        <v>42.0</v>
      </c>
      <c r="AS329" s="22"/>
      <c r="AT329" s="19" t="s">
        <v>2117</v>
      </c>
      <c r="AU329" s="19" t="s">
        <v>7966</v>
      </c>
      <c r="AV329" s="19" t="s">
        <v>7967</v>
      </c>
      <c r="AW329" s="19" t="s">
        <v>7968</v>
      </c>
      <c r="AX329" s="20">
        <v>37864.0</v>
      </c>
      <c r="AY329" s="19" t="s">
        <v>2467</v>
      </c>
      <c r="AZ329" s="19" t="s">
        <v>2310</v>
      </c>
      <c r="BA329" s="19" t="s">
        <v>7969</v>
      </c>
      <c r="BB329" s="19" t="s">
        <v>7970</v>
      </c>
      <c r="BC329" s="19" t="s">
        <v>7971</v>
      </c>
      <c r="BD329" s="19" t="s">
        <v>7972</v>
      </c>
      <c r="BE329" s="19" t="s">
        <v>7973</v>
      </c>
      <c r="BF329" s="19">
        <v>1.1993863952E10</v>
      </c>
      <c r="BG329" s="19" t="s">
        <v>2127</v>
      </c>
      <c r="BH329" s="19" t="s">
        <v>2128</v>
      </c>
      <c r="BI329" s="19"/>
      <c r="BJ329" s="19" t="s">
        <v>2128</v>
      </c>
      <c r="BK329" s="19" t="s">
        <v>17</v>
      </c>
      <c r="BL329" s="19" t="s">
        <v>2113</v>
      </c>
      <c r="BM329" s="19" t="s">
        <v>5411</v>
      </c>
      <c r="BN329" s="19" t="s">
        <v>2172</v>
      </c>
      <c r="BO329" s="19" t="s">
        <v>2473</v>
      </c>
      <c r="BP329" s="19" t="s">
        <v>7974</v>
      </c>
      <c r="BQ329" s="19" t="s">
        <v>2133</v>
      </c>
      <c r="BR329" s="19" t="s">
        <v>2133</v>
      </c>
      <c r="BS329" s="19" t="s">
        <v>2134</v>
      </c>
      <c r="BT329" s="19" t="s">
        <v>38</v>
      </c>
      <c r="BU329" s="19"/>
      <c r="BV329" s="19"/>
      <c r="BW329" s="19"/>
      <c r="BX329" s="19"/>
      <c r="BY329" s="19"/>
      <c r="BZ329" s="19"/>
      <c r="CA329" s="19"/>
      <c r="CB329" s="19" t="s">
        <v>2113</v>
      </c>
      <c r="CC329" s="19"/>
      <c r="CD329" s="19" t="s">
        <v>2137</v>
      </c>
      <c r="CE329" s="19" t="s">
        <v>16</v>
      </c>
      <c r="CF329" s="19"/>
      <c r="CG329" s="19"/>
      <c r="CH329" s="19" t="s">
        <v>16</v>
      </c>
      <c r="CI329" s="21">
        <v>0.0</v>
      </c>
      <c r="CJ329" s="19" t="s">
        <v>17</v>
      </c>
      <c r="CK329" s="19"/>
      <c r="CL329" s="19"/>
      <c r="CM329" s="19" t="s">
        <v>2138</v>
      </c>
      <c r="CN329" s="19" t="s">
        <v>2475</v>
      </c>
      <c r="CO329" s="19"/>
      <c r="CP329" s="19" t="s">
        <v>2178</v>
      </c>
      <c r="CQ329" s="19"/>
      <c r="CR329" s="19"/>
      <c r="CS329" s="19"/>
      <c r="CT329" s="19" t="s">
        <v>2113</v>
      </c>
      <c r="CU329" s="19" t="s">
        <v>2113</v>
      </c>
      <c r="CV329" s="19" t="s">
        <v>2179</v>
      </c>
      <c r="CW329" s="19"/>
      <c r="CX329" s="19"/>
      <c r="CY329" s="19"/>
      <c r="CZ329" s="19"/>
      <c r="DA329" s="19" t="s">
        <v>16</v>
      </c>
      <c r="DB329" s="19" t="s">
        <v>17</v>
      </c>
      <c r="DC329" s="19" t="s">
        <v>2142</v>
      </c>
      <c r="DD329" s="19" t="s">
        <v>2113</v>
      </c>
      <c r="DE329" s="19" t="s">
        <v>2113</v>
      </c>
      <c r="DF329" s="19" t="s">
        <v>2433</v>
      </c>
      <c r="DG329" s="19" t="s">
        <v>3163</v>
      </c>
      <c r="DH329" s="19" t="s">
        <v>2144</v>
      </c>
      <c r="DI329" s="24">
        <v>45526.0</v>
      </c>
      <c r="DJ329" s="19" t="s">
        <v>2133</v>
      </c>
      <c r="DK329" s="19" t="s">
        <v>2145</v>
      </c>
      <c r="DL329" s="19" t="s">
        <v>2146</v>
      </c>
      <c r="DM329" s="19" t="s">
        <v>3338</v>
      </c>
      <c r="DN329" s="19">
        <v>11.0</v>
      </c>
      <c r="DO329" s="19">
        <v>11.0</v>
      </c>
      <c r="DP329" s="19"/>
      <c r="DQ329" s="19"/>
      <c r="DR329" s="19"/>
      <c r="DS329" s="19" t="s">
        <v>2185</v>
      </c>
      <c r="DT329" s="19" t="s">
        <v>2152</v>
      </c>
      <c r="DU329" s="19" t="s">
        <v>7975</v>
      </c>
      <c r="DV329" s="19"/>
      <c r="DW329" s="19" t="s">
        <v>2479</v>
      </c>
      <c r="DX329" s="19">
        <v>6.0</v>
      </c>
      <c r="DY329" s="19">
        <v>10.0</v>
      </c>
      <c r="DZ329" s="19">
        <v>0.0</v>
      </c>
      <c r="EA329" s="19">
        <v>10.0</v>
      </c>
      <c r="EB329" s="19">
        <v>0.0</v>
      </c>
      <c r="EC329" s="19">
        <v>0.0</v>
      </c>
      <c r="ED329" s="19" t="s">
        <v>2133</v>
      </c>
      <c r="EE329" s="24">
        <v>45526.0</v>
      </c>
      <c r="EF329" s="19" t="s">
        <v>2133</v>
      </c>
      <c r="EG329" s="19" t="s">
        <v>2145</v>
      </c>
      <c r="EH329" s="19" t="s">
        <v>2146</v>
      </c>
      <c r="EI329" s="22">
        <v>12.0</v>
      </c>
      <c r="EJ329" s="19">
        <v>45.0</v>
      </c>
      <c r="EK329" s="19" t="s">
        <v>2113</v>
      </c>
      <c r="EL329" s="19" t="s">
        <v>2117</v>
      </c>
      <c r="EM329" s="19" t="s">
        <v>7966</v>
      </c>
      <c r="EN329" s="19" t="s">
        <v>977</v>
      </c>
      <c r="EO329" s="19" t="s">
        <v>2467</v>
      </c>
      <c r="EP329" s="19" t="s">
        <v>2310</v>
      </c>
      <c r="EQ329" s="19" t="s">
        <v>2475</v>
      </c>
      <c r="ER329" s="19"/>
      <c r="ES329" s="19" t="s">
        <v>977</v>
      </c>
      <c r="ET329" s="19" t="s">
        <v>977</v>
      </c>
      <c r="EU329" s="19" t="s">
        <v>7964</v>
      </c>
      <c r="EV329" s="19">
        <v>7597.0</v>
      </c>
      <c r="EW329" s="19" t="s">
        <v>16</v>
      </c>
      <c r="EX329" s="19">
        <v>3.0</v>
      </c>
      <c r="EY329" s="25" t="s">
        <v>976</v>
      </c>
      <c r="EZ329" s="19" t="s">
        <v>2154</v>
      </c>
      <c r="FA329" s="5" t="s">
        <v>7976</v>
      </c>
      <c r="FB329" s="26" t="s">
        <v>2156</v>
      </c>
      <c r="FC329" s="26"/>
    </row>
    <row r="330">
      <c r="A330" s="19" t="s">
        <v>2156</v>
      </c>
      <c r="B330" s="19"/>
      <c r="C330" s="19" t="s">
        <v>2113</v>
      </c>
      <c r="D330" s="19" t="s">
        <v>978</v>
      </c>
      <c r="E330" s="19" t="s">
        <v>978</v>
      </c>
      <c r="F330" s="19" t="s">
        <v>978</v>
      </c>
      <c r="G330" s="19"/>
      <c r="H330" s="19" t="s">
        <v>978</v>
      </c>
      <c r="I330" s="19" t="s">
        <v>980</v>
      </c>
      <c r="J330" s="19" t="s">
        <v>7977</v>
      </c>
      <c r="K330" s="19" t="s">
        <v>7978</v>
      </c>
      <c r="L330" s="20">
        <v>45460.0</v>
      </c>
      <c r="M330" s="20">
        <v>45462.0</v>
      </c>
      <c r="N330" s="20">
        <v>45462.0</v>
      </c>
      <c r="O330" s="19" t="s">
        <v>979</v>
      </c>
      <c r="P330" s="19">
        <v>0.0</v>
      </c>
      <c r="Q330" s="19">
        <v>24.0</v>
      </c>
      <c r="R330" s="19">
        <v>8977.0</v>
      </c>
      <c r="S330" s="20" t="s">
        <v>7979</v>
      </c>
      <c r="T330" s="20">
        <v>45461.0</v>
      </c>
      <c r="U330" s="19" t="s">
        <v>978</v>
      </c>
      <c r="V330" s="19"/>
      <c r="W330" s="19" t="s">
        <v>7980</v>
      </c>
      <c r="X330" s="21">
        <v>0.0</v>
      </c>
      <c r="Y330" s="21">
        <v>10.0</v>
      </c>
      <c r="Z330" s="21">
        <v>2.0</v>
      </c>
      <c r="AA330" s="21">
        <v>3.0</v>
      </c>
      <c r="AB330" s="5">
        <v>15.0</v>
      </c>
      <c r="AC330" s="19">
        <v>5.0</v>
      </c>
      <c r="AD330" s="19">
        <v>5.0</v>
      </c>
      <c r="AE330" s="19">
        <v>5.0</v>
      </c>
      <c r="AF330" s="19">
        <v>5.0</v>
      </c>
      <c r="AG330" s="19">
        <v>5.0</v>
      </c>
      <c r="AH330" s="19">
        <v>5.0</v>
      </c>
      <c r="AI330" s="22">
        <v>15.0</v>
      </c>
      <c r="AJ330" s="19">
        <v>13.0</v>
      </c>
      <c r="AK330" s="19">
        <v>13.0</v>
      </c>
      <c r="AL330" s="19">
        <v>14.0</v>
      </c>
      <c r="AM330" s="19">
        <v>40.0</v>
      </c>
      <c r="AN330" s="19">
        <v>55.0</v>
      </c>
      <c r="AO330" s="19">
        <v>70.0</v>
      </c>
      <c r="AP330" s="19">
        <v>571.0</v>
      </c>
      <c r="AQ330" s="23">
        <v>323.0</v>
      </c>
      <c r="AR330" s="23">
        <v>22.0</v>
      </c>
      <c r="AS330" s="22"/>
      <c r="AT330" s="19" t="s">
        <v>2163</v>
      </c>
      <c r="AU330" s="19" t="s">
        <v>7981</v>
      </c>
      <c r="AV330" s="19" t="s">
        <v>7982</v>
      </c>
      <c r="AW330" s="19" t="s">
        <v>7983</v>
      </c>
      <c r="AX330" s="20">
        <v>36484.0</v>
      </c>
      <c r="AY330" s="19" t="s">
        <v>7984</v>
      </c>
      <c r="AZ330" s="19" t="s">
        <v>2310</v>
      </c>
      <c r="BA330" s="19" t="s">
        <v>7985</v>
      </c>
      <c r="BB330" s="19" t="s">
        <v>7986</v>
      </c>
      <c r="BC330" s="19" t="s">
        <v>7987</v>
      </c>
      <c r="BD330" s="19" t="s">
        <v>7988</v>
      </c>
      <c r="BE330" s="19" t="s">
        <v>7977</v>
      </c>
      <c r="BF330" s="19">
        <v>1.1941908327E10</v>
      </c>
      <c r="BG330" s="19" t="s">
        <v>2127</v>
      </c>
      <c r="BH330" s="19" t="s">
        <v>2128</v>
      </c>
      <c r="BI330" s="19"/>
      <c r="BJ330" s="19"/>
      <c r="BK330" s="19" t="s">
        <v>16</v>
      </c>
      <c r="BL330" s="19"/>
      <c r="BM330" s="19" t="s">
        <v>5411</v>
      </c>
      <c r="BN330" s="19" t="s">
        <v>17</v>
      </c>
      <c r="BO330" s="19" t="s">
        <v>3199</v>
      </c>
      <c r="BP330" s="19"/>
      <c r="BQ330" s="19" t="s">
        <v>2133</v>
      </c>
      <c r="BR330" s="19" t="s">
        <v>2133</v>
      </c>
      <c r="BS330" s="19" t="s">
        <v>2134</v>
      </c>
      <c r="BT330" s="19" t="s">
        <v>222</v>
      </c>
      <c r="BU330" s="19" t="s">
        <v>7989</v>
      </c>
      <c r="BV330" s="19"/>
      <c r="BW330" s="19" t="s">
        <v>2113</v>
      </c>
      <c r="BX330" s="19"/>
      <c r="BY330" s="19"/>
      <c r="BZ330" s="19"/>
      <c r="CA330" s="19"/>
      <c r="CB330" s="19"/>
      <c r="CC330" s="19"/>
      <c r="CD330" s="19" t="s">
        <v>2137</v>
      </c>
      <c r="CE330" s="19" t="s">
        <v>16</v>
      </c>
      <c r="CF330" s="19"/>
      <c r="CG330" s="19"/>
      <c r="CH330" s="19" t="s">
        <v>17</v>
      </c>
      <c r="CI330" s="21">
        <v>3.0</v>
      </c>
      <c r="CJ330" s="19" t="s">
        <v>17</v>
      </c>
      <c r="CK330" s="19"/>
      <c r="CL330" s="19"/>
      <c r="CM330" s="19"/>
      <c r="CN330" s="19" t="s">
        <v>4465</v>
      </c>
      <c r="CO330" s="19"/>
      <c r="CP330" s="19"/>
      <c r="CQ330" s="19"/>
      <c r="CR330" s="19"/>
      <c r="CS330" s="19"/>
      <c r="CT330" s="19" t="s">
        <v>2113</v>
      </c>
      <c r="CU330" s="19" t="s">
        <v>2113</v>
      </c>
      <c r="CV330" s="19" t="s">
        <v>2179</v>
      </c>
      <c r="CW330" s="19"/>
      <c r="CX330" s="19"/>
      <c r="CY330" s="19" t="s">
        <v>2113</v>
      </c>
      <c r="CZ330" s="19" t="s">
        <v>2113</v>
      </c>
      <c r="DA330" s="19" t="s">
        <v>16</v>
      </c>
      <c r="DB330" s="19" t="s">
        <v>17</v>
      </c>
      <c r="DC330" s="19" t="s">
        <v>2146</v>
      </c>
      <c r="DD330" s="19" t="s">
        <v>2113</v>
      </c>
      <c r="DE330" s="19" t="s">
        <v>2113</v>
      </c>
      <c r="DF330" s="19" t="s">
        <v>2207</v>
      </c>
      <c r="DG330" s="19" t="s">
        <v>2323</v>
      </c>
      <c r="DH330" s="19" t="s">
        <v>2144</v>
      </c>
      <c r="DI330" s="24">
        <v>45519.0</v>
      </c>
      <c r="DJ330" s="19" t="s">
        <v>2133</v>
      </c>
      <c r="DK330" s="19" t="s">
        <v>2145</v>
      </c>
      <c r="DL330" s="19" t="s">
        <v>2146</v>
      </c>
      <c r="DM330" s="19"/>
      <c r="DN330" s="19">
        <v>5.0</v>
      </c>
      <c r="DO330" s="19">
        <v>5.0</v>
      </c>
      <c r="DP330" s="19"/>
      <c r="DQ330" s="19"/>
      <c r="DR330" s="19"/>
      <c r="DS330" s="19" t="s">
        <v>2185</v>
      </c>
      <c r="DT330" s="19" t="s">
        <v>2350</v>
      </c>
      <c r="DU330" s="19" t="s">
        <v>7990</v>
      </c>
      <c r="DV330" s="19"/>
      <c r="DW330" s="19" t="s">
        <v>2188</v>
      </c>
      <c r="DX330" s="19">
        <v>5.0</v>
      </c>
      <c r="DY330" s="19">
        <v>10.0</v>
      </c>
      <c r="DZ330" s="19">
        <v>0.0</v>
      </c>
      <c r="EA330" s="19">
        <v>10.0</v>
      </c>
      <c r="EB330" s="19">
        <v>3.0</v>
      </c>
      <c r="EC330" s="19">
        <v>0.0</v>
      </c>
      <c r="ED330" s="19" t="s">
        <v>2133</v>
      </c>
      <c r="EE330" s="24">
        <v>45519.0</v>
      </c>
      <c r="EF330" s="19" t="s">
        <v>2133</v>
      </c>
      <c r="EG330" s="19" t="s">
        <v>2145</v>
      </c>
      <c r="EH330" s="19" t="s">
        <v>2146</v>
      </c>
      <c r="EI330" s="22">
        <v>15.0</v>
      </c>
      <c r="EJ330" s="19">
        <v>40.0</v>
      </c>
      <c r="EK330" s="19" t="s">
        <v>2113</v>
      </c>
      <c r="EL330" s="19" t="s">
        <v>2163</v>
      </c>
      <c r="EM330" s="19" t="s">
        <v>7981</v>
      </c>
      <c r="EN330" s="19" t="s">
        <v>980</v>
      </c>
      <c r="EO330" s="19" t="s">
        <v>7984</v>
      </c>
      <c r="EP330" s="19" t="s">
        <v>2310</v>
      </c>
      <c r="EQ330" s="19" t="s">
        <v>4465</v>
      </c>
      <c r="ER330" s="19"/>
      <c r="ES330" s="19" t="s">
        <v>980</v>
      </c>
      <c r="ET330" s="19" t="s">
        <v>980</v>
      </c>
      <c r="EU330" s="19" t="s">
        <v>7978</v>
      </c>
      <c r="EV330" s="19">
        <v>8977.0</v>
      </c>
      <c r="EW330" s="19" t="s">
        <v>16</v>
      </c>
      <c r="EX330" s="19">
        <v>2.0</v>
      </c>
      <c r="EY330" s="25" t="s">
        <v>979</v>
      </c>
      <c r="EZ330" s="19" t="s">
        <v>2154</v>
      </c>
      <c r="FA330" s="5" t="s">
        <v>7991</v>
      </c>
      <c r="FB330" s="26" t="s">
        <v>2156</v>
      </c>
      <c r="FC330" s="26"/>
    </row>
    <row r="331">
      <c r="A331" s="19" t="s">
        <v>2112</v>
      </c>
      <c r="B331" s="19"/>
      <c r="C331" s="19" t="s">
        <v>2113</v>
      </c>
      <c r="D331" s="19" t="s">
        <v>981</v>
      </c>
      <c r="E331" s="19" t="s">
        <v>7992</v>
      </c>
      <c r="F331" s="19" t="s">
        <v>981</v>
      </c>
      <c r="G331" s="19"/>
      <c r="H331" s="19" t="s">
        <v>981</v>
      </c>
      <c r="I331" s="19" t="s">
        <v>983</v>
      </c>
      <c r="J331" s="19" t="s">
        <v>7993</v>
      </c>
      <c r="K331" s="19" t="s">
        <v>7994</v>
      </c>
      <c r="L331" s="20">
        <v>45446.0</v>
      </c>
      <c r="M331" s="20">
        <v>45447.0</v>
      </c>
      <c r="N331" s="20">
        <v>45447.0</v>
      </c>
      <c r="O331" s="19" t="s">
        <v>982</v>
      </c>
      <c r="P331" s="19">
        <v>0.0</v>
      </c>
      <c r="Q331" s="19">
        <v>23.0</v>
      </c>
      <c r="R331" s="19">
        <v>8667.0</v>
      </c>
      <c r="S331" s="20" t="s">
        <v>7995</v>
      </c>
      <c r="T331" s="20">
        <v>45461.0</v>
      </c>
      <c r="U331" s="19" t="s">
        <v>981</v>
      </c>
      <c r="V331" s="19"/>
      <c r="W331" s="19"/>
      <c r="X331" s="21">
        <v>0.0</v>
      </c>
      <c r="Y331" s="21">
        <v>10.0</v>
      </c>
      <c r="Z331" s="21">
        <v>5.0</v>
      </c>
      <c r="AA331" s="21">
        <v>2.0</v>
      </c>
      <c r="AB331" s="5">
        <v>17.0</v>
      </c>
      <c r="AC331" s="19">
        <v>2.6</v>
      </c>
      <c r="AD331" s="19">
        <v>4.0</v>
      </c>
      <c r="AE331" s="19">
        <v>3.0</v>
      </c>
      <c r="AF331" s="19">
        <v>3.6</v>
      </c>
      <c r="AG331" s="19">
        <v>2.6</v>
      </c>
      <c r="AH331" s="19">
        <v>4.0</v>
      </c>
      <c r="AI331" s="22">
        <v>9.91875</v>
      </c>
      <c r="AJ331" s="19">
        <v>15.0</v>
      </c>
      <c r="AK331" s="19">
        <v>15.0</v>
      </c>
      <c r="AL331" s="19">
        <v>13.0</v>
      </c>
      <c r="AM331" s="19">
        <v>43.0</v>
      </c>
      <c r="AN331" s="19">
        <v>52.9</v>
      </c>
      <c r="AO331" s="19">
        <v>69.9</v>
      </c>
      <c r="AP331" s="19">
        <v>363.0</v>
      </c>
      <c r="AQ331" s="23">
        <v>324.0</v>
      </c>
      <c r="AR331" s="23">
        <v>48.0</v>
      </c>
      <c r="AS331" s="22"/>
      <c r="AT331" s="19" t="s">
        <v>2163</v>
      </c>
      <c r="AU331" s="19" t="s">
        <v>6682</v>
      </c>
      <c r="AV331" s="19" t="s">
        <v>7996</v>
      </c>
      <c r="AW331" s="19"/>
      <c r="AX331" s="20">
        <v>36794.0</v>
      </c>
      <c r="AY331" s="19" t="s">
        <v>5516</v>
      </c>
      <c r="AZ331" s="19" t="s">
        <v>2554</v>
      </c>
      <c r="BA331" s="19" t="s">
        <v>7997</v>
      </c>
      <c r="BB331" s="19" t="s">
        <v>7998</v>
      </c>
      <c r="BC331" s="19" t="s">
        <v>7999</v>
      </c>
      <c r="BD331" s="19" t="s">
        <v>8000</v>
      </c>
      <c r="BE331" s="19" t="s">
        <v>7993</v>
      </c>
      <c r="BF331" s="19">
        <v>1.1993435627E10</v>
      </c>
      <c r="BG331" s="19" t="s">
        <v>2127</v>
      </c>
      <c r="BH331" s="19" t="s">
        <v>2128</v>
      </c>
      <c r="BI331" s="19"/>
      <c r="BJ331" s="19" t="s">
        <v>2128</v>
      </c>
      <c r="BK331" s="19" t="s">
        <v>17</v>
      </c>
      <c r="BL331" s="19"/>
      <c r="BM331" s="19" t="s">
        <v>5411</v>
      </c>
      <c r="BN331" s="19" t="s">
        <v>2172</v>
      </c>
      <c r="BO331" s="19" t="s">
        <v>2132</v>
      </c>
      <c r="BP331" s="19"/>
      <c r="BQ331" s="19" t="s">
        <v>2174</v>
      </c>
      <c r="BR331" s="19" t="s">
        <v>2174</v>
      </c>
      <c r="BS331" s="19" t="s">
        <v>2134</v>
      </c>
      <c r="BT331" s="19" t="s">
        <v>21</v>
      </c>
      <c r="BU331" s="19"/>
      <c r="BV331" s="19"/>
      <c r="BW331" s="19" t="s">
        <v>2113</v>
      </c>
      <c r="BX331" s="19"/>
      <c r="BY331" s="19"/>
      <c r="BZ331" s="19"/>
      <c r="CA331" s="19"/>
      <c r="CB331" s="19"/>
      <c r="CC331" s="19"/>
      <c r="CD331" s="19" t="s">
        <v>2137</v>
      </c>
      <c r="CE331" s="19" t="s">
        <v>16</v>
      </c>
      <c r="CF331" s="19"/>
      <c r="CG331" s="19"/>
      <c r="CH331" s="19" t="s">
        <v>16</v>
      </c>
      <c r="CI331" s="21">
        <v>0.0</v>
      </c>
      <c r="CJ331" s="19" t="s">
        <v>17</v>
      </c>
      <c r="CK331" s="19"/>
      <c r="CL331" s="19"/>
      <c r="CM331" s="19" t="s">
        <v>2344</v>
      </c>
      <c r="CN331" s="19" t="s">
        <v>2176</v>
      </c>
      <c r="CO331" s="19"/>
      <c r="CP331" s="19" t="s">
        <v>2178</v>
      </c>
      <c r="CQ331" s="19"/>
      <c r="CR331" s="19"/>
      <c r="CS331" s="19"/>
      <c r="CT331" s="19" t="s">
        <v>2113</v>
      </c>
      <c r="CU331" s="19" t="s">
        <v>2113</v>
      </c>
      <c r="CV331" s="19" t="s">
        <v>2179</v>
      </c>
      <c r="CW331" s="19"/>
      <c r="CX331" s="19"/>
      <c r="CY331" s="19"/>
      <c r="CZ331" s="19"/>
      <c r="DA331" s="19" t="s">
        <v>16</v>
      </c>
      <c r="DB331" s="19" t="s">
        <v>17</v>
      </c>
      <c r="DC331" s="19" t="s">
        <v>7359</v>
      </c>
      <c r="DD331" s="19" t="s">
        <v>2113</v>
      </c>
      <c r="DE331" s="19" t="s">
        <v>2113</v>
      </c>
      <c r="DF331" s="19" t="s">
        <v>2180</v>
      </c>
      <c r="DG331" s="19" t="s">
        <v>2270</v>
      </c>
      <c r="DH331" s="19" t="s">
        <v>2144</v>
      </c>
      <c r="DI331" s="24">
        <v>45525.0</v>
      </c>
      <c r="DJ331" s="19" t="s">
        <v>2174</v>
      </c>
      <c r="DK331" s="19" t="s">
        <v>2145</v>
      </c>
      <c r="DL331" s="19" t="s">
        <v>2183</v>
      </c>
      <c r="DM331" s="19" t="s">
        <v>2249</v>
      </c>
      <c r="DN331" s="19">
        <v>9.0</v>
      </c>
      <c r="DO331" s="19">
        <v>9.0</v>
      </c>
      <c r="DP331" s="19"/>
      <c r="DQ331" s="19"/>
      <c r="DR331" s="19"/>
      <c r="DS331" s="19" t="s">
        <v>2151</v>
      </c>
      <c r="DT331" s="19" t="s">
        <v>2350</v>
      </c>
      <c r="DU331" s="19" t="s">
        <v>8001</v>
      </c>
      <c r="DV331" s="19"/>
      <c r="DW331" s="19" t="s">
        <v>2188</v>
      </c>
      <c r="DX331" s="19">
        <v>15.0</v>
      </c>
      <c r="DY331" s="19">
        <v>10.0</v>
      </c>
      <c r="DZ331" s="19">
        <v>2.0</v>
      </c>
      <c r="EA331" s="19">
        <v>10.0</v>
      </c>
      <c r="EB331" s="19">
        <v>0.0</v>
      </c>
      <c r="EC331" s="19">
        <v>0.0</v>
      </c>
      <c r="ED331" s="19" t="s">
        <v>2174</v>
      </c>
      <c r="EE331" s="24">
        <v>45525.0</v>
      </c>
      <c r="EF331" s="19" t="s">
        <v>2174</v>
      </c>
      <c r="EG331" s="19" t="s">
        <v>2145</v>
      </c>
      <c r="EH331" s="19" t="s">
        <v>2183</v>
      </c>
      <c r="EI331" s="22">
        <v>9.91875</v>
      </c>
      <c r="EJ331" s="19">
        <v>43.0</v>
      </c>
      <c r="EK331" s="19" t="s">
        <v>2113</v>
      </c>
      <c r="EL331" s="19" t="s">
        <v>2163</v>
      </c>
      <c r="EM331" s="19" t="s">
        <v>6682</v>
      </c>
      <c r="EN331" s="19" t="s">
        <v>983</v>
      </c>
      <c r="EO331" s="19" t="s">
        <v>5516</v>
      </c>
      <c r="EP331" s="19" t="s">
        <v>2554</v>
      </c>
      <c r="EQ331" s="19" t="s">
        <v>2176</v>
      </c>
      <c r="ER331" s="19"/>
      <c r="ES331" s="19" t="s">
        <v>983</v>
      </c>
      <c r="ET331" s="19" t="s">
        <v>983</v>
      </c>
      <c r="EU331" s="19" t="s">
        <v>7994</v>
      </c>
      <c r="EV331" s="19">
        <v>8667.0</v>
      </c>
      <c r="EW331" s="19" t="s">
        <v>16</v>
      </c>
      <c r="EX331" s="19">
        <v>5.0</v>
      </c>
      <c r="EY331" s="25" t="s">
        <v>982</v>
      </c>
      <c r="EZ331" s="19" t="s">
        <v>2154</v>
      </c>
      <c r="FA331" s="5" t="s">
        <v>8002</v>
      </c>
      <c r="FB331" s="26" t="s">
        <v>2156</v>
      </c>
      <c r="FC331" s="26"/>
    </row>
    <row r="332">
      <c r="A332" s="19" t="s">
        <v>2112</v>
      </c>
      <c r="B332" s="19"/>
      <c r="C332" s="19" t="s">
        <v>2113</v>
      </c>
      <c r="D332" s="19" t="s">
        <v>984</v>
      </c>
      <c r="E332" s="19" t="s">
        <v>8003</v>
      </c>
      <c r="F332" s="19" t="s">
        <v>984</v>
      </c>
      <c r="G332" s="19"/>
      <c r="H332" s="19" t="s">
        <v>984</v>
      </c>
      <c r="I332" s="19" t="s">
        <v>986</v>
      </c>
      <c r="J332" s="19" t="s">
        <v>8004</v>
      </c>
      <c r="K332" s="19" t="s">
        <v>8005</v>
      </c>
      <c r="L332" s="20">
        <v>45445.0</v>
      </c>
      <c r="M332" s="20">
        <v>45446.0</v>
      </c>
      <c r="N332" s="20">
        <v>45446.0</v>
      </c>
      <c r="O332" s="19" t="s">
        <v>985</v>
      </c>
      <c r="P332" s="19">
        <v>0.0</v>
      </c>
      <c r="Q332" s="19">
        <v>27.0</v>
      </c>
      <c r="R332" s="19">
        <v>9947.0</v>
      </c>
      <c r="S332" s="20" t="s">
        <v>8006</v>
      </c>
      <c r="T332" s="20">
        <v>45461.0</v>
      </c>
      <c r="U332" s="19" t="s">
        <v>984</v>
      </c>
      <c r="V332" s="19"/>
      <c r="W332" s="19"/>
      <c r="X332" s="21">
        <v>0.0</v>
      </c>
      <c r="Y332" s="21">
        <v>10.0</v>
      </c>
      <c r="Z332" s="21">
        <v>4.0</v>
      </c>
      <c r="AA332" s="21">
        <v>0.0</v>
      </c>
      <c r="AB332" s="5">
        <v>14.0</v>
      </c>
      <c r="AC332" s="19">
        <v>4.0</v>
      </c>
      <c r="AD332" s="19">
        <v>3.5</v>
      </c>
      <c r="AE332" s="19">
        <v>4.0</v>
      </c>
      <c r="AF332" s="19">
        <v>4.0</v>
      </c>
      <c r="AG332" s="19">
        <v>3.0</v>
      </c>
      <c r="AH332" s="19">
        <v>3.0</v>
      </c>
      <c r="AI332" s="22">
        <v>10.921875</v>
      </c>
      <c r="AJ332" s="19">
        <v>15.0</v>
      </c>
      <c r="AK332" s="19">
        <v>15.0</v>
      </c>
      <c r="AL332" s="19">
        <v>15.0</v>
      </c>
      <c r="AM332" s="19">
        <v>45.0</v>
      </c>
      <c r="AN332" s="19">
        <v>55.9</v>
      </c>
      <c r="AO332" s="19">
        <v>69.9</v>
      </c>
      <c r="AP332" s="19">
        <v>584.0</v>
      </c>
      <c r="AQ332" s="23">
        <v>325.0</v>
      </c>
      <c r="AR332" s="23">
        <v>25.0</v>
      </c>
      <c r="AS332" s="22"/>
      <c r="AT332" s="19" t="s">
        <v>2163</v>
      </c>
      <c r="AU332" s="19" t="s">
        <v>8007</v>
      </c>
      <c r="AV332" s="19" t="s">
        <v>8008</v>
      </c>
      <c r="AW332" s="19"/>
      <c r="AX332" s="20">
        <v>35514.0</v>
      </c>
      <c r="AY332" s="19" t="s">
        <v>2702</v>
      </c>
      <c r="AZ332" s="19" t="s">
        <v>2122</v>
      </c>
      <c r="BA332" s="19" t="s">
        <v>8009</v>
      </c>
      <c r="BB332" s="19" t="s">
        <v>8010</v>
      </c>
      <c r="BC332" s="19" t="s">
        <v>8011</v>
      </c>
      <c r="BD332" s="19" t="s">
        <v>8012</v>
      </c>
      <c r="BE332" s="19" t="s">
        <v>8013</v>
      </c>
      <c r="BF332" s="19">
        <v>8.4981026113E10</v>
      </c>
      <c r="BG332" s="19" t="s">
        <v>2127</v>
      </c>
      <c r="BH332" s="19" t="s">
        <v>2649</v>
      </c>
      <c r="BI332" s="19"/>
      <c r="BJ332" s="19" t="s">
        <v>2128</v>
      </c>
      <c r="BK332" s="19" t="s">
        <v>17</v>
      </c>
      <c r="BL332" s="19"/>
      <c r="BM332" s="19" t="s">
        <v>5411</v>
      </c>
      <c r="BN332" s="19" t="s">
        <v>2708</v>
      </c>
      <c r="BO332" s="19" t="s">
        <v>2317</v>
      </c>
      <c r="BP332" s="19"/>
      <c r="BQ332" s="19" t="s">
        <v>2318</v>
      </c>
      <c r="BR332" s="19" t="s">
        <v>2318</v>
      </c>
      <c r="BS332" s="19" t="s">
        <v>2243</v>
      </c>
      <c r="BT332" s="19" t="s">
        <v>42</v>
      </c>
      <c r="BU332" s="19" t="s">
        <v>2710</v>
      </c>
      <c r="BV332" s="19"/>
      <c r="BW332" s="19" t="s">
        <v>2113</v>
      </c>
      <c r="BX332" s="19"/>
      <c r="BY332" s="19"/>
      <c r="BZ332" s="19"/>
      <c r="CA332" s="19"/>
      <c r="CB332" s="19" t="s">
        <v>2113</v>
      </c>
      <c r="CC332" s="19"/>
      <c r="CD332" s="19" t="s">
        <v>2137</v>
      </c>
      <c r="CE332" s="19" t="s">
        <v>16</v>
      </c>
      <c r="CF332" s="19"/>
      <c r="CG332" s="19"/>
      <c r="CH332" s="19" t="s">
        <v>16</v>
      </c>
      <c r="CI332" s="21">
        <v>0.0</v>
      </c>
      <c r="CJ332" s="19" t="s">
        <v>16</v>
      </c>
      <c r="CK332" s="19"/>
      <c r="CL332" s="19"/>
      <c r="CM332" s="19" t="s">
        <v>2138</v>
      </c>
      <c r="CN332" s="19" t="s">
        <v>2321</v>
      </c>
      <c r="CO332" s="19"/>
      <c r="CP332" s="19" t="s">
        <v>2140</v>
      </c>
      <c r="CQ332" s="19"/>
      <c r="CR332" s="19"/>
      <c r="CS332" s="19"/>
      <c r="CT332" s="19" t="s">
        <v>2113</v>
      </c>
      <c r="CU332" s="19" t="s">
        <v>2113</v>
      </c>
      <c r="CV332" s="19" t="s">
        <v>2141</v>
      </c>
      <c r="CW332" s="19"/>
      <c r="CX332" s="19"/>
      <c r="CY332" s="19"/>
      <c r="CZ332" s="19"/>
      <c r="DA332" s="19" t="s">
        <v>16</v>
      </c>
      <c r="DB332" s="19" t="s">
        <v>16</v>
      </c>
      <c r="DC332" s="19" t="s">
        <v>3280</v>
      </c>
      <c r="DD332" s="19" t="s">
        <v>2113</v>
      </c>
      <c r="DE332" s="19" t="s">
        <v>2113</v>
      </c>
      <c r="DF332" s="19" t="s">
        <v>3103</v>
      </c>
      <c r="DG332" s="19" t="s">
        <v>3163</v>
      </c>
      <c r="DH332" s="19" t="s">
        <v>2144</v>
      </c>
      <c r="DI332" s="24">
        <v>45524.0</v>
      </c>
      <c r="DJ332" s="19" t="s">
        <v>2325</v>
      </c>
      <c r="DK332" s="19" t="s">
        <v>2271</v>
      </c>
      <c r="DL332" s="19" t="s">
        <v>2326</v>
      </c>
      <c r="DM332" s="19"/>
      <c r="DN332" s="19">
        <v>8.0</v>
      </c>
      <c r="DO332" s="19">
        <v>8.0</v>
      </c>
      <c r="DP332" s="19" t="s">
        <v>8014</v>
      </c>
      <c r="DQ332" s="19" t="s">
        <v>8015</v>
      </c>
      <c r="DR332" s="19" t="s">
        <v>8016</v>
      </c>
      <c r="DS332" s="19" t="s">
        <v>2185</v>
      </c>
      <c r="DT332" s="19" t="s">
        <v>2186</v>
      </c>
      <c r="DU332" s="19"/>
      <c r="DV332" s="19"/>
      <c r="DW332" s="19" t="s">
        <v>2479</v>
      </c>
      <c r="DX332" s="19">
        <v>6.0</v>
      </c>
      <c r="DY332" s="19">
        <v>10.0</v>
      </c>
      <c r="DZ332" s="19">
        <v>0.0</v>
      </c>
      <c r="EA332" s="19">
        <v>10.0</v>
      </c>
      <c r="EB332" s="19">
        <v>0.0</v>
      </c>
      <c r="EC332" s="19">
        <v>0.0</v>
      </c>
      <c r="ED332" s="19" t="s">
        <v>2325</v>
      </c>
      <c r="EE332" s="24">
        <v>45524.0</v>
      </c>
      <c r="EF332" s="19" t="s">
        <v>2325</v>
      </c>
      <c r="EG332" s="19" t="s">
        <v>2271</v>
      </c>
      <c r="EH332" s="19" t="s">
        <v>2326</v>
      </c>
      <c r="EI332" s="22">
        <v>10.921875</v>
      </c>
      <c r="EJ332" s="19">
        <v>45.0</v>
      </c>
      <c r="EK332" s="19"/>
      <c r="EL332" s="19" t="s">
        <v>2163</v>
      </c>
      <c r="EM332" s="19" t="s">
        <v>8007</v>
      </c>
      <c r="EN332" s="19" t="s">
        <v>986</v>
      </c>
      <c r="EO332" s="19" t="s">
        <v>2702</v>
      </c>
      <c r="EP332" s="19" t="s">
        <v>2122</v>
      </c>
      <c r="EQ332" s="19" t="s">
        <v>2321</v>
      </c>
      <c r="ER332" s="19"/>
      <c r="ES332" s="19" t="s">
        <v>986</v>
      </c>
      <c r="ET332" s="19" t="s">
        <v>986</v>
      </c>
      <c r="EU332" s="19" t="s">
        <v>8005</v>
      </c>
      <c r="EV332" s="19">
        <v>9947.0</v>
      </c>
      <c r="EW332" s="19" t="s">
        <v>16</v>
      </c>
      <c r="EX332" s="19">
        <v>4.0</v>
      </c>
      <c r="EY332" s="25" t="s">
        <v>985</v>
      </c>
      <c r="EZ332" s="19" t="s">
        <v>2154</v>
      </c>
      <c r="FA332" s="5" t="s">
        <v>8017</v>
      </c>
      <c r="FB332" s="26" t="s">
        <v>2156</v>
      </c>
      <c r="FC332" s="26"/>
    </row>
    <row r="333">
      <c r="A333" s="19"/>
      <c r="B333" s="19"/>
      <c r="C333" s="19" t="s">
        <v>2113</v>
      </c>
      <c r="D333" s="19" t="s">
        <v>8018</v>
      </c>
      <c r="E333" s="19" t="s">
        <v>8019</v>
      </c>
      <c r="F333" s="19" t="s">
        <v>8018</v>
      </c>
      <c r="G333" s="19"/>
      <c r="H333" s="19" t="s">
        <v>987</v>
      </c>
      <c r="I333" s="19" t="s">
        <v>989</v>
      </c>
      <c r="J333" s="19" t="s">
        <v>8020</v>
      </c>
      <c r="K333" s="19" t="s">
        <v>8021</v>
      </c>
      <c r="L333" s="20">
        <v>45460.0</v>
      </c>
      <c r="M333" s="20">
        <v>45462.0</v>
      </c>
      <c r="N333" s="20">
        <v>45462.0</v>
      </c>
      <c r="O333" s="19" t="s">
        <v>988</v>
      </c>
      <c r="P333" s="19">
        <v>0.0</v>
      </c>
      <c r="Q333" s="19">
        <v>24.0</v>
      </c>
      <c r="R333" s="19">
        <v>8913.0</v>
      </c>
      <c r="S333" s="20" t="s">
        <v>8022</v>
      </c>
      <c r="T333" s="20">
        <v>45461.0</v>
      </c>
      <c r="U333" s="19" t="s">
        <v>8018</v>
      </c>
      <c r="V333" s="19"/>
      <c r="W333" s="19"/>
      <c r="X333" s="21">
        <v>0.0</v>
      </c>
      <c r="Y333" s="21">
        <v>10.0</v>
      </c>
      <c r="Z333" s="21">
        <v>4.0</v>
      </c>
      <c r="AA333" s="21">
        <v>0.0</v>
      </c>
      <c r="AB333" s="5">
        <v>14.0</v>
      </c>
      <c r="AC333" s="19">
        <v>5.0</v>
      </c>
      <c r="AD333" s="19">
        <v>5.0</v>
      </c>
      <c r="AE333" s="19">
        <v>4.5</v>
      </c>
      <c r="AF333" s="19">
        <v>4.0</v>
      </c>
      <c r="AG333" s="19">
        <v>4.5</v>
      </c>
      <c r="AH333" s="19">
        <v>4.5</v>
      </c>
      <c r="AI333" s="22">
        <v>13.875</v>
      </c>
      <c r="AJ333" s="19">
        <v>15.0</v>
      </c>
      <c r="AK333" s="19">
        <v>15.0</v>
      </c>
      <c r="AL333" s="19">
        <v>12.0</v>
      </c>
      <c r="AM333" s="19">
        <v>42.0</v>
      </c>
      <c r="AN333" s="19">
        <v>55.9</v>
      </c>
      <c r="AO333" s="19">
        <v>69.9</v>
      </c>
      <c r="AP333" s="19">
        <v>593.0</v>
      </c>
      <c r="AQ333" s="23">
        <v>326.0</v>
      </c>
      <c r="AR333" s="23">
        <v>26.0</v>
      </c>
      <c r="AS333" s="22"/>
      <c r="AT333" s="19" t="s">
        <v>2163</v>
      </c>
      <c r="AU333" s="19" t="s">
        <v>6534</v>
      </c>
      <c r="AV333" s="19" t="s">
        <v>8023</v>
      </c>
      <c r="AW333" s="19"/>
      <c r="AX333" s="20">
        <v>36548.0</v>
      </c>
      <c r="AY333" s="19" t="s">
        <v>2702</v>
      </c>
      <c r="AZ333" s="19" t="s">
        <v>2122</v>
      </c>
      <c r="BA333" s="19" t="s">
        <v>8024</v>
      </c>
      <c r="BB333" s="19" t="s">
        <v>8025</v>
      </c>
      <c r="BC333" s="19" t="s">
        <v>8026</v>
      </c>
      <c r="BD333" s="19" t="s">
        <v>8027</v>
      </c>
      <c r="BE333" s="19"/>
      <c r="BF333" s="19"/>
      <c r="BG333" s="19" t="s">
        <v>2127</v>
      </c>
      <c r="BH333" s="19" t="s">
        <v>2128</v>
      </c>
      <c r="BI333" s="19"/>
      <c r="BJ333" s="19" t="s">
        <v>2128</v>
      </c>
      <c r="BK333" s="19" t="s">
        <v>17</v>
      </c>
      <c r="BL333" s="19"/>
      <c r="BM333" s="19" t="s">
        <v>5563</v>
      </c>
      <c r="BN333" s="19"/>
      <c r="BO333" s="19" t="s">
        <v>2317</v>
      </c>
      <c r="BP333" s="19" t="s">
        <v>8028</v>
      </c>
      <c r="BQ333" s="19" t="s">
        <v>2318</v>
      </c>
      <c r="BR333" s="19" t="s">
        <v>2318</v>
      </c>
      <c r="BS333" s="19" t="s">
        <v>2134</v>
      </c>
      <c r="BT333" s="19" t="s">
        <v>42</v>
      </c>
      <c r="BU333" s="19"/>
      <c r="BV333" s="19"/>
      <c r="BW333" s="19"/>
      <c r="BX333" s="19" t="s">
        <v>2113</v>
      </c>
      <c r="BY333" s="19"/>
      <c r="BZ333" s="19" t="s">
        <v>2113</v>
      </c>
      <c r="CA333" s="19"/>
      <c r="CB333" s="19" t="s">
        <v>2113</v>
      </c>
      <c r="CC333" s="19"/>
      <c r="CD333" s="19" t="s">
        <v>2137</v>
      </c>
      <c r="CE333" s="19" t="s">
        <v>16</v>
      </c>
      <c r="CF333" s="19"/>
      <c r="CG333" s="19"/>
      <c r="CH333" s="19" t="s">
        <v>16</v>
      </c>
      <c r="CI333" s="21">
        <v>0.0</v>
      </c>
      <c r="CJ333" s="19" t="s">
        <v>17</v>
      </c>
      <c r="CK333" s="19"/>
      <c r="CL333" s="19"/>
      <c r="CM333" s="19" t="s">
        <v>2138</v>
      </c>
      <c r="CN333" s="19" t="s">
        <v>2321</v>
      </c>
      <c r="CO333" s="19"/>
      <c r="CP333" s="19" t="s">
        <v>2267</v>
      </c>
      <c r="CQ333" s="19"/>
      <c r="CR333" s="19"/>
      <c r="CS333" s="19"/>
      <c r="CT333" s="19"/>
      <c r="CU333" s="19"/>
      <c r="CV333" s="19" t="s">
        <v>2141</v>
      </c>
      <c r="CW333" s="19"/>
      <c r="CX333" s="19"/>
      <c r="CY333" s="19"/>
      <c r="CZ333" s="19"/>
      <c r="DA333" s="19" t="s">
        <v>16</v>
      </c>
      <c r="DB333" s="19" t="s">
        <v>17</v>
      </c>
      <c r="DC333" s="19" t="s">
        <v>2324</v>
      </c>
      <c r="DD333" s="19" t="s">
        <v>2113</v>
      </c>
      <c r="DE333" s="19" t="s">
        <v>2113</v>
      </c>
      <c r="DF333" s="19" t="s">
        <v>2433</v>
      </c>
      <c r="DG333" s="19" t="s">
        <v>2602</v>
      </c>
      <c r="DH333" s="19" t="s">
        <v>2144</v>
      </c>
      <c r="DI333" s="24">
        <v>45517.0</v>
      </c>
      <c r="DJ333" s="19" t="s">
        <v>2325</v>
      </c>
      <c r="DK333" s="19" t="s">
        <v>2271</v>
      </c>
      <c r="DL333" s="19" t="s">
        <v>2326</v>
      </c>
      <c r="DM333" s="19"/>
      <c r="DN333" s="19">
        <v>2.0</v>
      </c>
      <c r="DO333" s="19">
        <v>2.0</v>
      </c>
      <c r="DP333" s="19" t="s">
        <v>8029</v>
      </c>
      <c r="DQ333" s="19" t="s">
        <v>8030</v>
      </c>
      <c r="DR333" s="19" t="s">
        <v>8031</v>
      </c>
      <c r="DS333" s="19" t="s">
        <v>2185</v>
      </c>
      <c r="DT333" s="19" t="s">
        <v>2366</v>
      </c>
      <c r="DU333" s="19"/>
      <c r="DV333" s="19"/>
      <c r="DW333" s="19" t="s">
        <v>2188</v>
      </c>
      <c r="DX333" s="19">
        <v>5.0</v>
      </c>
      <c r="DY333" s="19">
        <v>10.0</v>
      </c>
      <c r="DZ333" s="19">
        <v>0.0</v>
      </c>
      <c r="EA333" s="19">
        <v>10.0</v>
      </c>
      <c r="EB333" s="19">
        <v>0.0</v>
      </c>
      <c r="EC333" s="19">
        <v>0.0</v>
      </c>
      <c r="ED333" s="19" t="s">
        <v>2325</v>
      </c>
      <c r="EE333" s="24">
        <v>45517.0</v>
      </c>
      <c r="EF333" s="19" t="s">
        <v>2325</v>
      </c>
      <c r="EG333" s="19" t="s">
        <v>2271</v>
      </c>
      <c r="EH333" s="19" t="s">
        <v>2326</v>
      </c>
      <c r="EI333" s="22">
        <v>13.875</v>
      </c>
      <c r="EJ333" s="19">
        <v>42.0</v>
      </c>
      <c r="EK333" s="19" t="s">
        <v>2113</v>
      </c>
      <c r="EL333" s="19" t="s">
        <v>2163</v>
      </c>
      <c r="EM333" s="19" t="s">
        <v>6534</v>
      </c>
      <c r="EN333" s="19" t="s">
        <v>989</v>
      </c>
      <c r="EO333" s="19" t="s">
        <v>2702</v>
      </c>
      <c r="EP333" s="19" t="s">
        <v>2122</v>
      </c>
      <c r="EQ333" s="19" t="s">
        <v>2321</v>
      </c>
      <c r="ER333" s="19"/>
      <c r="ES333" s="19" t="s">
        <v>989</v>
      </c>
      <c r="ET333" s="19" t="s">
        <v>989</v>
      </c>
      <c r="EU333" s="19" t="s">
        <v>8021</v>
      </c>
      <c r="EV333" s="19">
        <v>8913.0</v>
      </c>
      <c r="EW333" s="19" t="s">
        <v>16</v>
      </c>
      <c r="EX333" s="19">
        <v>4.0</v>
      </c>
      <c r="EY333" s="25" t="s">
        <v>988</v>
      </c>
      <c r="EZ333" s="19" t="s">
        <v>2154</v>
      </c>
      <c r="FA333" s="5" t="s">
        <v>8032</v>
      </c>
      <c r="FB333" s="26" t="s">
        <v>2156</v>
      </c>
      <c r="FC333" s="26"/>
    </row>
    <row r="334">
      <c r="A334" s="19" t="s">
        <v>2112</v>
      </c>
      <c r="B334" s="19"/>
      <c r="C334" s="19" t="s">
        <v>2113</v>
      </c>
      <c r="D334" s="19" t="s">
        <v>8033</v>
      </c>
      <c r="E334" s="19" t="s">
        <v>8034</v>
      </c>
      <c r="F334" s="19" t="s">
        <v>8033</v>
      </c>
      <c r="G334" s="19"/>
      <c r="H334" s="19" t="s">
        <v>990</v>
      </c>
      <c r="I334" s="19" t="s">
        <v>992</v>
      </c>
      <c r="J334" s="19" t="s">
        <v>8035</v>
      </c>
      <c r="K334" s="19" t="s">
        <v>8036</v>
      </c>
      <c r="L334" s="20">
        <v>45459.0</v>
      </c>
      <c r="M334" s="20">
        <v>45460.0</v>
      </c>
      <c r="N334" s="20">
        <v>45460.0</v>
      </c>
      <c r="O334" s="19" t="s">
        <v>991</v>
      </c>
      <c r="P334" s="19">
        <v>0.0</v>
      </c>
      <c r="Q334" s="19">
        <v>22.0</v>
      </c>
      <c r="R334" s="19">
        <v>8049.0</v>
      </c>
      <c r="S334" s="20" t="s">
        <v>8037</v>
      </c>
      <c r="T334" s="20">
        <v>45461.0</v>
      </c>
      <c r="U334" s="19" t="s">
        <v>8033</v>
      </c>
      <c r="V334" s="19"/>
      <c r="W334" s="19" t="s">
        <v>8038</v>
      </c>
      <c r="X334" s="21">
        <v>0.0</v>
      </c>
      <c r="Y334" s="21">
        <v>10.0</v>
      </c>
      <c r="Z334" s="21">
        <v>3.0</v>
      </c>
      <c r="AA334" s="21">
        <v>0.0</v>
      </c>
      <c r="AB334" s="5">
        <v>13.0</v>
      </c>
      <c r="AC334" s="19">
        <v>5.0</v>
      </c>
      <c r="AD334" s="19">
        <v>5.0</v>
      </c>
      <c r="AE334" s="19">
        <v>4.5</v>
      </c>
      <c r="AF334" s="19">
        <v>5.0</v>
      </c>
      <c r="AG334" s="19">
        <v>4.0</v>
      </c>
      <c r="AH334" s="19">
        <v>4.0</v>
      </c>
      <c r="AI334" s="22">
        <v>13.875</v>
      </c>
      <c r="AJ334" s="19">
        <v>15.0</v>
      </c>
      <c r="AK334" s="19">
        <v>15.0</v>
      </c>
      <c r="AL334" s="19">
        <v>13.0</v>
      </c>
      <c r="AM334" s="19">
        <v>43.0</v>
      </c>
      <c r="AN334" s="19">
        <v>56.9</v>
      </c>
      <c r="AO334" s="19">
        <v>69.9</v>
      </c>
      <c r="AP334" s="19">
        <v>739.0</v>
      </c>
      <c r="AQ334" s="23">
        <v>327.0</v>
      </c>
      <c r="AR334" s="23">
        <v>25.0</v>
      </c>
      <c r="AS334" s="22"/>
      <c r="AT334" s="19" t="s">
        <v>2282</v>
      </c>
      <c r="AU334" s="19" t="s">
        <v>8039</v>
      </c>
      <c r="AV334" s="19" t="s">
        <v>8040</v>
      </c>
      <c r="AW334" s="19"/>
      <c r="AX334" s="20">
        <v>37412.0</v>
      </c>
      <c r="AY334" s="19" t="s">
        <v>6385</v>
      </c>
      <c r="AZ334" s="19" t="s">
        <v>2445</v>
      </c>
      <c r="BA334" s="19" t="s">
        <v>8041</v>
      </c>
      <c r="BB334" s="19" t="s">
        <v>8042</v>
      </c>
      <c r="BC334" s="19" t="s">
        <v>8043</v>
      </c>
      <c r="BD334" s="19" t="s">
        <v>8044</v>
      </c>
      <c r="BE334" s="19" t="s">
        <v>8045</v>
      </c>
      <c r="BF334" s="19">
        <v>1.1977460144E10</v>
      </c>
      <c r="BG334" s="19" t="s">
        <v>2127</v>
      </c>
      <c r="BH334" s="19" t="s">
        <v>2128</v>
      </c>
      <c r="BI334" s="19"/>
      <c r="BJ334" s="19" t="s">
        <v>2128</v>
      </c>
      <c r="BK334" s="19" t="s">
        <v>17</v>
      </c>
      <c r="BL334" s="19" t="s">
        <v>2113</v>
      </c>
      <c r="BM334" s="19" t="s">
        <v>5411</v>
      </c>
      <c r="BN334" s="19" t="s">
        <v>2401</v>
      </c>
      <c r="BO334" s="19" t="s">
        <v>2473</v>
      </c>
      <c r="BP334" s="19" t="s">
        <v>8046</v>
      </c>
      <c r="BQ334" s="19" t="s">
        <v>2133</v>
      </c>
      <c r="BR334" s="19" t="s">
        <v>2133</v>
      </c>
      <c r="BS334" s="19" t="s">
        <v>2243</v>
      </c>
      <c r="BT334" s="19" t="s">
        <v>52</v>
      </c>
      <c r="BU334" s="19" t="s">
        <v>8047</v>
      </c>
      <c r="BV334" s="19"/>
      <c r="BW334" s="19"/>
      <c r="BX334" s="19"/>
      <c r="BY334" s="19"/>
      <c r="BZ334" s="19"/>
      <c r="CA334" s="19"/>
      <c r="CB334" s="19" t="s">
        <v>2113</v>
      </c>
      <c r="CC334" s="19" t="s">
        <v>2113</v>
      </c>
      <c r="CD334" s="19" t="s">
        <v>2137</v>
      </c>
      <c r="CE334" s="19" t="s">
        <v>17</v>
      </c>
      <c r="CF334" s="19"/>
      <c r="CG334" s="19"/>
      <c r="CH334" s="19" t="s">
        <v>16</v>
      </c>
      <c r="CI334" s="21">
        <v>0.0</v>
      </c>
      <c r="CJ334" s="19" t="s">
        <v>16</v>
      </c>
      <c r="CK334" s="19"/>
      <c r="CL334" s="19"/>
      <c r="CM334" s="19"/>
      <c r="CN334" s="19" t="s">
        <v>6390</v>
      </c>
      <c r="CO334" s="19" t="s">
        <v>7379</v>
      </c>
      <c r="CP334" s="19" t="s">
        <v>2140</v>
      </c>
      <c r="CQ334" s="19"/>
      <c r="CR334" s="19" t="s">
        <v>2113</v>
      </c>
      <c r="CS334" s="19" t="s">
        <v>2113</v>
      </c>
      <c r="CT334" s="19" t="s">
        <v>2113</v>
      </c>
      <c r="CU334" s="19" t="s">
        <v>2113</v>
      </c>
      <c r="CV334" s="19" t="s">
        <v>2141</v>
      </c>
      <c r="CW334" s="19" t="s">
        <v>2113</v>
      </c>
      <c r="CX334" s="19" t="s">
        <v>2113</v>
      </c>
      <c r="CY334" s="19" t="s">
        <v>2113</v>
      </c>
      <c r="CZ334" s="19" t="s">
        <v>2113</v>
      </c>
      <c r="DA334" s="19" t="s">
        <v>17</v>
      </c>
      <c r="DB334" s="19" t="s">
        <v>16</v>
      </c>
      <c r="DC334" s="19" t="s">
        <v>2579</v>
      </c>
      <c r="DD334" s="19" t="s">
        <v>2113</v>
      </c>
      <c r="DE334" s="19" t="s">
        <v>2113</v>
      </c>
      <c r="DF334" s="19" t="s">
        <v>2146</v>
      </c>
      <c r="DG334" s="19" t="s">
        <v>3955</v>
      </c>
      <c r="DH334" s="19" t="s">
        <v>2144</v>
      </c>
      <c r="DI334" s="24">
        <v>45532.0</v>
      </c>
      <c r="DJ334" s="19" t="s">
        <v>2133</v>
      </c>
      <c r="DK334" s="19" t="s">
        <v>2271</v>
      </c>
      <c r="DL334" s="19" t="s">
        <v>2146</v>
      </c>
      <c r="DM334" s="19" t="s">
        <v>3526</v>
      </c>
      <c r="DN334" s="19">
        <v>16.0</v>
      </c>
      <c r="DO334" s="19">
        <v>16.0</v>
      </c>
      <c r="DP334" s="19" t="s">
        <v>8048</v>
      </c>
      <c r="DQ334" s="19" t="s">
        <v>8049</v>
      </c>
      <c r="DR334" s="19" t="s">
        <v>8050</v>
      </c>
      <c r="DS334" s="19" t="s">
        <v>2151</v>
      </c>
      <c r="DT334" s="19" t="s">
        <v>2209</v>
      </c>
      <c r="DU334" s="19"/>
      <c r="DV334" s="19"/>
      <c r="DW334" s="19" t="s">
        <v>2153</v>
      </c>
      <c r="DX334" s="19">
        <v>12.0</v>
      </c>
      <c r="DY334" s="19">
        <v>10.0</v>
      </c>
      <c r="DZ334" s="19">
        <v>0.0</v>
      </c>
      <c r="EA334" s="19">
        <v>10.0</v>
      </c>
      <c r="EB334" s="19">
        <v>0.0</v>
      </c>
      <c r="EC334" s="19">
        <v>0.0</v>
      </c>
      <c r="ED334" s="19" t="s">
        <v>2133</v>
      </c>
      <c r="EE334" s="24">
        <v>45532.0</v>
      </c>
      <c r="EF334" s="19" t="s">
        <v>2133</v>
      </c>
      <c r="EG334" s="19" t="s">
        <v>2271</v>
      </c>
      <c r="EH334" s="19" t="s">
        <v>2146</v>
      </c>
      <c r="EI334" s="22">
        <v>13.875</v>
      </c>
      <c r="EJ334" s="19">
        <v>43.0</v>
      </c>
      <c r="EK334" s="19"/>
      <c r="EL334" s="19" t="s">
        <v>2282</v>
      </c>
      <c r="EM334" s="19" t="s">
        <v>8039</v>
      </c>
      <c r="EN334" s="19" t="s">
        <v>992</v>
      </c>
      <c r="EO334" s="19" t="s">
        <v>6385</v>
      </c>
      <c r="EP334" s="19" t="s">
        <v>2445</v>
      </c>
      <c r="EQ334" s="19" t="s">
        <v>6390</v>
      </c>
      <c r="ER334" s="19" t="s">
        <v>7379</v>
      </c>
      <c r="ES334" s="19" t="s">
        <v>992</v>
      </c>
      <c r="ET334" s="19" t="s">
        <v>992</v>
      </c>
      <c r="EU334" s="19" t="s">
        <v>8036</v>
      </c>
      <c r="EV334" s="19">
        <v>8049.0</v>
      </c>
      <c r="EW334" s="19" t="s">
        <v>17</v>
      </c>
      <c r="EX334" s="19">
        <v>3.0</v>
      </c>
      <c r="EY334" s="25" t="s">
        <v>991</v>
      </c>
      <c r="EZ334" s="19" t="s">
        <v>8051</v>
      </c>
      <c r="FA334" s="5" t="s">
        <v>8052</v>
      </c>
      <c r="FB334" s="26" t="s">
        <v>2156</v>
      </c>
      <c r="FC334" s="26"/>
    </row>
    <row r="335">
      <c r="A335" s="19" t="s">
        <v>2156</v>
      </c>
      <c r="B335" s="19"/>
      <c r="C335" s="19" t="s">
        <v>2113</v>
      </c>
      <c r="D335" s="19" t="s">
        <v>993</v>
      </c>
      <c r="E335" s="19" t="s">
        <v>8053</v>
      </c>
      <c r="F335" s="19" t="s">
        <v>993</v>
      </c>
      <c r="G335" s="19"/>
      <c r="H335" s="19" t="s">
        <v>993</v>
      </c>
      <c r="I335" s="19" t="s">
        <v>995</v>
      </c>
      <c r="J335" s="19" t="s">
        <v>8054</v>
      </c>
      <c r="K335" s="19" t="s">
        <v>8055</v>
      </c>
      <c r="L335" s="20">
        <v>45405.0</v>
      </c>
      <c r="M335" s="20">
        <v>45411.0</v>
      </c>
      <c r="N335" s="20">
        <v>45411.0</v>
      </c>
      <c r="O335" s="19" t="s">
        <v>994</v>
      </c>
      <c r="P335" s="19">
        <v>0.0</v>
      </c>
      <c r="Q335" s="19">
        <v>20.0</v>
      </c>
      <c r="R335" s="19">
        <v>7473.0</v>
      </c>
      <c r="S335" s="20" t="s">
        <v>8056</v>
      </c>
      <c r="T335" s="20">
        <v>45461.0</v>
      </c>
      <c r="U335" s="19" t="s">
        <v>993</v>
      </c>
      <c r="V335" s="19"/>
      <c r="W335" s="19"/>
      <c r="X335" s="21">
        <v>0.0</v>
      </c>
      <c r="Y335" s="21">
        <v>10.0</v>
      </c>
      <c r="Z335" s="21">
        <v>5.0</v>
      </c>
      <c r="AA335" s="21">
        <v>0.0</v>
      </c>
      <c r="AB335" s="5">
        <v>15.0</v>
      </c>
      <c r="AC335" s="19">
        <v>4.0</v>
      </c>
      <c r="AD335" s="19">
        <v>5.0</v>
      </c>
      <c r="AE335" s="19">
        <v>5.0</v>
      </c>
      <c r="AF335" s="19">
        <v>5.0</v>
      </c>
      <c r="AG335" s="19">
        <v>4.0</v>
      </c>
      <c r="AH335" s="19">
        <v>4.0</v>
      </c>
      <c r="AI335" s="22">
        <v>13.78125</v>
      </c>
      <c r="AJ335" s="19">
        <v>11.0</v>
      </c>
      <c r="AK335" s="19">
        <v>15.0</v>
      </c>
      <c r="AL335" s="19">
        <v>15.0</v>
      </c>
      <c r="AM335" s="19">
        <v>41.0</v>
      </c>
      <c r="AN335" s="19">
        <v>54.8</v>
      </c>
      <c r="AO335" s="19">
        <v>69.8</v>
      </c>
      <c r="AP335" s="19">
        <v>504.0</v>
      </c>
      <c r="AQ335" s="23">
        <v>328.0</v>
      </c>
      <c r="AR335" s="23">
        <v>36.0</v>
      </c>
      <c r="AS335" s="22"/>
      <c r="AT335" s="19" t="s">
        <v>2282</v>
      </c>
      <c r="AU335" s="19" t="s">
        <v>8057</v>
      </c>
      <c r="AV335" s="19" t="s">
        <v>8058</v>
      </c>
      <c r="AW335" s="19" t="s">
        <v>2166</v>
      </c>
      <c r="AX335" s="20">
        <v>37988.0</v>
      </c>
      <c r="AY335" s="19" t="s">
        <v>8059</v>
      </c>
      <c r="AZ335" s="19" t="s">
        <v>2310</v>
      </c>
      <c r="BA335" s="19" t="s">
        <v>8060</v>
      </c>
      <c r="BB335" s="19" t="s">
        <v>6369</v>
      </c>
      <c r="BC335" s="19" t="s">
        <v>8061</v>
      </c>
      <c r="BD335" s="19" t="s">
        <v>8062</v>
      </c>
      <c r="BE335" s="19" t="s">
        <v>8054</v>
      </c>
      <c r="BF335" s="19">
        <v>1.1998379506E10</v>
      </c>
      <c r="BG335" s="19" t="s">
        <v>2127</v>
      </c>
      <c r="BH335" s="19" t="s">
        <v>2128</v>
      </c>
      <c r="BI335" s="19"/>
      <c r="BJ335" s="19" t="s">
        <v>2128</v>
      </c>
      <c r="BK335" s="19" t="s">
        <v>17</v>
      </c>
      <c r="BL335" s="19" t="s">
        <v>2113</v>
      </c>
      <c r="BM335" s="19" t="s">
        <v>5411</v>
      </c>
      <c r="BN335" s="19" t="s">
        <v>8063</v>
      </c>
      <c r="BO335" s="19" t="s">
        <v>2132</v>
      </c>
      <c r="BP335" s="19" t="s">
        <v>8064</v>
      </c>
      <c r="BQ335" s="19" t="s">
        <v>2133</v>
      </c>
      <c r="BR335" s="19" t="s">
        <v>2133</v>
      </c>
      <c r="BS335" s="19" t="s">
        <v>2243</v>
      </c>
      <c r="BT335" s="19" t="s">
        <v>15</v>
      </c>
      <c r="BU335" s="19" t="s">
        <v>8065</v>
      </c>
      <c r="BV335" s="19"/>
      <c r="BW335" s="19"/>
      <c r="BX335" s="19"/>
      <c r="BY335" s="19"/>
      <c r="BZ335" s="19"/>
      <c r="CA335" s="19"/>
      <c r="CB335" s="19" t="s">
        <v>2113</v>
      </c>
      <c r="CC335" s="19"/>
      <c r="CD335" s="19" t="s">
        <v>2137</v>
      </c>
      <c r="CE335" s="19" t="s">
        <v>16</v>
      </c>
      <c r="CF335" s="19"/>
      <c r="CG335" s="19"/>
      <c r="CH335" s="19" t="s">
        <v>16</v>
      </c>
      <c r="CI335" s="21">
        <v>0.0</v>
      </c>
      <c r="CJ335" s="19" t="s">
        <v>16</v>
      </c>
      <c r="CK335" s="19"/>
      <c r="CL335" s="19"/>
      <c r="CM335" s="19" t="s">
        <v>2138</v>
      </c>
      <c r="CN335" s="19" t="s">
        <v>2139</v>
      </c>
      <c r="CO335" s="19"/>
      <c r="CP335" s="19" t="s">
        <v>2267</v>
      </c>
      <c r="CQ335" s="19"/>
      <c r="CR335" s="19" t="s">
        <v>2113</v>
      </c>
      <c r="CS335" s="19" t="s">
        <v>2113</v>
      </c>
      <c r="CT335" s="19" t="s">
        <v>2113</v>
      </c>
      <c r="CU335" s="19" t="s">
        <v>2113</v>
      </c>
      <c r="CV335" s="19" t="s">
        <v>2141</v>
      </c>
      <c r="CW335" s="19"/>
      <c r="CX335" s="19"/>
      <c r="CY335" s="19" t="s">
        <v>2113</v>
      </c>
      <c r="CZ335" s="19" t="s">
        <v>2113</v>
      </c>
      <c r="DA335" s="19" t="s">
        <v>16</v>
      </c>
      <c r="DB335" s="19" t="s">
        <v>16</v>
      </c>
      <c r="DC335" s="19" t="s">
        <v>4120</v>
      </c>
      <c r="DD335" s="19" t="s">
        <v>2113</v>
      </c>
      <c r="DE335" s="19" t="s">
        <v>2113</v>
      </c>
      <c r="DF335" s="19" t="s">
        <v>2433</v>
      </c>
      <c r="DG335" s="19" t="s">
        <v>3163</v>
      </c>
      <c r="DH335" s="19" t="s">
        <v>2144</v>
      </c>
      <c r="DI335" s="24">
        <v>45519.0</v>
      </c>
      <c r="DJ335" s="19" t="s">
        <v>2133</v>
      </c>
      <c r="DK335" s="19" t="s">
        <v>2145</v>
      </c>
      <c r="DL335" s="19" t="s">
        <v>2146</v>
      </c>
      <c r="DM335" s="19"/>
      <c r="DN335" s="19">
        <v>5.0</v>
      </c>
      <c r="DO335" s="19">
        <v>5.0</v>
      </c>
      <c r="DP335" s="19" t="s">
        <v>8066</v>
      </c>
      <c r="DQ335" s="19" t="s">
        <v>8067</v>
      </c>
      <c r="DR335" s="19" t="s">
        <v>8068</v>
      </c>
      <c r="DS335" s="19" t="s">
        <v>2365</v>
      </c>
      <c r="DT335" s="19" t="s">
        <v>2229</v>
      </c>
      <c r="DU335" s="19"/>
      <c r="DV335" s="19"/>
      <c r="DW335" s="19" t="s">
        <v>2153</v>
      </c>
      <c r="DX335" s="19">
        <v>7.0</v>
      </c>
      <c r="DY335" s="19">
        <v>10.0</v>
      </c>
      <c r="DZ335" s="19">
        <v>0.0</v>
      </c>
      <c r="EA335" s="19">
        <v>10.0</v>
      </c>
      <c r="EB335" s="19">
        <v>0.0</v>
      </c>
      <c r="EC335" s="19">
        <v>0.0</v>
      </c>
      <c r="ED335" s="19" t="s">
        <v>2133</v>
      </c>
      <c r="EE335" s="24">
        <v>45519.0</v>
      </c>
      <c r="EF335" s="19" t="s">
        <v>2133</v>
      </c>
      <c r="EG335" s="19" t="s">
        <v>2145</v>
      </c>
      <c r="EH335" s="19" t="s">
        <v>2146</v>
      </c>
      <c r="EI335" s="22">
        <v>13.78125</v>
      </c>
      <c r="EJ335" s="19">
        <v>41.0</v>
      </c>
      <c r="EK335" s="19"/>
      <c r="EL335" s="19" t="s">
        <v>2282</v>
      </c>
      <c r="EM335" s="19" t="s">
        <v>8057</v>
      </c>
      <c r="EN335" s="19" t="s">
        <v>995</v>
      </c>
      <c r="EO335" s="19" t="s">
        <v>8059</v>
      </c>
      <c r="EP335" s="19" t="s">
        <v>2310</v>
      </c>
      <c r="EQ335" s="19" t="s">
        <v>2139</v>
      </c>
      <c r="ER335" s="19"/>
      <c r="ES335" s="19" t="s">
        <v>995</v>
      </c>
      <c r="ET335" s="19" t="s">
        <v>995</v>
      </c>
      <c r="EU335" s="19" t="s">
        <v>8055</v>
      </c>
      <c r="EV335" s="19">
        <v>7473.0</v>
      </c>
      <c r="EW335" s="19" t="s">
        <v>16</v>
      </c>
      <c r="EX335" s="19">
        <v>5.0</v>
      </c>
      <c r="EY335" s="25" t="s">
        <v>994</v>
      </c>
      <c r="EZ335" s="19" t="s">
        <v>2154</v>
      </c>
      <c r="FA335" s="5" t="s">
        <v>8069</v>
      </c>
      <c r="FB335" s="26" t="s">
        <v>2156</v>
      </c>
      <c r="FC335" s="26"/>
    </row>
    <row r="336">
      <c r="A336" s="19" t="s">
        <v>2156</v>
      </c>
      <c r="B336" s="19"/>
      <c r="C336" s="19" t="s">
        <v>2113</v>
      </c>
      <c r="D336" s="19" t="s">
        <v>996</v>
      </c>
      <c r="E336" s="19" t="s">
        <v>8070</v>
      </c>
      <c r="F336" s="19" t="s">
        <v>996</v>
      </c>
      <c r="G336" s="19"/>
      <c r="H336" s="19" t="s">
        <v>996</v>
      </c>
      <c r="I336" s="19" t="s">
        <v>998</v>
      </c>
      <c r="J336" s="19" t="s">
        <v>8071</v>
      </c>
      <c r="K336" s="19" t="s">
        <v>8072</v>
      </c>
      <c r="L336" s="20">
        <v>45414.0</v>
      </c>
      <c r="M336" s="20">
        <v>45428.0</v>
      </c>
      <c r="N336" s="20">
        <v>45428.0</v>
      </c>
      <c r="O336" s="19" t="s">
        <v>997</v>
      </c>
      <c r="P336" s="19">
        <v>0.0</v>
      </c>
      <c r="Q336" s="19">
        <v>19.0</v>
      </c>
      <c r="R336" s="19">
        <v>6962.0</v>
      </c>
      <c r="S336" s="20" t="s">
        <v>8073</v>
      </c>
      <c r="T336" s="20">
        <v>45461.0</v>
      </c>
      <c r="U336" s="19" t="s">
        <v>996</v>
      </c>
      <c r="V336" s="19"/>
      <c r="W336" s="19"/>
      <c r="X336" s="21">
        <v>0.0</v>
      </c>
      <c r="Y336" s="21">
        <v>10.0</v>
      </c>
      <c r="Z336" s="21">
        <v>3.0</v>
      </c>
      <c r="AA336" s="21">
        <v>0.0</v>
      </c>
      <c r="AB336" s="5">
        <v>13.0</v>
      </c>
      <c r="AC336" s="19">
        <v>3.5</v>
      </c>
      <c r="AD336" s="19">
        <v>4.0</v>
      </c>
      <c r="AE336" s="19">
        <v>4.5</v>
      </c>
      <c r="AF336" s="19">
        <v>3.5</v>
      </c>
      <c r="AG336" s="19">
        <v>3.5</v>
      </c>
      <c r="AH336" s="19">
        <v>4.0</v>
      </c>
      <c r="AI336" s="22">
        <v>11.765625</v>
      </c>
      <c r="AJ336" s="19">
        <v>15.0</v>
      </c>
      <c r="AK336" s="19">
        <v>15.0</v>
      </c>
      <c r="AL336" s="19">
        <v>15.0</v>
      </c>
      <c r="AM336" s="19">
        <v>45.0</v>
      </c>
      <c r="AN336" s="19">
        <v>56.8</v>
      </c>
      <c r="AO336" s="19">
        <v>69.8</v>
      </c>
      <c r="AP336" s="19">
        <v>798.0</v>
      </c>
      <c r="AQ336" s="23">
        <v>329.0</v>
      </c>
      <c r="AR336" s="23">
        <v>28.0</v>
      </c>
      <c r="AS336" s="22"/>
      <c r="AT336" s="19" t="s">
        <v>2163</v>
      </c>
      <c r="AU336" s="19" t="s">
        <v>8074</v>
      </c>
      <c r="AV336" s="19" t="s">
        <v>8075</v>
      </c>
      <c r="AW336" s="19"/>
      <c r="AX336" s="20">
        <v>38499.0</v>
      </c>
      <c r="AY336" s="19" t="s">
        <v>4897</v>
      </c>
      <c r="AZ336" s="19" t="s">
        <v>2122</v>
      </c>
      <c r="BA336" s="19" t="s">
        <v>8076</v>
      </c>
      <c r="BB336" s="19" t="s">
        <v>7666</v>
      </c>
      <c r="BC336" s="19" t="s">
        <v>8077</v>
      </c>
      <c r="BD336" s="19" t="s">
        <v>8078</v>
      </c>
      <c r="BE336" s="19" t="s">
        <v>8071</v>
      </c>
      <c r="BF336" s="19" t="s">
        <v>8079</v>
      </c>
      <c r="BG336" s="19" t="s">
        <v>2127</v>
      </c>
      <c r="BH336" s="19" t="s">
        <v>2128</v>
      </c>
      <c r="BI336" s="19"/>
      <c r="BJ336" s="19"/>
      <c r="BK336" s="19" t="s">
        <v>16</v>
      </c>
      <c r="BL336" s="19"/>
      <c r="BM336" s="19" t="s">
        <v>5411</v>
      </c>
      <c r="BN336" s="19" t="s">
        <v>4275</v>
      </c>
      <c r="BO336" s="19" t="s">
        <v>2473</v>
      </c>
      <c r="BP336" s="19"/>
      <c r="BQ336" s="19" t="s">
        <v>2325</v>
      </c>
      <c r="BR336" s="19" t="s">
        <v>2325</v>
      </c>
      <c r="BS336" s="19" t="s">
        <v>2134</v>
      </c>
      <c r="BT336" s="19" t="s">
        <v>59</v>
      </c>
      <c r="BU336" s="19" t="s">
        <v>8080</v>
      </c>
      <c r="BV336" s="19"/>
      <c r="BW336" s="19" t="s">
        <v>2113</v>
      </c>
      <c r="BX336" s="19"/>
      <c r="BY336" s="19"/>
      <c r="BZ336" s="19"/>
      <c r="CA336" s="19"/>
      <c r="CB336" s="19" t="s">
        <v>2113</v>
      </c>
      <c r="CC336" s="19"/>
      <c r="CD336" s="19" t="s">
        <v>2137</v>
      </c>
      <c r="CE336" s="19" t="s">
        <v>16</v>
      </c>
      <c r="CF336" s="19"/>
      <c r="CG336" s="19"/>
      <c r="CH336" s="19" t="s">
        <v>16</v>
      </c>
      <c r="CI336" s="21">
        <v>0.0</v>
      </c>
      <c r="CJ336" s="19" t="s">
        <v>17</v>
      </c>
      <c r="CK336" s="19"/>
      <c r="CL336" s="19"/>
      <c r="CM336" s="19" t="s">
        <v>2344</v>
      </c>
      <c r="CN336" s="19" t="s">
        <v>3064</v>
      </c>
      <c r="CO336" s="19"/>
      <c r="CP336" s="19"/>
      <c r="CQ336" s="19"/>
      <c r="CR336" s="19" t="s">
        <v>2113</v>
      </c>
      <c r="CS336" s="19" t="s">
        <v>2113</v>
      </c>
      <c r="CT336" s="19" t="s">
        <v>2113</v>
      </c>
      <c r="CU336" s="19" t="s">
        <v>2113</v>
      </c>
      <c r="CV336" s="19" t="s">
        <v>2141</v>
      </c>
      <c r="CW336" s="19"/>
      <c r="CX336" s="19"/>
      <c r="CY336" s="19" t="s">
        <v>2113</v>
      </c>
      <c r="CZ336" s="19" t="s">
        <v>2113</v>
      </c>
      <c r="DA336" s="19" t="s">
        <v>16</v>
      </c>
      <c r="DB336" s="19" t="s">
        <v>17</v>
      </c>
      <c r="DC336" s="19" t="s">
        <v>3933</v>
      </c>
      <c r="DD336" s="19" t="s">
        <v>2113</v>
      </c>
      <c r="DE336" s="19" t="s">
        <v>2113</v>
      </c>
      <c r="DF336" s="19" t="s">
        <v>4904</v>
      </c>
      <c r="DG336" s="19" t="s">
        <v>2248</v>
      </c>
      <c r="DH336" s="19" t="s">
        <v>2144</v>
      </c>
      <c r="DI336" s="24">
        <v>45519.0</v>
      </c>
      <c r="DJ336" s="19" t="s">
        <v>2325</v>
      </c>
      <c r="DK336" s="19" t="s">
        <v>2145</v>
      </c>
      <c r="DL336" s="19" t="s">
        <v>2326</v>
      </c>
      <c r="DM336" s="19"/>
      <c r="DN336" s="19">
        <v>5.0</v>
      </c>
      <c r="DO336" s="19">
        <v>5.0</v>
      </c>
      <c r="DP336" s="19" t="s">
        <v>8081</v>
      </c>
      <c r="DQ336" s="19" t="s">
        <v>8082</v>
      </c>
      <c r="DR336" s="19" t="s">
        <v>8083</v>
      </c>
      <c r="DS336" s="19" t="s">
        <v>2185</v>
      </c>
      <c r="DT336" s="19" t="s">
        <v>2209</v>
      </c>
      <c r="DU336" s="19"/>
      <c r="DV336" s="19"/>
      <c r="DW336" s="19" t="s">
        <v>2153</v>
      </c>
      <c r="DX336" s="19">
        <v>3.0</v>
      </c>
      <c r="DY336" s="19">
        <v>10.0</v>
      </c>
      <c r="DZ336" s="19">
        <v>0.0</v>
      </c>
      <c r="EA336" s="19">
        <v>10.0</v>
      </c>
      <c r="EB336" s="19">
        <v>0.0</v>
      </c>
      <c r="EC336" s="19">
        <v>0.0</v>
      </c>
      <c r="ED336" s="19" t="s">
        <v>2325</v>
      </c>
      <c r="EE336" s="24">
        <v>45519.0</v>
      </c>
      <c r="EF336" s="19" t="s">
        <v>2325</v>
      </c>
      <c r="EG336" s="19" t="s">
        <v>2145</v>
      </c>
      <c r="EH336" s="19" t="s">
        <v>2326</v>
      </c>
      <c r="EI336" s="22">
        <v>11.765625</v>
      </c>
      <c r="EJ336" s="19">
        <v>45.0</v>
      </c>
      <c r="EK336" s="19" t="s">
        <v>2113</v>
      </c>
      <c r="EL336" s="19" t="s">
        <v>2163</v>
      </c>
      <c r="EM336" s="19" t="s">
        <v>8074</v>
      </c>
      <c r="EN336" s="19" t="s">
        <v>998</v>
      </c>
      <c r="EO336" s="19" t="s">
        <v>4897</v>
      </c>
      <c r="EP336" s="19" t="s">
        <v>2122</v>
      </c>
      <c r="EQ336" s="19" t="s">
        <v>3064</v>
      </c>
      <c r="ER336" s="19"/>
      <c r="ES336" s="19" t="s">
        <v>998</v>
      </c>
      <c r="ET336" s="19" t="s">
        <v>998</v>
      </c>
      <c r="EU336" s="19" t="s">
        <v>8072</v>
      </c>
      <c r="EV336" s="19">
        <v>6962.0</v>
      </c>
      <c r="EW336" s="19" t="s">
        <v>16</v>
      </c>
      <c r="EX336" s="19">
        <v>3.0</v>
      </c>
      <c r="EY336" s="25" t="s">
        <v>997</v>
      </c>
      <c r="EZ336" s="19" t="s">
        <v>2154</v>
      </c>
      <c r="FA336" s="5" t="s">
        <v>8084</v>
      </c>
      <c r="FB336" s="26" t="s">
        <v>2156</v>
      </c>
      <c r="FC336" s="26"/>
    </row>
    <row r="337">
      <c r="A337" s="19" t="s">
        <v>2112</v>
      </c>
      <c r="B337" s="19"/>
      <c r="C337" s="19" t="s">
        <v>2113</v>
      </c>
      <c r="D337" s="19" t="s">
        <v>8085</v>
      </c>
      <c r="E337" s="19" t="s">
        <v>8086</v>
      </c>
      <c r="F337" s="19" t="s">
        <v>8087</v>
      </c>
      <c r="G337" s="19" t="s">
        <v>8088</v>
      </c>
      <c r="H337" s="19" t="s">
        <v>999</v>
      </c>
      <c r="I337" s="19" t="s">
        <v>1001</v>
      </c>
      <c r="J337" s="19" t="s">
        <v>8089</v>
      </c>
      <c r="K337" s="19" t="s">
        <v>8090</v>
      </c>
      <c r="L337" s="20">
        <v>45446.0</v>
      </c>
      <c r="M337" s="20">
        <v>45446.0</v>
      </c>
      <c r="N337" s="20">
        <v>45446.0</v>
      </c>
      <c r="O337" s="19" t="s">
        <v>1000</v>
      </c>
      <c r="P337" s="19">
        <v>0.0</v>
      </c>
      <c r="Q337" s="19">
        <v>19.0</v>
      </c>
      <c r="R337" s="19">
        <v>7300.0</v>
      </c>
      <c r="S337" s="20" t="s">
        <v>8091</v>
      </c>
      <c r="T337" s="20">
        <v>45461.0</v>
      </c>
      <c r="U337" s="19" t="s">
        <v>8087</v>
      </c>
      <c r="V337" s="19"/>
      <c r="W337" s="19"/>
      <c r="X337" s="21">
        <v>0.0</v>
      </c>
      <c r="Y337" s="21">
        <v>10.0</v>
      </c>
      <c r="Z337" s="21">
        <v>5.0</v>
      </c>
      <c r="AA337" s="21">
        <v>0.0</v>
      </c>
      <c r="AB337" s="5">
        <v>15.0</v>
      </c>
      <c r="AC337" s="19">
        <v>4.0</v>
      </c>
      <c r="AD337" s="19">
        <v>5.0</v>
      </c>
      <c r="AE337" s="19">
        <v>5.0</v>
      </c>
      <c r="AF337" s="19">
        <v>3.0</v>
      </c>
      <c r="AG337" s="19">
        <v>3.0</v>
      </c>
      <c r="AH337" s="19">
        <v>4.0</v>
      </c>
      <c r="AI337" s="22">
        <v>12.65625</v>
      </c>
      <c r="AJ337" s="19">
        <v>15.0</v>
      </c>
      <c r="AK337" s="19">
        <v>13.0</v>
      </c>
      <c r="AL337" s="19">
        <v>14.0</v>
      </c>
      <c r="AM337" s="19">
        <v>42.0</v>
      </c>
      <c r="AN337" s="19">
        <v>54.7</v>
      </c>
      <c r="AO337" s="19">
        <v>69.7</v>
      </c>
      <c r="AP337" s="19">
        <v>516.0</v>
      </c>
      <c r="AQ337" s="23">
        <v>330.0</v>
      </c>
      <c r="AR337" s="23">
        <v>37.0</v>
      </c>
      <c r="AS337" s="22"/>
      <c r="AT337" s="19" t="s">
        <v>2117</v>
      </c>
      <c r="AU337" s="19" t="s">
        <v>8092</v>
      </c>
      <c r="AV337" s="19" t="s">
        <v>8093</v>
      </c>
      <c r="AW337" s="19" t="s">
        <v>3923</v>
      </c>
      <c r="AX337" s="20">
        <v>38161.0</v>
      </c>
      <c r="AY337" s="19" t="s">
        <v>2121</v>
      </c>
      <c r="AZ337" s="19" t="s">
        <v>2122</v>
      </c>
      <c r="BA337" s="19" t="s">
        <v>8094</v>
      </c>
      <c r="BB337" s="19" t="s">
        <v>4844</v>
      </c>
      <c r="BC337" s="19" t="s">
        <v>8095</v>
      </c>
      <c r="BD337" s="19" t="s">
        <v>8096</v>
      </c>
      <c r="BE337" s="19" t="s">
        <v>8097</v>
      </c>
      <c r="BF337" s="19">
        <v>1.1970837262E10</v>
      </c>
      <c r="BG337" s="19" t="s">
        <v>2127</v>
      </c>
      <c r="BH337" s="19" t="s">
        <v>2128</v>
      </c>
      <c r="BI337" s="19"/>
      <c r="BJ337" s="19"/>
      <c r="BK337" s="19" t="s">
        <v>16</v>
      </c>
      <c r="BL337" s="19"/>
      <c r="BM337" s="19" t="s">
        <v>5411</v>
      </c>
      <c r="BN337" s="19" t="s">
        <v>2172</v>
      </c>
      <c r="BO337" s="19" t="s">
        <v>2132</v>
      </c>
      <c r="BP337" s="19"/>
      <c r="BQ337" s="19" t="s">
        <v>2133</v>
      </c>
      <c r="BR337" s="19" t="s">
        <v>2133</v>
      </c>
      <c r="BS337" s="19" t="s">
        <v>2134</v>
      </c>
      <c r="BT337" s="19" t="s">
        <v>15</v>
      </c>
      <c r="BU337" s="19" t="s">
        <v>4099</v>
      </c>
      <c r="BV337" s="19"/>
      <c r="BW337" s="19"/>
      <c r="BX337" s="19"/>
      <c r="BY337" s="19"/>
      <c r="BZ337" s="19"/>
      <c r="CA337" s="19"/>
      <c r="CB337" s="19" t="s">
        <v>2113</v>
      </c>
      <c r="CC337" s="19"/>
      <c r="CD337" s="19" t="s">
        <v>2137</v>
      </c>
      <c r="CE337" s="19" t="s">
        <v>16</v>
      </c>
      <c r="CF337" s="19"/>
      <c r="CG337" s="19"/>
      <c r="CH337" s="19" t="s">
        <v>16</v>
      </c>
      <c r="CI337" s="21">
        <v>0.0</v>
      </c>
      <c r="CJ337" s="19" t="s">
        <v>17</v>
      </c>
      <c r="CK337" s="19" t="s">
        <v>2113</v>
      </c>
      <c r="CL337" s="19"/>
      <c r="CM337" s="19" t="s">
        <v>2138</v>
      </c>
      <c r="CN337" s="19" t="s">
        <v>2139</v>
      </c>
      <c r="CO337" s="19"/>
      <c r="CP337" s="19"/>
      <c r="CQ337" s="19"/>
      <c r="CR337" s="19" t="s">
        <v>2113</v>
      </c>
      <c r="CS337" s="19" t="s">
        <v>2113</v>
      </c>
      <c r="CT337" s="19" t="s">
        <v>2113</v>
      </c>
      <c r="CU337" s="19" t="s">
        <v>2113</v>
      </c>
      <c r="CV337" s="19" t="s">
        <v>2179</v>
      </c>
      <c r="CW337" s="19" t="s">
        <v>2113</v>
      </c>
      <c r="CX337" s="19" t="s">
        <v>2113</v>
      </c>
      <c r="CY337" s="19" t="s">
        <v>2113</v>
      </c>
      <c r="CZ337" s="19" t="s">
        <v>2113</v>
      </c>
      <c r="DA337" s="19" t="s">
        <v>16</v>
      </c>
      <c r="DB337" s="19" t="s">
        <v>17</v>
      </c>
      <c r="DC337" s="19" t="s">
        <v>3525</v>
      </c>
      <c r="DD337" s="19" t="s">
        <v>2113</v>
      </c>
      <c r="DE337" s="19" t="s">
        <v>2113</v>
      </c>
      <c r="DF337" s="19" t="s">
        <v>7449</v>
      </c>
      <c r="DG337" s="19" t="s">
        <v>2405</v>
      </c>
      <c r="DH337" s="19" t="s">
        <v>2144</v>
      </c>
      <c r="DI337" s="24">
        <v>45525.0</v>
      </c>
      <c r="DJ337" s="19" t="s">
        <v>2133</v>
      </c>
      <c r="DK337" s="19" t="s">
        <v>2145</v>
      </c>
      <c r="DL337" s="19" t="s">
        <v>2146</v>
      </c>
      <c r="DM337" s="19" t="s">
        <v>3003</v>
      </c>
      <c r="DN337" s="19">
        <v>9.0</v>
      </c>
      <c r="DO337" s="19">
        <v>9.0</v>
      </c>
      <c r="DP337" s="19"/>
      <c r="DQ337" s="19"/>
      <c r="DR337" s="19"/>
      <c r="DS337" s="19" t="s">
        <v>2365</v>
      </c>
      <c r="DT337" s="19" t="s">
        <v>2152</v>
      </c>
      <c r="DU337" s="19" t="s">
        <v>8098</v>
      </c>
      <c r="DV337" s="19"/>
      <c r="DW337" s="19" t="s">
        <v>2153</v>
      </c>
      <c r="DX337" s="19">
        <v>7.0</v>
      </c>
      <c r="DY337" s="19">
        <v>10.0</v>
      </c>
      <c r="DZ337" s="19">
        <v>0.0</v>
      </c>
      <c r="EA337" s="19">
        <v>10.0</v>
      </c>
      <c r="EB337" s="19">
        <v>0.0</v>
      </c>
      <c r="EC337" s="19">
        <v>0.0</v>
      </c>
      <c r="ED337" s="19" t="s">
        <v>2133</v>
      </c>
      <c r="EE337" s="24">
        <v>45525.0</v>
      </c>
      <c r="EF337" s="19" t="s">
        <v>2133</v>
      </c>
      <c r="EG337" s="19" t="s">
        <v>2145</v>
      </c>
      <c r="EH337" s="19" t="s">
        <v>2146</v>
      </c>
      <c r="EI337" s="22">
        <v>12.65625</v>
      </c>
      <c r="EJ337" s="19">
        <v>42.0</v>
      </c>
      <c r="EK337" s="19" t="s">
        <v>2113</v>
      </c>
      <c r="EL337" s="19" t="s">
        <v>2117</v>
      </c>
      <c r="EM337" s="19" t="s">
        <v>8092</v>
      </c>
      <c r="EN337" s="19" t="s">
        <v>1001</v>
      </c>
      <c r="EO337" s="19" t="s">
        <v>2121</v>
      </c>
      <c r="EP337" s="19" t="s">
        <v>2122</v>
      </c>
      <c r="EQ337" s="19" t="s">
        <v>2139</v>
      </c>
      <c r="ER337" s="19"/>
      <c r="ES337" s="19" t="s">
        <v>1001</v>
      </c>
      <c r="ET337" s="19" t="s">
        <v>1001</v>
      </c>
      <c r="EU337" s="19" t="s">
        <v>8090</v>
      </c>
      <c r="EV337" s="19">
        <v>7300.0</v>
      </c>
      <c r="EW337" s="19" t="s">
        <v>16</v>
      </c>
      <c r="EX337" s="19">
        <v>5.0</v>
      </c>
      <c r="EY337" s="25" t="s">
        <v>1000</v>
      </c>
      <c r="EZ337" s="19" t="s">
        <v>2154</v>
      </c>
      <c r="FA337" s="5" t="s">
        <v>8099</v>
      </c>
      <c r="FB337" s="26" t="s">
        <v>2156</v>
      </c>
      <c r="FC337" s="26"/>
    </row>
    <row r="338">
      <c r="A338" s="19" t="s">
        <v>2112</v>
      </c>
      <c r="B338" s="19"/>
      <c r="C338" s="19" t="s">
        <v>2113</v>
      </c>
      <c r="D338" s="19" t="s">
        <v>1002</v>
      </c>
      <c r="E338" s="19" t="s">
        <v>8100</v>
      </c>
      <c r="F338" s="19" t="s">
        <v>1002</v>
      </c>
      <c r="G338" s="19"/>
      <c r="H338" s="19" t="s">
        <v>1002</v>
      </c>
      <c r="I338" s="19" t="s">
        <v>1004</v>
      </c>
      <c r="J338" s="19" t="s">
        <v>8101</v>
      </c>
      <c r="K338" s="19" t="s">
        <v>8102</v>
      </c>
      <c r="L338" s="20">
        <v>45398.0</v>
      </c>
      <c r="M338" s="20">
        <v>45411.0</v>
      </c>
      <c r="N338" s="20">
        <v>45411.0</v>
      </c>
      <c r="O338" s="19" t="s">
        <v>1003</v>
      </c>
      <c r="P338" s="19">
        <v>0.0</v>
      </c>
      <c r="Q338" s="19">
        <v>18.0</v>
      </c>
      <c r="R338" s="19">
        <v>6889.0</v>
      </c>
      <c r="S338" s="20" t="s">
        <v>8103</v>
      </c>
      <c r="T338" s="20">
        <v>45461.0</v>
      </c>
      <c r="U338" s="19" t="s">
        <v>1002</v>
      </c>
      <c r="V338" s="19"/>
      <c r="W338" s="19"/>
      <c r="X338" s="21">
        <v>0.0</v>
      </c>
      <c r="Y338" s="21">
        <v>10.0</v>
      </c>
      <c r="Z338" s="21">
        <v>5.0</v>
      </c>
      <c r="AA338" s="21">
        <v>0.0</v>
      </c>
      <c r="AB338" s="5">
        <v>15.0</v>
      </c>
      <c r="AC338" s="19">
        <v>4.6</v>
      </c>
      <c r="AD338" s="19">
        <v>4.3</v>
      </c>
      <c r="AE338" s="19">
        <v>5.0</v>
      </c>
      <c r="AF338" s="19">
        <v>4.0</v>
      </c>
      <c r="AG338" s="19">
        <v>4.3</v>
      </c>
      <c r="AH338" s="19">
        <v>5.0</v>
      </c>
      <c r="AI338" s="22">
        <v>13.715625000000001</v>
      </c>
      <c r="AJ338" s="19">
        <v>13.5</v>
      </c>
      <c r="AK338" s="19">
        <v>14.0</v>
      </c>
      <c r="AL338" s="19">
        <v>13.5</v>
      </c>
      <c r="AM338" s="19">
        <v>41.0</v>
      </c>
      <c r="AN338" s="19">
        <v>54.7</v>
      </c>
      <c r="AO338" s="19">
        <v>69.7</v>
      </c>
      <c r="AP338" s="19">
        <v>542.0</v>
      </c>
      <c r="AQ338" s="23">
        <v>331.0</v>
      </c>
      <c r="AR338" s="23">
        <v>49.0</v>
      </c>
      <c r="AS338" s="22"/>
      <c r="AT338" s="19" t="s">
        <v>2163</v>
      </c>
      <c r="AU338" s="19" t="s">
        <v>8104</v>
      </c>
      <c r="AV338" s="19" t="s">
        <v>8105</v>
      </c>
      <c r="AW338" s="19"/>
      <c r="AX338" s="20">
        <v>38572.0</v>
      </c>
      <c r="AY338" s="19" t="s">
        <v>2167</v>
      </c>
      <c r="AZ338" s="19" t="s">
        <v>2122</v>
      </c>
      <c r="BA338" s="19" t="s">
        <v>8106</v>
      </c>
      <c r="BB338" s="19" t="s">
        <v>8107</v>
      </c>
      <c r="BC338" s="19" t="s">
        <v>8108</v>
      </c>
      <c r="BD338" s="19" t="s">
        <v>8109</v>
      </c>
      <c r="BE338" s="19" t="s">
        <v>8101</v>
      </c>
      <c r="BF338" s="19">
        <v>1.1964362473E10</v>
      </c>
      <c r="BG338" s="19" t="s">
        <v>2127</v>
      </c>
      <c r="BH338" s="19" t="s">
        <v>2128</v>
      </c>
      <c r="BI338" s="19"/>
      <c r="BJ338" s="19" t="s">
        <v>2128</v>
      </c>
      <c r="BK338" s="19" t="s">
        <v>17</v>
      </c>
      <c r="BL338" s="19" t="s">
        <v>2113</v>
      </c>
      <c r="BM338" s="19" t="s">
        <v>5563</v>
      </c>
      <c r="BN338" s="19" t="s">
        <v>17</v>
      </c>
      <c r="BO338" s="19" t="s">
        <v>2132</v>
      </c>
      <c r="BP338" s="19" t="s">
        <v>8110</v>
      </c>
      <c r="BQ338" s="19" t="s">
        <v>2174</v>
      </c>
      <c r="BR338" s="19" t="s">
        <v>2174</v>
      </c>
      <c r="BS338" s="19" t="s">
        <v>2243</v>
      </c>
      <c r="BT338" s="19" t="s">
        <v>21</v>
      </c>
      <c r="BU338" s="19" t="s">
        <v>3368</v>
      </c>
      <c r="BV338" s="19"/>
      <c r="BW338" s="19"/>
      <c r="BX338" s="19"/>
      <c r="BY338" s="19" t="s">
        <v>2113</v>
      </c>
      <c r="BZ338" s="19"/>
      <c r="CA338" s="19"/>
      <c r="CB338" s="19" t="s">
        <v>2113</v>
      </c>
      <c r="CC338" s="19"/>
      <c r="CD338" s="19" t="s">
        <v>2137</v>
      </c>
      <c r="CE338" s="19" t="s">
        <v>16</v>
      </c>
      <c r="CF338" s="19"/>
      <c r="CG338" s="19"/>
      <c r="CH338" s="19" t="s">
        <v>16</v>
      </c>
      <c r="CI338" s="21">
        <v>0.0</v>
      </c>
      <c r="CJ338" s="19" t="s">
        <v>17</v>
      </c>
      <c r="CK338" s="19"/>
      <c r="CL338" s="19"/>
      <c r="CM338" s="19" t="s">
        <v>2138</v>
      </c>
      <c r="CN338" s="19" t="s">
        <v>2176</v>
      </c>
      <c r="CO338" s="19"/>
      <c r="CP338" s="19" t="s">
        <v>2178</v>
      </c>
      <c r="CQ338" s="19" t="s">
        <v>2113</v>
      </c>
      <c r="CR338" s="19"/>
      <c r="CS338" s="19"/>
      <c r="CT338" s="19"/>
      <c r="CU338" s="19"/>
      <c r="CV338" s="19" t="s">
        <v>2179</v>
      </c>
      <c r="CW338" s="19" t="s">
        <v>2113</v>
      </c>
      <c r="CX338" s="19" t="s">
        <v>2113</v>
      </c>
      <c r="CY338" s="19" t="s">
        <v>2113</v>
      </c>
      <c r="CZ338" s="19" t="s">
        <v>2113</v>
      </c>
      <c r="DA338" s="19" t="s">
        <v>16</v>
      </c>
      <c r="DB338" s="19" t="s">
        <v>17</v>
      </c>
      <c r="DC338" s="19" t="s">
        <v>2205</v>
      </c>
      <c r="DD338" s="19" t="s">
        <v>2113</v>
      </c>
      <c r="DE338" s="19" t="s">
        <v>2113</v>
      </c>
      <c r="DF338" s="19" t="s">
        <v>2769</v>
      </c>
      <c r="DG338" s="19" t="s">
        <v>2247</v>
      </c>
      <c r="DH338" s="19" t="s">
        <v>2144</v>
      </c>
      <c r="DI338" s="24">
        <v>45525.0</v>
      </c>
      <c r="DJ338" s="19" t="s">
        <v>2174</v>
      </c>
      <c r="DK338" s="19" t="s">
        <v>2145</v>
      </c>
      <c r="DL338" s="19" t="s">
        <v>2183</v>
      </c>
      <c r="DM338" s="19" t="s">
        <v>2249</v>
      </c>
      <c r="DN338" s="19">
        <v>9.0</v>
      </c>
      <c r="DO338" s="19">
        <v>9.0</v>
      </c>
      <c r="DP338" s="19"/>
      <c r="DQ338" s="19"/>
      <c r="DR338" s="19"/>
      <c r="DS338" s="19" t="s">
        <v>2151</v>
      </c>
      <c r="DT338" s="19" t="s">
        <v>2229</v>
      </c>
      <c r="DU338" s="19" t="s">
        <v>8111</v>
      </c>
      <c r="DV338" s="19"/>
      <c r="DW338" s="19" t="s">
        <v>2188</v>
      </c>
      <c r="DX338" s="19">
        <v>15.0</v>
      </c>
      <c r="DY338" s="19">
        <v>10.0</v>
      </c>
      <c r="DZ338" s="19">
        <v>0.0</v>
      </c>
      <c r="EA338" s="19">
        <v>10.0</v>
      </c>
      <c r="EB338" s="19">
        <v>0.0</v>
      </c>
      <c r="EC338" s="19">
        <v>0.0</v>
      </c>
      <c r="ED338" s="19" t="s">
        <v>2174</v>
      </c>
      <c r="EE338" s="24">
        <v>45525.0</v>
      </c>
      <c r="EF338" s="19" t="s">
        <v>2174</v>
      </c>
      <c r="EG338" s="19" t="s">
        <v>2145</v>
      </c>
      <c r="EH338" s="19" t="s">
        <v>2183</v>
      </c>
      <c r="EI338" s="22">
        <v>13.715625000000001</v>
      </c>
      <c r="EJ338" s="19">
        <v>41.0</v>
      </c>
      <c r="EK338" s="19" t="s">
        <v>2113</v>
      </c>
      <c r="EL338" s="19" t="s">
        <v>2163</v>
      </c>
      <c r="EM338" s="19" t="s">
        <v>8104</v>
      </c>
      <c r="EN338" s="19" t="s">
        <v>1004</v>
      </c>
      <c r="EO338" s="19" t="s">
        <v>2167</v>
      </c>
      <c r="EP338" s="19" t="s">
        <v>2122</v>
      </c>
      <c r="EQ338" s="19" t="s">
        <v>2176</v>
      </c>
      <c r="ER338" s="19"/>
      <c r="ES338" s="19" t="s">
        <v>1004</v>
      </c>
      <c r="ET338" s="19" t="s">
        <v>1004</v>
      </c>
      <c r="EU338" s="19" t="s">
        <v>8102</v>
      </c>
      <c r="EV338" s="19">
        <v>6889.0</v>
      </c>
      <c r="EW338" s="19" t="s">
        <v>16</v>
      </c>
      <c r="EX338" s="19">
        <v>5.0</v>
      </c>
      <c r="EY338" s="25" t="s">
        <v>1003</v>
      </c>
      <c r="EZ338" s="19" t="s">
        <v>2154</v>
      </c>
      <c r="FA338" s="5" t="s">
        <v>8112</v>
      </c>
      <c r="FB338" s="26" t="s">
        <v>2156</v>
      </c>
      <c r="FC338" s="26"/>
    </row>
    <row r="339">
      <c r="A339" s="19" t="s">
        <v>2112</v>
      </c>
      <c r="B339" s="19"/>
      <c r="C339" s="19" t="s">
        <v>2113</v>
      </c>
      <c r="D339" s="19" t="s">
        <v>1005</v>
      </c>
      <c r="E339" s="19" t="s">
        <v>8113</v>
      </c>
      <c r="F339" s="19" t="s">
        <v>1005</v>
      </c>
      <c r="G339" s="19"/>
      <c r="H339" s="19" t="s">
        <v>1005</v>
      </c>
      <c r="I339" s="19" t="s">
        <v>1007</v>
      </c>
      <c r="J339" s="19" t="s">
        <v>8114</v>
      </c>
      <c r="K339" s="19" t="s">
        <v>8115</v>
      </c>
      <c r="L339" s="20">
        <v>45396.0</v>
      </c>
      <c r="M339" s="20">
        <v>45411.0</v>
      </c>
      <c r="N339" s="20">
        <v>45411.0</v>
      </c>
      <c r="O339" s="19" t="s">
        <v>1006</v>
      </c>
      <c r="P339" s="19">
        <v>0.0</v>
      </c>
      <c r="Q339" s="19">
        <v>23.0</v>
      </c>
      <c r="R339" s="19">
        <v>8567.0</v>
      </c>
      <c r="S339" s="20" t="s">
        <v>8116</v>
      </c>
      <c r="T339" s="20">
        <v>45461.0</v>
      </c>
      <c r="U339" s="19" t="s">
        <v>1005</v>
      </c>
      <c r="V339" s="19"/>
      <c r="W339" s="19"/>
      <c r="X339" s="21">
        <v>0.0</v>
      </c>
      <c r="Y339" s="21">
        <v>10.0</v>
      </c>
      <c r="Z339" s="21">
        <v>4.0</v>
      </c>
      <c r="AA339" s="21">
        <v>0.0</v>
      </c>
      <c r="AB339" s="5">
        <v>14.0</v>
      </c>
      <c r="AC339" s="19">
        <v>4.75</v>
      </c>
      <c r="AD339" s="19">
        <v>5.0</v>
      </c>
      <c r="AE339" s="19">
        <v>5.0</v>
      </c>
      <c r="AF339" s="19">
        <v>5.0</v>
      </c>
      <c r="AG339" s="19">
        <v>4.5</v>
      </c>
      <c r="AH339" s="19">
        <v>5.0</v>
      </c>
      <c r="AI339" s="22">
        <v>14.6953125</v>
      </c>
      <c r="AJ339" s="19">
        <v>15.0</v>
      </c>
      <c r="AK339" s="19">
        <v>15.0</v>
      </c>
      <c r="AL339" s="19">
        <v>11.0</v>
      </c>
      <c r="AM339" s="19">
        <v>41.0</v>
      </c>
      <c r="AN339" s="19">
        <v>55.7</v>
      </c>
      <c r="AO339" s="19">
        <v>69.7</v>
      </c>
      <c r="AP339" s="19">
        <v>605.0</v>
      </c>
      <c r="AQ339" s="23">
        <v>332.0</v>
      </c>
      <c r="AR339" s="23">
        <v>24.0</v>
      </c>
      <c r="AS339" s="22"/>
      <c r="AT339" s="19" t="s">
        <v>2163</v>
      </c>
      <c r="AU339" s="19" t="s">
        <v>8117</v>
      </c>
      <c r="AV339" s="19" t="s">
        <v>8118</v>
      </c>
      <c r="AW339" s="19"/>
      <c r="AX339" s="20">
        <v>36894.0</v>
      </c>
      <c r="AY339" s="19" t="s">
        <v>4876</v>
      </c>
      <c r="AZ339" s="19" t="s">
        <v>2122</v>
      </c>
      <c r="BA339" s="19" t="s">
        <v>8119</v>
      </c>
      <c r="BB339" s="19" t="s">
        <v>2764</v>
      </c>
      <c r="BC339" s="19" t="s">
        <v>8120</v>
      </c>
      <c r="BD339" s="19" t="s">
        <v>8121</v>
      </c>
      <c r="BE339" s="19"/>
      <c r="BF339" s="19"/>
      <c r="BG339" s="19" t="s">
        <v>2127</v>
      </c>
      <c r="BH339" s="19" t="s">
        <v>2128</v>
      </c>
      <c r="BI339" s="19"/>
      <c r="BJ339" s="19"/>
      <c r="BK339" s="19" t="s">
        <v>16</v>
      </c>
      <c r="BL339" s="19"/>
      <c r="BM339" s="19" t="s">
        <v>5563</v>
      </c>
      <c r="BN339" s="19" t="s">
        <v>2172</v>
      </c>
      <c r="BO339" s="19" t="s">
        <v>2317</v>
      </c>
      <c r="BP339" s="19"/>
      <c r="BQ339" s="19" t="s">
        <v>2174</v>
      </c>
      <c r="BR339" s="19" t="s">
        <v>2174</v>
      </c>
      <c r="BS339" s="19" t="s">
        <v>2134</v>
      </c>
      <c r="BT339" s="19" t="s">
        <v>75</v>
      </c>
      <c r="BU339" s="19"/>
      <c r="BV339" s="19"/>
      <c r="BW339" s="19" t="s">
        <v>2113</v>
      </c>
      <c r="BX339" s="19"/>
      <c r="BY339" s="19"/>
      <c r="BZ339" s="19"/>
      <c r="CA339" s="19"/>
      <c r="CB339" s="19"/>
      <c r="CC339" s="19"/>
      <c r="CD339" s="19" t="s">
        <v>2137</v>
      </c>
      <c r="CE339" s="19" t="s">
        <v>16</v>
      </c>
      <c r="CF339" s="19"/>
      <c r="CG339" s="19"/>
      <c r="CH339" s="19" t="s">
        <v>16</v>
      </c>
      <c r="CI339" s="21">
        <v>0.0</v>
      </c>
      <c r="CJ339" s="19" t="s">
        <v>17</v>
      </c>
      <c r="CK339" s="19"/>
      <c r="CL339" s="19"/>
      <c r="CM339" s="19" t="s">
        <v>2344</v>
      </c>
      <c r="CN339" s="19" t="s">
        <v>4884</v>
      </c>
      <c r="CO339" s="19" t="s">
        <v>2177</v>
      </c>
      <c r="CP339" s="19"/>
      <c r="CQ339" s="19"/>
      <c r="CR339" s="19" t="s">
        <v>2113</v>
      </c>
      <c r="CS339" s="19" t="s">
        <v>2113</v>
      </c>
      <c r="CT339" s="19"/>
      <c r="CU339" s="19"/>
      <c r="CV339" s="19" t="s">
        <v>2141</v>
      </c>
      <c r="CW339" s="19"/>
      <c r="CX339" s="19"/>
      <c r="CY339" s="19" t="s">
        <v>2113</v>
      </c>
      <c r="CZ339" s="19" t="s">
        <v>2113</v>
      </c>
      <c r="DA339" s="19" t="s">
        <v>16</v>
      </c>
      <c r="DB339" s="19" t="s">
        <v>17</v>
      </c>
      <c r="DC339" s="19" t="s">
        <v>3856</v>
      </c>
      <c r="DD339" s="19" t="s">
        <v>2113</v>
      </c>
      <c r="DE339" s="19" t="s">
        <v>2113</v>
      </c>
      <c r="DF339" s="19" t="s">
        <v>5213</v>
      </c>
      <c r="DG339" s="19" t="s">
        <v>5195</v>
      </c>
      <c r="DH339" s="19" t="s">
        <v>2144</v>
      </c>
      <c r="DI339" s="24">
        <v>45517.0</v>
      </c>
      <c r="DJ339" s="19" t="s">
        <v>2174</v>
      </c>
      <c r="DK339" s="19" t="s">
        <v>2271</v>
      </c>
      <c r="DL339" s="19" t="s">
        <v>2183</v>
      </c>
      <c r="DM339" s="19" t="s">
        <v>2515</v>
      </c>
      <c r="DN339" s="19">
        <v>2.0</v>
      </c>
      <c r="DO339" s="19">
        <v>2.0</v>
      </c>
      <c r="DP339" s="19" t="s">
        <v>8122</v>
      </c>
      <c r="DQ339" s="19" t="s">
        <v>8123</v>
      </c>
      <c r="DR339" s="19" t="s">
        <v>8124</v>
      </c>
      <c r="DS339" s="19" t="s">
        <v>2365</v>
      </c>
      <c r="DT339" s="19" t="s">
        <v>2366</v>
      </c>
      <c r="DU339" s="19"/>
      <c r="DV339" s="19"/>
      <c r="DW339" s="19" t="s">
        <v>2479</v>
      </c>
      <c r="DX339" s="19">
        <v>11.0</v>
      </c>
      <c r="DY339" s="19">
        <v>10.0</v>
      </c>
      <c r="DZ339" s="19">
        <v>0.0</v>
      </c>
      <c r="EA339" s="19">
        <v>10.0</v>
      </c>
      <c r="EB339" s="19">
        <v>0.0</v>
      </c>
      <c r="EC339" s="19">
        <v>0.0</v>
      </c>
      <c r="ED339" s="19" t="s">
        <v>2174</v>
      </c>
      <c r="EE339" s="24">
        <v>45517.0</v>
      </c>
      <c r="EF339" s="19" t="s">
        <v>2174</v>
      </c>
      <c r="EG339" s="19" t="s">
        <v>2271</v>
      </c>
      <c r="EH339" s="19" t="s">
        <v>2183</v>
      </c>
      <c r="EI339" s="22">
        <v>14.6953125</v>
      </c>
      <c r="EJ339" s="19">
        <v>41.0</v>
      </c>
      <c r="EK339" s="19" t="s">
        <v>2113</v>
      </c>
      <c r="EL339" s="19" t="s">
        <v>2163</v>
      </c>
      <c r="EM339" s="19" t="s">
        <v>8117</v>
      </c>
      <c r="EN339" s="19" t="s">
        <v>1007</v>
      </c>
      <c r="EO339" s="19" t="s">
        <v>4876</v>
      </c>
      <c r="EP339" s="19" t="s">
        <v>2122</v>
      </c>
      <c r="EQ339" s="19" t="s">
        <v>4884</v>
      </c>
      <c r="ER339" s="19" t="s">
        <v>2177</v>
      </c>
      <c r="ES339" s="19" t="s">
        <v>1007</v>
      </c>
      <c r="ET339" s="19" t="s">
        <v>1007</v>
      </c>
      <c r="EU339" s="19" t="s">
        <v>8115</v>
      </c>
      <c r="EV339" s="19">
        <v>8567.0</v>
      </c>
      <c r="EW339" s="19" t="s">
        <v>16</v>
      </c>
      <c r="EX339" s="19">
        <v>4.0</v>
      </c>
      <c r="EY339" s="25" t="s">
        <v>1006</v>
      </c>
      <c r="EZ339" s="19" t="s">
        <v>2154</v>
      </c>
      <c r="FA339" s="5" t="s">
        <v>8125</v>
      </c>
      <c r="FB339" s="26" t="s">
        <v>2156</v>
      </c>
      <c r="FC339" s="26"/>
    </row>
    <row r="340">
      <c r="A340" s="19" t="s">
        <v>2156</v>
      </c>
      <c r="B340" s="19"/>
      <c r="C340" s="19" t="s">
        <v>2113</v>
      </c>
      <c r="D340" s="19" t="s">
        <v>1008</v>
      </c>
      <c r="E340" s="19" t="s">
        <v>8126</v>
      </c>
      <c r="F340" s="19" t="s">
        <v>1008</v>
      </c>
      <c r="G340" s="19"/>
      <c r="H340" s="19" t="s">
        <v>1008</v>
      </c>
      <c r="I340" s="19" t="s">
        <v>1010</v>
      </c>
      <c r="J340" s="19" t="s">
        <v>8127</v>
      </c>
      <c r="K340" s="19" t="s">
        <v>8128</v>
      </c>
      <c r="L340" s="20">
        <v>45456.0</v>
      </c>
      <c r="M340" s="20">
        <v>45457.0</v>
      </c>
      <c r="N340" s="20">
        <v>45457.0</v>
      </c>
      <c r="O340" s="19" t="s">
        <v>1009</v>
      </c>
      <c r="P340" s="19">
        <v>0.0</v>
      </c>
      <c r="Q340" s="19">
        <v>27.0</v>
      </c>
      <c r="R340" s="19">
        <v>10044.0</v>
      </c>
      <c r="S340" s="20" t="s">
        <v>8129</v>
      </c>
      <c r="T340" s="20">
        <v>45461.0</v>
      </c>
      <c r="U340" s="19" t="s">
        <v>1008</v>
      </c>
      <c r="V340" s="19"/>
      <c r="W340" s="19"/>
      <c r="X340" s="21">
        <v>0.0</v>
      </c>
      <c r="Y340" s="21">
        <v>10.0</v>
      </c>
      <c r="Z340" s="21">
        <v>3.0</v>
      </c>
      <c r="AA340" s="21">
        <v>0.0</v>
      </c>
      <c r="AB340" s="5">
        <v>13.0</v>
      </c>
      <c r="AC340" s="19">
        <v>4.0</v>
      </c>
      <c r="AD340" s="19">
        <v>4.0</v>
      </c>
      <c r="AE340" s="19">
        <v>4.0</v>
      </c>
      <c r="AF340" s="19">
        <v>5.0</v>
      </c>
      <c r="AG340" s="19">
        <v>3.0</v>
      </c>
      <c r="AH340" s="19">
        <v>3.0</v>
      </c>
      <c r="AI340" s="22">
        <v>11.625</v>
      </c>
      <c r="AJ340" s="19">
        <v>15.0</v>
      </c>
      <c r="AK340" s="19">
        <v>15.0</v>
      </c>
      <c r="AL340" s="19">
        <v>15.0</v>
      </c>
      <c r="AM340" s="19">
        <v>45.0</v>
      </c>
      <c r="AN340" s="19">
        <v>56.6</v>
      </c>
      <c r="AO340" s="19">
        <v>69.6</v>
      </c>
      <c r="AP340" s="19">
        <v>674.0</v>
      </c>
      <c r="AQ340" s="23">
        <v>333.0</v>
      </c>
      <c r="AR340" s="23">
        <v>23.0</v>
      </c>
      <c r="AS340" s="22"/>
      <c r="AT340" s="19" t="s">
        <v>2282</v>
      </c>
      <c r="AU340" s="19" t="s">
        <v>8130</v>
      </c>
      <c r="AV340" s="19" t="s">
        <v>8131</v>
      </c>
      <c r="AW340" s="19" t="s">
        <v>8132</v>
      </c>
      <c r="AX340" s="20">
        <v>35417.0</v>
      </c>
      <c r="AY340" s="19" t="s">
        <v>3537</v>
      </c>
      <c r="AZ340" s="19" t="s">
        <v>2310</v>
      </c>
      <c r="BA340" s="19" t="s">
        <v>8133</v>
      </c>
      <c r="BB340" s="19" t="s">
        <v>8134</v>
      </c>
      <c r="BC340" s="19" t="s">
        <v>8135</v>
      </c>
      <c r="BD340" s="19" t="s">
        <v>8136</v>
      </c>
      <c r="BE340" s="19" t="s">
        <v>8127</v>
      </c>
      <c r="BF340" s="19">
        <v>1.1952353155E10</v>
      </c>
      <c r="BG340" s="19" t="s">
        <v>2127</v>
      </c>
      <c r="BH340" s="19" t="s">
        <v>2128</v>
      </c>
      <c r="BI340" s="19"/>
      <c r="BJ340" s="19"/>
      <c r="BK340" s="19" t="s">
        <v>16</v>
      </c>
      <c r="BL340" s="19"/>
      <c r="BM340" s="19" t="s">
        <v>5411</v>
      </c>
      <c r="BN340" s="19" t="s">
        <v>2172</v>
      </c>
      <c r="BO340" s="19" t="s">
        <v>2473</v>
      </c>
      <c r="BP340" s="19" t="s">
        <v>8137</v>
      </c>
      <c r="BQ340" s="19" t="s">
        <v>2133</v>
      </c>
      <c r="BR340" s="19" t="s">
        <v>2133</v>
      </c>
      <c r="BS340" s="19" t="s">
        <v>2134</v>
      </c>
      <c r="BT340" s="19" t="s">
        <v>222</v>
      </c>
      <c r="BU340" s="19"/>
      <c r="BV340" s="19"/>
      <c r="BW340" s="19" t="s">
        <v>2113</v>
      </c>
      <c r="BX340" s="19"/>
      <c r="BY340" s="19"/>
      <c r="BZ340" s="19"/>
      <c r="CA340" s="19"/>
      <c r="CB340" s="19" t="s">
        <v>2113</v>
      </c>
      <c r="CC340" s="19"/>
      <c r="CD340" s="19" t="s">
        <v>2137</v>
      </c>
      <c r="CE340" s="19" t="s">
        <v>16</v>
      </c>
      <c r="CF340" s="19"/>
      <c r="CG340" s="19"/>
      <c r="CH340" s="19" t="s">
        <v>16</v>
      </c>
      <c r="CI340" s="21">
        <v>0.0</v>
      </c>
      <c r="CJ340" s="19" t="s">
        <v>16</v>
      </c>
      <c r="CK340" s="19"/>
      <c r="CL340" s="19"/>
      <c r="CM340" s="19" t="s">
        <v>2344</v>
      </c>
      <c r="CN340" s="19" t="s">
        <v>3544</v>
      </c>
      <c r="CO340" s="19"/>
      <c r="CP340" s="19"/>
      <c r="CQ340" s="19"/>
      <c r="CR340" s="19" t="s">
        <v>2113</v>
      </c>
      <c r="CS340" s="19" t="s">
        <v>2113</v>
      </c>
      <c r="CT340" s="19" t="s">
        <v>2113</v>
      </c>
      <c r="CU340" s="19" t="s">
        <v>2113</v>
      </c>
      <c r="CV340" s="19" t="s">
        <v>2141</v>
      </c>
      <c r="CW340" s="19" t="s">
        <v>2113</v>
      </c>
      <c r="CX340" s="19" t="s">
        <v>2113</v>
      </c>
      <c r="CY340" s="19" t="s">
        <v>2113</v>
      </c>
      <c r="CZ340" s="19" t="s">
        <v>2113</v>
      </c>
      <c r="DA340" s="19" t="s">
        <v>16</v>
      </c>
      <c r="DB340" s="19" t="s">
        <v>16</v>
      </c>
      <c r="DC340" s="19" t="s">
        <v>2146</v>
      </c>
      <c r="DD340" s="19" t="s">
        <v>2113</v>
      </c>
      <c r="DE340" s="19" t="s">
        <v>2113</v>
      </c>
      <c r="DF340" s="19" t="s">
        <v>6591</v>
      </c>
      <c r="DG340" s="19" t="s">
        <v>6592</v>
      </c>
      <c r="DH340" s="19" t="s">
        <v>2144</v>
      </c>
      <c r="DI340" s="24">
        <v>45519.0</v>
      </c>
      <c r="DJ340" s="19" t="s">
        <v>2133</v>
      </c>
      <c r="DK340" s="19" t="s">
        <v>2145</v>
      </c>
      <c r="DL340" s="19" t="s">
        <v>2146</v>
      </c>
      <c r="DM340" s="19"/>
      <c r="DN340" s="19">
        <v>5.0</v>
      </c>
      <c r="DO340" s="19">
        <v>5.0</v>
      </c>
      <c r="DP340" s="19" t="s">
        <v>8138</v>
      </c>
      <c r="DQ340" s="19" t="s">
        <v>8139</v>
      </c>
      <c r="DR340" s="19" t="s">
        <v>8140</v>
      </c>
      <c r="DS340" s="19" t="s">
        <v>2185</v>
      </c>
      <c r="DT340" s="19" t="s">
        <v>2350</v>
      </c>
      <c r="DU340" s="19"/>
      <c r="DV340" s="19"/>
      <c r="DW340" s="19" t="s">
        <v>2188</v>
      </c>
      <c r="DX340" s="19">
        <v>5.0</v>
      </c>
      <c r="DY340" s="19">
        <v>10.0</v>
      </c>
      <c r="DZ340" s="19">
        <v>0.0</v>
      </c>
      <c r="EA340" s="19">
        <v>10.0</v>
      </c>
      <c r="EB340" s="19">
        <v>0.0</v>
      </c>
      <c r="EC340" s="19">
        <v>0.0</v>
      </c>
      <c r="ED340" s="19" t="s">
        <v>2133</v>
      </c>
      <c r="EE340" s="24">
        <v>45519.0</v>
      </c>
      <c r="EF340" s="19" t="s">
        <v>2133</v>
      </c>
      <c r="EG340" s="19" t="s">
        <v>2145</v>
      </c>
      <c r="EH340" s="19" t="s">
        <v>2146</v>
      </c>
      <c r="EI340" s="22">
        <v>11.625</v>
      </c>
      <c r="EJ340" s="19">
        <v>45.0</v>
      </c>
      <c r="EK340" s="19"/>
      <c r="EL340" s="19" t="s">
        <v>2282</v>
      </c>
      <c r="EM340" s="19" t="s">
        <v>8130</v>
      </c>
      <c r="EN340" s="19" t="s">
        <v>1010</v>
      </c>
      <c r="EO340" s="19" t="s">
        <v>3537</v>
      </c>
      <c r="EP340" s="19" t="s">
        <v>2310</v>
      </c>
      <c r="EQ340" s="19" t="s">
        <v>3544</v>
      </c>
      <c r="ER340" s="19"/>
      <c r="ES340" s="19" t="s">
        <v>1010</v>
      </c>
      <c r="ET340" s="19" t="s">
        <v>1010</v>
      </c>
      <c r="EU340" s="19" t="s">
        <v>8128</v>
      </c>
      <c r="EV340" s="19">
        <v>10044.0</v>
      </c>
      <c r="EW340" s="19" t="s">
        <v>16</v>
      </c>
      <c r="EX340" s="19">
        <v>3.0</v>
      </c>
      <c r="EY340" s="25" t="s">
        <v>1009</v>
      </c>
      <c r="EZ340" s="19" t="s">
        <v>2154</v>
      </c>
      <c r="FA340" s="5" t="s">
        <v>8141</v>
      </c>
      <c r="FB340" s="26" t="s">
        <v>2156</v>
      </c>
      <c r="FC340" s="26"/>
    </row>
    <row r="341">
      <c r="A341" s="19" t="s">
        <v>2156</v>
      </c>
      <c r="B341" s="19"/>
      <c r="C341" s="19" t="s">
        <v>2113</v>
      </c>
      <c r="D341" s="19" t="s">
        <v>1011</v>
      </c>
      <c r="E341" s="19" t="s">
        <v>8142</v>
      </c>
      <c r="F341" s="19" t="s">
        <v>1011</v>
      </c>
      <c r="G341" s="19"/>
      <c r="H341" s="19" t="s">
        <v>1011</v>
      </c>
      <c r="I341" s="19" t="s">
        <v>1013</v>
      </c>
      <c r="J341" s="19" t="s">
        <v>8143</v>
      </c>
      <c r="K341" s="19" t="s">
        <v>8144</v>
      </c>
      <c r="L341" s="20">
        <v>45398.0</v>
      </c>
      <c r="M341" s="20">
        <v>45411.0</v>
      </c>
      <c r="N341" s="20">
        <v>45411.0</v>
      </c>
      <c r="O341" s="19" t="s">
        <v>1012</v>
      </c>
      <c r="P341" s="19">
        <v>0.0</v>
      </c>
      <c r="Q341" s="19">
        <v>23.0</v>
      </c>
      <c r="R341" s="19">
        <v>8443.0</v>
      </c>
      <c r="S341" s="20" t="s">
        <v>8145</v>
      </c>
      <c r="T341" s="20">
        <v>45461.0</v>
      </c>
      <c r="U341" s="19" t="s">
        <v>1011</v>
      </c>
      <c r="V341" s="19"/>
      <c r="W341" s="19"/>
      <c r="X341" s="21">
        <v>0.0</v>
      </c>
      <c r="Y341" s="21">
        <v>10.0</v>
      </c>
      <c r="Z341" s="21">
        <v>5.0</v>
      </c>
      <c r="AA341" s="21">
        <v>0.0</v>
      </c>
      <c r="AB341" s="5">
        <v>15.0</v>
      </c>
      <c r="AC341" s="19">
        <v>5.0</v>
      </c>
      <c r="AD341" s="19">
        <v>4.0</v>
      </c>
      <c r="AE341" s="19">
        <v>4.0</v>
      </c>
      <c r="AF341" s="19">
        <v>4.0</v>
      </c>
      <c r="AG341" s="19">
        <v>4.0</v>
      </c>
      <c r="AH341" s="19">
        <v>4.0</v>
      </c>
      <c r="AI341" s="22">
        <v>12.46875</v>
      </c>
      <c r="AJ341" s="19">
        <v>14.0</v>
      </c>
      <c r="AK341" s="19">
        <v>14.0</v>
      </c>
      <c r="AL341" s="19">
        <v>14.0</v>
      </c>
      <c r="AM341" s="19">
        <v>42.0</v>
      </c>
      <c r="AN341" s="19">
        <v>54.5</v>
      </c>
      <c r="AO341" s="19">
        <v>69.5</v>
      </c>
      <c r="AP341" s="19">
        <v>452.0</v>
      </c>
      <c r="AQ341" s="23">
        <v>334.0</v>
      </c>
      <c r="AR341" s="23">
        <v>29.0</v>
      </c>
      <c r="AS341" s="22"/>
      <c r="AT341" s="19" t="s">
        <v>2117</v>
      </c>
      <c r="AU341" s="19" t="s">
        <v>8146</v>
      </c>
      <c r="AV341" s="19" t="s">
        <v>8147</v>
      </c>
      <c r="AW341" s="19" t="s">
        <v>4717</v>
      </c>
      <c r="AX341" s="20">
        <v>37018.0</v>
      </c>
      <c r="AY341" s="19" t="s">
        <v>2487</v>
      </c>
      <c r="AZ341" s="19" t="s">
        <v>2122</v>
      </c>
      <c r="BA341" s="19" t="s">
        <v>8148</v>
      </c>
      <c r="BB341" s="19" t="s">
        <v>3592</v>
      </c>
      <c r="BC341" s="19" t="s">
        <v>8149</v>
      </c>
      <c r="BD341" s="19" t="s">
        <v>8150</v>
      </c>
      <c r="BE341" s="19" t="s">
        <v>8143</v>
      </c>
      <c r="BF341" s="19">
        <v>1.1968026924E10</v>
      </c>
      <c r="BG341" s="19" t="s">
        <v>2127</v>
      </c>
      <c r="BH341" s="19" t="s">
        <v>2128</v>
      </c>
      <c r="BI341" s="19"/>
      <c r="BJ341" s="19" t="s">
        <v>2427</v>
      </c>
      <c r="BK341" s="19" t="s">
        <v>17</v>
      </c>
      <c r="BL341" s="19"/>
      <c r="BM341" s="19" t="s">
        <v>5411</v>
      </c>
      <c r="BN341" s="19" t="s">
        <v>17</v>
      </c>
      <c r="BO341" s="19" t="s">
        <v>2132</v>
      </c>
      <c r="BP341" s="19" t="s">
        <v>8151</v>
      </c>
      <c r="BQ341" s="19" t="s">
        <v>2325</v>
      </c>
      <c r="BR341" s="19" t="s">
        <v>2325</v>
      </c>
      <c r="BS341" s="19" t="s">
        <v>2134</v>
      </c>
      <c r="BT341" s="19" t="s">
        <v>59</v>
      </c>
      <c r="BU341" s="19" t="s">
        <v>8152</v>
      </c>
      <c r="BV341" s="19"/>
      <c r="BW341" s="19"/>
      <c r="BX341" s="19"/>
      <c r="BY341" s="19" t="s">
        <v>2113</v>
      </c>
      <c r="BZ341" s="19"/>
      <c r="CA341" s="19"/>
      <c r="CB341" s="19" t="s">
        <v>2113</v>
      </c>
      <c r="CC341" s="19"/>
      <c r="CD341" s="19" t="s">
        <v>2137</v>
      </c>
      <c r="CE341" s="19" t="s">
        <v>16</v>
      </c>
      <c r="CF341" s="19"/>
      <c r="CG341" s="19"/>
      <c r="CH341" s="19" t="s">
        <v>16</v>
      </c>
      <c r="CI341" s="21">
        <v>0.0</v>
      </c>
      <c r="CJ341" s="19" t="s">
        <v>17</v>
      </c>
      <c r="CK341" s="19"/>
      <c r="CL341" s="19"/>
      <c r="CM341" s="19" t="s">
        <v>2138</v>
      </c>
      <c r="CN341" s="19" t="s">
        <v>2431</v>
      </c>
      <c r="CO341" s="19"/>
      <c r="CP341" s="19" t="s">
        <v>2267</v>
      </c>
      <c r="CQ341" s="19"/>
      <c r="CR341" s="19" t="s">
        <v>2113</v>
      </c>
      <c r="CS341" s="19" t="s">
        <v>2113</v>
      </c>
      <c r="CT341" s="19"/>
      <c r="CU341" s="19"/>
      <c r="CV341" s="19" t="s">
        <v>2179</v>
      </c>
      <c r="CW341" s="19"/>
      <c r="CX341" s="19"/>
      <c r="CY341" s="19"/>
      <c r="CZ341" s="19"/>
      <c r="DA341" s="19" t="s">
        <v>16</v>
      </c>
      <c r="DB341" s="19" t="s">
        <v>17</v>
      </c>
      <c r="DC341" s="19" t="s">
        <v>4903</v>
      </c>
      <c r="DD341" s="19"/>
      <c r="DE341" s="19"/>
      <c r="DF341" s="19" t="s">
        <v>2653</v>
      </c>
      <c r="DG341" s="19" t="s">
        <v>2496</v>
      </c>
      <c r="DH341" s="19" t="s">
        <v>2144</v>
      </c>
      <c r="DI341" s="24">
        <v>45519.0</v>
      </c>
      <c r="DJ341" s="19" t="s">
        <v>2325</v>
      </c>
      <c r="DK341" s="19" t="s">
        <v>2271</v>
      </c>
      <c r="DL341" s="19" t="s">
        <v>2326</v>
      </c>
      <c r="DM341" s="19"/>
      <c r="DN341" s="19">
        <v>6.0</v>
      </c>
      <c r="DO341" s="19">
        <v>6.0</v>
      </c>
      <c r="DP341" s="19"/>
      <c r="DQ341" s="19"/>
      <c r="DR341" s="19"/>
      <c r="DS341" s="19" t="s">
        <v>2185</v>
      </c>
      <c r="DT341" s="19" t="s">
        <v>2152</v>
      </c>
      <c r="DU341" s="19" t="s">
        <v>8153</v>
      </c>
      <c r="DV341" s="19"/>
      <c r="DW341" s="19" t="s">
        <v>2188</v>
      </c>
      <c r="DX341" s="19">
        <v>5.0</v>
      </c>
      <c r="DY341" s="19">
        <v>10.0</v>
      </c>
      <c r="DZ341" s="19">
        <v>0.0</v>
      </c>
      <c r="EA341" s="19">
        <v>10.0</v>
      </c>
      <c r="EB341" s="19">
        <v>0.0</v>
      </c>
      <c r="EC341" s="19">
        <v>0.0</v>
      </c>
      <c r="ED341" s="19" t="s">
        <v>2325</v>
      </c>
      <c r="EE341" s="24">
        <v>45519.0</v>
      </c>
      <c r="EF341" s="19" t="s">
        <v>2325</v>
      </c>
      <c r="EG341" s="19" t="s">
        <v>2271</v>
      </c>
      <c r="EH341" s="19" t="s">
        <v>2326</v>
      </c>
      <c r="EI341" s="22">
        <v>12.46875</v>
      </c>
      <c r="EJ341" s="19">
        <v>42.0</v>
      </c>
      <c r="EK341" s="19" t="s">
        <v>2113</v>
      </c>
      <c r="EL341" s="19" t="s">
        <v>2117</v>
      </c>
      <c r="EM341" s="19" t="s">
        <v>8146</v>
      </c>
      <c r="EN341" s="19" t="s">
        <v>1013</v>
      </c>
      <c r="EO341" s="19" t="s">
        <v>2487</v>
      </c>
      <c r="EP341" s="19" t="s">
        <v>2122</v>
      </c>
      <c r="EQ341" s="19" t="s">
        <v>2431</v>
      </c>
      <c r="ER341" s="19"/>
      <c r="ES341" s="19" t="s">
        <v>1013</v>
      </c>
      <c r="ET341" s="19" t="s">
        <v>1013</v>
      </c>
      <c r="EU341" s="19" t="s">
        <v>8144</v>
      </c>
      <c r="EV341" s="19">
        <v>8443.0</v>
      </c>
      <c r="EW341" s="19" t="s">
        <v>16</v>
      </c>
      <c r="EX341" s="19">
        <v>5.0</v>
      </c>
      <c r="EY341" s="25" t="s">
        <v>1012</v>
      </c>
      <c r="EZ341" s="19" t="s">
        <v>2154</v>
      </c>
      <c r="FA341" s="5" t="s">
        <v>8154</v>
      </c>
      <c r="FB341" s="26" t="s">
        <v>2156</v>
      </c>
      <c r="FC341" s="26"/>
    </row>
    <row r="342">
      <c r="A342" s="19" t="s">
        <v>2156</v>
      </c>
      <c r="B342" s="19"/>
      <c r="C342" s="19" t="s">
        <v>2113</v>
      </c>
      <c r="D342" s="19" t="s">
        <v>1014</v>
      </c>
      <c r="E342" s="19" t="s">
        <v>8155</v>
      </c>
      <c r="F342" s="19" t="s">
        <v>1014</v>
      </c>
      <c r="G342" s="19"/>
      <c r="H342" s="19" t="s">
        <v>1014</v>
      </c>
      <c r="I342" s="19" t="s">
        <v>1016</v>
      </c>
      <c r="J342" s="19" t="s">
        <v>8156</v>
      </c>
      <c r="K342" s="19" t="s">
        <v>8157</v>
      </c>
      <c r="L342" s="20">
        <v>45443.0</v>
      </c>
      <c r="M342" s="20">
        <v>45446.0</v>
      </c>
      <c r="N342" s="20">
        <v>45446.0</v>
      </c>
      <c r="O342" s="19" t="s">
        <v>1015</v>
      </c>
      <c r="P342" s="19">
        <v>0.0</v>
      </c>
      <c r="Q342" s="19">
        <v>23.0</v>
      </c>
      <c r="R342" s="19">
        <v>8502.0</v>
      </c>
      <c r="S342" s="20" t="s">
        <v>8158</v>
      </c>
      <c r="T342" s="20">
        <v>45461.0</v>
      </c>
      <c r="U342" s="19" t="s">
        <v>1014</v>
      </c>
      <c r="V342" s="19"/>
      <c r="W342" s="19"/>
      <c r="X342" s="21">
        <v>0.0</v>
      </c>
      <c r="Y342" s="21">
        <v>10.0</v>
      </c>
      <c r="Z342" s="21">
        <v>2.0</v>
      </c>
      <c r="AA342" s="21">
        <v>0.0</v>
      </c>
      <c r="AB342" s="5">
        <v>12.0</v>
      </c>
      <c r="AC342" s="19">
        <v>5.0</v>
      </c>
      <c r="AD342" s="19">
        <v>5.0</v>
      </c>
      <c r="AE342" s="19">
        <v>4.0</v>
      </c>
      <c r="AF342" s="19">
        <v>4.0</v>
      </c>
      <c r="AG342" s="19">
        <v>4.0</v>
      </c>
      <c r="AH342" s="19">
        <v>5.0</v>
      </c>
      <c r="AI342" s="22">
        <v>13.5</v>
      </c>
      <c r="AJ342" s="19">
        <v>14.0</v>
      </c>
      <c r="AK342" s="19">
        <v>15.0</v>
      </c>
      <c r="AL342" s="19">
        <v>15.0</v>
      </c>
      <c r="AM342" s="19">
        <v>44.0</v>
      </c>
      <c r="AN342" s="19">
        <v>57.5</v>
      </c>
      <c r="AO342" s="19">
        <v>69.5</v>
      </c>
      <c r="AP342" s="19">
        <v>860.0</v>
      </c>
      <c r="AQ342" s="23">
        <v>335.0</v>
      </c>
      <c r="AR342" s="23">
        <v>38.0</v>
      </c>
      <c r="AS342" s="22"/>
      <c r="AT342" s="19" t="s">
        <v>2282</v>
      </c>
      <c r="AU342" s="19" t="s">
        <v>8159</v>
      </c>
      <c r="AV342" s="19" t="s">
        <v>8160</v>
      </c>
      <c r="AW342" s="19"/>
      <c r="AX342" s="20">
        <v>36959.0</v>
      </c>
      <c r="AY342" s="19" t="s">
        <v>3612</v>
      </c>
      <c r="AZ342" s="19" t="s">
        <v>2122</v>
      </c>
      <c r="BA342" s="19" t="s">
        <v>8161</v>
      </c>
      <c r="BB342" s="19" t="s">
        <v>2667</v>
      </c>
      <c r="BC342" s="19" t="s">
        <v>8162</v>
      </c>
      <c r="BD342" s="19" t="s">
        <v>8163</v>
      </c>
      <c r="BE342" s="19"/>
      <c r="BF342" s="19"/>
      <c r="BG342" s="19" t="s">
        <v>2127</v>
      </c>
      <c r="BH342" s="19" t="s">
        <v>2128</v>
      </c>
      <c r="BI342" s="19"/>
      <c r="BJ342" s="19" t="s">
        <v>2128</v>
      </c>
      <c r="BK342" s="19" t="s">
        <v>17</v>
      </c>
      <c r="BL342" s="19" t="s">
        <v>2113</v>
      </c>
      <c r="BM342" s="19" t="s">
        <v>5563</v>
      </c>
      <c r="BN342" s="19" t="s">
        <v>7178</v>
      </c>
      <c r="BO342" s="19" t="s">
        <v>3199</v>
      </c>
      <c r="BP342" s="19" t="s">
        <v>8164</v>
      </c>
      <c r="BQ342" s="19" t="s">
        <v>2133</v>
      </c>
      <c r="BR342" s="19" t="s">
        <v>2133</v>
      </c>
      <c r="BS342" s="19" t="s">
        <v>2134</v>
      </c>
      <c r="BT342" s="19" t="s">
        <v>15</v>
      </c>
      <c r="BU342" s="19" t="s">
        <v>8165</v>
      </c>
      <c r="BV342" s="19"/>
      <c r="BW342" s="19"/>
      <c r="BX342" s="19"/>
      <c r="BY342" s="19"/>
      <c r="BZ342" s="19"/>
      <c r="CA342" s="19" t="s">
        <v>2113</v>
      </c>
      <c r="CB342" s="19" t="s">
        <v>2113</v>
      </c>
      <c r="CC342" s="19"/>
      <c r="CD342" s="19" t="s">
        <v>2137</v>
      </c>
      <c r="CE342" s="19" t="s">
        <v>16</v>
      </c>
      <c r="CF342" s="19"/>
      <c r="CG342" s="19"/>
      <c r="CH342" s="19" t="s">
        <v>16</v>
      </c>
      <c r="CI342" s="21">
        <v>0.0</v>
      </c>
      <c r="CJ342" s="19" t="s">
        <v>16</v>
      </c>
      <c r="CK342" s="19"/>
      <c r="CL342" s="19"/>
      <c r="CM342" s="19" t="s">
        <v>2138</v>
      </c>
      <c r="CN342" s="19" t="s">
        <v>3202</v>
      </c>
      <c r="CO342" s="19"/>
      <c r="CP342" s="19" t="s">
        <v>2267</v>
      </c>
      <c r="CQ342" s="19"/>
      <c r="CR342" s="19" t="s">
        <v>2113</v>
      </c>
      <c r="CS342" s="19" t="s">
        <v>2113</v>
      </c>
      <c r="CT342" s="19"/>
      <c r="CU342" s="19"/>
      <c r="CV342" s="19" t="s">
        <v>2141</v>
      </c>
      <c r="CW342" s="19"/>
      <c r="CX342" s="19"/>
      <c r="CY342" s="19" t="s">
        <v>2113</v>
      </c>
      <c r="CZ342" s="19" t="s">
        <v>2113</v>
      </c>
      <c r="DA342" s="19" t="s">
        <v>16</v>
      </c>
      <c r="DB342" s="19" t="s">
        <v>16</v>
      </c>
      <c r="DC342" s="19" t="s">
        <v>2826</v>
      </c>
      <c r="DD342" s="19" t="s">
        <v>2113</v>
      </c>
      <c r="DE342" s="19" t="s">
        <v>2113</v>
      </c>
      <c r="DF342" s="19" t="s">
        <v>2323</v>
      </c>
      <c r="DG342" s="19" t="s">
        <v>2671</v>
      </c>
      <c r="DH342" s="19" t="s">
        <v>2580</v>
      </c>
      <c r="DI342" s="24">
        <v>45517.0</v>
      </c>
      <c r="DJ342" s="19" t="s">
        <v>2133</v>
      </c>
      <c r="DK342" s="19" t="s">
        <v>2271</v>
      </c>
      <c r="DL342" s="19" t="s">
        <v>2146</v>
      </c>
      <c r="DM342" s="19"/>
      <c r="DN342" s="19">
        <v>2.0</v>
      </c>
      <c r="DO342" s="19">
        <v>2.0</v>
      </c>
      <c r="DP342" s="19" t="s">
        <v>8166</v>
      </c>
      <c r="DQ342" s="19" t="s">
        <v>8167</v>
      </c>
      <c r="DR342" s="19" t="s">
        <v>8168</v>
      </c>
      <c r="DS342" s="19" t="s">
        <v>2365</v>
      </c>
      <c r="DT342" s="19" t="s">
        <v>2366</v>
      </c>
      <c r="DU342" s="19"/>
      <c r="DV342" s="19"/>
      <c r="DW342" s="19" t="s">
        <v>2153</v>
      </c>
      <c r="DX342" s="19">
        <v>7.0</v>
      </c>
      <c r="DY342" s="19">
        <v>10.0</v>
      </c>
      <c r="DZ342" s="19">
        <v>0.0</v>
      </c>
      <c r="EA342" s="19">
        <v>10.0</v>
      </c>
      <c r="EB342" s="19">
        <v>0.0</v>
      </c>
      <c r="EC342" s="19">
        <v>0.0</v>
      </c>
      <c r="ED342" s="19" t="s">
        <v>2133</v>
      </c>
      <c r="EE342" s="24">
        <v>45517.0</v>
      </c>
      <c r="EF342" s="19" t="s">
        <v>2133</v>
      </c>
      <c r="EG342" s="19" t="s">
        <v>2271</v>
      </c>
      <c r="EH342" s="19" t="s">
        <v>2146</v>
      </c>
      <c r="EI342" s="22">
        <v>13.5</v>
      </c>
      <c r="EJ342" s="19">
        <v>44.0</v>
      </c>
      <c r="EK342" s="19"/>
      <c r="EL342" s="19" t="s">
        <v>2282</v>
      </c>
      <c r="EM342" s="19" t="s">
        <v>8159</v>
      </c>
      <c r="EN342" s="19" t="s">
        <v>1016</v>
      </c>
      <c r="EO342" s="19" t="s">
        <v>3612</v>
      </c>
      <c r="EP342" s="19" t="s">
        <v>2122</v>
      </c>
      <c r="EQ342" s="19" t="s">
        <v>3202</v>
      </c>
      <c r="ER342" s="19"/>
      <c r="ES342" s="19" t="s">
        <v>1016</v>
      </c>
      <c r="ET342" s="19" t="s">
        <v>1016</v>
      </c>
      <c r="EU342" s="19" t="s">
        <v>8157</v>
      </c>
      <c r="EV342" s="19">
        <v>8502.0</v>
      </c>
      <c r="EW342" s="19" t="s">
        <v>16</v>
      </c>
      <c r="EX342" s="19">
        <v>2.0</v>
      </c>
      <c r="EY342" s="25" t="s">
        <v>1015</v>
      </c>
      <c r="EZ342" s="19" t="s">
        <v>2154</v>
      </c>
      <c r="FA342" s="5" t="s">
        <v>8169</v>
      </c>
      <c r="FB342" s="26" t="s">
        <v>2156</v>
      </c>
      <c r="FC342" s="26"/>
    </row>
    <row r="343">
      <c r="A343" s="19" t="s">
        <v>2112</v>
      </c>
      <c r="B343" s="19"/>
      <c r="C343" s="19" t="s">
        <v>2113</v>
      </c>
      <c r="D343" s="19" t="s">
        <v>1017</v>
      </c>
      <c r="E343" s="19" t="s">
        <v>8170</v>
      </c>
      <c r="F343" s="19" t="s">
        <v>1017</v>
      </c>
      <c r="G343" s="19"/>
      <c r="H343" s="19" t="s">
        <v>1017</v>
      </c>
      <c r="I343" s="19" t="s">
        <v>1019</v>
      </c>
      <c r="J343" s="19" t="s">
        <v>8171</v>
      </c>
      <c r="K343" s="19" t="s">
        <v>8172</v>
      </c>
      <c r="L343" s="20">
        <v>45440.0</v>
      </c>
      <c r="M343" s="20">
        <v>45440.0</v>
      </c>
      <c r="N343" s="20">
        <v>45440.0</v>
      </c>
      <c r="O343" s="19" t="s">
        <v>1018</v>
      </c>
      <c r="P343" s="19">
        <v>0.0</v>
      </c>
      <c r="Q343" s="19">
        <v>18.0</v>
      </c>
      <c r="R343" s="19">
        <v>6629.0</v>
      </c>
      <c r="S343" s="20" t="s">
        <v>7285</v>
      </c>
      <c r="T343" s="20">
        <v>45461.0</v>
      </c>
      <c r="U343" s="19" t="s">
        <v>1017</v>
      </c>
      <c r="V343" s="19"/>
      <c r="W343" s="19"/>
      <c r="X343" s="21">
        <v>0.0</v>
      </c>
      <c r="Y343" s="21">
        <v>10.0</v>
      </c>
      <c r="Z343" s="21">
        <v>5.0</v>
      </c>
      <c r="AA343" s="21">
        <v>0.0</v>
      </c>
      <c r="AB343" s="5">
        <v>15.0</v>
      </c>
      <c r="AC343" s="19">
        <v>3.0</v>
      </c>
      <c r="AD343" s="19">
        <v>3.0</v>
      </c>
      <c r="AE343" s="19">
        <v>3.0</v>
      </c>
      <c r="AF343" s="19">
        <v>3.0</v>
      </c>
      <c r="AG343" s="19">
        <v>3.0</v>
      </c>
      <c r="AH343" s="19">
        <v>4.0</v>
      </c>
      <c r="AI343" s="22">
        <v>9.375</v>
      </c>
      <c r="AJ343" s="19">
        <v>15.0</v>
      </c>
      <c r="AK343" s="19">
        <v>15.0</v>
      </c>
      <c r="AL343" s="19">
        <v>15.0</v>
      </c>
      <c r="AM343" s="19">
        <v>45.0</v>
      </c>
      <c r="AN343" s="19">
        <v>54.4</v>
      </c>
      <c r="AO343" s="19">
        <v>69.4</v>
      </c>
      <c r="AP343" s="19">
        <v>565.0</v>
      </c>
      <c r="AQ343" s="23">
        <v>336.0</v>
      </c>
      <c r="AR343" s="23">
        <v>43.0</v>
      </c>
      <c r="AS343" s="22"/>
      <c r="AT343" s="19" t="s">
        <v>2282</v>
      </c>
      <c r="AU343" s="19" t="s">
        <v>2993</v>
      </c>
      <c r="AV343" s="19" t="s">
        <v>8173</v>
      </c>
      <c r="AW343" s="19" t="s">
        <v>8174</v>
      </c>
      <c r="AX343" s="20">
        <v>38832.0</v>
      </c>
      <c r="AY343" s="19" t="s">
        <v>8175</v>
      </c>
      <c r="AZ343" s="19" t="s">
        <v>2445</v>
      </c>
      <c r="BA343" s="19" t="s">
        <v>8176</v>
      </c>
      <c r="BB343" s="19" t="s">
        <v>8177</v>
      </c>
      <c r="BC343" s="19" t="s">
        <v>8178</v>
      </c>
      <c r="BD343" s="19" t="s">
        <v>8179</v>
      </c>
      <c r="BE343" s="19" t="s">
        <v>8180</v>
      </c>
      <c r="BF343" s="19">
        <v>1.195371707E10</v>
      </c>
      <c r="BG343" s="19" t="s">
        <v>2127</v>
      </c>
      <c r="BH343" s="19" t="s">
        <v>2128</v>
      </c>
      <c r="BI343" s="19"/>
      <c r="BJ343" s="19" t="s">
        <v>2128</v>
      </c>
      <c r="BK343" s="19" t="s">
        <v>17</v>
      </c>
      <c r="BL343" s="19"/>
      <c r="BM343" s="19" t="s">
        <v>5563</v>
      </c>
      <c r="BN343" s="19" t="s">
        <v>2401</v>
      </c>
      <c r="BO343" s="19" t="s">
        <v>2132</v>
      </c>
      <c r="BP343" s="19" t="s">
        <v>8181</v>
      </c>
      <c r="BQ343" s="19" t="s">
        <v>2133</v>
      </c>
      <c r="BR343" s="19" t="s">
        <v>2133</v>
      </c>
      <c r="BS343" s="19" t="s">
        <v>2243</v>
      </c>
      <c r="BT343" s="19" t="s">
        <v>38</v>
      </c>
      <c r="BU343" s="19" t="s">
        <v>3780</v>
      </c>
      <c r="BV343" s="19"/>
      <c r="BW343" s="19" t="s">
        <v>2113</v>
      </c>
      <c r="BX343" s="19"/>
      <c r="BY343" s="19"/>
      <c r="BZ343" s="19"/>
      <c r="CA343" s="19"/>
      <c r="CB343" s="19" t="s">
        <v>2113</v>
      </c>
      <c r="CC343" s="19"/>
      <c r="CD343" s="19" t="s">
        <v>2137</v>
      </c>
      <c r="CE343" s="19" t="s">
        <v>16</v>
      </c>
      <c r="CF343" s="19"/>
      <c r="CG343" s="19"/>
      <c r="CH343" s="19" t="s">
        <v>16</v>
      </c>
      <c r="CI343" s="21">
        <v>0.0</v>
      </c>
      <c r="CJ343" s="19" t="s">
        <v>16</v>
      </c>
      <c r="CK343" s="19"/>
      <c r="CL343" s="19"/>
      <c r="CM343" s="19" t="s">
        <v>2926</v>
      </c>
      <c r="CN343" s="19" t="s">
        <v>2294</v>
      </c>
      <c r="CO343" s="19"/>
      <c r="CP343" s="19" t="s">
        <v>2134</v>
      </c>
      <c r="CQ343" s="19"/>
      <c r="CR343" s="19" t="s">
        <v>2113</v>
      </c>
      <c r="CS343" s="19" t="s">
        <v>2113</v>
      </c>
      <c r="CT343" s="19"/>
      <c r="CU343" s="19"/>
      <c r="CV343" s="19" t="s">
        <v>2141</v>
      </c>
      <c r="CW343" s="19" t="s">
        <v>2113</v>
      </c>
      <c r="CX343" s="19" t="s">
        <v>2113</v>
      </c>
      <c r="CY343" s="19"/>
      <c r="CZ343" s="19"/>
      <c r="DA343" s="19" t="s">
        <v>16</v>
      </c>
      <c r="DB343" s="19" t="s">
        <v>16</v>
      </c>
      <c r="DC343" s="19" t="s">
        <v>2578</v>
      </c>
      <c r="DD343" s="19" t="s">
        <v>2113</v>
      </c>
      <c r="DE343" s="19" t="s">
        <v>2113</v>
      </c>
      <c r="DF343" s="19" t="s">
        <v>2407</v>
      </c>
      <c r="DG343" s="19" t="s">
        <v>2406</v>
      </c>
      <c r="DH343" s="19" t="s">
        <v>2144</v>
      </c>
      <c r="DI343" s="24">
        <v>45531.0</v>
      </c>
      <c r="DJ343" s="19" t="s">
        <v>2133</v>
      </c>
      <c r="DK343" s="19" t="s">
        <v>2145</v>
      </c>
      <c r="DL343" s="19" t="s">
        <v>2146</v>
      </c>
      <c r="DM343" s="19" t="s">
        <v>3183</v>
      </c>
      <c r="DN343" s="19">
        <v>13.0</v>
      </c>
      <c r="DO343" s="19">
        <v>13.0</v>
      </c>
      <c r="DP343" s="19" t="s">
        <v>8182</v>
      </c>
      <c r="DQ343" s="19" t="s">
        <v>8183</v>
      </c>
      <c r="DR343" s="19" t="s">
        <v>8184</v>
      </c>
      <c r="DS343" s="19" t="s">
        <v>2365</v>
      </c>
      <c r="DT343" s="19" t="s">
        <v>2350</v>
      </c>
      <c r="DU343" s="19"/>
      <c r="DV343" s="19"/>
      <c r="DW343" s="19" t="s">
        <v>2153</v>
      </c>
      <c r="DX343" s="19">
        <v>8.0</v>
      </c>
      <c r="DY343" s="19">
        <v>10.0</v>
      </c>
      <c r="DZ343" s="19">
        <v>0.0</v>
      </c>
      <c r="EA343" s="19">
        <v>10.0</v>
      </c>
      <c r="EB343" s="19">
        <v>0.0</v>
      </c>
      <c r="EC343" s="19">
        <v>0.0</v>
      </c>
      <c r="ED343" s="19" t="s">
        <v>2133</v>
      </c>
      <c r="EE343" s="24">
        <v>45531.0</v>
      </c>
      <c r="EF343" s="19" t="s">
        <v>2133</v>
      </c>
      <c r="EG343" s="19" t="s">
        <v>2145</v>
      </c>
      <c r="EH343" s="19" t="s">
        <v>2146</v>
      </c>
      <c r="EI343" s="22">
        <v>9.375</v>
      </c>
      <c r="EJ343" s="19">
        <v>45.0</v>
      </c>
      <c r="EK343" s="19"/>
      <c r="EL343" s="19" t="s">
        <v>2282</v>
      </c>
      <c r="EM343" s="19" t="s">
        <v>2993</v>
      </c>
      <c r="EN343" s="19" t="s">
        <v>1019</v>
      </c>
      <c r="EO343" s="19" t="s">
        <v>8175</v>
      </c>
      <c r="EP343" s="19" t="s">
        <v>2445</v>
      </c>
      <c r="EQ343" s="19" t="s">
        <v>2294</v>
      </c>
      <c r="ER343" s="19"/>
      <c r="ES343" s="19" t="s">
        <v>1019</v>
      </c>
      <c r="ET343" s="19" t="s">
        <v>1019</v>
      </c>
      <c r="EU343" s="19" t="s">
        <v>8172</v>
      </c>
      <c r="EV343" s="19">
        <v>6629.0</v>
      </c>
      <c r="EW343" s="19" t="s">
        <v>16</v>
      </c>
      <c r="EX343" s="19">
        <v>5.0</v>
      </c>
      <c r="EY343" s="25" t="s">
        <v>1018</v>
      </c>
      <c r="EZ343" s="19" t="s">
        <v>2154</v>
      </c>
      <c r="FA343" s="5" t="s">
        <v>8185</v>
      </c>
      <c r="FB343" s="26" t="s">
        <v>2156</v>
      </c>
      <c r="FC343" s="26"/>
    </row>
    <row r="344">
      <c r="A344" s="19" t="s">
        <v>2112</v>
      </c>
      <c r="B344" s="19"/>
      <c r="C344" s="19" t="s">
        <v>2113</v>
      </c>
      <c r="D344" s="19" t="s">
        <v>1020</v>
      </c>
      <c r="E344" s="19" t="s">
        <v>8186</v>
      </c>
      <c r="F344" s="19" t="s">
        <v>1020</v>
      </c>
      <c r="G344" s="19"/>
      <c r="H344" s="19" t="s">
        <v>1020</v>
      </c>
      <c r="I344" s="19" t="s">
        <v>1022</v>
      </c>
      <c r="J344" s="19" t="s">
        <v>8187</v>
      </c>
      <c r="K344" s="19" t="s">
        <v>8188</v>
      </c>
      <c r="L344" s="20">
        <v>45441.0</v>
      </c>
      <c r="M344" s="20">
        <v>45441.0</v>
      </c>
      <c r="N344" s="20">
        <v>45441.0</v>
      </c>
      <c r="O344" s="19" t="s">
        <v>1021</v>
      </c>
      <c r="P344" s="19">
        <v>0.0</v>
      </c>
      <c r="Q344" s="19">
        <v>18.0</v>
      </c>
      <c r="R344" s="19">
        <v>6794.0</v>
      </c>
      <c r="S344" s="20" t="s">
        <v>8189</v>
      </c>
      <c r="T344" s="20">
        <v>45461.0</v>
      </c>
      <c r="U344" s="19" t="s">
        <v>1020</v>
      </c>
      <c r="V344" s="19"/>
      <c r="W344" s="19" t="s">
        <v>8190</v>
      </c>
      <c r="X344" s="21">
        <v>0.0</v>
      </c>
      <c r="Y344" s="21">
        <v>10.0</v>
      </c>
      <c r="Z344" s="21">
        <v>3.0</v>
      </c>
      <c r="AA344" s="21">
        <v>0.0</v>
      </c>
      <c r="AB344" s="5">
        <v>13.0</v>
      </c>
      <c r="AC344" s="19">
        <v>4.4</v>
      </c>
      <c r="AD344" s="19">
        <v>4.6</v>
      </c>
      <c r="AE344" s="19">
        <v>4.4</v>
      </c>
      <c r="AF344" s="19">
        <v>4.6</v>
      </c>
      <c r="AG344" s="19">
        <v>4.4</v>
      </c>
      <c r="AH344" s="19">
        <v>4.4</v>
      </c>
      <c r="AI344" s="22">
        <v>13.40625</v>
      </c>
      <c r="AJ344" s="19">
        <v>13.0</v>
      </c>
      <c r="AK344" s="19">
        <v>15.0</v>
      </c>
      <c r="AL344" s="19">
        <v>15.0</v>
      </c>
      <c r="AM344" s="19">
        <v>43.0</v>
      </c>
      <c r="AN344" s="19">
        <v>56.4</v>
      </c>
      <c r="AO344" s="19">
        <v>69.4</v>
      </c>
      <c r="AP344" s="19">
        <v>811.0</v>
      </c>
      <c r="AQ344" s="23">
        <v>337.0</v>
      </c>
      <c r="AR344" s="23">
        <v>30.0</v>
      </c>
      <c r="AS344" s="22"/>
      <c r="AT344" s="19" t="s">
        <v>2282</v>
      </c>
      <c r="AU344" s="19" t="s">
        <v>8191</v>
      </c>
      <c r="AV344" s="19" t="s">
        <v>8192</v>
      </c>
      <c r="AW344" s="19" t="s">
        <v>8193</v>
      </c>
      <c r="AX344" s="20">
        <v>38667.0</v>
      </c>
      <c r="AY344" s="19" t="s">
        <v>5573</v>
      </c>
      <c r="AZ344" s="19" t="s">
        <v>2310</v>
      </c>
      <c r="BA344" s="19" t="s">
        <v>8194</v>
      </c>
      <c r="BB344" s="19" t="s">
        <v>8195</v>
      </c>
      <c r="BC344" s="19" t="s">
        <v>8196</v>
      </c>
      <c r="BD344" s="19" t="s">
        <v>8197</v>
      </c>
      <c r="BE344" s="19" t="s">
        <v>8187</v>
      </c>
      <c r="BF344" s="19">
        <v>1.1950777885E10</v>
      </c>
      <c r="BG344" s="19" t="s">
        <v>2127</v>
      </c>
      <c r="BH344" s="19" t="s">
        <v>2128</v>
      </c>
      <c r="BI344" s="19"/>
      <c r="BJ344" s="19" t="s">
        <v>2128</v>
      </c>
      <c r="BK344" s="19" t="s">
        <v>17</v>
      </c>
      <c r="BL344" s="19" t="s">
        <v>2113</v>
      </c>
      <c r="BM344" s="19" t="s">
        <v>5563</v>
      </c>
      <c r="BN344" s="19" t="s">
        <v>17</v>
      </c>
      <c r="BO344" s="19" t="s">
        <v>2473</v>
      </c>
      <c r="BP344" s="19" t="s">
        <v>8198</v>
      </c>
      <c r="BQ344" s="19" t="s">
        <v>2174</v>
      </c>
      <c r="BR344" s="19" t="s">
        <v>2174</v>
      </c>
      <c r="BS344" s="19" t="s">
        <v>2243</v>
      </c>
      <c r="BT344" s="19" t="s">
        <v>34</v>
      </c>
      <c r="BU344" s="19" t="s">
        <v>8199</v>
      </c>
      <c r="BV344" s="19"/>
      <c r="BW344" s="19"/>
      <c r="BX344" s="19"/>
      <c r="BY344" s="19"/>
      <c r="BZ344" s="19"/>
      <c r="CA344" s="19"/>
      <c r="CB344" s="19" t="s">
        <v>2113</v>
      </c>
      <c r="CC344" s="19" t="s">
        <v>2113</v>
      </c>
      <c r="CD344" s="19" t="s">
        <v>2137</v>
      </c>
      <c r="CE344" s="19" t="s">
        <v>16</v>
      </c>
      <c r="CF344" s="19"/>
      <c r="CG344" s="19"/>
      <c r="CH344" s="19" t="s">
        <v>16</v>
      </c>
      <c r="CI344" s="21">
        <v>0.0</v>
      </c>
      <c r="CJ344" s="19" t="s">
        <v>16</v>
      </c>
      <c r="CK344" s="19"/>
      <c r="CL344" s="19"/>
      <c r="CM344" s="19" t="s">
        <v>2926</v>
      </c>
      <c r="CN344" s="19" t="s">
        <v>3041</v>
      </c>
      <c r="CO344" s="19"/>
      <c r="CP344" s="19" t="s">
        <v>2178</v>
      </c>
      <c r="CQ344" s="19"/>
      <c r="CR344" s="19" t="s">
        <v>2113</v>
      </c>
      <c r="CS344" s="19" t="s">
        <v>2113</v>
      </c>
      <c r="CT344" s="19"/>
      <c r="CU344" s="19"/>
      <c r="CV344" s="19" t="s">
        <v>2141</v>
      </c>
      <c r="CW344" s="19" t="s">
        <v>2113</v>
      </c>
      <c r="CX344" s="19" t="s">
        <v>2113</v>
      </c>
      <c r="CY344" s="19"/>
      <c r="CZ344" s="19"/>
      <c r="DA344" s="19" t="s">
        <v>16</v>
      </c>
      <c r="DB344" s="19" t="s">
        <v>16</v>
      </c>
      <c r="DC344" s="19" t="s">
        <v>3042</v>
      </c>
      <c r="DD344" s="19" t="s">
        <v>2113</v>
      </c>
      <c r="DE344" s="19" t="s">
        <v>2113</v>
      </c>
      <c r="DF344" s="19" t="s">
        <v>2433</v>
      </c>
      <c r="DG344" s="19" t="s">
        <v>5864</v>
      </c>
      <c r="DH344" s="19" t="s">
        <v>2144</v>
      </c>
      <c r="DI344" s="24">
        <v>45531.0</v>
      </c>
      <c r="DJ344" s="19" t="s">
        <v>2174</v>
      </c>
      <c r="DK344" s="19" t="s">
        <v>2271</v>
      </c>
      <c r="DL344" s="19" t="s">
        <v>2183</v>
      </c>
      <c r="DM344" s="19"/>
      <c r="DN344" s="19">
        <v>8.0</v>
      </c>
      <c r="DO344" s="19">
        <v>8.0</v>
      </c>
      <c r="DP344" s="19" t="s">
        <v>8200</v>
      </c>
      <c r="DQ344" s="19" t="s">
        <v>8201</v>
      </c>
      <c r="DR344" s="19" t="s">
        <v>8202</v>
      </c>
      <c r="DS344" s="19" t="s">
        <v>2151</v>
      </c>
      <c r="DT344" s="19" t="s">
        <v>2152</v>
      </c>
      <c r="DU344" s="19"/>
      <c r="DV344" s="19"/>
      <c r="DW344" s="19" t="s">
        <v>2153</v>
      </c>
      <c r="DX344" s="19">
        <v>14.0</v>
      </c>
      <c r="DY344" s="19">
        <v>10.0</v>
      </c>
      <c r="DZ344" s="19">
        <v>0.0</v>
      </c>
      <c r="EA344" s="19">
        <v>10.0</v>
      </c>
      <c r="EB344" s="19">
        <v>0.0</v>
      </c>
      <c r="EC344" s="19">
        <v>0.0</v>
      </c>
      <c r="ED344" s="19" t="s">
        <v>2174</v>
      </c>
      <c r="EE344" s="24">
        <v>45531.0</v>
      </c>
      <c r="EF344" s="19" t="s">
        <v>2174</v>
      </c>
      <c r="EG344" s="19" t="s">
        <v>2271</v>
      </c>
      <c r="EH344" s="19" t="s">
        <v>2183</v>
      </c>
      <c r="EI344" s="22">
        <v>13.40625</v>
      </c>
      <c r="EJ344" s="19">
        <v>43.0</v>
      </c>
      <c r="EK344" s="19"/>
      <c r="EL344" s="19" t="s">
        <v>2282</v>
      </c>
      <c r="EM344" s="19" t="s">
        <v>8191</v>
      </c>
      <c r="EN344" s="19" t="s">
        <v>1022</v>
      </c>
      <c r="EO344" s="19" t="s">
        <v>5573</v>
      </c>
      <c r="EP344" s="19" t="s">
        <v>2310</v>
      </c>
      <c r="EQ344" s="19" t="s">
        <v>3041</v>
      </c>
      <c r="ER344" s="19"/>
      <c r="ES344" s="19" t="s">
        <v>1022</v>
      </c>
      <c r="ET344" s="19" t="s">
        <v>1022</v>
      </c>
      <c r="EU344" s="19" t="s">
        <v>8188</v>
      </c>
      <c r="EV344" s="19">
        <v>6794.0</v>
      </c>
      <c r="EW344" s="19" t="s">
        <v>16</v>
      </c>
      <c r="EX344" s="19">
        <v>3.0</v>
      </c>
      <c r="EY344" s="25" t="s">
        <v>1021</v>
      </c>
      <c r="EZ344" s="19" t="s">
        <v>2154</v>
      </c>
      <c r="FA344" s="5" t="s">
        <v>8203</v>
      </c>
      <c r="FB344" s="26" t="s">
        <v>2156</v>
      </c>
      <c r="FC344" s="26"/>
    </row>
    <row r="345">
      <c r="A345" s="19" t="s">
        <v>2156</v>
      </c>
      <c r="B345" s="19"/>
      <c r="C345" s="19" t="s">
        <v>2113</v>
      </c>
      <c r="D345" s="19" t="s">
        <v>1023</v>
      </c>
      <c r="E345" s="19" t="s">
        <v>8204</v>
      </c>
      <c r="F345" s="19" t="s">
        <v>1023</v>
      </c>
      <c r="G345" s="19"/>
      <c r="H345" s="19" t="s">
        <v>1023</v>
      </c>
      <c r="I345" s="19" t="s">
        <v>1025</v>
      </c>
      <c r="J345" s="19" t="s">
        <v>8205</v>
      </c>
      <c r="K345" s="19" t="s">
        <v>8206</v>
      </c>
      <c r="L345" s="20">
        <v>45460.0</v>
      </c>
      <c r="M345" s="20">
        <v>45462.0</v>
      </c>
      <c r="N345" s="20">
        <v>45462.0</v>
      </c>
      <c r="O345" s="19" t="s">
        <v>1024</v>
      </c>
      <c r="P345" s="19">
        <v>0.0</v>
      </c>
      <c r="Q345" s="19">
        <v>24.0</v>
      </c>
      <c r="R345" s="19">
        <v>8854.0</v>
      </c>
      <c r="S345" s="20" t="s">
        <v>8207</v>
      </c>
      <c r="T345" s="20">
        <v>45461.0</v>
      </c>
      <c r="U345" s="19" t="s">
        <v>1023</v>
      </c>
      <c r="V345" s="19"/>
      <c r="W345" s="19"/>
      <c r="X345" s="21">
        <v>0.0</v>
      </c>
      <c r="Y345" s="21">
        <v>10.0</v>
      </c>
      <c r="Z345" s="21">
        <v>3.0</v>
      </c>
      <c r="AA345" s="21">
        <v>0.0</v>
      </c>
      <c r="AB345" s="5">
        <v>13.0</v>
      </c>
      <c r="AC345" s="19">
        <v>5.0</v>
      </c>
      <c r="AD345" s="19">
        <v>5.0</v>
      </c>
      <c r="AE345" s="19">
        <v>4.5</v>
      </c>
      <c r="AF345" s="19">
        <v>4.5</v>
      </c>
      <c r="AG345" s="19">
        <v>5.0</v>
      </c>
      <c r="AH345" s="19">
        <v>5.0</v>
      </c>
      <c r="AI345" s="22">
        <v>14.4375</v>
      </c>
      <c r="AJ345" s="19">
        <v>14.0</v>
      </c>
      <c r="AK345" s="19">
        <v>14.0</v>
      </c>
      <c r="AL345" s="19">
        <v>14.0</v>
      </c>
      <c r="AM345" s="19">
        <v>42.0</v>
      </c>
      <c r="AN345" s="19">
        <v>56.4</v>
      </c>
      <c r="AO345" s="19">
        <v>69.4</v>
      </c>
      <c r="AP345" s="19">
        <v>706.0</v>
      </c>
      <c r="AQ345" s="23">
        <v>338.0</v>
      </c>
      <c r="AR345" s="23">
        <v>30.0</v>
      </c>
      <c r="AS345" s="22" t="s">
        <v>2642</v>
      </c>
      <c r="AT345" s="19" t="s">
        <v>2163</v>
      </c>
      <c r="AU345" s="19" t="s">
        <v>8208</v>
      </c>
      <c r="AV345" s="19" t="s">
        <v>8209</v>
      </c>
      <c r="AW345" s="19" t="s">
        <v>8210</v>
      </c>
      <c r="AX345" s="20">
        <v>36607.0</v>
      </c>
      <c r="AY345" s="19" t="s">
        <v>3053</v>
      </c>
      <c r="AZ345" s="19" t="s">
        <v>2310</v>
      </c>
      <c r="BA345" s="19" t="s">
        <v>8211</v>
      </c>
      <c r="BB345" s="19" t="s">
        <v>8212</v>
      </c>
      <c r="BC345" s="19" t="s">
        <v>8213</v>
      </c>
      <c r="BD345" s="19" t="s">
        <v>8214</v>
      </c>
      <c r="BE345" s="19"/>
      <c r="BF345" s="19"/>
      <c r="BG345" s="19" t="s">
        <v>2127</v>
      </c>
      <c r="BH345" s="19" t="s">
        <v>2649</v>
      </c>
      <c r="BI345" s="19"/>
      <c r="BJ345" s="19" t="s">
        <v>2427</v>
      </c>
      <c r="BK345" s="19" t="s">
        <v>17</v>
      </c>
      <c r="BL345" s="19"/>
      <c r="BM345" s="19" t="s">
        <v>5411</v>
      </c>
      <c r="BN345" s="19" t="s">
        <v>17</v>
      </c>
      <c r="BO345" s="19" t="s">
        <v>2473</v>
      </c>
      <c r="BP345" s="19" t="s">
        <v>8215</v>
      </c>
      <c r="BQ345" s="19" t="s">
        <v>2325</v>
      </c>
      <c r="BR345" s="19" t="s">
        <v>2325</v>
      </c>
      <c r="BS345" s="19" t="s">
        <v>2134</v>
      </c>
      <c r="BT345" s="19" t="s">
        <v>59</v>
      </c>
      <c r="BU345" s="19" t="s">
        <v>8216</v>
      </c>
      <c r="BV345" s="19"/>
      <c r="BW345" s="19" t="s">
        <v>2113</v>
      </c>
      <c r="BX345" s="19"/>
      <c r="BY345" s="19"/>
      <c r="BZ345" s="19"/>
      <c r="CA345" s="19"/>
      <c r="CB345" s="19" t="s">
        <v>2113</v>
      </c>
      <c r="CC345" s="19"/>
      <c r="CD345" s="19" t="s">
        <v>2137</v>
      </c>
      <c r="CE345" s="19" t="s">
        <v>16</v>
      </c>
      <c r="CF345" s="19"/>
      <c r="CG345" s="19"/>
      <c r="CH345" s="19" t="s">
        <v>16</v>
      </c>
      <c r="CI345" s="21">
        <v>0.0</v>
      </c>
      <c r="CJ345" s="19" t="s">
        <v>17</v>
      </c>
      <c r="CK345" s="19"/>
      <c r="CL345" s="19"/>
      <c r="CM345" s="19" t="s">
        <v>2138</v>
      </c>
      <c r="CN345" s="19" t="s">
        <v>3064</v>
      </c>
      <c r="CO345" s="19"/>
      <c r="CP345" s="19" t="s">
        <v>2267</v>
      </c>
      <c r="CQ345" s="19"/>
      <c r="CR345" s="19" t="s">
        <v>2113</v>
      </c>
      <c r="CS345" s="19" t="s">
        <v>2113</v>
      </c>
      <c r="CT345" s="19" t="s">
        <v>2113</v>
      </c>
      <c r="CU345" s="19" t="s">
        <v>2113</v>
      </c>
      <c r="CV345" s="19" t="s">
        <v>2141</v>
      </c>
      <c r="CW345" s="19" t="s">
        <v>2113</v>
      </c>
      <c r="CX345" s="19" t="s">
        <v>2113</v>
      </c>
      <c r="CY345" s="19" t="s">
        <v>2113</v>
      </c>
      <c r="CZ345" s="19" t="s">
        <v>2113</v>
      </c>
      <c r="DA345" s="19" t="s">
        <v>16</v>
      </c>
      <c r="DB345" s="19" t="s">
        <v>17</v>
      </c>
      <c r="DC345" s="19" t="s">
        <v>2455</v>
      </c>
      <c r="DD345" s="19" t="s">
        <v>2113</v>
      </c>
      <c r="DE345" s="19" t="s">
        <v>2113</v>
      </c>
      <c r="DF345" s="19" t="s">
        <v>2602</v>
      </c>
      <c r="DG345" s="19" t="s">
        <v>3914</v>
      </c>
      <c r="DH345" s="19" t="s">
        <v>2144</v>
      </c>
      <c r="DI345" s="24">
        <v>45517.0</v>
      </c>
      <c r="DJ345" s="19" t="s">
        <v>2325</v>
      </c>
      <c r="DK345" s="19" t="s">
        <v>2145</v>
      </c>
      <c r="DL345" s="19" t="s">
        <v>2326</v>
      </c>
      <c r="DM345" s="19"/>
      <c r="DN345" s="19">
        <v>1.0</v>
      </c>
      <c r="DO345" s="19">
        <v>1.0</v>
      </c>
      <c r="DP345" s="19" t="s">
        <v>8217</v>
      </c>
      <c r="DQ345" s="19" t="s">
        <v>8218</v>
      </c>
      <c r="DR345" s="19" t="s">
        <v>8219</v>
      </c>
      <c r="DS345" s="19" t="s">
        <v>2185</v>
      </c>
      <c r="DT345" s="19" t="s">
        <v>2152</v>
      </c>
      <c r="DU345" s="19"/>
      <c r="DV345" s="19"/>
      <c r="DW345" s="19" t="s">
        <v>2153</v>
      </c>
      <c r="DX345" s="19">
        <v>2.0</v>
      </c>
      <c r="DY345" s="19">
        <v>10.0</v>
      </c>
      <c r="DZ345" s="19">
        <v>0.0</v>
      </c>
      <c r="EA345" s="19">
        <v>10.0</v>
      </c>
      <c r="EB345" s="19">
        <v>0.0</v>
      </c>
      <c r="EC345" s="19">
        <v>0.0</v>
      </c>
      <c r="ED345" s="19" t="s">
        <v>2325</v>
      </c>
      <c r="EE345" s="24">
        <v>45517.0</v>
      </c>
      <c r="EF345" s="19" t="s">
        <v>2325</v>
      </c>
      <c r="EG345" s="19" t="s">
        <v>2145</v>
      </c>
      <c r="EH345" s="19" t="s">
        <v>2326</v>
      </c>
      <c r="EI345" s="22">
        <v>14.4375</v>
      </c>
      <c r="EJ345" s="19">
        <v>42.0</v>
      </c>
      <c r="EK345" s="19" t="s">
        <v>2113</v>
      </c>
      <c r="EL345" s="19" t="s">
        <v>2163</v>
      </c>
      <c r="EM345" s="19" t="s">
        <v>8208</v>
      </c>
      <c r="EN345" s="19" t="s">
        <v>1025</v>
      </c>
      <c r="EO345" s="19" t="s">
        <v>3053</v>
      </c>
      <c r="EP345" s="19" t="s">
        <v>2310</v>
      </c>
      <c r="EQ345" s="19" t="s">
        <v>3064</v>
      </c>
      <c r="ER345" s="19"/>
      <c r="ES345" s="19" t="s">
        <v>1025</v>
      </c>
      <c r="ET345" s="19" t="s">
        <v>1025</v>
      </c>
      <c r="EU345" s="19" t="s">
        <v>8206</v>
      </c>
      <c r="EV345" s="19">
        <v>8854.0</v>
      </c>
      <c r="EW345" s="19" t="s">
        <v>16</v>
      </c>
      <c r="EX345" s="19">
        <v>3.0</v>
      </c>
      <c r="EY345" s="25" t="s">
        <v>1024</v>
      </c>
      <c r="EZ345" s="19" t="s">
        <v>2154</v>
      </c>
      <c r="FA345" s="5" t="s">
        <v>8220</v>
      </c>
      <c r="FB345" s="26" t="s">
        <v>2156</v>
      </c>
      <c r="FC345" s="26"/>
    </row>
    <row r="346">
      <c r="A346" s="27" t="s">
        <v>2112</v>
      </c>
      <c r="B346" s="27" t="s">
        <v>2113</v>
      </c>
      <c r="C346" s="27" t="s">
        <v>2113</v>
      </c>
      <c r="D346" s="27" t="s">
        <v>8221</v>
      </c>
      <c r="E346" s="27" t="s">
        <v>8222</v>
      </c>
      <c r="F346" s="27" t="s">
        <v>8221</v>
      </c>
      <c r="G346" s="27"/>
      <c r="H346" s="39" t="s">
        <v>1026</v>
      </c>
      <c r="I346" s="27" t="s">
        <v>1028</v>
      </c>
      <c r="J346" s="27" t="s">
        <v>8223</v>
      </c>
      <c r="K346" s="27" t="s">
        <v>8224</v>
      </c>
      <c r="L346" s="28">
        <v>45431.0</v>
      </c>
      <c r="M346" s="28">
        <v>45432.0</v>
      </c>
      <c r="N346" s="28">
        <v>45432.0</v>
      </c>
      <c r="O346" s="27" t="s">
        <v>1027</v>
      </c>
      <c r="P346" s="27">
        <v>0.0</v>
      </c>
      <c r="Q346" s="27">
        <v>21.0</v>
      </c>
      <c r="R346" s="27">
        <v>7800.0</v>
      </c>
      <c r="S346" s="28" t="s">
        <v>8225</v>
      </c>
      <c r="T346" s="28">
        <v>45461.0</v>
      </c>
      <c r="U346" s="27" t="s">
        <v>8221</v>
      </c>
      <c r="V346" s="27" t="s">
        <v>6251</v>
      </c>
      <c r="W346" s="27"/>
      <c r="X346" s="40">
        <v>0.0</v>
      </c>
      <c r="Y346" s="29">
        <v>5.0</v>
      </c>
      <c r="Z346" s="29">
        <v>5.0</v>
      </c>
      <c r="AA346" s="29">
        <v>0.0</v>
      </c>
      <c r="AB346" s="41">
        <v>10.0</v>
      </c>
      <c r="AC346" s="27">
        <v>5.0</v>
      </c>
      <c r="AD346" s="27">
        <v>5.0</v>
      </c>
      <c r="AE346" s="27">
        <v>4.6</v>
      </c>
      <c r="AF346" s="27">
        <v>4.3</v>
      </c>
      <c r="AG346" s="27">
        <v>5.0</v>
      </c>
      <c r="AH346" s="27">
        <v>5.0</v>
      </c>
      <c r="AI346" s="31">
        <v>14.4375</v>
      </c>
      <c r="AJ346" s="27">
        <v>15.0</v>
      </c>
      <c r="AK346" s="27">
        <v>15.0</v>
      </c>
      <c r="AL346" s="27">
        <v>15.0</v>
      </c>
      <c r="AM346" s="27">
        <v>45.0</v>
      </c>
      <c r="AN346" s="27">
        <v>59.4</v>
      </c>
      <c r="AO346" s="42">
        <v>69.4</v>
      </c>
      <c r="AP346" s="27">
        <v>220.0</v>
      </c>
      <c r="AQ346" s="23">
        <v>339.0</v>
      </c>
      <c r="AR346" s="23">
        <v>31.0</v>
      </c>
      <c r="AS346" s="31"/>
      <c r="AT346" s="27" t="s">
        <v>2282</v>
      </c>
      <c r="AU346" s="27" t="s">
        <v>8226</v>
      </c>
      <c r="AV346" s="27" t="s">
        <v>8227</v>
      </c>
      <c r="AW346" s="27"/>
      <c r="AX346" s="28">
        <v>37661.0</v>
      </c>
      <c r="AY346" s="27" t="s">
        <v>2258</v>
      </c>
      <c r="AZ346" s="27" t="s">
        <v>2122</v>
      </c>
      <c r="BA346" s="27" t="s">
        <v>8228</v>
      </c>
      <c r="BB346" s="27" t="s">
        <v>3592</v>
      </c>
      <c r="BC346" s="27" t="s">
        <v>8229</v>
      </c>
      <c r="BD346" s="27" t="s">
        <v>8230</v>
      </c>
      <c r="BE346" s="27" t="s">
        <v>8223</v>
      </c>
      <c r="BF346" s="27">
        <v>1.1948624978E10</v>
      </c>
      <c r="BG346" s="27" t="s">
        <v>3518</v>
      </c>
      <c r="BH346" s="27" t="s">
        <v>2128</v>
      </c>
      <c r="BI346" s="27"/>
      <c r="BJ346" s="27" t="s">
        <v>2128</v>
      </c>
      <c r="BK346" s="27" t="s">
        <v>17</v>
      </c>
      <c r="BL346" s="27"/>
      <c r="BM346" s="27" t="s">
        <v>2130</v>
      </c>
      <c r="BN346" s="27" t="s">
        <v>2172</v>
      </c>
      <c r="BO346" s="27" t="s">
        <v>2132</v>
      </c>
      <c r="BP346" s="27" t="s">
        <v>8231</v>
      </c>
      <c r="BQ346" s="27" t="s">
        <v>2174</v>
      </c>
      <c r="BR346" s="27" t="s">
        <v>2174</v>
      </c>
      <c r="BS346" s="27" t="s">
        <v>2134</v>
      </c>
      <c r="BT346" s="27" t="s">
        <v>34</v>
      </c>
      <c r="BU346" s="27"/>
      <c r="BV346" s="27" t="s">
        <v>8232</v>
      </c>
      <c r="BW346" s="27"/>
      <c r="BX346" s="27"/>
      <c r="BY346" s="27"/>
      <c r="BZ346" s="27"/>
      <c r="CA346" s="27"/>
      <c r="CB346" s="27" t="s">
        <v>2113</v>
      </c>
      <c r="CC346" s="27"/>
      <c r="CD346" s="27" t="s">
        <v>2137</v>
      </c>
      <c r="CE346" s="27" t="s">
        <v>16</v>
      </c>
      <c r="CF346" s="27"/>
      <c r="CG346" s="27"/>
      <c r="CH346" s="27" t="s">
        <v>16</v>
      </c>
      <c r="CI346" s="29">
        <v>0.0</v>
      </c>
      <c r="CJ346" s="27" t="s">
        <v>16</v>
      </c>
      <c r="CK346" s="27"/>
      <c r="CL346" s="27" t="s">
        <v>2113</v>
      </c>
      <c r="CM346" s="27" t="s">
        <v>2138</v>
      </c>
      <c r="CN346" s="27" t="s">
        <v>2266</v>
      </c>
      <c r="CO346" s="27"/>
      <c r="CP346" s="27" t="s">
        <v>2225</v>
      </c>
      <c r="CQ346" s="27"/>
      <c r="CR346" s="27" t="s">
        <v>2113</v>
      </c>
      <c r="CS346" s="27" t="s">
        <v>2113</v>
      </c>
      <c r="CT346" s="27"/>
      <c r="CU346" s="27"/>
      <c r="CV346" s="27" t="s">
        <v>2141</v>
      </c>
      <c r="CW346" s="27"/>
      <c r="CX346" s="27"/>
      <c r="CY346" s="27" t="s">
        <v>2113</v>
      </c>
      <c r="CZ346" s="27" t="s">
        <v>2113</v>
      </c>
      <c r="DA346" s="27" t="s">
        <v>16</v>
      </c>
      <c r="DB346" s="27" t="s">
        <v>16</v>
      </c>
      <c r="DC346" s="27" t="s">
        <v>5450</v>
      </c>
      <c r="DD346" s="27" t="s">
        <v>2113</v>
      </c>
      <c r="DE346" s="27" t="s">
        <v>2113</v>
      </c>
      <c r="DF346" s="27" t="s">
        <v>2364</v>
      </c>
      <c r="DG346" s="27" t="s">
        <v>2270</v>
      </c>
      <c r="DH346" s="27" t="s">
        <v>2144</v>
      </c>
      <c r="DI346" s="36">
        <v>45531.0</v>
      </c>
      <c r="DJ346" s="27" t="s">
        <v>2174</v>
      </c>
      <c r="DK346" s="27" t="s">
        <v>2145</v>
      </c>
      <c r="DL346" s="27" t="s">
        <v>2183</v>
      </c>
      <c r="DM346" s="27"/>
      <c r="DN346" s="27">
        <v>7.0</v>
      </c>
      <c r="DO346" s="27">
        <v>7.0</v>
      </c>
      <c r="DP346" s="27" t="s">
        <v>8233</v>
      </c>
      <c r="DQ346" s="27" t="s">
        <v>8234</v>
      </c>
      <c r="DR346" s="27" t="s">
        <v>8235</v>
      </c>
      <c r="DS346" s="27" t="s">
        <v>2151</v>
      </c>
      <c r="DT346" s="27" t="s">
        <v>2209</v>
      </c>
      <c r="DU346" s="27"/>
      <c r="DV346" s="27"/>
      <c r="DW346" s="27" t="s">
        <v>2153</v>
      </c>
      <c r="DX346" s="27">
        <v>14.0</v>
      </c>
      <c r="DY346" s="27">
        <v>5.0</v>
      </c>
      <c r="DZ346" s="27">
        <v>0.0</v>
      </c>
      <c r="EA346" s="27">
        <v>5.0</v>
      </c>
      <c r="EB346" s="27">
        <v>0.0</v>
      </c>
      <c r="EC346" s="27">
        <v>20.0</v>
      </c>
      <c r="ED346" s="27" t="s">
        <v>2174</v>
      </c>
      <c r="EE346" s="36">
        <v>45531.0</v>
      </c>
      <c r="EF346" s="27" t="s">
        <v>2174</v>
      </c>
      <c r="EG346" s="27" t="s">
        <v>2145</v>
      </c>
      <c r="EH346" s="27" t="s">
        <v>2183</v>
      </c>
      <c r="EI346" s="31">
        <v>14.4375</v>
      </c>
      <c r="EJ346" s="27">
        <v>45.0</v>
      </c>
      <c r="EK346" s="27"/>
      <c r="EL346" s="27" t="s">
        <v>2282</v>
      </c>
      <c r="EM346" s="27" t="s">
        <v>8226</v>
      </c>
      <c r="EN346" s="27" t="s">
        <v>1028</v>
      </c>
      <c r="EO346" s="27" t="s">
        <v>2258</v>
      </c>
      <c r="EP346" s="27" t="s">
        <v>2122</v>
      </c>
      <c r="EQ346" s="27" t="s">
        <v>2266</v>
      </c>
      <c r="ER346" s="27"/>
      <c r="ES346" s="27" t="s">
        <v>1028</v>
      </c>
      <c r="ET346" s="27" t="s">
        <v>1028</v>
      </c>
      <c r="EU346" s="27" t="s">
        <v>8224</v>
      </c>
      <c r="EV346" s="27">
        <v>7800.0</v>
      </c>
      <c r="EW346" s="27" t="s">
        <v>16</v>
      </c>
      <c r="EX346" s="27">
        <v>5.0</v>
      </c>
      <c r="EY346" s="37" t="s">
        <v>1027</v>
      </c>
      <c r="EZ346" s="27" t="s">
        <v>2154</v>
      </c>
      <c r="FA346" s="30" t="s">
        <v>8236</v>
      </c>
      <c r="FB346" s="38" t="s">
        <v>2156</v>
      </c>
      <c r="FC346" s="38" t="s">
        <v>6265</v>
      </c>
    </row>
    <row r="347">
      <c r="A347" s="19" t="s">
        <v>2112</v>
      </c>
      <c r="B347" s="19"/>
      <c r="C347" s="19" t="s">
        <v>2113</v>
      </c>
      <c r="D347" s="19" t="s">
        <v>8237</v>
      </c>
      <c r="E347" s="19" t="s">
        <v>8238</v>
      </c>
      <c r="F347" s="19" t="s">
        <v>8239</v>
      </c>
      <c r="G347" s="19" t="s">
        <v>8240</v>
      </c>
      <c r="H347" s="19" t="s">
        <v>1029</v>
      </c>
      <c r="I347" s="19" t="s">
        <v>1031</v>
      </c>
      <c r="J347" s="19" t="s">
        <v>8241</v>
      </c>
      <c r="K347" s="19" t="s">
        <v>8242</v>
      </c>
      <c r="L347" s="20">
        <v>45415.0</v>
      </c>
      <c r="M347" s="20">
        <v>45428.0</v>
      </c>
      <c r="N347" s="20">
        <v>45428.0</v>
      </c>
      <c r="O347" s="19" t="s">
        <v>1030</v>
      </c>
      <c r="P347" s="19">
        <v>0.0</v>
      </c>
      <c r="Q347" s="19">
        <v>18.0</v>
      </c>
      <c r="R347" s="19">
        <v>6938.0</v>
      </c>
      <c r="S347" s="20" t="s">
        <v>8243</v>
      </c>
      <c r="T347" s="20">
        <v>45461.0</v>
      </c>
      <c r="U347" s="19" t="s">
        <v>8239</v>
      </c>
      <c r="V347" s="19"/>
      <c r="W347" s="19" t="s">
        <v>8244</v>
      </c>
      <c r="X347" s="21">
        <v>0.0</v>
      </c>
      <c r="Y347" s="21">
        <v>10.0</v>
      </c>
      <c r="Z347" s="21">
        <v>5.0</v>
      </c>
      <c r="AA347" s="21">
        <v>0.0</v>
      </c>
      <c r="AB347" s="5">
        <v>15.0</v>
      </c>
      <c r="AC347" s="19">
        <v>5.0</v>
      </c>
      <c r="AD347" s="19">
        <v>5.0</v>
      </c>
      <c r="AE347" s="19">
        <v>5.0</v>
      </c>
      <c r="AF347" s="19">
        <v>5.0</v>
      </c>
      <c r="AG347" s="19">
        <v>4.0</v>
      </c>
      <c r="AH347" s="19">
        <v>4.0</v>
      </c>
      <c r="AI347" s="22">
        <v>14.25</v>
      </c>
      <c r="AJ347" s="19">
        <v>15.0</v>
      </c>
      <c r="AK347" s="19">
        <v>15.0</v>
      </c>
      <c r="AL347" s="19">
        <v>10.0</v>
      </c>
      <c r="AM347" s="19">
        <v>40.0</v>
      </c>
      <c r="AN347" s="19">
        <v>54.3</v>
      </c>
      <c r="AO347" s="19">
        <v>69.3</v>
      </c>
      <c r="AP347" s="19">
        <v>537.0</v>
      </c>
      <c r="AQ347" s="23">
        <v>340.0</v>
      </c>
      <c r="AR347" s="23">
        <v>39.0</v>
      </c>
      <c r="AS347" s="22"/>
      <c r="AT347" s="19" t="s">
        <v>2282</v>
      </c>
      <c r="AU347" s="19" t="s">
        <v>5760</v>
      </c>
      <c r="AV347" s="19" t="s">
        <v>8245</v>
      </c>
      <c r="AW347" s="19" t="s">
        <v>4717</v>
      </c>
      <c r="AX347" s="20">
        <v>38523.0</v>
      </c>
      <c r="AY347" s="19" t="s">
        <v>2121</v>
      </c>
      <c r="AZ347" s="19" t="s">
        <v>2122</v>
      </c>
      <c r="BA347" s="19" t="s">
        <v>8246</v>
      </c>
      <c r="BB347" s="19" t="s">
        <v>3118</v>
      </c>
      <c r="BC347" s="19" t="s">
        <v>8247</v>
      </c>
      <c r="BD347" s="19" t="s">
        <v>8248</v>
      </c>
      <c r="BE347" s="19" t="s">
        <v>8249</v>
      </c>
      <c r="BF347" s="19">
        <v>1.1969829903E10</v>
      </c>
      <c r="BG347" s="19" t="s">
        <v>2127</v>
      </c>
      <c r="BH347" s="19" t="s">
        <v>2128</v>
      </c>
      <c r="BI347" s="19"/>
      <c r="BJ347" s="19"/>
      <c r="BK347" s="19" t="s">
        <v>16</v>
      </c>
      <c r="BL347" s="19"/>
      <c r="BM347" s="19" t="s">
        <v>5563</v>
      </c>
      <c r="BN347" s="19" t="s">
        <v>3951</v>
      </c>
      <c r="BO347" s="19" t="s">
        <v>2132</v>
      </c>
      <c r="BP347" s="19" t="s">
        <v>8250</v>
      </c>
      <c r="BQ347" s="19" t="s">
        <v>2133</v>
      </c>
      <c r="BR347" s="19" t="s">
        <v>2133</v>
      </c>
      <c r="BS347" s="19" t="s">
        <v>2134</v>
      </c>
      <c r="BT347" s="19" t="s">
        <v>15</v>
      </c>
      <c r="BU347" s="19" t="s">
        <v>3522</v>
      </c>
      <c r="BV347" s="19"/>
      <c r="BW347" s="19" t="s">
        <v>2113</v>
      </c>
      <c r="BX347" s="19"/>
      <c r="BY347" s="19"/>
      <c r="BZ347" s="19"/>
      <c r="CA347" s="19"/>
      <c r="CB347" s="19"/>
      <c r="CC347" s="19"/>
      <c r="CD347" s="19" t="s">
        <v>2137</v>
      </c>
      <c r="CE347" s="19" t="s">
        <v>16</v>
      </c>
      <c r="CF347" s="19"/>
      <c r="CG347" s="19"/>
      <c r="CH347" s="19" t="s">
        <v>16</v>
      </c>
      <c r="CI347" s="21">
        <v>0.0</v>
      </c>
      <c r="CJ347" s="19" t="s">
        <v>16</v>
      </c>
      <c r="CK347" s="19"/>
      <c r="CL347" s="19"/>
      <c r="CM347" s="19"/>
      <c r="CN347" s="19" t="s">
        <v>2139</v>
      </c>
      <c r="CO347" s="19"/>
      <c r="CP347" s="19"/>
      <c r="CQ347" s="19"/>
      <c r="CR347" s="19"/>
      <c r="CS347" s="19"/>
      <c r="CT347" s="19" t="s">
        <v>2113</v>
      </c>
      <c r="CU347" s="19" t="s">
        <v>2113</v>
      </c>
      <c r="CV347" s="19" t="s">
        <v>2141</v>
      </c>
      <c r="CW347" s="19"/>
      <c r="CX347" s="19"/>
      <c r="CY347" s="19" t="s">
        <v>2113</v>
      </c>
      <c r="CZ347" s="19" t="s">
        <v>2113</v>
      </c>
      <c r="DA347" s="19" t="s">
        <v>16</v>
      </c>
      <c r="DB347" s="19" t="s">
        <v>16</v>
      </c>
      <c r="DC347" s="19" t="s">
        <v>3337</v>
      </c>
      <c r="DD347" s="19" t="s">
        <v>2113</v>
      </c>
      <c r="DE347" s="19" t="s">
        <v>2113</v>
      </c>
      <c r="DF347" s="19" t="s">
        <v>8251</v>
      </c>
      <c r="DG347" s="19" t="s">
        <v>2405</v>
      </c>
      <c r="DH347" s="19" t="s">
        <v>2144</v>
      </c>
      <c r="DI347" s="24">
        <v>45525.0</v>
      </c>
      <c r="DJ347" s="19" t="s">
        <v>2133</v>
      </c>
      <c r="DK347" s="19" t="s">
        <v>2271</v>
      </c>
      <c r="DL347" s="19" t="s">
        <v>2146</v>
      </c>
      <c r="DM347" s="19" t="s">
        <v>2408</v>
      </c>
      <c r="DN347" s="19">
        <v>10.0</v>
      </c>
      <c r="DO347" s="19">
        <v>10.0</v>
      </c>
      <c r="DP347" s="19" t="s">
        <v>8252</v>
      </c>
      <c r="DQ347" s="19" t="s">
        <v>8253</v>
      </c>
      <c r="DR347" s="19" t="s">
        <v>8254</v>
      </c>
      <c r="DS347" s="19" t="s">
        <v>2365</v>
      </c>
      <c r="DT347" s="19" t="s">
        <v>2209</v>
      </c>
      <c r="DU347" s="19"/>
      <c r="DV347" s="19"/>
      <c r="DW347" s="19" t="s">
        <v>2153</v>
      </c>
      <c r="DX347" s="19">
        <v>8.0</v>
      </c>
      <c r="DY347" s="19">
        <v>10.0</v>
      </c>
      <c r="DZ347" s="19">
        <v>0.0</v>
      </c>
      <c r="EA347" s="19">
        <v>10.0</v>
      </c>
      <c r="EB347" s="19">
        <v>0.0</v>
      </c>
      <c r="EC347" s="19">
        <v>0.0</v>
      </c>
      <c r="ED347" s="19" t="s">
        <v>2133</v>
      </c>
      <c r="EE347" s="24">
        <v>45525.0</v>
      </c>
      <c r="EF347" s="19" t="s">
        <v>2133</v>
      </c>
      <c r="EG347" s="19" t="s">
        <v>2271</v>
      </c>
      <c r="EH347" s="19" t="s">
        <v>2146</v>
      </c>
      <c r="EI347" s="22">
        <v>14.25</v>
      </c>
      <c r="EJ347" s="19">
        <v>40.0</v>
      </c>
      <c r="EK347" s="19"/>
      <c r="EL347" s="19" t="s">
        <v>2282</v>
      </c>
      <c r="EM347" s="19" t="s">
        <v>5760</v>
      </c>
      <c r="EN347" s="19" t="s">
        <v>1031</v>
      </c>
      <c r="EO347" s="19" t="s">
        <v>2121</v>
      </c>
      <c r="EP347" s="19" t="s">
        <v>2122</v>
      </c>
      <c r="EQ347" s="19" t="s">
        <v>2139</v>
      </c>
      <c r="ER347" s="19"/>
      <c r="ES347" s="19" t="s">
        <v>1031</v>
      </c>
      <c r="ET347" s="19" t="s">
        <v>1031</v>
      </c>
      <c r="EU347" s="19" t="s">
        <v>8242</v>
      </c>
      <c r="EV347" s="19">
        <v>6938.0</v>
      </c>
      <c r="EW347" s="19" t="s">
        <v>16</v>
      </c>
      <c r="EX347" s="19">
        <v>5.0</v>
      </c>
      <c r="EY347" s="25" t="s">
        <v>1030</v>
      </c>
      <c r="EZ347" s="19" t="s">
        <v>2154</v>
      </c>
      <c r="FA347" s="5" t="s">
        <v>8255</v>
      </c>
      <c r="FB347" s="26" t="s">
        <v>2156</v>
      </c>
      <c r="FC347" s="26"/>
    </row>
    <row r="348">
      <c r="A348" s="19" t="s">
        <v>2112</v>
      </c>
      <c r="B348" s="19"/>
      <c r="C348" s="19" t="s">
        <v>2113</v>
      </c>
      <c r="D348" s="19" t="s">
        <v>8256</v>
      </c>
      <c r="E348" s="19" t="s">
        <v>8257</v>
      </c>
      <c r="F348" s="19" t="s">
        <v>8258</v>
      </c>
      <c r="G348" s="19" t="s">
        <v>8259</v>
      </c>
      <c r="H348" s="19" t="s">
        <v>1032</v>
      </c>
      <c r="I348" s="19" t="s">
        <v>1034</v>
      </c>
      <c r="J348" s="19" t="s">
        <v>8260</v>
      </c>
      <c r="K348" s="19" t="s">
        <v>8261</v>
      </c>
      <c r="L348" s="20">
        <v>45415.0</v>
      </c>
      <c r="M348" s="20">
        <v>45428.0</v>
      </c>
      <c r="N348" s="20">
        <v>45428.0</v>
      </c>
      <c r="O348" s="19" t="s">
        <v>1033</v>
      </c>
      <c r="P348" s="19">
        <v>0.0</v>
      </c>
      <c r="Q348" s="19">
        <v>28.0</v>
      </c>
      <c r="R348" s="19">
        <v>10494.0</v>
      </c>
      <c r="S348" s="20" t="s">
        <v>8262</v>
      </c>
      <c r="T348" s="20">
        <v>45461.0</v>
      </c>
      <c r="U348" s="19" t="s">
        <v>8258</v>
      </c>
      <c r="V348" s="19"/>
      <c r="W348" s="19"/>
      <c r="X348" s="21">
        <v>0.0</v>
      </c>
      <c r="Y348" s="21">
        <v>10.0</v>
      </c>
      <c r="Z348" s="21">
        <v>4.0</v>
      </c>
      <c r="AA348" s="21">
        <v>0.0</v>
      </c>
      <c r="AB348" s="5">
        <v>14.0</v>
      </c>
      <c r="AC348" s="19">
        <v>5.0</v>
      </c>
      <c r="AD348" s="19">
        <v>4.0</v>
      </c>
      <c r="AE348" s="19">
        <v>5.0</v>
      </c>
      <c r="AF348" s="19">
        <v>5.0</v>
      </c>
      <c r="AG348" s="19">
        <v>5.0</v>
      </c>
      <c r="AH348" s="19">
        <v>5.0</v>
      </c>
      <c r="AI348" s="22">
        <v>14.34375</v>
      </c>
      <c r="AJ348" s="19">
        <v>13.0</v>
      </c>
      <c r="AK348" s="19">
        <v>13.0</v>
      </c>
      <c r="AL348" s="19">
        <v>15.0</v>
      </c>
      <c r="AM348" s="19">
        <v>41.0</v>
      </c>
      <c r="AN348" s="19">
        <v>55.3</v>
      </c>
      <c r="AO348" s="19">
        <v>69.3</v>
      </c>
      <c r="AP348" s="19">
        <v>579.0</v>
      </c>
      <c r="AQ348" s="23">
        <v>341.0</v>
      </c>
      <c r="AR348" s="23">
        <v>26.0</v>
      </c>
      <c r="AS348" s="22"/>
      <c r="AT348" s="19" t="s">
        <v>2163</v>
      </c>
      <c r="AU348" s="19" t="s">
        <v>7756</v>
      </c>
      <c r="AV348" s="19" t="s">
        <v>8263</v>
      </c>
      <c r="AW348" s="19" t="s">
        <v>2701</v>
      </c>
      <c r="AX348" s="20">
        <v>34967.0</v>
      </c>
      <c r="AY348" s="19" t="s">
        <v>2619</v>
      </c>
      <c r="AZ348" s="19" t="s">
        <v>2122</v>
      </c>
      <c r="BA348" s="19" t="s">
        <v>8264</v>
      </c>
      <c r="BB348" s="19" t="s">
        <v>8265</v>
      </c>
      <c r="BC348" s="19" t="s">
        <v>8266</v>
      </c>
      <c r="BD348" s="19" t="s">
        <v>8267</v>
      </c>
      <c r="BE348" s="19" t="s">
        <v>8268</v>
      </c>
      <c r="BF348" s="19">
        <v>1.1970368393E10</v>
      </c>
      <c r="BG348" s="19" t="s">
        <v>2127</v>
      </c>
      <c r="BH348" s="19" t="s">
        <v>2128</v>
      </c>
      <c r="BI348" s="19"/>
      <c r="BJ348" s="19" t="s">
        <v>2128</v>
      </c>
      <c r="BK348" s="19" t="s">
        <v>17</v>
      </c>
      <c r="BL348" s="19" t="s">
        <v>2113</v>
      </c>
      <c r="BM348" s="19" t="s">
        <v>5411</v>
      </c>
      <c r="BN348" s="19" t="s">
        <v>2401</v>
      </c>
      <c r="BO348" s="19" t="s">
        <v>2317</v>
      </c>
      <c r="BP348" s="19" t="s">
        <v>8269</v>
      </c>
      <c r="BQ348" s="19" t="s">
        <v>2133</v>
      </c>
      <c r="BR348" s="19" t="s">
        <v>2133</v>
      </c>
      <c r="BS348" s="19" t="s">
        <v>2243</v>
      </c>
      <c r="BT348" s="19" t="s">
        <v>52</v>
      </c>
      <c r="BU348" s="19" t="s">
        <v>8270</v>
      </c>
      <c r="BV348" s="19"/>
      <c r="BW348" s="19"/>
      <c r="BX348" s="19"/>
      <c r="BY348" s="19" t="s">
        <v>2113</v>
      </c>
      <c r="BZ348" s="19" t="s">
        <v>2113</v>
      </c>
      <c r="CA348" s="19"/>
      <c r="CB348" s="19"/>
      <c r="CC348" s="19"/>
      <c r="CD348" s="19" t="s">
        <v>2137</v>
      </c>
      <c r="CE348" s="19" t="s">
        <v>16</v>
      </c>
      <c r="CF348" s="19"/>
      <c r="CG348" s="19"/>
      <c r="CH348" s="19" t="s">
        <v>16</v>
      </c>
      <c r="CI348" s="21">
        <v>0.0</v>
      </c>
      <c r="CJ348" s="19" t="s">
        <v>17</v>
      </c>
      <c r="CK348" s="19"/>
      <c r="CL348" s="19"/>
      <c r="CM348" s="19" t="s">
        <v>2138</v>
      </c>
      <c r="CN348" s="19" t="s">
        <v>2626</v>
      </c>
      <c r="CO348" s="19"/>
      <c r="CP348" s="19" t="s">
        <v>2225</v>
      </c>
      <c r="CQ348" s="19"/>
      <c r="CR348" s="19"/>
      <c r="CS348" s="19"/>
      <c r="CT348" s="19" t="s">
        <v>2113</v>
      </c>
      <c r="CU348" s="19" t="s">
        <v>2113</v>
      </c>
      <c r="CV348" s="19" t="s">
        <v>2179</v>
      </c>
      <c r="CW348" s="19"/>
      <c r="CX348" s="19"/>
      <c r="CY348" s="19"/>
      <c r="CZ348" s="19"/>
      <c r="DA348" s="19" t="s">
        <v>16</v>
      </c>
      <c r="DB348" s="19" t="s">
        <v>17</v>
      </c>
      <c r="DC348" s="19" t="s">
        <v>2627</v>
      </c>
      <c r="DD348" s="19"/>
      <c r="DE348" s="19"/>
      <c r="DF348" s="19" t="s">
        <v>2143</v>
      </c>
      <c r="DG348" s="19" t="s">
        <v>2578</v>
      </c>
      <c r="DH348" s="19" t="s">
        <v>2144</v>
      </c>
      <c r="DI348" s="24">
        <v>45524.0</v>
      </c>
      <c r="DJ348" s="19" t="s">
        <v>2133</v>
      </c>
      <c r="DK348" s="19" t="s">
        <v>2271</v>
      </c>
      <c r="DL348" s="19" t="s">
        <v>2146</v>
      </c>
      <c r="DM348" s="19" t="s">
        <v>2628</v>
      </c>
      <c r="DN348" s="19">
        <v>8.0</v>
      </c>
      <c r="DO348" s="19">
        <v>8.0</v>
      </c>
      <c r="DP348" s="19"/>
      <c r="DQ348" s="19"/>
      <c r="DR348" s="19"/>
      <c r="DS348" s="19" t="s">
        <v>2365</v>
      </c>
      <c r="DT348" s="19" t="s">
        <v>2350</v>
      </c>
      <c r="DU348" s="19" t="s">
        <v>8271</v>
      </c>
      <c r="DV348" s="19"/>
      <c r="DW348" s="19" t="s">
        <v>2153</v>
      </c>
      <c r="DX348" s="19">
        <v>9.0</v>
      </c>
      <c r="DY348" s="19">
        <v>10.0</v>
      </c>
      <c r="DZ348" s="19">
        <v>0.0</v>
      </c>
      <c r="EA348" s="19">
        <v>10.0</v>
      </c>
      <c r="EB348" s="19">
        <v>0.0</v>
      </c>
      <c r="EC348" s="19">
        <v>0.0</v>
      </c>
      <c r="ED348" s="19" t="s">
        <v>2133</v>
      </c>
      <c r="EE348" s="24">
        <v>45524.0</v>
      </c>
      <c r="EF348" s="19" t="s">
        <v>2133</v>
      </c>
      <c r="EG348" s="19" t="s">
        <v>2271</v>
      </c>
      <c r="EH348" s="19" t="s">
        <v>2146</v>
      </c>
      <c r="EI348" s="22">
        <v>14.34375</v>
      </c>
      <c r="EJ348" s="19">
        <v>41.0</v>
      </c>
      <c r="EK348" s="19" t="s">
        <v>2113</v>
      </c>
      <c r="EL348" s="19" t="s">
        <v>2163</v>
      </c>
      <c r="EM348" s="19" t="s">
        <v>7756</v>
      </c>
      <c r="EN348" s="19" t="s">
        <v>1034</v>
      </c>
      <c r="EO348" s="19" t="s">
        <v>2619</v>
      </c>
      <c r="EP348" s="19" t="s">
        <v>2122</v>
      </c>
      <c r="EQ348" s="19" t="s">
        <v>2626</v>
      </c>
      <c r="ER348" s="19"/>
      <c r="ES348" s="19" t="s">
        <v>1034</v>
      </c>
      <c r="ET348" s="19" t="s">
        <v>1034</v>
      </c>
      <c r="EU348" s="19" t="s">
        <v>8261</v>
      </c>
      <c r="EV348" s="19">
        <v>10494.0</v>
      </c>
      <c r="EW348" s="19" t="s">
        <v>16</v>
      </c>
      <c r="EX348" s="19">
        <v>4.0</v>
      </c>
      <c r="EY348" s="25" t="s">
        <v>1033</v>
      </c>
      <c r="EZ348" s="19" t="s">
        <v>2154</v>
      </c>
      <c r="FA348" s="5" t="s">
        <v>8272</v>
      </c>
      <c r="FB348" s="26" t="s">
        <v>2156</v>
      </c>
      <c r="FC348" s="26"/>
    </row>
    <row r="349">
      <c r="A349" s="19" t="s">
        <v>2824</v>
      </c>
      <c r="B349" s="19"/>
      <c r="C349" s="19" t="s">
        <v>2113</v>
      </c>
      <c r="D349" s="19" t="s">
        <v>1035</v>
      </c>
      <c r="E349" s="19" t="s">
        <v>8273</v>
      </c>
      <c r="F349" s="19" t="s">
        <v>1035</v>
      </c>
      <c r="G349" s="19"/>
      <c r="H349" s="19" t="s">
        <v>1035</v>
      </c>
      <c r="I349" s="19" t="s">
        <v>1037</v>
      </c>
      <c r="J349" s="19" t="s">
        <v>8274</v>
      </c>
      <c r="K349" s="19" t="s">
        <v>8275</v>
      </c>
      <c r="L349" s="20">
        <v>45444.0</v>
      </c>
      <c r="M349" s="20">
        <v>45446.0</v>
      </c>
      <c r="N349" s="20">
        <v>45446.0</v>
      </c>
      <c r="O349" s="19" t="s">
        <v>1036</v>
      </c>
      <c r="P349" s="19">
        <v>0.0</v>
      </c>
      <c r="Q349" s="19">
        <v>23.0</v>
      </c>
      <c r="R349" s="19">
        <v>8477.0</v>
      </c>
      <c r="S349" s="20" t="s">
        <v>8276</v>
      </c>
      <c r="T349" s="20">
        <v>45461.0</v>
      </c>
      <c r="U349" s="19" t="s">
        <v>1035</v>
      </c>
      <c r="V349" s="19"/>
      <c r="W349" s="19"/>
      <c r="X349" s="21">
        <v>0.0</v>
      </c>
      <c r="Y349" s="21">
        <v>10.0</v>
      </c>
      <c r="Z349" s="21">
        <v>3.0</v>
      </c>
      <c r="AA349" s="21">
        <v>0.0</v>
      </c>
      <c r="AB349" s="5">
        <v>13.0</v>
      </c>
      <c r="AC349" s="19">
        <v>3.6</v>
      </c>
      <c r="AD349" s="19">
        <v>3.6</v>
      </c>
      <c r="AE349" s="19">
        <v>4.0</v>
      </c>
      <c r="AF349" s="19">
        <v>4.0</v>
      </c>
      <c r="AG349" s="19">
        <v>3.6</v>
      </c>
      <c r="AH349" s="19">
        <v>3.8</v>
      </c>
      <c r="AI349" s="22">
        <v>11.325</v>
      </c>
      <c r="AJ349" s="19">
        <v>15.0</v>
      </c>
      <c r="AK349" s="19">
        <v>15.0</v>
      </c>
      <c r="AL349" s="19">
        <v>15.0</v>
      </c>
      <c r="AM349" s="19">
        <v>45.0</v>
      </c>
      <c r="AN349" s="19">
        <v>56.3</v>
      </c>
      <c r="AO349" s="19">
        <v>69.3</v>
      </c>
      <c r="AP349" s="19">
        <v>719.0</v>
      </c>
      <c r="AQ349" s="23">
        <v>342.0</v>
      </c>
      <c r="AR349" s="23">
        <v>31.0</v>
      </c>
      <c r="AS349" s="22"/>
      <c r="AT349" s="19" t="s">
        <v>2163</v>
      </c>
      <c r="AU349" s="19" t="s">
        <v>8277</v>
      </c>
      <c r="AV349" s="19" t="s">
        <v>8278</v>
      </c>
      <c r="AW349" s="19"/>
      <c r="AX349" s="20">
        <v>36984.0</v>
      </c>
      <c r="AY349" s="19" t="s">
        <v>3053</v>
      </c>
      <c r="AZ349" s="19" t="s">
        <v>2122</v>
      </c>
      <c r="BA349" s="19" t="s">
        <v>8279</v>
      </c>
      <c r="BB349" s="19" t="s">
        <v>5660</v>
      </c>
      <c r="BC349" s="19" t="s">
        <v>8280</v>
      </c>
      <c r="BD349" s="19" t="s">
        <v>8281</v>
      </c>
      <c r="BE349" s="19" t="s">
        <v>8282</v>
      </c>
      <c r="BF349" s="19">
        <v>1.1494971105E10</v>
      </c>
      <c r="BG349" s="19" t="s">
        <v>2127</v>
      </c>
      <c r="BH349" s="19" t="s">
        <v>2128</v>
      </c>
      <c r="BI349" s="19"/>
      <c r="BJ349" s="19"/>
      <c r="BK349" s="19" t="s">
        <v>16</v>
      </c>
      <c r="BL349" s="19"/>
      <c r="BM349" s="19" t="s">
        <v>5411</v>
      </c>
      <c r="BN349" s="19" t="s">
        <v>2172</v>
      </c>
      <c r="BO349" s="19" t="s">
        <v>2473</v>
      </c>
      <c r="BP349" s="19"/>
      <c r="BQ349" s="19" t="s">
        <v>2325</v>
      </c>
      <c r="BR349" s="19" t="s">
        <v>2325</v>
      </c>
      <c r="BS349" s="19" t="s">
        <v>2134</v>
      </c>
      <c r="BT349" s="19" t="s">
        <v>59</v>
      </c>
      <c r="BU349" s="19" t="s">
        <v>2560</v>
      </c>
      <c r="BV349" s="19"/>
      <c r="BW349" s="19" t="s">
        <v>2113</v>
      </c>
      <c r="BX349" s="19"/>
      <c r="BY349" s="19"/>
      <c r="BZ349" s="19"/>
      <c r="CA349" s="19"/>
      <c r="CB349" s="19"/>
      <c r="CC349" s="19"/>
      <c r="CD349" s="19" t="s">
        <v>2137</v>
      </c>
      <c r="CE349" s="19" t="s">
        <v>16</v>
      </c>
      <c r="CF349" s="19"/>
      <c r="CG349" s="19"/>
      <c r="CH349" s="19" t="s">
        <v>16</v>
      </c>
      <c r="CI349" s="21">
        <v>0.0</v>
      </c>
      <c r="CJ349" s="19" t="s">
        <v>17</v>
      </c>
      <c r="CK349" s="19"/>
      <c r="CL349" s="19"/>
      <c r="CM349" s="19" t="s">
        <v>2926</v>
      </c>
      <c r="CN349" s="19" t="s">
        <v>3064</v>
      </c>
      <c r="CO349" s="19"/>
      <c r="CP349" s="19" t="s">
        <v>2134</v>
      </c>
      <c r="CQ349" s="19"/>
      <c r="CR349" s="19" t="s">
        <v>2113</v>
      </c>
      <c r="CS349" s="19" t="s">
        <v>2113</v>
      </c>
      <c r="CT349" s="19" t="s">
        <v>2113</v>
      </c>
      <c r="CU349" s="19" t="s">
        <v>2113</v>
      </c>
      <c r="CV349" s="19" t="s">
        <v>2179</v>
      </c>
      <c r="CW349" s="19"/>
      <c r="CX349" s="19"/>
      <c r="CY349" s="19"/>
      <c r="CZ349" s="19"/>
      <c r="DA349" s="19" t="s">
        <v>16</v>
      </c>
      <c r="DB349" s="19" t="s">
        <v>17</v>
      </c>
      <c r="DC349" s="19" t="s">
        <v>2562</v>
      </c>
      <c r="DD349" s="19"/>
      <c r="DE349" s="19"/>
      <c r="DF349" s="19" t="s">
        <v>2653</v>
      </c>
      <c r="DG349" s="19" t="s">
        <v>2654</v>
      </c>
      <c r="DH349" s="19" t="s">
        <v>2144</v>
      </c>
      <c r="DI349" s="24">
        <v>45525.0</v>
      </c>
      <c r="DJ349" s="19" t="s">
        <v>2325</v>
      </c>
      <c r="DK349" s="19" t="s">
        <v>2145</v>
      </c>
      <c r="DL349" s="19" t="s">
        <v>2326</v>
      </c>
      <c r="DM349" s="19"/>
      <c r="DN349" s="19">
        <v>9.0</v>
      </c>
      <c r="DO349" s="19">
        <v>9.0</v>
      </c>
      <c r="DP349" s="19"/>
      <c r="DQ349" s="19"/>
      <c r="DR349" s="19"/>
      <c r="DS349" s="19" t="s">
        <v>2365</v>
      </c>
      <c r="DT349" s="19" t="s">
        <v>2229</v>
      </c>
      <c r="DU349" s="19" t="s">
        <v>8283</v>
      </c>
      <c r="DV349" s="19"/>
      <c r="DW349" s="19" t="s">
        <v>2479</v>
      </c>
      <c r="DX349" s="19">
        <v>11.0</v>
      </c>
      <c r="DY349" s="19">
        <v>10.0</v>
      </c>
      <c r="DZ349" s="19">
        <v>0.0</v>
      </c>
      <c r="EA349" s="19">
        <v>10.0</v>
      </c>
      <c r="EB349" s="19">
        <v>0.0</v>
      </c>
      <c r="EC349" s="19">
        <v>0.0</v>
      </c>
      <c r="ED349" s="19" t="s">
        <v>2325</v>
      </c>
      <c r="EE349" s="24">
        <v>45525.0</v>
      </c>
      <c r="EF349" s="19" t="s">
        <v>2325</v>
      </c>
      <c r="EG349" s="19" t="s">
        <v>2145</v>
      </c>
      <c r="EH349" s="19" t="s">
        <v>2326</v>
      </c>
      <c r="EI349" s="22">
        <v>11.325</v>
      </c>
      <c r="EJ349" s="19">
        <v>45.0</v>
      </c>
      <c r="EK349" s="19" t="s">
        <v>2113</v>
      </c>
      <c r="EL349" s="19" t="s">
        <v>2163</v>
      </c>
      <c r="EM349" s="19" t="s">
        <v>8277</v>
      </c>
      <c r="EN349" s="19" t="s">
        <v>1037</v>
      </c>
      <c r="EO349" s="19" t="s">
        <v>3053</v>
      </c>
      <c r="EP349" s="19" t="s">
        <v>2122</v>
      </c>
      <c r="EQ349" s="19" t="s">
        <v>3064</v>
      </c>
      <c r="ER349" s="19"/>
      <c r="ES349" s="19" t="s">
        <v>1037</v>
      </c>
      <c r="ET349" s="19" t="s">
        <v>1037</v>
      </c>
      <c r="EU349" s="19" t="s">
        <v>8275</v>
      </c>
      <c r="EV349" s="19">
        <v>8477.0</v>
      </c>
      <c r="EW349" s="19" t="s">
        <v>16</v>
      </c>
      <c r="EX349" s="19">
        <v>3.0</v>
      </c>
      <c r="EY349" s="25" t="s">
        <v>1036</v>
      </c>
      <c r="EZ349" s="19" t="s">
        <v>2154</v>
      </c>
      <c r="FA349" s="5" t="s">
        <v>8284</v>
      </c>
      <c r="FB349" s="26" t="s">
        <v>2156</v>
      </c>
      <c r="FC349" s="26"/>
    </row>
    <row r="350">
      <c r="A350" s="19" t="s">
        <v>2112</v>
      </c>
      <c r="B350" s="19"/>
      <c r="C350" s="19" t="s">
        <v>2113</v>
      </c>
      <c r="D350" s="19" t="s">
        <v>1038</v>
      </c>
      <c r="E350" s="19" t="s">
        <v>8285</v>
      </c>
      <c r="F350" s="19" t="s">
        <v>1038</v>
      </c>
      <c r="G350" s="19"/>
      <c r="H350" s="19" t="s">
        <v>1038</v>
      </c>
      <c r="I350" s="19" t="s">
        <v>1040</v>
      </c>
      <c r="J350" s="19" t="s">
        <v>8286</v>
      </c>
      <c r="K350" s="19" t="s">
        <v>8287</v>
      </c>
      <c r="L350" s="20">
        <v>45396.0</v>
      </c>
      <c r="M350" s="20">
        <v>45411.0</v>
      </c>
      <c r="N350" s="20">
        <v>45411.0</v>
      </c>
      <c r="O350" s="19" t="s">
        <v>1039</v>
      </c>
      <c r="P350" s="19">
        <v>0.0</v>
      </c>
      <c r="Q350" s="19">
        <v>20.0</v>
      </c>
      <c r="R350" s="19">
        <v>7512.0</v>
      </c>
      <c r="S350" s="20" t="s">
        <v>8288</v>
      </c>
      <c r="T350" s="20">
        <v>45461.0</v>
      </c>
      <c r="U350" s="19" t="s">
        <v>1038</v>
      </c>
      <c r="V350" s="19"/>
      <c r="W350" s="19"/>
      <c r="X350" s="21">
        <v>0.0</v>
      </c>
      <c r="Y350" s="21">
        <v>10.0</v>
      </c>
      <c r="Z350" s="21">
        <v>3.0</v>
      </c>
      <c r="AA350" s="21">
        <v>0.0</v>
      </c>
      <c r="AB350" s="5">
        <v>13.0</v>
      </c>
      <c r="AC350" s="19">
        <v>4.6</v>
      </c>
      <c r="AD350" s="19">
        <v>4.8</v>
      </c>
      <c r="AE350" s="19">
        <v>5.0</v>
      </c>
      <c r="AF350" s="19">
        <v>5.0</v>
      </c>
      <c r="AG350" s="19">
        <v>4.2</v>
      </c>
      <c r="AH350" s="19">
        <v>4.8</v>
      </c>
      <c r="AI350" s="22">
        <v>14.30625</v>
      </c>
      <c r="AJ350" s="19">
        <v>12.0</v>
      </c>
      <c r="AK350" s="19">
        <v>15.0</v>
      </c>
      <c r="AL350" s="19">
        <v>15.0</v>
      </c>
      <c r="AM350" s="19">
        <v>42.0</v>
      </c>
      <c r="AN350" s="19">
        <v>56.3</v>
      </c>
      <c r="AO350" s="19">
        <v>69.3</v>
      </c>
      <c r="AP350" s="19">
        <v>768.0</v>
      </c>
      <c r="AQ350" s="23">
        <v>343.0</v>
      </c>
      <c r="AR350" s="23">
        <v>32.0</v>
      </c>
      <c r="AS350" s="22"/>
      <c r="AT350" s="19" t="s">
        <v>2163</v>
      </c>
      <c r="AU350" s="19" t="s">
        <v>8289</v>
      </c>
      <c r="AV350" s="19" t="s">
        <v>8290</v>
      </c>
      <c r="AW350" s="19"/>
      <c r="AX350" s="20">
        <v>37949.0</v>
      </c>
      <c r="AY350" s="19" t="s">
        <v>3053</v>
      </c>
      <c r="AZ350" s="19" t="s">
        <v>2122</v>
      </c>
      <c r="BA350" s="19" t="s">
        <v>8291</v>
      </c>
      <c r="BB350" s="19" t="s">
        <v>2489</v>
      </c>
      <c r="BC350" s="19" t="s">
        <v>8292</v>
      </c>
      <c r="BD350" s="19" t="s">
        <v>8293</v>
      </c>
      <c r="BE350" s="19" t="s">
        <v>8294</v>
      </c>
      <c r="BF350" s="19">
        <v>1.199319385E10</v>
      </c>
      <c r="BG350" s="19" t="s">
        <v>2127</v>
      </c>
      <c r="BH350" s="19" t="s">
        <v>2128</v>
      </c>
      <c r="BI350" s="19"/>
      <c r="BJ350" s="19" t="s">
        <v>2128</v>
      </c>
      <c r="BK350" s="19" t="s">
        <v>17</v>
      </c>
      <c r="BL350" s="19"/>
      <c r="BM350" s="19" t="s">
        <v>5563</v>
      </c>
      <c r="BN350" s="19" t="s">
        <v>2708</v>
      </c>
      <c r="BO350" s="19" t="s">
        <v>2473</v>
      </c>
      <c r="BP350" s="19"/>
      <c r="BQ350" s="19" t="s">
        <v>2325</v>
      </c>
      <c r="BR350" s="19" t="s">
        <v>2325</v>
      </c>
      <c r="BS350" s="19" t="s">
        <v>2134</v>
      </c>
      <c r="BT350" s="19" t="s">
        <v>59</v>
      </c>
      <c r="BU350" s="19" t="s">
        <v>2710</v>
      </c>
      <c r="BV350" s="19"/>
      <c r="BW350" s="19"/>
      <c r="BX350" s="19"/>
      <c r="BY350" s="19"/>
      <c r="BZ350" s="19" t="s">
        <v>2113</v>
      </c>
      <c r="CA350" s="19" t="s">
        <v>2113</v>
      </c>
      <c r="CB350" s="19" t="s">
        <v>2113</v>
      </c>
      <c r="CC350" s="19"/>
      <c r="CD350" s="19" t="s">
        <v>2137</v>
      </c>
      <c r="CE350" s="19" t="s">
        <v>16</v>
      </c>
      <c r="CF350" s="19"/>
      <c r="CG350" s="19"/>
      <c r="CH350" s="19" t="s">
        <v>16</v>
      </c>
      <c r="CI350" s="21">
        <v>0.0</v>
      </c>
      <c r="CJ350" s="19" t="s">
        <v>17</v>
      </c>
      <c r="CK350" s="19"/>
      <c r="CL350" s="19"/>
      <c r="CM350" s="19" t="s">
        <v>2138</v>
      </c>
      <c r="CN350" s="19" t="s">
        <v>3064</v>
      </c>
      <c r="CO350" s="19"/>
      <c r="CP350" s="19" t="s">
        <v>2178</v>
      </c>
      <c r="CQ350" s="19"/>
      <c r="CR350" s="19"/>
      <c r="CS350" s="19"/>
      <c r="CT350" s="19"/>
      <c r="CU350" s="19"/>
      <c r="CV350" s="19" t="s">
        <v>2141</v>
      </c>
      <c r="CW350" s="19" t="s">
        <v>2113</v>
      </c>
      <c r="CX350" s="19" t="s">
        <v>2113</v>
      </c>
      <c r="CY350" s="19"/>
      <c r="CZ350" s="19"/>
      <c r="DA350" s="19" t="s">
        <v>16</v>
      </c>
      <c r="DB350" s="19" t="s">
        <v>17</v>
      </c>
      <c r="DC350" s="19" t="s">
        <v>2432</v>
      </c>
      <c r="DD350" s="19" t="s">
        <v>2113</v>
      </c>
      <c r="DE350" s="19" t="s">
        <v>2113</v>
      </c>
      <c r="DF350" s="19" t="s">
        <v>2497</v>
      </c>
      <c r="DG350" s="19" t="s">
        <v>2496</v>
      </c>
      <c r="DH350" s="19" t="s">
        <v>2144</v>
      </c>
      <c r="DI350" s="24">
        <v>45525.0</v>
      </c>
      <c r="DJ350" s="19" t="s">
        <v>2325</v>
      </c>
      <c r="DK350" s="19" t="s">
        <v>2145</v>
      </c>
      <c r="DL350" s="19" t="s">
        <v>2326</v>
      </c>
      <c r="DM350" s="19"/>
      <c r="DN350" s="19">
        <v>9.0</v>
      </c>
      <c r="DO350" s="19">
        <v>9.0</v>
      </c>
      <c r="DP350" s="19" t="s">
        <v>8295</v>
      </c>
      <c r="DQ350" s="19" t="s">
        <v>8296</v>
      </c>
      <c r="DR350" s="19" t="s">
        <v>8297</v>
      </c>
      <c r="DS350" s="19" t="s">
        <v>2151</v>
      </c>
      <c r="DT350" s="19" t="s">
        <v>2229</v>
      </c>
      <c r="DU350" s="19"/>
      <c r="DV350" s="19"/>
      <c r="DW350" s="19" t="s">
        <v>2479</v>
      </c>
      <c r="DX350" s="19">
        <v>16.0</v>
      </c>
      <c r="DY350" s="19">
        <v>10.0</v>
      </c>
      <c r="DZ350" s="19">
        <v>0.0</v>
      </c>
      <c r="EA350" s="19">
        <v>10.0</v>
      </c>
      <c r="EB350" s="19">
        <v>0.0</v>
      </c>
      <c r="EC350" s="19">
        <v>0.0</v>
      </c>
      <c r="ED350" s="19" t="s">
        <v>2325</v>
      </c>
      <c r="EE350" s="24">
        <v>45525.0</v>
      </c>
      <c r="EF350" s="19" t="s">
        <v>2325</v>
      </c>
      <c r="EG350" s="19" t="s">
        <v>2145</v>
      </c>
      <c r="EH350" s="19" t="s">
        <v>2326</v>
      </c>
      <c r="EI350" s="22">
        <v>14.30625</v>
      </c>
      <c r="EJ350" s="19">
        <v>42.0</v>
      </c>
      <c r="EK350" s="19" t="s">
        <v>2113</v>
      </c>
      <c r="EL350" s="19" t="s">
        <v>2163</v>
      </c>
      <c r="EM350" s="19" t="s">
        <v>8289</v>
      </c>
      <c r="EN350" s="19" t="s">
        <v>1040</v>
      </c>
      <c r="EO350" s="19" t="s">
        <v>3053</v>
      </c>
      <c r="EP350" s="19" t="s">
        <v>2122</v>
      </c>
      <c r="EQ350" s="19" t="s">
        <v>3064</v>
      </c>
      <c r="ER350" s="19"/>
      <c r="ES350" s="19" t="s">
        <v>1040</v>
      </c>
      <c r="ET350" s="19" t="s">
        <v>1040</v>
      </c>
      <c r="EU350" s="19" t="s">
        <v>8287</v>
      </c>
      <c r="EV350" s="19">
        <v>7512.0</v>
      </c>
      <c r="EW350" s="19" t="s">
        <v>16</v>
      </c>
      <c r="EX350" s="19">
        <v>3.0</v>
      </c>
      <c r="EY350" s="25" t="s">
        <v>1039</v>
      </c>
      <c r="EZ350" s="19" t="s">
        <v>2154</v>
      </c>
      <c r="FA350" s="5" t="s">
        <v>8298</v>
      </c>
      <c r="FB350" s="26" t="s">
        <v>2156</v>
      </c>
      <c r="FC350" s="26"/>
    </row>
    <row r="351">
      <c r="A351" s="19" t="s">
        <v>2156</v>
      </c>
      <c r="B351" s="19"/>
      <c r="C351" s="19" t="s">
        <v>2113</v>
      </c>
      <c r="D351" s="19" t="s">
        <v>1041</v>
      </c>
      <c r="E351" s="19" t="s">
        <v>8299</v>
      </c>
      <c r="F351" s="19" t="s">
        <v>1041</v>
      </c>
      <c r="G351" s="19" t="s">
        <v>8299</v>
      </c>
      <c r="H351" s="19" t="s">
        <v>1041</v>
      </c>
      <c r="I351" s="19" t="s">
        <v>1043</v>
      </c>
      <c r="J351" s="19" t="s">
        <v>8300</v>
      </c>
      <c r="K351" s="19" t="s">
        <v>8301</v>
      </c>
      <c r="L351" s="20">
        <v>45460.0</v>
      </c>
      <c r="M351" s="20">
        <v>45462.0</v>
      </c>
      <c r="N351" s="20">
        <v>45462.0</v>
      </c>
      <c r="O351" s="19" t="s">
        <v>1042</v>
      </c>
      <c r="P351" s="19">
        <v>0.0</v>
      </c>
      <c r="Q351" s="19">
        <v>22.0</v>
      </c>
      <c r="R351" s="19">
        <v>8151.0</v>
      </c>
      <c r="S351" s="20" t="s">
        <v>8302</v>
      </c>
      <c r="T351" s="20">
        <v>45461.0</v>
      </c>
      <c r="U351" s="19" t="s">
        <v>1041</v>
      </c>
      <c r="V351" s="19"/>
      <c r="W351" s="19"/>
      <c r="X351" s="21">
        <v>0.0</v>
      </c>
      <c r="Y351" s="21">
        <v>10.0</v>
      </c>
      <c r="Z351" s="21">
        <v>3.0</v>
      </c>
      <c r="AA351" s="21">
        <v>0.0</v>
      </c>
      <c r="AB351" s="5">
        <v>13.0</v>
      </c>
      <c r="AC351" s="19">
        <v>5.0</v>
      </c>
      <c r="AD351" s="19">
        <v>3.5</v>
      </c>
      <c r="AE351" s="19">
        <v>3.5</v>
      </c>
      <c r="AF351" s="19">
        <v>4.5</v>
      </c>
      <c r="AG351" s="19">
        <v>2.0</v>
      </c>
      <c r="AH351" s="19">
        <v>4.0</v>
      </c>
      <c r="AI351" s="22">
        <v>11.203125</v>
      </c>
      <c r="AJ351" s="19">
        <v>15.0</v>
      </c>
      <c r="AK351" s="19">
        <v>15.0</v>
      </c>
      <c r="AL351" s="19">
        <v>15.0</v>
      </c>
      <c r="AM351" s="19">
        <v>45.0</v>
      </c>
      <c r="AN351" s="19">
        <v>56.2</v>
      </c>
      <c r="AO351" s="19">
        <v>69.2</v>
      </c>
      <c r="AP351" s="19">
        <v>730.0</v>
      </c>
      <c r="AQ351" s="23">
        <v>344.0</v>
      </c>
      <c r="AR351" s="23">
        <v>33.0</v>
      </c>
      <c r="AS351" s="22"/>
      <c r="AT351" s="19" t="s">
        <v>2282</v>
      </c>
      <c r="AU351" s="19" t="s">
        <v>8303</v>
      </c>
      <c r="AV351" s="19" t="s">
        <v>8304</v>
      </c>
      <c r="AW351" s="19" t="s">
        <v>2377</v>
      </c>
      <c r="AX351" s="20">
        <v>37310.0</v>
      </c>
      <c r="AY351" s="19" t="s">
        <v>4860</v>
      </c>
      <c r="AZ351" s="19" t="s">
        <v>2122</v>
      </c>
      <c r="BA351" s="19" t="s">
        <v>8305</v>
      </c>
      <c r="BB351" s="19" t="s">
        <v>2377</v>
      </c>
      <c r="BC351" s="19" t="s">
        <v>8306</v>
      </c>
      <c r="BD351" s="19" t="s">
        <v>8307</v>
      </c>
      <c r="BE351" s="19" t="s">
        <v>8300</v>
      </c>
      <c r="BF351" s="19" t="s">
        <v>8308</v>
      </c>
      <c r="BG351" s="19" t="s">
        <v>2127</v>
      </c>
      <c r="BH351" s="19" t="s">
        <v>2649</v>
      </c>
      <c r="BI351" s="19"/>
      <c r="BJ351" s="19"/>
      <c r="BK351" s="19" t="s">
        <v>16</v>
      </c>
      <c r="BL351" s="19" t="s">
        <v>2113</v>
      </c>
      <c r="BM351" s="19" t="s">
        <v>5411</v>
      </c>
      <c r="BN351" s="19" t="s">
        <v>4275</v>
      </c>
      <c r="BO351" s="19" t="s">
        <v>2473</v>
      </c>
      <c r="BP351" s="19"/>
      <c r="BQ351" s="19" t="s">
        <v>2325</v>
      </c>
      <c r="BR351" s="19" t="s">
        <v>2325</v>
      </c>
      <c r="BS351" s="19" t="s">
        <v>2134</v>
      </c>
      <c r="BT351" s="19" t="s">
        <v>59</v>
      </c>
      <c r="BU351" s="19" t="s">
        <v>8309</v>
      </c>
      <c r="BV351" s="19"/>
      <c r="BW351" s="19"/>
      <c r="BX351" s="19" t="s">
        <v>2113</v>
      </c>
      <c r="BY351" s="19"/>
      <c r="BZ351" s="19" t="s">
        <v>2113</v>
      </c>
      <c r="CA351" s="19"/>
      <c r="CB351" s="19" t="s">
        <v>2113</v>
      </c>
      <c r="CC351" s="19"/>
      <c r="CD351" s="19" t="s">
        <v>2137</v>
      </c>
      <c r="CE351" s="19" t="s">
        <v>16</v>
      </c>
      <c r="CF351" s="19"/>
      <c r="CG351" s="19"/>
      <c r="CH351" s="19" t="s">
        <v>16</v>
      </c>
      <c r="CI351" s="21">
        <v>0.0</v>
      </c>
      <c r="CJ351" s="19" t="s">
        <v>16</v>
      </c>
      <c r="CK351" s="19"/>
      <c r="CL351" s="19"/>
      <c r="CM351" s="19" t="s">
        <v>2138</v>
      </c>
      <c r="CN351" s="19" t="s">
        <v>3064</v>
      </c>
      <c r="CO351" s="19"/>
      <c r="CP351" s="19"/>
      <c r="CQ351" s="19"/>
      <c r="CR351" s="19" t="s">
        <v>2113</v>
      </c>
      <c r="CS351" s="19" t="s">
        <v>2113</v>
      </c>
      <c r="CT351" s="19"/>
      <c r="CU351" s="19"/>
      <c r="CV351" s="19" t="s">
        <v>2141</v>
      </c>
      <c r="CW351" s="19" t="s">
        <v>2113</v>
      </c>
      <c r="CX351" s="19" t="s">
        <v>2113</v>
      </c>
      <c r="CY351" s="19"/>
      <c r="CZ351" s="19"/>
      <c r="DA351" s="19" t="s">
        <v>16</v>
      </c>
      <c r="DB351" s="19" t="s">
        <v>16</v>
      </c>
      <c r="DC351" s="19" t="s">
        <v>4904</v>
      </c>
      <c r="DD351" s="19" t="s">
        <v>2113</v>
      </c>
      <c r="DE351" s="19" t="s">
        <v>2113</v>
      </c>
      <c r="DF351" s="19" t="s">
        <v>2497</v>
      </c>
      <c r="DG351" s="19" t="s">
        <v>2248</v>
      </c>
      <c r="DH351" s="19" t="s">
        <v>2144</v>
      </c>
      <c r="DI351" s="24">
        <v>45519.0</v>
      </c>
      <c r="DJ351" s="19" t="s">
        <v>2325</v>
      </c>
      <c r="DK351" s="19" t="s">
        <v>2145</v>
      </c>
      <c r="DL351" s="19" t="s">
        <v>2326</v>
      </c>
      <c r="DM351" s="19"/>
      <c r="DN351" s="19">
        <v>5.0</v>
      </c>
      <c r="DO351" s="19">
        <v>5.0</v>
      </c>
      <c r="DP351" s="19" t="s">
        <v>8310</v>
      </c>
      <c r="DQ351" s="19" t="s">
        <v>8311</v>
      </c>
      <c r="DR351" s="19" t="s">
        <v>8312</v>
      </c>
      <c r="DS351" s="19" t="s">
        <v>2185</v>
      </c>
      <c r="DT351" s="19" t="s">
        <v>2229</v>
      </c>
      <c r="DU351" s="19"/>
      <c r="DV351" s="19"/>
      <c r="DW351" s="19" t="s">
        <v>2188</v>
      </c>
      <c r="DX351" s="19">
        <v>5.0</v>
      </c>
      <c r="DY351" s="19">
        <v>10.0</v>
      </c>
      <c r="DZ351" s="19">
        <v>0.0</v>
      </c>
      <c r="EA351" s="19">
        <v>10.0</v>
      </c>
      <c r="EB351" s="19">
        <v>0.0</v>
      </c>
      <c r="EC351" s="19">
        <v>0.0</v>
      </c>
      <c r="ED351" s="19" t="s">
        <v>2325</v>
      </c>
      <c r="EE351" s="24">
        <v>45519.0</v>
      </c>
      <c r="EF351" s="19" t="s">
        <v>2325</v>
      </c>
      <c r="EG351" s="19" t="s">
        <v>2145</v>
      </c>
      <c r="EH351" s="19" t="s">
        <v>2326</v>
      </c>
      <c r="EI351" s="22">
        <v>11.203125</v>
      </c>
      <c r="EJ351" s="19">
        <v>45.0</v>
      </c>
      <c r="EK351" s="19"/>
      <c r="EL351" s="19" t="s">
        <v>2282</v>
      </c>
      <c r="EM351" s="19" t="s">
        <v>8303</v>
      </c>
      <c r="EN351" s="19" t="s">
        <v>1043</v>
      </c>
      <c r="EO351" s="19" t="s">
        <v>4860</v>
      </c>
      <c r="EP351" s="19" t="s">
        <v>2122</v>
      </c>
      <c r="EQ351" s="19" t="s">
        <v>3064</v>
      </c>
      <c r="ER351" s="19"/>
      <c r="ES351" s="19" t="s">
        <v>1043</v>
      </c>
      <c r="ET351" s="19" t="s">
        <v>1043</v>
      </c>
      <c r="EU351" s="19" t="s">
        <v>8301</v>
      </c>
      <c r="EV351" s="19">
        <v>8151.0</v>
      </c>
      <c r="EW351" s="19" t="s">
        <v>16</v>
      </c>
      <c r="EX351" s="19">
        <v>3.0</v>
      </c>
      <c r="EY351" s="25" t="s">
        <v>1042</v>
      </c>
      <c r="EZ351" s="19" t="s">
        <v>2154</v>
      </c>
      <c r="FA351" s="5" t="s">
        <v>8313</v>
      </c>
      <c r="FB351" s="26" t="s">
        <v>2156</v>
      </c>
      <c r="FC351" s="26"/>
    </row>
    <row r="352">
      <c r="A352" s="19" t="s">
        <v>2112</v>
      </c>
      <c r="B352" s="19"/>
      <c r="C352" s="19" t="s">
        <v>2113</v>
      </c>
      <c r="D352" s="19" t="s">
        <v>1044</v>
      </c>
      <c r="E352" s="19" t="s">
        <v>1044</v>
      </c>
      <c r="F352" s="19" t="s">
        <v>1044</v>
      </c>
      <c r="G352" s="19"/>
      <c r="H352" s="19" t="s">
        <v>1044</v>
      </c>
      <c r="I352" s="19" t="s">
        <v>1046</v>
      </c>
      <c r="J352" s="19" t="s">
        <v>8314</v>
      </c>
      <c r="K352" s="19" t="s">
        <v>8315</v>
      </c>
      <c r="L352" s="20">
        <v>45446.0</v>
      </c>
      <c r="M352" s="20">
        <v>45447.0</v>
      </c>
      <c r="N352" s="20">
        <v>45447.0</v>
      </c>
      <c r="O352" s="19" t="s">
        <v>1045</v>
      </c>
      <c r="P352" s="19">
        <v>1.0</v>
      </c>
      <c r="Q352" s="19">
        <v>29.0</v>
      </c>
      <c r="R352" s="19">
        <v>10865.0</v>
      </c>
      <c r="S352" s="20" t="s">
        <v>8316</v>
      </c>
      <c r="T352" s="20">
        <v>45461.0</v>
      </c>
      <c r="U352" s="19" t="s">
        <v>1044</v>
      </c>
      <c r="V352" s="19" t="s">
        <v>4639</v>
      </c>
      <c r="W352" s="19"/>
      <c r="X352" s="21">
        <v>0.0</v>
      </c>
      <c r="Y352" s="21">
        <v>5.0</v>
      </c>
      <c r="Z352" s="21">
        <v>5.0</v>
      </c>
      <c r="AA352" s="21">
        <v>0.0</v>
      </c>
      <c r="AB352" s="5">
        <v>10.0</v>
      </c>
      <c r="AC352" s="19">
        <v>4.75</v>
      </c>
      <c r="AD352" s="19">
        <v>4.75</v>
      </c>
      <c r="AE352" s="19">
        <v>4.75</v>
      </c>
      <c r="AF352" s="19">
        <v>4.75</v>
      </c>
      <c r="AG352" s="19">
        <v>4.5</v>
      </c>
      <c r="AH352" s="19">
        <v>4.75</v>
      </c>
      <c r="AI352" s="22">
        <v>14.15625</v>
      </c>
      <c r="AJ352" s="19">
        <v>15.0</v>
      </c>
      <c r="AK352" s="19">
        <v>15.0</v>
      </c>
      <c r="AL352" s="19">
        <v>15.0</v>
      </c>
      <c r="AM352" s="19">
        <v>45.0</v>
      </c>
      <c r="AN352" s="19">
        <v>59.2</v>
      </c>
      <c r="AO352" s="19">
        <v>69.2</v>
      </c>
      <c r="AP352" s="19">
        <v>953.0</v>
      </c>
      <c r="AQ352" s="23">
        <v>345.0</v>
      </c>
      <c r="AR352" s="23">
        <v>25.0</v>
      </c>
      <c r="AS352" s="22"/>
      <c r="AT352" s="19" t="s">
        <v>2117</v>
      </c>
      <c r="AU352" s="19" t="s">
        <v>8317</v>
      </c>
      <c r="AV352" s="19" t="s">
        <v>8318</v>
      </c>
      <c r="AW352" s="19" t="s">
        <v>3331</v>
      </c>
      <c r="AX352" s="20">
        <v>34596.0</v>
      </c>
      <c r="AY352" s="19" t="s">
        <v>4681</v>
      </c>
      <c r="AZ352" s="19" t="s">
        <v>2122</v>
      </c>
      <c r="BA352" s="19" t="s">
        <v>8319</v>
      </c>
      <c r="BB352" s="19" t="s">
        <v>8320</v>
      </c>
      <c r="BC352" s="19" t="s">
        <v>8321</v>
      </c>
      <c r="BD352" s="19" t="s">
        <v>8322</v>
      </c>
      <c r="BE352" s="19"/>
      <c r="BF352" s="19"/>
      <c r="BG352" s="19" t="s">
        <v>3518</v>
      </c>
      <c r="BH352" s="19" t="s">
        <v>2128</v>
      </c>
      <c r="BI352" s="19"/>
      <c r="BJ352" s="19" t="s">
        <v>2427</v>
      </c>
      <c r="BK352" s="19" t="s">
        <v>17</v>
      </c>
      <c r="BL352" s="19"/>
      <c r="BM352" s="19" t="s">
        <v>5411</v>
      </c>
      <c r="BN352" s="19" t="s">
        <v>17</v>
      </c>
      <c r="BO352" s="19" t="s">
        <v>2132</v>
      </c>
      <c r="BP352" s="19" t="s">
        <v>8323</v>
      </c>
      <c r="BQ352" s="19" t="s">
        <v>2174</v>
      </c>
      <c r="BR352" s="19" t="s">
        <v>2174</v>
      </c>
      <c r="BS352" s="19" t="s">
        <v>2134</v>
      </c>
      <c r="BT352" s="19" t="s">
        <v>75</v>
      </c>
      <c r="BU352" s="19" t="s">
        <v>5827</v>
      </c>
      <c r="BV352" s="19"/>
      <c r="BW352" s="19"/>
      <c r="BX352" s="19"/>
      <c r="BY352" s="19"/>
      <c r="BZ352" s="19"/>
      <c r="CA352" s="19"/>
      <c r="CB352" s="19" t="s">
        <v>2113</v>
      </c>
      <c r="CC352" s="19" t="s">
        <v>2113</v>
      </c>
      <c r="CD352" s="19" t="s">
        <v>2137</v>
      </c>
      <c r="CE352" s="19" t="s">
        <v>16</v>
      </c>
      <c r="CF352" s="19"/>
      <c r="CG352" s="19"/>
      <c r="CH352" s="19" t="s">
        <v>16</v>
      </c>
      <c r="CI352" s="21">
        <v>0.0</v>
      </c>
      <c r="CJ352" s="19" t="s">
        <v>17</v>
      </c>
      <c r="CK352" s="19"/>
      <c r="CL352" s="19"/>
      <c r="CM352" s="19" t="s">
        <v>2138</v>
      </c>
      <c r="CN352" s="19" t="s">
        <v>2537</v>
      </c>
      <c r="CO352" s="19" t="s">
        <v>2177</v>
      </c>
      <c r="CP352" s="19" t="s">
        <v>2246</v>
      </c>
      <c r="CQ352" s="19"/>
      <c r="CR352" s="19"/>
      <c r="CS352" s="19"/>
      <c r="CT352" s="19" t="s">
        <v>2113</v>
      </c>
      <c r="CU352" s="19" t="s">
        <v>2113</v>
      </c>
      <c r="CV352" s="19" t="s">
        <v>2179</v>
      </c>
      <c r="CW352" s="19" t="s">
        <v>2113</v>
      </c>
      <c r="CX352" s="19" t="s">
        <v>2113</v>
      </c>
      <c r="CY352" s="19"/>
      <c r="CZ352" s="19"/>
      <c r="DA352" s="19" t="s">
        <v>16</v>
      </c>
      <c r="DB352" s="19" t="s">
        <v>17</v>
      </c>
      <c r="DC352" s="19" t="s">
        <v>2538</v>
      </c>
      <c r="DD352" s="19" t="s">
        <v>2113</v>
      </c>
      <c r="DE352" s="19" t="s">
        <v>2113</v>
      </c>
      <c r="DF352" s="19" t="s">
        <v>3684</v>
      </c>
      <c r="DG352" s="19" t="s">
        <v>4042</v>
      </c>
      <c r="DH352" s="19" t="s">
        <v>2144</v>
      </c>
      <c r="DI352" s="24">
        <v>45517.0</v>
      </c>
      <c r="DJ352" s="19" t="s">
        <v>2174</v>
      </c>
      <c r="DK352" s="19" t="s">
        <v>2271</v>
      </c>
      <c r="DL352" s="19" t="s">
        <v>2183</v>
      </c>
      <c r="DM352" s="19" t="s">
        <v>2515</v>
      </c>
      <c r="DN352" s="19">
        <v>2.0</v>
      </c>
      <c r="DO352" s="19">
        <v>2.0</v>
      </c>
      <c r="DP352" s="19"/>
      <c r="DQ352" s="19"/>
      <c r="DR352" s="19"/>
      <c r="DS352" s="19" t="s">
        <v>2365</v>
      </c>
      <c r="DT352" s="19" t="s">
        <v>2366</v>
      </c>
      <c r="DU352" s="19" t="s">
        <v>8324</v>
      </c>
      <c r="DV352" s="19"/>
      <c r="DW352" s="19" t="s">
        <v>2479</v>
      </c>
      <c r="DX352" s="19">
        <v>11.0</v>
      </c>
      <c r="DY352" s="19">
        <v>5.0</v>
      </c>
      <c r="DZ352" s="19">
        <v>0.0</v>
      </c>
      <c r="EA352" s="19">
        <v>5.0</v>
      </c>
      <c r="EB352" s="19">
        <v>0.0</v>
      </c>
      <c r="EC352" s="19">
        <v>0.0</v>
      </c>
      <c r="ED352" s="19" t="s">
        <v>2174</v>
      </c>
      <c r="EE352" s="24">
        <v>45517.0</v>
      </c>
      <c r="EF352" s="19" t="s">
        <v>2174</v>
      </c>
      <c r="EG352" s="19" t="s">
        <v>2271</v>
      </c>
      <c r="EH352" s="19" t="s">
        <v>2183</v>
      </c>
      <c r="EI352" s="22">
        <v>14.15625</v>
      </c>
      <c r="EJ352" s="19">
        <v>45.0</v>
      </c>
      <c r="EK352" s="19" t="s">
        <v>2113</v>
      </c>
      <c r="EL352" s="19" t="s">
        <v>2117</v>
      </c>
      <c r="EM352" s="19" t="s">
        <v>8317</v>
      </c>
      <c r="EN352" s="19" t="s">
        <v>1046</v>
      </c>
      <c r="EO352" s="19" t="s">
        <v>4681</v>
      </c>
      <c r="EP352" s="19" t="s">
        <v>2122</v>
      </c>
      <c r="EQ352" s="19" t="s">
        <v>2537</v>
      </c>
      <c r="ER352" s="19" t="s">
        <v>2177</v>
      </c>
      <c r="ES352" s="19" t="s">
        <v>1046</v>
      </c>
      <c r="ET352" s="19" t="s">
        <v>1046</v>
      </c>
      <c r="EU352" s="19" t="s">
        <v>8315</v>
      </c>
      <c r="EV352" s="19">
        <v>10865.0</v>
      </c>
      <c r="EW352" s="19" t="s">
        <v>16</v>
      </c>
      <c r="EX352" s="19">
        <v>5.0</v>
      </c>
      <c r="EY352" s="25" t="s">
        <v>1045</v>
      </c>
      <c r="EZ352" s="19" t="s">
        <v>2154</v>
      </c>
      <c r="FA352" s="5" t="s">
        <v>8325</v>
      </c>
      <c r="FB352" s="26" t="s">
        <v>2156</v>
      </c>
      <c r="FC352" s="26"/>
    </row>
    <row r="353">
      <c r="A353" s="19" t="s">
        <v>2156</v>
      </c>
      <c r="B353" s="19"/>
      <c r="C353" s="19" t="s">
        <v>2113</v>
      </c>
      <c r="D353" s="19" t="s">
        <v>1047</v>
      </c>
      <c r="E353" s="19" t="s">
        <v>8326</v>
      </c>
      <c r="F353" s="19" t="s">
        <v>1047</v>
      </c>
      <c r="G353" s="19"/>
      <c r="H353" s="19" t="s">
        <v>1047</v>
      </c>
      <c r="I353" s="19" t="s">
        <v>1049</v>
      </c>
      <c r="J353" s="19" t="s">
        <v>8327</v>
      </c>
      <c r="K353" s="19" t="s">
        <v>8328</v>
      </c>
      <c r="L353" s="20">
        <v>45446.0</v>
      </c>
      <c r="M353" s="20">
        <v>45447.0</v>
      </c>
      <c r="N353" s="20">
        <v>45447.0</v>
      </c>
      <c r="O353" s="19" t="s">
        <v>1048</v>
      </c>
      <c r="P353" s="19">
        <v>0.0</v>
      </c>
      <c r="Q353" s="19">
        <v>21.0</v>
      </c>
      <c r="R353" s="19">
        <v>7782.0</v>
      </c>
      <c r="S353" s="20" t="s">
        <v>8329</v>
      </c>
      <c r="T353" s="20">
        <v>45461.0</v>
      </c>
      <c r="U353" s="19" t="s">
        <v>1047</v>
      </c>
      <c r="V353" s="19"/>
      <c r="W353" s="19" t="s">
        <v>8330</v>
      </c>
      <c r="X353" s="21">
        <v>0.0</v>
      </c>
      <c r="Y353" s="21">
        <v>10.0</v>
      </c>
      <c r="Z353" s="21">
        <v>5.0</v>
      </c>
      <c r="AA353" s="21">
        <v>0.0</v>
      </c>
      <c r="AB353" s="5">
        <v>15.0</v>
      </c>
      <c r="AC353" s="19">
        <v>5.0</v>
      </c>
      <c r="AD353" s="19">
        <v>4.0</v>
      </c>
      <c r="AE353" s="19">
        <v>5.0</v>
      </c>
      <c r="AF353" s="19">
        <v>4.0</v>
      </c>
      <c r="AG353" s="19">
        <v>4.0</v>
      </c>
      <c r="AH353" s="19">
        <v>5.0</v>
      </c>
      <c r="AI353" s="22">
        <v>13.59375</v>
      </c>
      <c r="AJ353" s="19">
        <v>12.5</v>
      </c>
      <c r="AK353" s="19">
        <v>15.0</v>
      </c>
      <c r="AL353" s="19">
        <v>13.0</v>
      </c>
      <c r="AM353" s="19">
        <v>40.5</v>
      </c>
      <c r="AN353" s="19">
        <v>54.1</v>
      </c>
      <c r="AO353" s="19">
        <v>69.1</v>
      </c>
      <c r="AP353" s="19">
        <v>481.0</v>
      </c>
      <c r="AQ353" s="23">
        <v>346.0</v>
      </c>
      <c r="AR353" s="23">
        <v>40.0</v>
      </c>
      <c r="AS353" s="22"/>
      <c r="AT353" s="19" t="s">
        <v>2117</v>
      </c>
      <c r="AU353" s="19" t="s">
        <v>7253</v>
      </c>
      <c r="AV353" s="19" t="s">
        <v>8331</v>
      </c>
      <c r="AW353" s="19" t="s">
        <v>8332</v>
      </c>
      <c r="AX353" s="20">
        <v>37679.0</v>
      </c>
      <c r="AY353" s="19" t="s">
        <v>2121</v>
      </c>
      <c r="AZ353" s="19" t="s">
        <v>2122</v>
      </c>
      <c r="BA353" s="19" t="s">
        <v>8333</v>
      </c>
      <c r="BB353" s="19" t="s">
        <v>4498</v>
      </c>
      <c r="BC353" s="19" t="s">
        <v>8334</v>
      </c>
      <c r="BD353" s="19" t="s">
        <v>8335</v>
      </c>
      <c r="BE353" s="19" t="s">
        <v>8336</v>
      </c>
      <c r="BF353" s="19">
        <v>1.1956997063E10</v>
      </c>
      <c r="BG353" s="19" t="s">
        <v>2127</v>
      </c>
      <c r="BH353" s="19" t="s">
        <v>2128</v>
      </c>
      <c r="BI353" s="19"/>
      <c r="BJ353" s="19" t="s">
        <v>2128</v>
      </c>
      <c r="BK353" s="19" t="s">
        <v>17</v>
      </c>
      <c r="BL353" s="19"/>
      <c r="BM353" s="19" t="s">
        <v>5563</v>
      </c>
      <c r="BN353" s="19" t="s">
        <v>2291</v>
      </c>
      <c r="BO353" s="19" t="s">
        <v>2132</v>
      </c>
      <c r="BP353" s="19"/>
      <c r="BQ353" s="19" t="s">
        <v>2133</v>
      </c>
      <c r="BR353" s="19" t="s">
        <v>2133</v>
      </c>
      <c r="BS353" s="19" t="s">
        <v>2243</v>
      </c>
      <c r="BT353" s="19" t="s">
        <v>15</v>
      </c>
      <c r="BU353" s="19" t="s">
        <v>8337</v>
      </c>
      <c r="BV353" s="19"/>
      <c r="BW353" s="19" t="s">
        <v>2113</v>
      </c>
      <c r="BX353" s="19"/>
      <c r="BY353" s="19"/>
      <c r="BZ353" s="19"/>
      <c r="CA353" s="19"/>
      <c r="CB353" s="19" t="s">
        <v>2113</v>
      </c>
      <c r="CC353" s="19"/>
      <c r="CD353" s="19" t="s">
        <v>2137</v>
      </c>
      <c r="CE353" s="19" t="s">
        <v>16</v>
      </c>
      <c r="CF353" s="19"/>
      <c r="CG353" s="19"/>
      <c r="CH353" s="19" t="s">
        <v>16</v>
      </c>
      <c r="CI353" s="21">
        <v>0.0</v>
      </c>
      <c r="CJ353" s="19" t="s">
        <v>16</v>
      </c>
      <c r="CK353" s="19"/>
      <c r="CL353" s="19"/>
      <c r="CM353" s="19" t="s">
        <v>2138</v>
      </c>
      <c r="CN353" s="19" t="s">
        <v>2139</v>
      </c>
      <c r="CO353" s="19"/>
      <c r="CP353" s="19" t="s">
        <v>2246</v>
      </c>
      <c r="CQ353" s="19"/>
      <c r="CR353" s="19" t="s">
        <v>2113</v>
      </c>
      <c r="CS353" s="19" t="s">
        <v>2113</v>
      </c>
      <c r="CT353" s="19"/>
      <c r="CU353" s="19"/>
      <c r="CV353" s="19" t="s">
        <v>2141</v>
      </c>
      <c r="CW353" s="19" t="s">
        <v>2113</v>
      </c>
      <c r="CX353" s="19" t="s">
        <v>2113</v>
      </c>
      <c r="CY353" s="19"/>
      <c r="CZ353" s="19"/>
      <c r="DA353" s="19" t="s">
        <v>16</v>
      </c>
      <c r="DB353" s="19" t="s">
        <v>16</v>
      </c>
      <c r="DC353" s="19" t="s">
        <v>2406</v>
      </c>
      <c r="DD353" s="19"/>
      <c r="DE353" s="19"/>
      <c r="DF353" s="19" t="s">
        <v>2433</v>
      </c>
      <c r="DG353" s="19" t="s">
        <v>2826</v>
      </c>
      <c r="DH353" s="19" t="s">
        <v>2144</v>
      </c>
      <c r="DI353" s="24">
        <v>45518.0</v>
      </c>
      <c r="DJ353" s="19" t="s">
        <v>2133</v>
      </c>
      <c r="DK353" s="19" t="s">
        <v>2145</v>
      </c>
      <c r="DL353" s="19" t="s">
        <v>2146</v>
      </c>
      <c r="DM353" s="19" t="s">
        <v>2672</v>
      </c>
      <c r="DN353" s="19">
        <v>3.0</v>
      </c>
      <c r="DO353" s="19">
        <v>3.0</v>
      </c>
      <c r="DP353" s="19" t="s">
        <v>8338</v>
      </c>
      <c r="DQ353" s="19" t="s">
        <v>8339</v>
      </c>
      <c r="DR353" s="19" t="s">
        <v>8340</v>
      </c>
      <c r="DS353" s="19" t="s">
        <v>2365</v>
      </c>
      <c r="DT353" s="19" t="s">
        <v>2229</v>
      </c>
      <c r="DU353" s="19"/>
      <c r="DV353" s="19"/>
      <c r="DW353" s="19" t="s">
        <v>2153</v>
      </c>
      <c r="DX353" s="19">
        <v>7.0</v>
      </c>
      <c r="DY353" s="19">
        <v>10.0</v>
      </c>
      <c r="DZ353" s="19">
        <v>0.0</v>
      </c>
      <c r="EA353" s="19">
        <v>10.0</v>
      </c>
      <c r="EB353" s="19">
        <v>0.0</v>
      </c>
      <c r="EC353" s="19">
        <v>0.0</v>
      </c>
      <c r="ED353" s="19" t="s">
        <v>2133</v>
      </c>
      <c r="EE353" s="24">
        <v>45518.0</v>
      </c>
      <c r="EF353" s="19" t="s">
        <v>2133</v>
      </c>
      <c r="EG353" s="19" t="s">
        <v>2145</v>
      </c>
      <c r="EH353" s="19" t="s">
        <v>2146</v>
      </c>
      <c r="EI353" s="22">
        <v>13.59375</v>
      </c>
      <c r="EJ353" s="19">
        <v>40.5</v>
      </c>
      <c r="EK353" s="19"/>
      <c r="EL353" s="19" t="s">
        <v>2117</v>
      </c>
      <c r="EM353" s="19" t="s">
        <v>7253</v>
      </c>
      <c r="EN353" s="19" t="s">
        <v>1049</v>
      </c>
      <c r="EO353" s="19" t="s">
        <v>2121</v>
      </c>
      <c r="EP353" s="19" t="s">
        <v>2122</v>
      </c>
      <c r="EQ353" s="19" t="s">
        <v>2139</v>
      </c>
      <c r="ER353" s="19"/>
      <c r="ES353" s="19" t="s">
        <v>1049</v>
      </c>
      <c r="ET353" s="19" t="s">
        <v>1049</v>
      </c>
      <c r="EU353" s="19" t="s">
        <v>8328</v>
      </c>
      <c r="EV353" s="19">
        <v>7782.0</v>
      </c>
      <c r="EW353" s="19" t="s">
        <v>16</v>
      </c>
      <c r="EX353" s="19">
        <v>5.0</v>
      </c>
      <c r="EY353" s="25" t="s">
        <v>1048</v>
      </c>
      <c r="EZ353" s="19" t="s">
        <v>2154</v>
      </c>
      <c r="FA353" s="5" t="s">
        <v>8341</v>
      </c>
      <c r="FB353" s="26" t="s">
        <v>2156</v>
      </c>
      <c r="FC353" s="26"/>
    </row>
    <row r="354">
      <c r="A354" s="19" t="s">
        <v>2156</v>
      </c>
      <c r="B354" s="19"/>
      <c r="C354" s="19" t="s">
        <v>2113</v>
      </c>
      <c r="D354" s="19" t="s">
        <v>8342</v>
      </c>
      <c r="E354" s="19" t="s">
        <v>8343</v>
      </c>
      <c r="F354" s="19" t="s">
        <v>8342</v>
      </c>
      <c r="G354" s="19" t="s">
        <v>8343</v>
      </c>
      <c r="H354" s="19" t="s">
        <v>1050</v>
      </c>
      <c r="I354" s="19" t="s">
        <v>1052</v>
      </c>
      <c r="J354" s="19" t="s">
        <v>8344</v>
      </c>
      <c r="K354" s="19" t="s">
        <v>8345</v>
      </c>
      <c r="L354" s="20">
        <v>45397.0</v>
      </c>
      <c r="M354" s="20">
        <v>45411.0</v>
      </c>
      <c r="N354" s="20">
        <v>45411.0</v>
      </c>
      <c r="O354" s="19" t="s">
        <v>1051</v>
      </c>
      <c r="P354" s="19">
        <v>0.0</v>
      </c>
      <c r="Q354" s="19">
        <v>23.0</v>
      </c>
      <c r="R354" s="19">
        <v>8664.0</v>
      </c>
      <c r="S354" s="20" t="s">
        <v>8346</v>
      </c>
      <c r="T354" s="20">
        <v>45461.0</v>
      </c>
      <c r="U354" s="19" t="s">
        <v>8342</v>
      </c>
      <c r="V354" s="19"/>
      <c r="W354" s="19"/>
      <c r="X354" s="21">
        <v>0.0</v>
      </c>
      <c r="Y354" s="21">
        <v>10.0</v>
      </c>
      <c r="Z354" s="21">
        <v>4.0</v>
      </c>
      <c r="AA354" s="21">
        <v>0.0</v>
      </c>
      <c r="AB354" s="5">
        <v>14.0</v>
      </c>
      <c r="AC354" s="19">
        <v>4.0</v>
      </c>
      <c r="AD354" s="19">
        <v>4.5</v>
      </c>
      <c r="AE354" s="19">
        <v>4.5</v>
      </c>
      <c r="AF354" s="19">
        <v>4.5</v>
      </c>
      <c r="AG354" s="19">
        <v>4.0</v>
      </c>
      <c r="AH354" s="19">
        <v>4.5</v>
      </c>
      <c r="AI354" s="22">
        <v>13.078125</v>
      </c>
      <c r="AJ354" s="19">
        <v>14.0</v>
      </c>
      <c r="AK354" s="19">
        <v>14.0</v>
      </c>
      <c r="AL354" s="19">
        <v>14.0</v>
      </c>
      <c r="AM354" s="19">
        <v>42.0</v>
      </c>
      <c r="AN354" s="19">
        <v>55.1</v>
      </c>
      <c r="AO354" s="19">
        <v>69.1</v>
      </c>
      <c r="AP354" s="19">
        <v>601.0</v>
      </c>
      <c r="AQ354" s="23">
        <v>347.0</v>
      </c>
      <c r="AR354" s="23">
        <v>25.0</v>
      </c>
      <c r="AS354" s="22"/>
      <c r="AT354" s="19" t="s">
        <v>2282</v>
      </c>
      <c r="AU354" s="19" t="s">
        <v>8347</v>
      </c>
      <c r="AV354" s="19" t="s">
        <v>8348</v>
      </c>
      <c r="AW354" s="19"/>
      <c r="AX354" s="20">
        <v>36797.0</v>
      </c>
      <c r="AY354" s="19" t="s">
        <v>3232</v>
      </c>
      <c r="AZ354" s="19" t="s">
        <v>2310</v>
      </c>
      <c r="BA354" s="19" t="s">
        <v>8349</v>
      </c>
      <c r="BB354" s="19" t="s">
        <v>8350</v>
      </c>
      <c r="BC354" s="19" t="s">
        <v>8351</v>
      </c>
      <c r="BD354" s="19" t="s">
        <v>8352</v>
      </c>
      <c r="BE354" s="19" t="s">
        <v>8344</v>
      </c>
      <c r="BF354" s="19" t="s">
        <v>8353</v>
      </c>
      <c r="BG354" s="19" t="s">
        <v>2127</v>
      </c>
      <c r="BH354" s="19" t="s">
        <v>2128</v>
      </c>
      <c r="BI354" s="19"/>
      <c r="BJ354" s="19"/>
      <c r="BK354" s="19" t="s">
        <v>16</v>
      </c>
      <c r="BL354" s="19" t="s">
        <v>2113</v>
      </c>
      <c r="BM354" s="19" t="s">
        <v>5563</v>
      </c>
      <c r="BN354" s="19" t="s">
        <v>2172</v>
      </c>
      <c r="BO354" s="19" t="s">
        <v>2317</v>
      </c>
      <c r="BP354" s="19"/>
      <c r="BQ354" s="19" t="s">
        <v>2325</v>
      </c>
      <c r="BR354" s="19" t="s">
        <v>2325</v>
      </c>
      <c r="BS354" s="19" t="s">
        <v>2134</v>
      </c>
      <c r="BT354" s="19" t="s">
        <v>118</v>
      </c>
      <c r="BU354" s="19" t="s">
        <v>3501</v>
      </c>
      <c r="BV354" s="19"/>
      <c r="BW354" s="19"/>
      <c r="BX354" s="19"/>
      <c r="BY354" s="19"/>
      <c r="BZ354" s="19"/>
      <c r="CA354" s="19" t="s">
        <v>2113</v>
      </c>
      <c r="CB354" s="19" t="s">
        <v>2113</v>
      </c>
      <c r="CC354" s="19"/>
      <c r="CD354" s="19" t="s">
        <v>2137</v>
      </c>
      <c r="CE354" s="19" t="s">
        <v>16</v>
      </c>
      <c r="CF354" s="19"/>
      <c r="CG354" s="19"/>
      <c r="CH354" s="19" t="s">
        <v>16</v>
      </c>
      <c r="CI354" s="21">
        <v>0.0</v>
      </c>
      <c r="CJ354" s="19" t="s">
        <v>16</v>
      </c>
      <c r="CK354" s="19"/>
      <c r="CL354" s="19"/>
      <c r="CM354" s="19" t="s">
        <v>2138</v>
      </c>
      <c r="CN354" s="19" t="s">
        <v>2868</v>
      </c>
      <c r="CO354" s="19"/>
      <c r="CP354" s="19"/>
      <c r="CQ354" s="19"/>
      <c r="CR354" s="19" t="s">
        <v>2113</v>
      </c>
      <c r="CS354" s="19" t="s">
        <v>2113</v>
      </c>
      <c r="CT354" s="19" t="s">
        <v>2113</v>
      </c>
      <c r="CU354" s="19" t="s">
        <v>2113</v>
      </c>
      <c r="CV354" s="19" t="s">
        <v>2141</v>
      </c>
      <c r="CW354" s="19" t="s">
        <v>2113</v>
      </c>
      <c r="CX354" s="19" t="s">
        <v>2113</v>
      </c>
      <c r="CY354" s="19" t="s">
        <v>2113</v>
      </c>
      <c r="CZ354" s="19" t="s">
        <v>2113</v>
      </c>
      <c r="DA354" s="19" t="s">
        <v>16</v>
      </c>
      <c r="DB354" s="19" t="s">
        <v>16</v>
      </c>
      <c r="DC354" s="19" t="s">
        <v>2869</v>
      </c>
      <c r="DD354" s="19" t="s">
        <v>2113</v>
      </c>
      <c r="DE354" s="19" t="s">
        <v>2113</v>
      </c>
      <c r="DF354" s="19" t="s">
        <v>2498</v>
      </c>
      <c r="DG354" s="19" t="s">
        <v>2869</v>
      </c>
      <c r="DH354" s="19" t="s">
        <v>2144</v>
      </c>
      <c r="DI354" s="24">
        <v>45518.0</v>
      </c>
      <c r="DJ354" s="19" t="s">
        <v>2325</v>
      </c>
      <c r="DK354" s="19" t="s">
        <v>2145</v>
      </c>
      <c r="DL354" s="19" t="s">
        <v>2326</v>
      </c>
      <c r="DM354" s="19"/>
      <c r="DN354" s="19">
        <v>3.0</v>
      </c>
      <c r="DO354" s="19">
        <v>3.0</v>
      </c>
      <c r="DP354" s="19" t="s">
        <v>8354</v>
      </c>
      <c r="DQ354" s="19" t="s">
        <v>8355</v>
      </c>
      <c r="DR354" s="19" t="s">
        <v>8356</v>
      </c>
      <c r="DS354" s="19" t="s">
        <v>2185</v>
      </c>
      <c r="DT354" s="19" t="s">
        <v>2301</v>
      </c>
      <c r="DU354" s="19"/>
      <c r="DV354" s="19"/>
      <c r="DW354" s="19" t="s">
        <v>2153</v>
      </c>
      <c r="DX354" s="19">
        <v>3.0</v>
      </c>
      <c r="DY354" s="19">
        <v>10.0</v>
      </c>
      <c r="DZ354" s="19">
        <v>0.0</v>
      </c>
      <c r="EA354" s="19">
        <v>10.0</v>
      </c>
      <c r="EB354" s="19">
        <v>0.0</v>
      </c>
      <c r="EC354" s="19">
        <v>0.0</v>
      </c>
      <c r="ED354" s="19" t="s">
        <v>2325</v>
      </c>
      <c r="EE354" s="24">
        <v>45518.0</v>
      </c>
      <c r="EF354" s="19" t="s">
        <v>2325</v>
      </c>
      <c r="EG354" s="19" t="s">
        <v>2145</v>
      </c>
      <c r="EH354" s="19" t="s">
        <v>2326</v>
      </c>
      <c r="EI354" s="22">
        <v>13.078125</v>
      </c>
      <c r="EJ354" s="19">
        <v>42.0</v>
      </c>
      <c r="EK354" s="19"/>
      <c r="EL354" s="19" t="s">
        <v>2282</v>
      </c>
      <c r="EM354" s="19" t="s">
        <v>8347</v>
      </c>
      <c r="EN354" s="19" t="s">
        <v>1052</v>
      </c>
      <c r="EO354" s="19" t="s">
        <v>3232</v>
      </c>
      <c r="EP354" s="19" t="s">
        <v>2310</v>
      </c>
      <c r="EQ354" s="19" t="s">
        <v>2868</v>
      </c>
      <c r="ER354" s="19"/>
      <c r="ES354" s="19" t="s">
        <v>1052</v>
      </c>
      <c r="ET354" s="19" t="s">
        <v>1052</v>
      </c>
      <c r="EU354" s="19" t="s">
        <v>8345</v>
      </c>
      <c r="EV354" s="19">
        <v>8664.0</v>
      </c>
      <c r="EW354" s="19" t="s">
        <v>16</v>
      </c>
      <c r="EX354" s="19">
        <v>4.0</v>
      </c>
      <c r="EY354" s="25" t="s">
        <v>1051</v>
      </c>
      <c r="EZ354" s="19" t="s">
        <v>2154</v>
      </c>
      <c r="FA354" s="5" t="s">
        <v>8357</v>
      </c>
      <c r="FB354" s="26" t="s">
        <v>2156</v>
      </c>
      <c r="FC354" s="26"/>
    </row>
    <row r="355">
      <c r="A355" s="19" t="s">
        <v>2156</v>
      </c>
      <c r="B355" s="19"/>
      <c r="C355" s="19" t="s">
        <v>2113</v>
      </c>
      <c r="D355" s="19" t="s">
        <v>1053</v>
      </c>
      <c r="E355" s="19" t="s">
        <v>8358</v>
      </c>
      <c r="F355" s="19" t="s">
        <v>1053</v>
      </c>
      <c r="G355" s="19"/>
      <c r="H355" s="19" t="s">
        <v>1053</v>
      </c>
      <c r="I355" s="19" t="s">
        <v>1055</v>
      </c>
      <c r="J355" s="19" t="s">
        <v>8359</v>
      </c>
      <c r="K355" s="19" t="s">
        <v>8360</v>
      </c>
      <c r="L355" s="20">
        <v>45446.0</v>
      </c>
      <c r="M355" s="20">
        <v>45447.0</v>
      </c>
      <c r="N355" s="20">
        <v>45447.0</v>
      </c>
      <c r="O355" s="19" t="s">
        <v>1054</v>
      </c>
      <c r="P355" s="19">
        <v>0.0</v>
      </c>
      <c r="Q355" s="19">
        <v>29.0</v>
      </c>
      <c r="R355" s="19">
        <v>10604.0</v>
      </c>
      <c r="S355" s="20" t="s">
        <v>8361</v>
      </c>
      <c r="T355" s="20">
        <v>45461.0</v>
      </c>
      <c r="U355" s="19" t="s">
        <v>1053</v>
      </c>
      <c r="V355" s="19"/>
      <c r="W355" s="19"/>
      <c r="X355" s="21">
        <v>0.0</v>
      </c>
      <c r="Y355" s="21">
        <v>10.0</v>
      </c>
      <c r="Z355" s="21">
        <v>2.0</v>
      </c>
      <c r="AA355" s="21">
        <v>0.0</v>
      </c>
      <c r="AB355" s="5">
        <v>12.0</v>
      </c>
      <c r="AC355" s="19">
        <v>4.666666666666667</v>
      </c>
      <c r="AD355" s="19">
        <v>4.0</v>
      </c>
      <c r="AE355" s="19">
        <v>4.0</v>
      </c>
      <c r="AF355" s="19">
        <v>3.6666666666666665</v>
      </c>
      <c r="AG355" s="19">
        <v>3.6666666666666665</v>
      </c>
      <c r="AH355" s="19">
        <v>4.0</v>
      </c>
      <c r="AI355" s="22">
        <v>12.062499999999998</v>
      </c>
      <c r="AJ355" s="19">
        <v>15.0</v>
      </c>
      <c r="AK355" s="19">
        <v>15.0</v>
      </c>
      <c r="AL355" s="19">
        <v>15.0</v>
      </c>
      <c r="AM355" s="19">
        <v>45.0</v>
      </c>
      <c r="AN355" s="19">
        <v>57.1</v>
      </c>
      <c r="AO355" s="19">
        <v>69.1</v>
      </c>
      <c r="AP355" s="19">
        <v>829.0</v>
      </c>
      <c r="AQ355" s="23">
        <v>348.0</v>
      </c>
      <c r="AR355" s="23">
        <v>9.0</v>
      </c>
      <c r="AS355" s="22"/>
      <c r="AT355" s="19" t="s">
        <v>2282</v>
      </c>
      <c r="AU355" s="19" t="s">
        <v>7318</v>
      </c>
      <c r="AV355" s="19" t="s">
        <v>8362</v>
      </c>
      <c r="AW355" s="19" t="s">
        <v>8363</v>
      </c>
      <c r="AX355" s="20">
        <v>34857.0</v>
      </c>
      <c r="AY355" s="19" t="s">
        <v>3441</v>
      </c>
      <c r="AZ355" s="19" t="s">
        <v>2122</v>
      </c>
      <c r="BA355" s="19" t="s">
        <v>8364</v>
      </c>
      <c r="BB355" s="19" t="s">
        <v>8365</v>
      </c>
      <c r="BC355" s="19" t="s">
        <v>8366</v>
      </c>
      <c r="BD355" s="19" t="s">
        <v>8367</v>
      </c>
      <c r="BE355" s="19" t="s">
        <v>8359</v>
      </c>
      <c r="BF355" s="19">
        <v>1.1987999978E10</v>
      </c>
      <c r="BG355" s="19" t="s">
        <v>2127</v>
      </c>
      <c r="BH355" s="19" t="s">
        <v>2649</v>
      </c>
      <c r="BI355" s="19"/>
      <c r="BJ355" s="19"/>
      <c r="BK355" s="19" t="s">
        <v>16</v>
      </c>
      <c r="BL355" s="19"/>
      <c r="BM355" s="19" t="s">
        <v>5411</v>
      </c>
      <c r="BN355" s="19" t="s">
        <v>5055</v>
      </c>
      <c r="BO355" s="19" t="s">
        <v>3199</v>
      </c>
      <c r="BP355" s="19" t="s">
        <v>8368</v>
      </c>
      <c r="BQ355" s="19" t="s">
        <v>3251</v>
      </c>
      <c r="BR355" s="19" t="s">
        <v>3251</v>
      </c>
      <c r="BS355" s="19" t="s">
        <v>2134</v>
      </c>
      <c r="BT355" s="19" t="s">
        <v>177</v>
      </c>
      <c r="BU355" s="19" t="s">
        <v>8369</v>
      </c>
      <c r="BV355" s="19"/>
      <c r="BW355" s="19" t="s">
        <v>2113</v>
      </c>
      <c r="BX355" s="19"/>
      <c r="BY355" s="19"/>
      <c r="BZ355" s="19"/>
      <c r="CA355" s="19"/>
      <c r="CB355" s="19"/>
      <c r="CC355" s="19"/>
      <c r="CD355" s="19" t="s">
        <v>2137</v>
      </c>
      <c r="CE355" s="19" t="s">
        <v>16</v>
      </c>
      <c r="CF355" s="19"/>
      <c r="CG355" s="19"/>
      <c r="CH355" s="19" t="s">
        <v>16</v>
      </c>
      <c r="CI355" s="21">
        <v>0.0</v>
      </c>
      <c r="CJ355" s="19" t="s">
        <v>16</v>
      </c>
      <c r="CK355" s="19"/>
      <c r="CL355" s="19"/>
      <c r="CM355" s="19" t="s">
        <v>2138</v>
      </c>
      <c r="CN355" s="19" t="s">
        <v>3253</v>
      </c>
      <c r="CO355" s="19"/>
      <c r="CP355" s="19"/>
      <c r="CQ355" s="19"/>
      <c r="CR355" s="19" t="s">
        <v>2113</v>
      </c>
      <c r="CS355" s="19" t="s">
        <v>2113</v>
      </c>
      <c r="CT355" s="19" t="s">
        <v>2113</v>
      </c>
      <c r="CU355" s="19" t="s">
        <v>2113</v>
      </c>
      <c r="CV355" s="19" t="s">
        <v>2141</v>
      </c>
      <c r="CW355" s="19"/>
      <c r="CX355" s="19"/>
      <c r="CY355" s="19" t="s">
        <v>2113</v>
      </c>
      <c r="CZ355" s="19" t="s">
        <v>2113</v>
      </c>
      <c r="DA355" s="19" t="s">
        <v>16</v>
      </c>
      <c r="DB355" s="19" t="s">
        <v>16</v>
      </c>
      <c r="DC355" s="19" t="s">
        <v>2433</v>
      </c>
      <c r="DD355" s="19" t="s">
        <v>2113</v>
      </c>
      <c r="DE355" s="19" t="s">
        <v>2113</v>
      </c>
      <c r="DF355" s="19" t="s">
        <v>2248</v>
      </c>
      <c r="DG355" s="19" t="s">
        <v>2804</v>
      </c>
      <c r="DH355" s="19" t="s">
        <v>2144</v>
      </c>
      <c r="DI355" s="24">
        <v>45525.0</v>
      </c>
      <c r="DJ355" s="19" t="s">
        <v>3257</v>
      </c>
      <c r="DK355" s="19" t="s">
        <v>2271</v>
      </c>
      <c r="DL355" s="19" t="s">
        <v>2207</v>
      </c>
      <c r="DM355" s="22" t="s">
        <v>3599</v>
      </c>
      <c r="DN355" s="19">
        <v>4.0</v>
      </c>
      <c r="DO355" s="19">
        <v>4.0</v>
      </c>
      <c r="DP355" s="19" t="s">
        <v>8370</v>
      </c>
      <c r="DQ355" s="19" t="s">
        <v>8371</v>
      </c>
      <c r="DR355" s="19" t="s">
        <v>8372</v>
      </c>
      <c r="DS355" s="19" t="s">
        <v>2365</v>
      </c>
      <c r="DT355" s="19" t="s">
        <v>2350</v>
      </c>
      <c r="DU355" s="19"/>
      <c r="DV355" s="19"/>
      <c r="DW355" s="19" t="s">
        <v>2479</v>
      </c>
      <c r="DX355" s="19">
        <v>11.0</v>
      </c>
      <c r="DY355" s="19">
        <v>10.0</v>
      </c>
      <c r="DZ355" s="19">
        <v>0.0</v>
      </c>
      <c r="EA355" s="19">
        <v>10.0</v>
      </c>
      <c r="EB355" s="19">
        <v>0.0</v>
      </c>
      <c r="EC355" s="19">
        <v>0.0</v>
      </c>
      <c r="ED355" s="19" t="s">
        <v>3257</v>
      </c>
      <c r="EE355" s="24">
        <v>45525.0</v>
      </c>
      <c r="EF355" s="19" t="s">
        <v>3257</v>
      </c>
      <c r="EG355" s="19" t="s">
        <v>2271</v>
      </c>
      <c r="EH355" s="19" t="s">
        <v>2207</v>
      </c>
      <c r="EI355" s="22">
        <v>12.062499999999998</v>
      </c>
      <c r="EJ355" s="19">
        <v>45.0</v>
      </c>
      <c r="EK355" s="19"/>
      <c r="EL355" s="19" t="s">
        <v>2282</v>
      </c>
      <c r="EM355" s="19" t="s">
        <v>7318</v>
      </c>
      <c r="EN355" s="19" t="s">
        <v>1055</v>
      </c>
      <c r="EO355" s="19" t="s">
        <v>3441</v>
      </c>
      <c r="EP355" s="19" t="s">
        <v>2122</v>
      </c>
      <c r="EQ355" s="19" t="s">
        <v>3253</v>
      </c>
      <c r="ER355" s="19"/>
      <c r="ES355" s="19" t="s">
        <v>1055</v>
      </c>
      <c r="ET355" s="19" t="s">
        <v>1055</v>
      </c>
      <c r="EU355" s="19" t="s">
        <v>8360</v>
      </c>
      <c r="EV355" s="19">
        <v>10604.0</v>
      </c>
      <c r="EW355" s="19" t="s">
        <v>16</v>
      </c>
      <c r="EX355" s="19">
        <v>2.0</v>
      </c>
      <c r="EY355" s="25" t="s">
        <v>1054</v>
      </c>
      <c r="EZ355" s="19" t="s">
        <v>2154</v>
      </c>
      <c r="FA355" s="5" t="s">
        <v>8373</v>
      </c>
      <c r="FB355" s="26" t="s">
        <v>2156</v>
      </c>
      <c r="FC355" s="26"/>
    </row>
    <row r="356">
      <c r="A356" s="19" t="s">
        <v>2112</v>
      </c>
      <c r="B356" s="19" t="s">
        <v>2113</v>
      </c>
      <c r="C356" s="19" t="s">
        <v>2113</v>
      </c>
      <c r="D356" s="19" t="s">
        <v>1056</v>
      </c>
      <c r="E356" s="19" t="s">
        <v>1056</v>
      </c>
      <c r="F356" s="19" t="s">
        <v>1056</v>
      </c>
      <c r="G356" s="19" t="s">
        <v>1056</v>
      </c>
      <c r="H356" s="19" t="s">
        <v>1056</v>
      </c>
      <c r="I356" s="19" t="s">
        <v>1058</v>
      </c>
      <c r="J356" s="19" t="s">
        <v>8374</v>
      </c>
      <c r="K356" s="19" t="s">
        <v>8375</v>
      </c>
      <c r="L356" s="20">
        <v>45460.0</v>
      </c>
      <c r="M356" s="20">
        <v>45462.0</v>
      </c>
      <c r="N356" s="20">
        <v>45462.0</v>
      </c>
      <c r="O356" s="19" t="s">
        <v>1057</v>
      </c>
      <c r="P356" s="19">
        <v>0.0</v>
      </c>
      <c r="Q356" s="19">
        <v>21.0</v>
      </c>
      <c r="R356" s="19">
        <v>7776.0</v>
      </c>
      <c r="S356" s="20" t="s">
        <v>8376</v>
      </c>
      <c r="T356" s="20">
        <v>45461.0</v>
      </c>
      <c r="U356" s="19" t="s">
        <v>1056</v>
      </c>
      <c r="V356" s="19"/>
      <c r="W356" s="19"/>
      <c r="X356" s="21">
        <v>20.0</v>
      </c>
      <c r="Y356" s="21">
        <v>10.0</v>
      </c>
      <c r="Z356" s="21">
        <v>5.0</v>
      </c>
      <c r="AA356" s="21">
        <v>0.0</v>
      </c>
      <c r="AB356" s="5">
        <v>35.0</v>
      </c>
      <c r="AC356" s="19">
        <v>3.0</v>
      </c>
      <c r="AD356" s="19">
        <v>4.0</v>
      </c>
      <c r="AE356" s="19">
        <v>3.0</v>
      </c>
      <c r="AF356" s="19">
        <v>3.0</v>
      </c>
      <c r="AG356" s="19">
        <v>3.0</v>
      </c>
      <c r="AH356" s="19">
        <v>4.0</v>
      </c>
      <c r="AI356" s="22">
        <v>10.03125</v>
      </c>
      <c r="AJ356" s="19">
        <v>8.0</v>
      </c>
      <c r="AK356" s="19">
        <v>8.0</v>
      </c>
      <c r="AL356" s="19">
        <v>8.0</v>
      </c>
      <c r="AM356" s="19">
        <v>24.0</v>
      </c>
      <c r="AN356" s="19">
        <v>34.0</v>
      </c>
      <c r="AO356" s="19">
        <v>69.0</v>
      </c>
      <c r="AP356" s="19">
        <v>71.0</v>
      </c>
      <c r="AQ356" s="23">
        <v>349.0</v>
      </c>
      <c r="AR356" s="23">
        <v>41.0</v>
      </c>
      <c r="AS356" s="22"/>
      <c r="AT356" s="19" t="s">
        <v>2282</v>
      </c>
      <c r="AU356" s="19" t="s">
        <v>2394</v>
      </c>
      <c r="AV356" s="19" t="s">
        <v>8377</v>
      </c>
      <c r="AW356" s="19"/>
      <c r="AX356" s="20">
        <v>37685.0</v>
      </c>
      <c r="AY356" s="19" t="s">
        <v>2121</v>
      </c>
      <c r="AZ356" s="19" t="s">
        <v>2122</v>
      </c>
      <c r="BA356" s="19" t="s">
        <v>8378</v>
      </c>
      <c r="BB356" s="19" t="s">
        <v>4020</v>
      </c>
      <c r="BC356" s="19" t="s">
        <v>8379</v>
      </c>
      <c r="BD356" s="19" t="s">
        <v>8380</v>
      </c>
      <c r="BE356" s="19" t="s">
        <v>8374</v>
      </c>
      <c r="BF356" s="19">
        <v>1.1991423115E10</v>
      </c>
      <c r="BG356" s="19" t="s">
        <v>2127</v>
      </c>
      <c r="BH356" s="19" t="s">
        <v>2128</v>
      </c>
      <c r="BI356" s="19"/>
      <c r="BJ356" s="19"/>
      <c r="BK356" s="19" t="s">
        <v>16</v>
      </c>
      <c r="BL356" s="19"/>
      <c r="BM356" s="19" t="s">
        <v>2130</v>
      </c>
      <c r="BN356" s="19" t="s">
        <v>17</v>
      </c>
      <c r="BO356" s="19" t="s">
        <v>2132</v>
      </c>
      <c r="BP356" s="19"/>
      <c r="BQ356" s="19" t="s">
        <v>2133</v>
      </c>
      <c r="BR356" s="19" t="s">
        <v>2133</v>
      </c>
      <c r="BS356" s="19" t="s">
        <v>2243</v>
      </c>
      <c r="BT356" s="19" t="s">
        <v>15</v>
      </c>
      <c r="BU356" s="19" t="s">
        <v>8381</v>
      </c>
      <c r="BV356" s="19" t="s">
        <v>8382</v>
      </c>
      <c r="BW356" s="19" t="s">
        <v>2113</v>
      </c>
      <c r="BX356" s="19"/>
      <c r="BY356" s="19"/>
      <c r="BZ356" s="19"/>
      <c r="CA356" s="19"/>
      <c r="CB356" s="19"/>
      <c r="CC356" s="19"/>
      <c r="CD356" s="19" t="s">
        <v>2137</v>
      </c>
      <c r="CE356" s="19" t="s">
        <v>16</v>
      </c>
      <c r="CF356" s="19"/>
      <c r="CG356" s="19"/>
      <c r="CH356" s="19" t="s">
        <v>16</v>
      </c>
      <c r="CI356" s="21">
        <v>0.0</v>
      </c>
      <c r="CJ356" s="19" t="s">
        <v>16</v>
      </c>
      <c r="CK356" s="19"/>
      <c r="CL356" s="19"/>
      <c r="CM356" s="19" t="s">
        <v>2138</v>
      </c>
      <c r="CN356" s="19" t="s">
        <v>2139</v>
      </c>
      <c r="CO356" s="19"/>
      <c r="CP356" s="19"/>
      <c r="CQ356" s="19"/>
      <c r="CR356" s="19"/>
      <c r="CS356" s="19"/>
      <c r="CT356" s="19" t="s">
        <v>2113</v>
      </c>
      <c r="CU356" s="19" t="s">
        <v>2113</v>
      </c>
      <c r="CV356" s="19" t="s">
        <v>2141</v>
      </c>
      <c r="CW356" s="19" t="s">
        <v>2113</v>
      </c>
      <c r="CX356" s="19" t="s">
        <v>2113</v>
      </c>
      <c r="CY356" s="19"/>
      <c r="CZ356" s="19"/>
      <c r="DA356" s="19" t="s">
        <v>16</v>
      </c>
      <c r="DB356" s="19" t="s">
        <v>16</v>
      </c>
      <c r="DC356" s="19" t="s">
        <v>2405</v>
      </c>
      <c r="DD356" s="19"/>
      <c r="DE356" s="19"/>
      <c r="DF356" s="19" t="s">
        <v>3337</v>
      </c>
      <c r="DG356" s="19" t="s">
        <v>3525</v>
      </c>
      <c r="DH356" s="19" t="s">
        <v>2144</v>
      </c>
      <c r="DI356" s="24">
        <v>45526.0</v>
      </c>
      <c r="DJ356" s="19" t="s">
        <v>2133</v>
      </c>
      <c r="DK356" s="19" t="s">
        <v>2271</v>
      </c>
      <c r="DL356" s="19" t="s">
        <v>2146</v>
      </c>
      <c r="DM356" s="19" t="s">
        <v>2805</v>
      </c>
      <c r="DN356" s="19">
        <v>12.0</v>
      </c>
      <c r="DO356" s="19">
        <v>12.0</v>
      </c>
      <c r="DP356" s="19" t="s">
        <v>8383</v>
      </c>
      <c r="DQ356" s="19" t="s">
        <v>8384</v>
      </c>
      <c r="DR356" s="19" t="s">
        <v>8385</v>
      </c>
      <c r="DS356" s="19" t="s">
        <v>2365</v>
      </c>
      <c r="DT356" s="19" t="s">
        <v>2152</v>
      </c>
      <c r="DU356" s="19"/>
      <c r="DV356" s="19"/>
      <c r="DW356" s="19" t="s">
        <v>2153</v>
      </c>
      <c r="DX356" s="19">
        <v>8.0</v>
      </c>
      <c r="DY356" s="19">
        <v>10.0</v>
      </c>
      <c r="DZ356" s="19">
        <v>0.0</v>
      </c>
      <c r="EA356" s="19">
        <v>10.0</v>
      </c>
      <c r="EB356" s="19">
        <v>0.0</v>
      </c>
      <c r="EC356" s="19">
        <v>20.0</v>
      </c>
      <c r="ED356" s="19" t="s">
        <v>2133</v>
      </c>
      <c r="EE356" s="24">
        <v>45526.0</v>
      </c>
      <c r="EF356" s="19" t="s">
        <v>2133</v>
      </c>
      <c r="EG356" s="19" t="s">
        <v>2271</v>
      </c>
      <c r="EH356" s="19" t="s">
        <v>2146</v>
      </c>
      <c r="EI356" s="22">
        <v>10.03125</v>
      </c>
      <c r="EJ356" s="19">
        <v>24.0</v>
      </c>
      <c r="EK356" s="19"/>
      <c r="EL356" s="19" t="s">
        <v>2282</v>
      </c>
      <c r="EM356" s="19" t="s">
        <v>2394</v>
      </c>
      <c r="EN356" s="19" t="s">
        <v>1058</v>
      </c>
      <c r="EO356" s="19" t="s">
        <v>2121</v>
      </c>
      <c r="EP356" s="19" t="s">
        <v>2122</v>
      </c>
      <c r="EQ356" s="19" t="s">
        <v>2139</v>
      </c>
      <c r="ER356" s="19"/>
      <c r="ES356" s="19" t="s">
        <v>1058</v>
      </c>
      <c r="ET356" s="19" t="s">
        <v>1058</v>
      </c>
      <c r="EU356" s="19" t="s">
        <v>8375</v>
      </c>
      <c r="EV356" s="19">
        <v>7776.0</v>
      </c>
      <c r="EW356" s="19" t="s">
        <v>16</v>
      </c>
      <c r="EX356" s="19">
        <v>5.0</v>
      </c>
      <c r="EY356" s="25" t="s">
        <v>1057</v>
      </c>
      <c r="EZ356" s="19" t="s">
        <v>2154</v>
      </c>
      <c r="FA356" s="5" t="s">
        <v>8386</v>
      </c>
      <c r="FB356" s="26" t="s">
        <v>2156</v>
      </c>
      <c r="FC356" s="26"/>
    </row>
    <row r="357">
      <c r="A357" s="19" t="s">
        <v>2156</v>
      </c>
      <c r="B357" s="19"/>
      <c r="C357" s="19" t="s">
        <v>2113</v>
      </c>
      <c r="D357" s="19" t="s">
        <v>1059</v>
      </c>
      <c r="E357" s="19" t="s">
        <v>1059</v>
      </c>
      <c r="F357" s="19" t="s">
        <v>1059</v>
      </c>
      <c r="G357" s="19"/>
      <c r="H357" s="19" t="s">
        <v>1059</v>
      </c>
      <c r="I357" s="19" t="s">
        <v>1060</v>
      </c>
      <c r="J357" s="19" t="s">
        <v>8387</v>
      </c>
      <c r="K357" s="19" t="s">
        <v>8388</v>
      </c>
      <c r="L357" s="20">
        <v>45421.0</v>
      </c>
      <c r="M357" s="20">
        <v>45428.0</v>
      </c>
      <c r="N357" s="20">
        <v>45428.0</v>
      </c>
      <c r="O357" s="19">
        <v>3.2711879E7</v>
      </c>
      <c r="P357" s="19">
        <v>0.0</v>
      </c>
      <c r="Q357" s="19">
        <v>25.0</v>
      </c>
      <c r="R357" s="19">
        <v>9458.0</v>
      </c>
      <c r="S357" s="19" t="s">
        <v>8389</v>
      </c>
      <c r="T357" s="20">
        <v>45461.0</v>
      </c>
      <c r="U357" s="19" t="s">
        <v>1059</v>
      </c>
      <c r="V357" s="19"/>
      <c r="W357" s="19"/>
      <c r="X357" s="21">
        <v>0.0</v>
      </c>
      <c r="Y357" s="21">
        <v>10.0</v>
      </c>
      <c r="Z357" s="21">
        <v>3.0</v>
      </c>
      <c r="AA357" s="21">
        <v>0.0</v>
      </c>
      <c r="AB357" s="5">
        <v>13.0</v>
      </c>
      <c r="AC357" s="19">
        <v>4.0</v>
      </c>
      <c r="AD357" s="19">
        <v>4.0</v>
      </c>
      <c r="AE357" s="19">
        <v>4.0</v>
      </c>
      <c r="AF357" s="19">
        <v>4.0</v>
      </c>
      <c r="AG357" s="19">
        <v>3.0</v>
      </c>
      <c r="AH357" s="19">
        <v>5.0</v>
      </c>
      <c r="AI357" s="22">
        <v>12.0</v>
      </c>
      <c r="AJ357" s="19">
        <v>15.0</v>
      </c>
      <c r="AK357" s="19">
        <v>14.0</v>
      </c>
      <c r="AL357" s="19">
        <v>15.0</v>
      </c>
      <c r="AM357" s="19">
        <v>44.0</v>
      </c>
      <c r="AN357" s="19">
        <v>56.0</v>
      </c>
      <c r="AO357" s="19">
        <v>69.0</v>
      </c>
      <c r="AP357" s="19">
        <v>690.0</v>
      </c>
      <c r="AQ357" s="23">
        <v>350.0</v>
      </c>
      <c r="AR357" s="23">
        <v>44.0</v>
      </c>
      <c r="AS357" s="22"/>
      <c r="AT357" s="19" t="s">
        <v>2282</v>
      </c>
      <c r="AU357" s="19" t="s">
        <v>8390</v>
      </c>
      <c r="AV357" s="19" t="s">
        <v>8391</v>
      </c>
      <c r="AW357" s="19" t="s">
        <v>8392</v>
      </c>
      <c r="AX357" s="20">
        <v>36003.0</v>
      </c>
      <c r="AY357" s="19" t="s">
        <v>3015</v>
      </c>
      <c r="AZ357" s="19" t="s">
        <v>2122</v>
      </c>
      <c r="BA357" s="19" t="s">
        <v>8393</v>
      </c>
      <c r="BB357" s="19">
        <v>281.0</v>
      </c>
      <c r="BC357" s="19">
        <v>5.32679106E8</v>
      </c>
      <c r="BD357" s="19" t="s">
        <v>8394</v>
      </c>
      <c r="BE357" s="19"/>
      <c r="BF357" s="19"/>
      <c r="BG357" s="19" t="s">
        <v>2127</v>
      </c>
      <c r="BH357" s="19" t="s">
        <v>2128</v>
      </c>
      <c r="BI357" s="19"/>
      <c r="BJ357" s="19" t="s">
        <v>2128</v>
      </c>
      <c r="BK357" s="19" t="s">
        <v>17</v>
      </c>
      <c r="BL357" s="19" t="s">
        <v>2113</v>
      </c>
      <c r="BM357" s="19" t="s">
        <v>5411</v>
      </c>
      <c r="BN357" s="19" t="s">
        <v>2291</v>
      </c>
      <c r="BO357" s="19">
        <v>3.0</v>
      </c>
      <c r="BP357" s="19" t="s">
        <v>8395</v>
      </c>
      <c r="BQ357" s="19" t="s">
        <v>2133</v>
      </c>
      <c r="BR357" s="19" t="s">
        <v>2133</v>
      </c>
      <c r="BS357" s="19" t="s">
        <v>2134</v>
      </c>
      <c r="BT357" s="19" t="s">
        <v>38</v>
      </c>
      <c r="BU357" s="19" t="s">
        <v>3200</v>
      </c>
      <c r="BV357" s="19"/>
      <c r="BW357" s="19"/>
      <c r="BX357" s="19"/>
      <c r="BY357" s="19" t="s">
        <v>2113</v>
      </c>
      <c r="BZ357" s="19" t="s">
        <v>2113</v>
      </c>
      <c r="CA357" s="19" t="s">
        <v>2113</v>
      </c>
      <c r="CB357" s="19" t="s">
        <v>2113</v>
      </c>
      <c r="CC357" s="19"/>
      <c r="CD357" s="19" t="s">
        <v>2137</v>
      </c>
      <c r="CE357" s="19" t="s">
        <v>16</v>
      </c>
      <c r="CF357" s="19"/>
      <c r="CG357" s="19"/>
      <c r="CH357" s="19" t="s">
        <v>16</v>
      </c>
      <c r="CI357" s="21">
        <v>0.0</v>
      </c>
      <c r="CJ357" s="19" t="s">
        <v>16</v>
      </c>
      <c r="CK357" s="19"/>
      <c r="CL357" s="19" t="s">
        <v>2113</v>
      </c>
      <c r="CM357" s="19" t="s">
        <v>2138</v>
      </c>
      <c r="CN357" s="19" t="s">
        <v>3020</v>
      </c>
      <c r="CO357" s="19"/>
      <c r="CP357" s="19" t="s">
        <v>2140</v>
      </c>
      <c r="CQ357" s="19"/>
      <c r="CR357" s="19" t="s">
        <v>2113</v>
      </c>
      <c r="CS357" s="19" t="s">
        <v>2113</v>
      </c>
      <c r="CT357" s="19"/>
      <c r="CU357" s="19"/>
      <c r="CV357" s="19" t="s">
        <v>2141</v>
      </c>
      <c r="CW357" s="19" t="s">
        <v>2113</v>
      </c>
      <c r="CX357" s="19" t="s">
        <v>2113</v>
      </c>
      <c r="CY357" s="19"/>
      <c r="CZ357" s="19"/>
      <c r="DA357" s="19" t="s">
        <v>16</v>
      </c>
      <c r="DB357" s="19" t="s">
        <v>16</v>
      </c>
      <c r="DC357" s="19" t="s">
        <v>8396</v>
      </c>
      <c r="DD357" s="19"/>
      <c r="DE357" s="19"/>
      <c r="DF357" s="19" t="s">
        <v>4424</v>
      </c>
      <c r="DG357" s="19" t="s">
        <v>2143</v>
      </c>
      <c r="DH357" s="19" t="s">
        <v>2580</v>
      </c>
      <c r="DI357" s="24">
        <v>45517.0</v>
      </c>
      <c r="DJ357" s="19" t="s">
        <v>2133</v>
      </c>
      <c r="DK357" s="19" t="s">
        <v>2271</v>
      </c>
      <c r="DL357" s="19" t="s">
        <v>2146</v>
      </c>
      <c r="DM357" s="19"/>
      <c r="DN357" s="19">
        <v>2.0</v>
      </c>
      <c r="DO357" s="19">
        <v>2.0</v>
      </c>
      <c r="DP357" s="19" t="s">
        <v>8397</v>
      </c>
      <c r="DQ357" s="19" t="s">
        <v>8398</v>
      </c>
      <c r="DR357" s="19" t="s">
        <v>8399</v>
      </c>
      <c r="DS357" s="19" t="s">
        <v>2185</v>
      </c>
      <c r="DT357" s="19" t="s">
        <v>2301</v>
      </c>
      <c r="DU357" s="19"/>
      <c r="DV357" s="19"/>
      <c r="DW357" s="19" t="s">
        <v>2153</v>
      </c>
      <c r="DX357" s="19">
        <v>1.0</v>
      </c>
      <c r="DY357" s="19">
        <v>10.0</v>
      </c>
      <c r="DZ357" s="19">
        <v>0.0</v>
      </c>
      <c r="EA357" s="19">
        <v>10.0</v>
      </c>
      <c r="EB357" s="19">
        <v>0.0</v>
      </c>
      <c r="EC357" s="19">
        <v>0.0</v>
      </c>
      <c r="ED357" s="19" t="s">
        <v>2133</v>
      </c>
      <c r="EE357" s="24">
        <v>45517.0</v>
      </c>
      <c r="EF357" s="19" t="s">
        <v>2133</v>
      </c>
      <c r="EG357" s="19" t="s">
        <v>2271</v>
      </c>
      <c r="EH357" s="19" t="s">
        <v>2146</v>
      </c>
      <c r="EI357" s="22">
        <v>12.0</v>
      </c>
      <c r="EJ357" s="19">
        <v>44.0</v>
      </c>
      <c r="EK357" s="19"/>
      <c r="EL357" s="19" t="s">
        <v>2282</v>
      </c>
      <c r="EM357" s="19" t="s">
        <v>8390</v>
      </c>
      <c r="EN357" s="19" t="s">
        <v>1060</v>
      </c>
      <c r="EO357" s="19" t="s">
        <v>3015</v>
      </c>
      <c r="EP357" s="19" t="s">
        <v>2122</v>
      </c>
      <c r="EQ357" s="19" t="s">
        <v>3020</v>
      </c>
      <c r="ER357" s="19"/>
      <c r="ES357" s="19" t="s">
        <v>1060</v>
      </c>
      <c r="ET357" s="19" t="s">
        <v>1060</v>
      </c>
      <c r="EU357" s="19" t="s">
        <v>8388</v>
      </c>
      <c r="EV357" s="19">
        <v>9458.0</v>
      </c>
      <c r="EW357" s="19" t="s">
        <v>16</v>
      </c>
      <c r="EX357" s="19">
        <v>3.0</v>
      </c>
      <c r="EY357" s="25" t="s">
        <v>8400</v>
      </c>
      <c r="EZ357" s="19" t="s">
        <v>2154</v>
      </c>
      <c r="FA357" s="5" t="s">
        <v>8401</v>
      </c>
      <c r="FB357" s="26" t="s">
        <v>2156</v>
      </c>
      <c r="FC357" s="26"/>
    </row>
    <row r="358">
      <c r="A358" s="19" t="s">
        <v>2112</v>
      </c>
      <c r="B358" s="19"/>
      <c r="C358" s="19" t="s">
        <v>2113</v>
      </c>
      <c r="D358" s="19" t="s">
        <v>8402</v>
      </c>
      <c r="E358" s="19" t="s">
        <v>8403</v>
      </c>
      <c r="F358" s="19" t="s">
        <v>8404</v>
      </c>
      <c r="G358" s="19"/>
      <c r="H358" s="19" t="s">
        <v>1061</v>
      </c>
      <c r="I358" s="19" t="s">
        <v>1063</v>
      </c>
      <c r="J358" s="19" t="s">
        <v>8405</v>
      </c>
      <c r="K358" s="19" t="s">
        <v>8406</v>
      </c>
      <c r="L358" s="20">
        <v>45431.0</v>
      </c>
      <c r="M358" s="20">
        <v>45432.0</v>
      </c>
      <c r="N358" s="20">
        <v>45432.0</v>
      </c>
      <c r="O358" s="19" t="s">
        <v>1062</v>
      </c>
      <c r="P358" s="19">
        <v>0.0</v>
      </c>
      <c r="Q358" s="19">
        <v>27.0</v>
      </c>
      <c r="R358" s="19">
        <v>9993.0</v>
      </c>
      <c r="S358" s="20" t="s">
        <v>8407</v>
      </c>
      <c r="T358" s="20">
        <v>45461.0</v>
      </c>
      <c r="U358" s="19" t="s">
        <v>8404</v>
      </c>
      <c r="V358" s="19"/>
      <c r="W358" s="19" t="s">
        <v>8408</v>
      </c>
      <c r="X358" s="21">
        <v>0.0</v>
      </c>
      <c r="Y358" s="21">
        <v>10.0</v>
      </c>
      <c r="Z358" s="21">
        <v>3.0</v>
      </c>
      <c r="AA358" s="21">
        <v>0.0</v>
      </c>
      <c r="AB358" s="5">
        <v>13.0</v>
      </c>
      <c r="AC358" s="19">
        <v>5.0</v>
      </c>
      <c r="AD358" s="19">
        <v>5.0</v>
      </c>
      <c r="AE358" s="19">
        <v>5.0</v>
      </c>
      <c r="AF358" s="19">
        <v>5.0</v>
      </c>
      <c r="AG358" s="19">
        <v>5.0</v>
      </c>
      <c r="AH358" s="19">
        <v>5.0</v>
      </c>
      <c r="AI358" s="22">
        <v>15.0</v>
      </c>
      <c r="AJ358" s="19">
        <v>13.0</v>
      </c>
      <c r="AK358" s="19">
        <v>13.0</v>
      </c>
      <c r="AL358" s="19">
        <v>15.0</v>
      </c>
      <c r="AM358" s="19">
        <v>41.0</v>
      </c>
      <c r="AN358" s="19">
        <v>56.0</v>
      </c>
      <c r="AO358" s="19">
        <v>69.0</v>
      </c>
      <c r="AP358" s="19">
        <v>677.0</v>
      </c>
      <c r="AQ358" s="23">
        <v>351.0</v>
      </c>
      <c r="AR358" s="23">
        <v>24.0</v>
      </c>
      <c r="AS358" s="22"/>
      <c r="AT358" s="19" t="s">
        <v>2282</v>
      </c>
      <c r="AU358" s="19" t="s">
        <v>8409</v>
      </c>
      <c r="AV358" s="19" t="s">
        <v>8410</v>
      </c>
      <c r="AW358" s="19"/>
      <c r="AX358" s="20">
        <v>35468.0</v>
      </c>
      <c r="AY358" s="19" t="s">
        <v>4661</v>
      </c>
      <c r="AZ358" s="19" t="s">
        <v>2995</v>
      </c>
      <c r="BA358" s="19" t="s">
        <v>8411</v>
      </c>
      <c r="BB358" s="19" t="s">
        <v>4363</v>
      </c>
      <c r="BC358" s="19" t="s">
        <v>8412</v>
      </c>
      <c r="BD358" s="19" t="s">
        <v>8413</v>
      </c>
      <c r="BE358" s="19" t="s">
        <v>8414</v>
      </c>
      <c r="BF358" s="19">
        <v>1.193230773E10</v>
      </c>
      <c r="BG358" s="19" t="s">
        <v>2127</v>
      </c>
      <c r="BH358" s="19" t="s">
        <v>2128</v>
      </c>
      <c r="BI358" s="19"/>
      <c r="BJ358" s="19" t="s">
        <v>2129</v>
      </c>
      <c r="BK358" s="19" t="s">
        <v>17</v>
      </c>
      <c r="BL358" s="19" t="s">
        <v>2113</v>
      </c>
      <c r="BM358" s="19" t="s">
        <v>5411</v>
      </c>
      <c r="BN358" s="19" t="s">
        <v>2401</v>
      </c>
      <c r="BO358" s="19" t="s">
        <v>2473</v>
      </c>
      <c r="BP358" s="19" t="s">
        <v>8415</v>
      </c>
      <c r="BQ358" s="19" t="s">
        <v>2133</v>
      </c>
      <c r="BR358" s="19" t="s">
        <v>2133</v>
      </c>
      <c r="BS358" s="19" t="s">
        <v>2134</v>
      </c>
      <c r="BT358" s="19" t="s">
        <v>222</v>
      </c>
      <c r="BU358" s="19" t="s">
        <v>8416</v>
      </c>
      <c r="BV358" s="19"/>
      <c r="BW358" s="19"/>
      <c r="BX358" s="19"/>
      <c r="BY358" s="19" t="s">
        <v>2113</v>
      </c>
      <c r="BZ358" s="19" t="s">
        <v>2113</v>
      </c>
      <c r="CA358" s="19"/>
      <c r="CB358" s="19" t="s">
        <v>2113</v>
      </c>
      <c r="CC358" s="19" t="s">
        <v>2113</v>
      </c>
      <c r="CD358" s="19" t="s">
        <v>2137</v>
      </c>
      <c r="CE358" s="19" t="s">
        <v>16</v>
      </c>
      <c r="CF358" s="19"/>
      <c r="CG358" s="19"/>
      <c r="CH358" s="19" t="s">
        <v>16</v>
      </c>
      <c r="CI358" s="21">
        <v>0.0</v>
      </c>
      <c r="CJ358" s="19" t="s">
        <v>16</v>
      </c>
      <c r="CK358" s="19"/>
      <c r="CL358" s="19"/>
      <c r="CM358" s="19" t="s">
        <v>2344</v>
      </c>
      <c r="CN358" s="19" t="s">
        <v>3544</v>
      </c>
      <c r="CO358" s="19"/>
      <c r="CP358" s="19" t="s">
        <v>2178</v>
      </c>
      <c r="CQ358" s="19" t="s">
        <v>2113</v>
      </c>
      <c r="CR358" s="19"/>
      <c r="CS358" s="19"/>
      <c r="CT358" s="19" t="s">
        <v>2113</v>
      </c>
      <c r="CU358" s="19" t="s">
        <v>2113</v>
      </c>
      <c r="CV358" s="19" t="s">
        <v>2141</v>
      </c>
      <c r="CW358" s="19" t="s">
        <v>2113</v>
      </c>
      <c r="CX358" s="19" t="s">
        <v>2113</v>
      </c>
      <c r="CY358" s="19"/>
      <c r="CZ358" s="19"/>
      <c r="DA358" s="19" t="s">
        <v>16</v>
      </c>
      <c r="DB358" s="19" t="s">
        <v>16</v>
      </c>
      <c r="DC358" s="19" t="s">
        <v>2146</v>
      </c>
      <c r="DD358" s="19" t="s">
        <v>2113</v>
      </c>
      <c r="DE358" s="19" t="s">
        <v>2113</v>
      </c>
      <c r="DF358" s="19" t="s">
        <v>2579</v>
      </c>
      <c r="DG358" s="19" t="s">
        <v>2578</v>
      </c>
      <c r="DH358" s="19" t="s">
        <v>2144</v>
      </c>
      <c r="DI358" s="24">
        <v>45533.0</v>
      </c>
      <c r="DJ358" s="19" t="s">
        <v>2133</v>
      </c>
      <c r="DK358" s="19" t="s">
        <v>2145</v>
      </c>
      <c r="DL358" s="19" t="s">
        <v>2146</v>
      </c>
      <c r="DM358" s="19" t="s">
        <v>2147</v>
      </c>
      <c r="DN358" s="19">
        <v>17.0</v>
      </c>
      <c r="DO358" s="19">
        <v>17.0</v>
      </c>
      <c r="DP358" s="19" t="s">
        <v>8417</v>
      </c>
      <c r="DQ358" s="19" t="s">
        <v>8418</v>
      </c>
      <c r="DR358" s="19" t="s">
        <v>8419</v>
      </c>
      <c r="DS358" s="19" t="s">
        <v>2151</v>
      </c>
      <c r="DT358" s="19" t="s">
        <v>2350</v>
      </c>
      <c r="DU358" s="19"/>
      <c r="DV358" s="19"/>
      <c r="DW358" s="19" t="s">
        <v>2153</v>
      </c>
      <c r="DX358" s="19">
        <v>12.0</v>
      </c>
      <c r="DY358" s="19">
        <v>10.0</v>
      </c>
      <c r="DZ358" s="19">
        <v>0.0</v>
      </c>
      <c r="EA358" s="19">
        <v>10.0</v>
      </c>
      <c r="EB358" s="19">
        <v>0.0</v>
      </c>
      <c r="EC358" s="19">
        <v>0.0</v>
      </c>
      <c r="ED358" s="19" t="s">
        <v>2133</v>
      </c>
      <c r="EE358" s="24">
        <v>45533.0</v>
      </c>
      <c r="EF358" s="19" t="s">
        <v>2133</v>
      </c>
      <c r="EG358" s="19" t="s">
        <v>2145</v>
      </c>
      <c r="EH358" s="19" t="s">
        <v>2146</v>
      </c>
      <c r="EI358" s="22">
        <v>15.0</v>
      </c>
      <c r="EJ358" s="19">
        <v>41.0</v>
      </c>
      <c r="EK358" s="19"/>
      <c r="EL358" s="19" t="s">
        <v>2282</v>
      </c>
      <c r="EM358" s="19" t="s">
        <v>8409</v>
      </c>
      <c r="EN358" s="19" t="s">
        <v>1063</v>
      </c>
      <c r="EO358" s="19" t="s">
        <v>4661</v>
      </c>
      <c r="EP358" s="19" t="s">
        <v>2995</v>
      </c>
      <c r="EQ358" s="19" t="s">
        <v>3544</v>
      </c>
      <c r="ER358" s="19"/>
      <c r="ES358" s="19" t="s">
        <v>1063</v>
      </c>
      <c r="ET358" s="19" t="s">
        <v>1063</v>
      </c>
      <c r="EU358" s="19" t="s">
        <v>8406</v>
      </c>
      <c r="EV358" s="19">
        <v>9993.0</v>
      </c>
      <c r="EW358" s="19" t="s">
        <v>16</v>
      </c>
      <c r="EX358" s="19">
        <v>3.0</v>
      </c>
      <c r="EY358" s="25" t="s">
        <v>1062</v>
      </c>
      <c r="EZ358" s="19" t="s">
        <v>2154</v>
      </c>
      <c r="FA358" s="5" t="s">
        <v>8420</v>
      </c>
      <c r="FB358" s="26" t="s">
        <v>2156</v>
      </c>
      <c r="FC358" s="26"/>
    </row>
    <row r="359">
      <c r="A359" s="19" t="s">
        <v>2112</v>
      </c>
      <c r="B359" s="19"/>
      <c r="C359" s="19" t="s">
        <v>2113</v>
      </c>
      <c r="D359" s="19" t="s">
        <v>1064</v>
      </c>
      <c r="E359" s="19" t="s">
        <v>8421</v>
      </c>
      <c r="F359" s="19" t="s">
        <v>1064</v>
      </c>
      <c r="G359" s="19"/>
      <c r="H359" s="19" t="s">
        <v>1064</v>
      </c>
      <c r="I359" s="19" t="s">
        <v>709</v>
      </c>
      <c r="J359" s="19" t="s">
        <v>8422</v>
      </c>
      <c r="K359" s="19" t="s">
        <v>8423</v>
      </c>
      <c r="L359" s="20">
        <v>45397.0</v>
      </c>
      <c r="M359" s="20">
        <v>45411.0</v>
      </c>
      <c r="N359" s="20">
        <v>45411.0</v>
      </c>
      <c r="O359" s="19" t="s">
        <v>1065</v>
      </c>
      <c r="P359" s="19">
        <v>0.0</v>
      </c>
      <c r="Q359" s="19">
        <v>24.0</v>
      </c>
      <c r="R359" s="19">
        <v>8826.0</v>
      </c>
      <c r="S359" s="20" t="s">
        <v>8424</v>
      </c>
      <c r="T359" s="20">
        <v>45461.0</v>
      </c>
      <c r="U359" s="19" t="s">
        <v>1064</v>
      </c>
      <c r="V359" s="19"/>
      <c r="W359" s="19" t="s">
        <v>8408</v>
      </c>
      <c r="X359" s="21">
        <v>0.0</v>
      </c>
      <c r="Y359" s="21">
        <v>10.0</v>
      </c>
      <c r="Z359" s="21">
        <v>3.0</v>
      </c>
      <c r="AA359" s="21">
        <v>0.0</v>
      </c>
      <c r="AB359" s="5">
        <v>13.0</v>
      </c>
      <c r="AC359" s="19">
        <v>5.0</v>
      </c>
      <c r="AD359" s="19">
        <v>5.0</v>
      </c>
      <c r="AE359" s="19">
        <v>5.0</v>
      </c>
      <c r="AF359" s="19">
        <v>5.0</v>
      </c>
      <c r="AG359" s="19">
        <v>5.0</v>
      </c>
      <c r="AH359" s="19">
        <v>5.0</v>
      </c>
      <c r="AI359" s="22">
        <v>15.0</v>
      </c>
      <c r="AJ359" s="19">
        <v>13.0</v>
      </c>
      <c r="AK359" s="19">
        <v>15.0</v>
      </c>
      <c r="AL359" s="19">
        <v>13.0</v>
      </c>
      <c r="AM359" s="19">
        <v>41.0</v>
      </c>
      <c r="AN359" s="19">
        <v>56.0</v>
      </c>
      <c r="AO359" s="19">
        <v>69.0</v>
      </c>
      <c r="AP359" s="19">
        <v>708.0</v>
      </c>
      <c r="AQ359" s="23">
        <v>352.0</v>
      </c>
      <c r="AR359" s="23">
        <v>25.0</v>
      </c>
      <c r="AS359" s="22"/>
      <c r="AT359" s="19" t="s">
        <v>2117</v>
      </c>
      <c r="AU359" s="19" t="s">
        <v>6636</v>
      </c>
      <c r="AV359" s="19" t="s">
        <v>8425</v>
      </c>
      <c r="AW359" s="19" t="s">
        <v>8426</v>
      </c>
      <c r="AX359" s="20">
        <v>36635.0</v>
      </c>
      <c r="AY359" s="19" t="s">
        <v>3946</v>
      </c>
      <c r="AZ359" s="19" t="s">
        <v>2310</v>
      </c>
      <c r="BA359" s="19" t="s">
        <v>8427</v>
      </c>
      <c r="BB359" s="19" t="s">
        <v>8428</v>
      </c>
      <c r="BC359" s="19" t="s">
        <v>8429</v>
      </c>
      <c r="BD359" s="19" t="s">
        <v>8430</v>
      </c>
      <c r="BE359" s="19" t="s">
        <v>8431</v>
      </c>
      <c r="BF359" s="19">
        <v>1.1981303578E10</v>
      </c>
      <c r="BG359" s="19" t="s">
        <v>2127</v>
      </c>
      <c r="BH359" s="19" t="s">
        <v>2128</v>
      </c>
      <c r="BI359" s="19"/>
      <c r="BJ359" s="19"/>
      <c r="BK359" s="19" t="s">
        <v>16</v>
      </c>
      <c r="BL359" s="19"/>
      <c r="BM359" s="19" t="s">
        <v>5563</v>
      </c>
      <c r="BN359" s="19" t="s">
        <v>2401</v>
      </c>
      <c r="BO359" s="19" t="s">
        <v>2473</v>
      </c>
      <c r="BP359" s="19" t="s">
        <v>8432</v>
      </c>
      <c r="BQ359" s="19" t="s">
        <v>2133</v>
      </c>
      <c r="BR359" s="19" t="s">
        <v>2133</v>
      </c>
      <c r="BS359" s="19" t="s">
        <v>2134</v>
      </c>
      <c r="BT359" s="19" t="s">
        <v>222</v>
      </c>
      <c r="BU359" s="19" t="s">
        <v>3001</v>
      </c>
      <c r="BV359" s="19"/>
      <c r="BW359" s="19"/>
      <c r="BX359" s="19"/>
      <c r="BY359" s="19"/>
      <c r="BZ359" s="19"/>
      <c r="CA359" s="19"/>
      <c r="CB359" s="19" t="s">
        <v>2113</v>
      </c>
      <c r="CC359" s="19"/>
      <c r="CD359" s="19" t="s">
        <v>2137</v>
      </c>
      <c r="CE359" s="19" t="s">
        <v>16</v>
      </c>
      <c r="CF359" s="19"/>
      <c r="CG359" s="19"/>
      <c r="CH359" s="19" t="s">
        <v>16</v>
      </c>
      <c r="CI359" s="21">
        <v>0.0</v>
      </c>
      <c r="CJ359" s="19" t="s">
        <v>17</v>
      </c>
      <c r="CK359" s="19"/>
      <c r="CL359" s="19"/>
      <c r="CM359" s="19" t="s">
        <v>2138</v>
      </c>
      <c r="CN359" s="19" t="s">
        <v>3544</v>
      </c>
      <c r="CO359" s="19"/>
      <c r="CP359" s="19"/>
      <c r="CQ359" s="19" t="s">
        <v>2113</v>
      </c>
      <c r="CR359" s="19"/>
      <c r="CS359" s="19"/>
      <c r="CT359" s="19" t="s">
        <v>2113</v>
      </c>
      <c r="CU359" s="19" t="s">
        <v>2113</v>
      </c>
      <c r="CV359" s="19" t="s">
        <v>2141</v>
      </c>
      <c r="CW359" s="19"/>
      <c r="CX359" s="19"/>
      <c r="CY359" s="19"/>
      <c r="CZ359" s="19"/>
      <c r="DA359" s="19" t="s">
        <v>16</v>
      </c>
      <c r="DB359" s="19" t="s">
        <v>17</v>
      </c>
      <c r="DC359" s="19" t="s">
        <v>2579</v>
      </c>
      <c r="DD359" s="19" t="s">
        <v>2113</v>
      </c>
      <c r="DE359" s="19" t="s">
        <v>2113</v>
      </c>
      <c r="DF359" s="19" t="s">
        <v>3256</v>
      </c>
      <c r="DG359" s="19" t="s">
        <v>2433</v>
      </c>
      <c r="DH359" s="19" t="s">
        <v>2144</v>
      </c>
      <c r="DI359" s="24">
        <v>45532.0</v>
      </c>
      <c r="DJ359" s="19" t="s">
        <v>2133</v>
      </c>
      <c r="DK359" s="19" t="s">
        <v>2145</v>
      </c>
      <c r="DL359" s="19" t="s">
        <v>2146</v>
      </c>
      <c r="DM359" s="19" t="s">
        <v>4101</v>
      </c>
      <c r="DN359" s="19">
        <v>15.0</v>
      </c>
      <c r="DO359" s="19">
        <v>15.0</v>
      </c>
      <c r="DP359" s="19" t="s">
        <v>8433</v>
      </c>
      <c r="DQ359" s="19" t="s">
        <v>8434</v>
      </c>
      <c r="DR359" s="19" t="s">
        <v>8435</v>
      </c>
      <c r="DS359" s="19" t="s">
        <v>2151</v>
      </c>
      <c r="DT359" s="19" t="s">
        <v>2350</v>
      </c>
      <c r="DU359" s="19"/>
      <c r="DV359" s="19"/>
      <c r="DW359" s="19" t="s">
        <v>2153</v>
      </c>
      <c r="DX359" s="19">
        <v>12.0</v>
      </c>
      <c r="DY359" s="19">
        <v>10.0</v>
      </c>
      <c r="DZ359" s="19">
        <v>0.0</v>
      </c>
      <c r="EA359" s="19">
        <v>10.0</v>
      </c>
      <c r="EB359" s="19">
        <v>0.0</v>
      </c>
      <c r="EC359" s="19">
        <v>0.0</v>
      </c>
      <c r="ED359" s="19" t="s">
        <v>2133</v>
      </c>
      <c r="EE359" s="24">
        <v>45532.0</v>
      </c>
      <c r="EF359" s="19" t="s">
        <v>2133</v>
      </c>
      <c r="EG359" s="19" t="s">
        <v>2145</v>
      </c>
      <c r="EH359" s="19" t="s">
        <v>2146</v>
      </c>
      <c r="EI359" s="22">
        <v>15.0</v>
      </c>
      <c r="EJ359" s="19">
        <v>41.0</v>
      </c>
      <c r="EK359" s="19" t="s">
        <v>2113</v>
      </c>
      <c r="EL359" s="19" t="s">
        <v>2117</v>
      </c>
      <c r="EM359" s="19" t="s">
        <v>6636</v>
      </c>
      <c r="EN359" s="19" t="s">
        <v>709</v>
      </c>
      <c r="EO359" s="19" t="s">
        <v>3946</v>
      </c>
      <c r="EP359" s="19" t="s">
        <v>2310</v>
      </c>
      <c r="EQ359" s="19" t="s">
        <v>3544</v>
      </c>
      <c r="ER359" s="19"/>
      <c r="ES359" s="19" t="s">
        <v>709</v>
      </c>
      <c r="ET359" s="19" t="s">
        <v>709</v>
      </c>
      <c r="EU359" s="19" t="s">
        <v>8423</v>
      </c>
      <c r="EV359" s="19">
        <v>8826.0</v>
      </c>
      <c r="EW359" s="19" t="s">
        <v>16</v>
      </c>
      <c r="EX359" s="19">
        <v>3.0</v>
      </c>
      <c r="EY359" s="25" t="s">
        <v>1065</v>
      </c>
      <c r="EZ359" s="19" t="s">
        <v>2154</v>
      </c>
      <c r="FA359" s="5" t="s">
        <v>8436</v>
      </c>
      <c r="FB359" s="26" t="s">
        <v>2156</v>
      </c>
      <c r="FC359" s="26"/>
    </row>
    <row r="360">
      <c r="A360" s="19" t="s">
        <v>2112</v>
      </c>
      <c r="B360" s="19"/>
      <c r="C360" s="19" t="s">
        <v>2113</v>
      </c>
      <c r="D360" s="19" t="s">
        <v>1066</v>
      </c>
      <c r="E360" s="19" t="s">
        <v>8437</v>
      </c>
      <c r="F360" s="19" t="s">
        <v>1066</v>
      </c>
      <c r="G360" s="19"/>
      <c r="H360" s="19" t="s">
        <v>1066</v>
      </c>
      <c r="I360" s="19" t="s">
        <v>1068</v>
      </c>
      <c r="J360" s="19" t="s">
        <v>8438</v>
      </c>
      <c r="K360" s="19" t="s">
        <v>8439</v>
      </c>
      <c r="L360" s="20">
        <v>45394.0</v>
      </c>
      <c r="M360" s="20">
        <v>45404.0</v>
      </c>
      <c r="N360" s="20">
        <v>45404.0</v>
      </c>
      <c r="O360" s="19" t="s">
        <v>1067</v>
      </c>
      <c r="P360" s="19">
        <v>0.0</v>
      </c>
      <c r="Q360" s="19">
        <v>19.0</v>
      </c>
      <c r="R360" s="19">
        <v>6964.0</v>
      </c>
      <c r="S360" s="20" t="s">
        <v>8440</v>
      </c>
      <c r="T360" s="20">
        <v>45461.0</v>
      </c>
      <c r="U360" s="19" t="s">
        <v>1066</v>
      </c>
      <c r="V360" s="19"/>
      <c r="W360" s="19"/>
      <c r="X360" s="21">
        <v>0.0</v>
      </c>
      <c r="Y360" s="21">
        <v>10.0</v>
      </c>
      <c r="Z360" s="21">
        <v>3.0</v>
      </c>
      <c r="AA360" s="21">
        <v>0.0</v>
      </c>
      <c r="AB360" s="5">
        <v>13.0</v>
      </c>
      <c r="AC360" s="19">
        <v>5.0</v>
      </c>
      <c r="AD360" s="19">
        <v>5.0</v>
      </c>
      <c r="AE360" s="19">
        <v>5.0</v>
      </c>
      <c r="AF360" s="19">
        <v>5.0</v>
      </c>
      <c r="AG360" s="19">
        <v>5.0</v>
      </c>
      <c r="AH360" s="19">
        <v>5.0</v>
      </c>
      <c r="AI360" s="22">
        <v>15.0</v>
      </c>
      <c r="AJ360" s="19">
        <v>14.0</v>
      </c>
      <c r="AK360" s="19">
        <v>13.0</v>
      </c>
      <c r="AL360" s="19">
        <v>14.0</v>
      </c>
      <c r="AM360" s="19">
        <v>41.0</v>
      </c>
      <c r="AN360" s="19">
        <v>56.0</v>
      </c>
      <c r="AO360" s="19">
        <v>69.0</v>
      </c>
      <c r="AP360" s="19">
        <v>797.0</v>
      </c>
      <c r="AQ360" s="23">
        <v>353.0</v>
      </c>
      <c r="AR360" s="23">
        <v>45.0</v>
      </c>
      <c r="AS360" s="22"/>
      <c r="AT360" s="19" t="s">
        <v>2163</v>
      </c>
      <c r="AU360" s="19" t="s">
        <v>3095</v>
      </c>
      <c r="AV360" s="19" t="s">
        <v>8441</v>
      </c>
      <c r="AW360" s="19" t="s">
        <v>8442</v>
      </c>
      <c r="AX360" s="20">
        <v>38497.0</v>
      </c>
      <c r="AY360" s="19" t="s">
        <v>2467</v>
      </c>
      <c r="AZ360" s="19" t="s">
        <v>2122</v>
      </c>
      <c r="BA360" s="19" t="s">
        <v>8443</v>
      </c>
      <c r="BB360" s="19" t="s">
        <v>7427</v>
      </c>
      <c r="BC360" s="19" t="s">
        <v>8444</v>
      </c>
      <c r="BD360" s="19" t="s">
        <v>8445</v>
      </c>
      <c r="BE360" s="19" t="s">
        <v>8446</v>
      </c>
      <c r="BF360" s="19">
        <v>1.1973241253E10</v>
      </c>
      <c r="BG360" s="19" t="s">
        <v>2127</v>
      </c>
      <c r="BH360" s="19" t="s">
        <v>2128</v>
      </c>
      <c r="BI360" s="19"/>
      <c r="BJ360" s="19"/>
      <c r="BK360" s="19" t="s">
        <v>16</v>
      </c>
      <c r="BL360" s="19"/>
      <c r="BM360" s="19" t="s">
        <v>5411</v>
      </c>
      <c r="BN360" s="19" t="s">
        <v>2131</v>
      </c>
      <c r="BO360" s="19" t="s">
        <v>2473</v>
      </c>
      <c r="BP360" s="19" t="s">
        <v>8447</v>
      </c>
      <c r="BQ360" s="19" t="s">
        <v>2133</v>
      </c>
      <c r="BR360" s="19" t="s">
        <v>2133</v>
      </c>
      <c r="BS360" s="19" t="s">
        <v>2134</v>
      </c>
      <c r="BT360" s="19" t="s">
        <v>38</v>
      </c>
      <c r="BU360" s="19" t="s">
        <v>2512</v>
      </c>
      <c r="BV360" s="19"/>
      <c r="BW360" s="19"/>
      <c r="BX360" s="19"/>
      <c r="BY360" s="19"/>
      <c r="BZ360" s="19"/>
      <c r="CA360" s="19" t="s">
        <v>2113</v>
      </c>
      <c r="CB360" s="19" t="s">
        <v>2113</v>
      </c>
      <c r="CC360" s="19" t="s">
        <v>2113</v>
      </c>
      <c r="CD360" s="19" t="s">
        <v>2137</v>
      </c>
      <c r="CE360" s="19" t="s">
        <v>16</v>
      </c>
      <c r="CF360" s="19"/>
      <c r="CG360" s="19"/>
      <c r="CH360" s="19" t="s">
        <v>16</v>
      </c>
      <c r="CI360" s="21">
        <v>0.0</v>
      </c>
      <c r="CJ360" s="19" t="s">
        <v>17</v>
      </c>
      <c r="CK360" s="19" t="s">
        <v>2113</v>
      </c>
      <c r="CL360" s="19"/>
      <c r="CM360" s="19" t="s">
        <v>2344</v>
      </c>
      <c r="CN360" s="19" t="s">
        <v>2475</v>
      </c>
      <c r="CO360" s="19"/>
      <c r="CP360" s="19"/>
      <c r="CQ360" s="19"/>
      <c r="CR360" s="19"/>
      <c r="CS360" s="19"/>
      <c r="CT360" s="19"/>
      <c r="CU360" s="19"/>
      <c r="CV360" s="19" t="s">
        <v>2179</v>
      </c>
      <c r="CW360" s="19"/>
      <c r="CX360" s="19"/>
      <c r="CY360" s="19"/>
      <c r="CZ360" s="19"/>
      <c r="DA360" s="19" t="s">
        <v>16</v>
      </c>
      <c r="DB360" s="19" t="s">
        <v>17</v>
      </c>
      <c r="DC360" s="19" t="s">
        <v>2295</v>
      </c>
      <c r="DD360" s="19"/>
      <c r="DE360" s="19"/>
      <c r="DF360" s="19" t="s">
        <v>2477</v>
      </c>
      <c r="DG360" s="19" t="s">
        <v>2843</v>
      </c>
      <c r="DH360" s="19" t="s">
        <v>2144</v>
      </c>
      <c r="DI360" s="24">
        <v>45525.0</v>
      </c>
      <c r="DJ360" s="19" t="s">
        <v>2133</v>
      </c>
      <c r="DK360" s="19" t="s">
        <v>2145</v>
      </c>
      <c r="DL360" s="19" t="s">
        <v>2146</v>
      </c>
      <c r="DM360" s="19" t="s">
        <v>3003</v>
      </c>
      <c r="DN360" s="19">
        <v>9.0</v>
      </c>
      <c r="DO360" s="19">
        <v>9.0</v>
      </c>
      <c r="DP360" s="19"/>
      <c r="DQ360" s="19"/>
      <c r="DR360" s="19"/>
      <c r="DS360" s="19" t="s">
        <v>2185</v>
      </c>
      <c r="DT360" s="19" t="s">
        <v>2301</v>
      </c>
      <c r="DU360" s="19" t="s">
        <v>8448</v>
      </c>
      <c r="DV360" s="19"/>
      <c r="DW360" s="19" t="s">
        <v>2479</v>
      </c>
      <c r="DX360" s="19">
        <v>6.0</v>
      </c>
      <c r="DY360" s="19">
        <v>10.0</v>
      </c>
      <c r="DZ360" s="19">
        <v>0.0</v>
      </c>
      <c r="EA360" s="19">
        <v>10.0</v>
      </c>
      <c r="EB360" s="19">
        <v>0.0</v>
      </c>
      <c r="EC360" s="19">
        <v>0.0</v>
      </c>
      <c r="ED360" s="19" t="s">
        <v>2133</v>
      </c>
      <c r="EE360" s="24">
        <v>45525.0</v>
      </c>
      <c r="EF360" s="19" t="s">
        <v>2133</v>
      </c>
      <c r="EG360" s="19" t="s">
        <v>2145</v>
      </c>
      <c r="EH360" s="19" t="s">
        <v>2146</v>
      </c>
      <c r="EI360" s="22">
        <v>15.0</v>
      </c>
      <c r="EJ360" s="19">
        <v>41.0</v>
      </c>
      <c r="EK360" s="19" t="s">
        <v>2113</v>
      </c>
      <c r="EL360" s="19" t="s">
        <v>2163</v>
      </c>
      <c r="EM360" s="19" t="s">
        <v>3095</v>
      </c>
      <c r="EN360" s="19" t="s">
        <v>1068</v>
      </c>
      <c r="EO360" s="19" t="s">
        <v>2467</v>
      </c>
      <c r="EP360" s="19" t="s">
        <v>2122</v>
      </c>
      <c r="EQ360" s="19" t="s">
        <v>2475</v>
      </c>
      <c r="ER360" s="19"/>
      <c r="ES360" s="19" t="s">
        <v>1068</v>
      </c>
      <c r="ET360" s="19" t="s">
        <v>1068</v>
      </c>
      <c r="EU360" s="19" t="s">
        <v>8439</v>
      </c>
      <c r="EV360" s="19">
        <v>6964.0</v>
      </c>
      <c r="EW360" s="19" t="s">
        <v>16</v>
      </c>
      <c r="EX360" s="19">
        <v>3.0</v>
      </c>
      <c r="EY360" s="25" t="s">
        <v>1067</v>
      </c>
      <c r="EZ360" s="19" t="s">
        <v>2154</v>
      </c>
      <c r="FA360" s="5" t="s">
        <v>8449</v>
      </c>
      <c r="FB360" s="26" t="s">
        <v>2156</v>
      </c>
      <c r="FC360" s="26"/>
    </row>
    <row r="361">
      <c r="A361" s="19" t="s">
        <v>2112</v>
      </c>
      <c r="B361" s="19"/>
      <c r="C361" s="19" t="s">
        <v>2113</v>
      </c>
      <c r="D361" s="19" t="s">
        <v>1069</v>
      </c>
      <c r="E361" s="19" t="s">
        <v>8450</v>
      </c>
      <c r="F361" s="19" t="s">
        <v>1069</v>
      </c>
      <c r="G361" s="19"/>
      <c r="H361" s="19" t="s">
        <v>1069</v>
      </c>
      <c r="I361" s="19" t="s">
        <v>1071</v>
      </c>
      <c r="J361" s="19" t="s">
        <v>8451</v>
      </c>
      <c r="K361" s="19" t="s">
        <v>8452</v>
      </c>
      <c r="L361" s="20">
        <v>45401.0</v>
      </c>
      <c r="M361" s="20">
        <v>45411.0</v>
      </c>
      <c r="N361" s="20">
        <v>45411.0</v>
      </c>
      <c r="O361" s="19" t="s">
        <v>1070</v>
      </c>
      <c r="P361" s="19">
        <v>0.0</v>
      </c>
      <c r="Q361" s="19">
        <v>19.0</v>
      </c>
      <c r="R361" s="19">
        <v>7038.0</v>
      </c>
      <c r="S361" s="20" t="s">
        <v>8453</v>
      </c>
      <c r="T361" s="20">
        <v>45461.0</v>
      </c>
      <c r="U361" s="19" t="s">
        <v>1069</v>
      </c>
      <c r="V361" s="19"/>
      <c r="W361" s="19"/>
      <c r="X361" s="21">
        <v>0.0</v>
      </c>
      <c r="Y361" s="21">
        <v>10.0</v>
      </c>
      <c r="Z361" s="21">
        <v>2.0</v>
      </c>
      <c r="AA361" s="21">
        <v>0.0</v>
      </c>
      <c r="AB361" s="5">
        <v>12.0</v>
      </c>
      <c r="AC361" s="19">
        <v>4.0</v>
      </c>
      <c r="AD361" s="19">
        <v>4.0</v>
      </c>
      <c r="AE361" s="19">
        <v>4.0</v>
      </c>
      <c r="AF361" s="19">
        <v>4.0</v>
      </c>
      <c r="AG361" s="19">
        <v>3.5</v>
      </c>
      <c r="AH361" s="19">
        <v>4.5</v>
      </c>
      <c r="AI361" s="22">
        <v>12.0</v>
      </c>
      <c r="AJ361" s="19">
        <v>15.0</v>
      </c>
      <c r="AK361" s="19">
        <v>15.0</v>
      </c>
      <c r="AL361" s="19">
        <v>15.0</v>
      </c>
      <c r="AM361" s="19">
        <v>45.0</v>
      </c>
      <c r="AN361" s="19">
        <v>57.0</v>
      </c>
      <c r="AO361" s="19">
        <v>69.0</v>
      </c>
      <c r="AP361" s="19">
        <v>892.0</v>
      </c>
      <c r="AQ361" s="23">
        <v>354.0</v>
      </c>
      <c r="AR361" s="23">
        <v>10.0</v>
      </c>
      <c r="AS361" s="22"/>
      <c r="AT361" s="19" t="s">
        <v>2117</v>
      </c>
      <c r="AU361" s="19" t="s">
        <v>7836</v>
      </c>
      <c r="AV361" s="19" t="s">
        <v>8454</v>
      </c>
      <c r="AW361" s="19" t="s">
        <v>8455</v>
      </c>
      <c r="AX361" s="20">
        <v>38423.0</v>
      </c>
      <c r="AY361" s="19" t="s">
        <v>7839</v>
      </c>
      <c r="AZ361" s="19" t="s">
        <v>2122</v>
      </c>
      <c r="BA361" s="19" t="s">
        <v>8456</v>
      </c>
      <c r="BB361" s="19" t="s">
        <v>5445</v>
      </c>
      <c r="BC361" s="19" t="s">
        <v>8457</v>
      </c>
      <c r="BD361" s="19" t="s">
        <v>8458</v>
      </c>
      <c r="BE361" s="19" t="s">
        <v>8451</v>
      </c>
      <c r="BF361" s="19">
        <v>1.1960133873E10</v>
      </c>
      <c r="BG361" s="19" t="s">
        <v>2127</v>
      </c>
      <c r="BH361" s="19" t="s">
        <v>2128</v>
      </c>
      <c r="BI361" s="19"/>
      <c r="BJ361" s="19" t="s">
        <v>2427</v>
      </c>
      <c r="BK361" s="19" t="s">
        <v>17</v>
      </c>
      <c r="BL361" s="19"/>
      <c r="BM361" s="19" t="s">
        <v>5796</v>
      </c>
      <c r="BN361" s="19" t="s">
        <v>17</v>
      </c>
      <c r="BO361" s="19" t="s">
        <v>3199</v>
      </c>
      <c r="BP361" s="19" t="s">
        <v>8459</v>
      </c>
      <c r="BQ361" s="19" t="s">
        <v>3251</v>
      </c>
      <c r="BR361" s="19" t="s">
        <v>3251</v>
      </c>
      <c r="BS361" s="19" t="s">
        <v>2134</v>
      </c>
      <c r="BT361" s="19" t="s">
        <v>177</v>
      </c>
      <c r="BU361" s="19" t="s">
        <v>8460</v>
      </c>
      <c r="BV361" s="19"/>
      <c r="BW361" s="19" t="s">
        <v>2113</v>
      </c>
      <c r="BX361" s="19"/>
      <c r="BY361" s="19"/>
      <c r="BZ361" s="19"/>
      <c r="CA361" s="19"/>
      <c r="CB361" s="19" t="s">
        <v>2113</v>
      </c>
      <c r="CC361" s="19"/>
      <c r="CD361" s="19" t="s">
        <v>2137</v>
      </c>
      <c r="CE361" s="19" t="s">
        <v>16</v>
      </c>
      <c r="CF361" s="19"/>
      <c r="CG361" s="19"/>
      <c r="CH361" s="19" t="s">
        <v>16</v>
      </c>
      <c r="CI361" s="21">
        <v>0.0</v>
      </c>
      <c r="CJ361" s="19" t="s">
        <v>16</v>
      </c>
      <c r="CK361" s="19"/>
      <c r="CL361" s="19"/>
      <c r="CM361" s="19" t="s">
        <v>2926</v>
      </c>
      <c r="CN361" s="19" t="s">
        <v>3253</v>
      </c>
      <c r="CO361" s="19"/>
      <c r="CP361" s="19" t="s">
        <v>2178</v>
      </c>
      <c r="CQ361" s="19"/>
      <c r="CR361" s="19" t="s">
        <v>2113</v>
      </c>
      <c r="CS361" s="19" t="s">
        <v>2113</v>
      </c>
      <c r="CT361" s="19" t="s">
        <v>2113</v>
      </c>
      <c r="CU361" s="19" t="s">
        <v>2113</v>
      </c>
      <c r="CV361" s="19" t="s">
        <v>2141</v>
      </c>
      <c r="CW361" s="19"/>
      <c r="CX361" s="19"/>
      <c r="CY361" s="19"/>
      <c r="CZ361" s="19"/>
      <c r="DA361" s="19" t="s">
        <v>16</v>
      </c>
      <c r="DB361" s="19" t="s">
        <v>16</v>
      </c>
      <c r="DC361" s="19" t="s">
        <v>2323</v>
      </c>
      <c r="DD361" s="19" t="s">
        <v>2113</v>
      </c>
      <c r="DE361" s="19" t="s">
        <v>2113</v>
      </c>
      <c r="DF361" s="19" t="s">
        <v>3163</v>
      </c>
      <c r="DG361" s="19" t="s">
        <v>7621</v>
      </c>
      <c r="DH361" s="19" t="s">
        <v>2144</v>
      </c>
      <c r="DI361" s="24">
        <v>45518.0</v>
      </c>
      <c r="DJ361" s="19" t="s">
        <v>3257</v>
      </c>
      <c r="DK361" s="19" t="s">
        <v>2271</v>
      </c>
      <c r="DL361" s="19" t="s">
        <v>2207</v>
      </c>
      <c r="DM361" s="22" t="s">
        <v>4008</v>
      </c>
      <c r="DN361" s="19">
        <v>1.0</v>
      </c>
      <c r="DO361" s="19">
        <v>1.0</v>
      </c>
      <c r="DP361" s="19" t="s">
        <v>8461</v>
      </c>
      <c r="DQ361" s="19" t="s">
        <v>8462</v>
      </c>
      <c r="DR361" s="19" t="s">
        <v>8463</v>
      </c>
      <c r="DS361" s="19" t="s">
        <v>2185</v>
      </c>
      <c r="DT361" s="19" t="s">
        <v>2209</v>
      </c>
      <c r="DU361" s="19"/>
      <c r="DV361" s="19"/>
      <c r="DW361" s="19" t="s">
        <v>2153</v>
      </c>
      <c r="DX361" s="19">
        <v>1.0</v>
      </c>
      <c r="DY361" s="19">
        <v>10.0</v>
      </c>
      <c r="DZ361" s="19">
        <v>0.0</v>
      </c>
      <c r="EA361" s="19">
        <v>10.0</v>
      </c>
      <c r="EB361" s="19">
        <v>0.0</v>
      </c>
      <c r="EC361" s="19">
        <v>0.0</v>
      </c>
      <c r="ED361" s="19" t="s">
        <v>3257</v>
      </c>
      <c r="EE361" s="24">
        <v>45518.0</v>
      </c>
      <c r="EF361" s="19" t="s">
        <v>3257</v>
      </c>
      <c r="EG361" s="19" t="s">
        <v>2271</v>
      </c>
      <c r="EH361" s="19" t="s">
        <v>2207</v>
      </c>
      <c r="EI361" s="22">
        <v>12.0</v>
      </c>
      <c r="EJ361" s="19">
        <v>45.0</v>
      </c>
      <c r="EK361" s="19"/>
      <c r="EL361" s="19" t="s">
        <v>2117</v>
      </c>
      <c r="EM361" s="19" t="s">
        <v>7836</v>
      </c>
      <c r="EN361" s="19" t="s">
        <v>1071</v>
      </c>
      <c r="EO361" s="19" t="s">
        <v>7839</v>
      </c>
      <c r="EP361" s="19" t="s">
        <v>2122</v>
      </c>
      <c r="EQ361" s="19" t="s">
        <v>3253</v>
      </c>
      <c r="ER361" s="19"/>
      <c r="ES361" s="19" t="s">
        <v>1071</v>
      </c>
      <c r="ET361" s="19" t="s">
        <v>1071</v>
      </c>
      <c r="EU361" s="19" t="s">
        <v>8452</v>
      </c>
      <c r="EV361" s="19">
        <v>7038.0</v>
      </c>
      <c r="EW361" s="19" t="s">
        <v>16</v>
      </c>
      <c r="EX361" s="19">
        <v>2.0</v>
      </c>
      <c r="EY361" s="25" t="s">
        <v>1070</v>
      </c>
      <c r="EZ361" s="19" t="s">
        <v>2154</v>
      </c>
      <c r="FA361" s="5" t="s">
        <v>8464</v>
      </c>
      <c r="FB361" s="26" t="s">
        <v>2156</v>
      </c>
      <c r="FC361" s="26"/>
    </row>
    <row r="362">
      <c r="A362" s="19" t="s">
        <v>2112</v>
      </c>
      <c r="B362" s="19"/>
      <c r="C362" s="19" t="s">
        <v>2113</v>
      </c>
      <c r="D362" s="19" t="s">
        <v>8465</v>
      </c>
      <c r="E362" s="19" t="s">
        <v>8466</v>
      </c>
      <c r="F362" s="19" t="s">
        <v>1072</v>
      </c>
      <c r="G362" s="19" t="s">
        <v>8467</v>
      </c>
      <c r="H362" s="19" t="s">
        <v>1072</v>
      </c>
      <c r="I362" s="19" t="s">
        <v>1074</v>
      </c>
      <c r="J362" s="19" t="s">
        <v>8468</v>
      </c>
      <c r="K362" s="19" t="s">
        <v>8469</v>
      </c>
      <c r="L362" s="20">
        <v>45445.0</v>
      </c>
      <c r="M362" s="20">
        <v>45446.0</v>
      </c>
      <c r="N362" s="20">
        <v>45446.0</v>
      </c>
      <c r="O362" s="19" t="s">
        <v>1073</v>
      </c>
      <c r="P362" s="19">
        <v>0.0</v>
      </c>
      <c r="Q362" s="19">
        <v>23.0</v>
      </c>
      <c r="R362" s="19">
        <v>8677.0</v>
      </c>
      <c r="S362" s="20" t="s">
        <v>8470</v>
      </c>
      <c r="T362" s="20">
        <v>45461.0</v>
      </c>
      <c r="U362" s="19" t="s">
        <v>1072</v>
      </c>
      <c r="V362" s="19"/>
      <c r="W362" s="19"/>
      <c r="X362" s="21">
        <v>0.0</v>
      </c>
      <c r="Y362" s="21">
        <v>10.0</v>
      </c>
      <c r="Z362" s="21">
        <v>2.0</v>
      </c>
      <c r="AA362" s="21">
        <v>0.0</v>
      </c>
      <c r="AB362" s="5">
        <v>12.0</v>
      </c>
      <c r="AC362" s="19">
        <v>5.0</v>
      </c>
      <c r="AD362" s="19">
        <v>4.8</v>
      </c>
      <c r="AE362" s="19">
        <v>4.8</v>
      </c>
      <c r="AF362" s="19">
        <v>4.8</v>
      </c>
      <c r="AG362" s="19">
        <v>3.8</v>
      </c>
      <c r="AH362" s="19">
        <v>4.6</v>
      </c>
      <c r="AI362" s="22">
        <v>14.043750000000001</v>
      </c>
      <c r="AJ362" s="19">
        <v>13.0</v>
      </c>
      <c r="AK362" s="19">
        <v>15.0</v>
      </c>
      <c r="AL362" s="19">
        <v>15.0</v>
      </c>
      <c r="AM362" s="19">
        <v>43.0</v>
      </c>
      <c r="AN362" s="19">
        <v>57.0</v>
      </c>
      <c r="AO362" s="19">
        <v>69.0</v>
      </c>
      <c r="AP362" s="19">
        <v>857.0</v>
      </c>
      <c r="AQ362" s="23">
        <v>355.0</v>
      </c>
      <c r="AR362" s="23">
        <v>26.0</v>
      </c>
      <c r="AS362" s="22"/>
      <c r="AT362" s="19" t="s">
        <v>2163</v>
      </c>
      <c r="AU362" s="19" t="s">
        <v>8471</v>
      </c>
      <c r="AV362" s="19" t="s">
        <v>8472</v>
      </c>
      <c r="AW362" s="19" t="s">
        <v>3923</v>
      </c>
      <c r="AX362" s="20">
        <v>36784.0</v>
      </c>
      <c r="AY362" s="19" t="s">
        <v>4564</v>
      </c>
      <c r="AZ362" s="19" t="s">
        <v>2445</v>
      </c>
      <c r="BA362" s="19" t="s">
        <v>8473</v>
      </c>
      <c r="BB362" s="19" t="s">
        <v>6034</v>
      </c>
      <c r="BC362" s="19" t="s">
        <v>8474</v>
      </c>
      <c r="BD362" s="19" t="s">
        <v>8475</v>
      </c>
      <c r="BE362" s="19" t="s">
        <v>8476</v>
      </c>
      <c r="BF362" s="19">
        <v>1.1963681933E10</v>
      </c>
      <c r="BG362" s="19" t="s">
        <v>2127</v>
      </c>
      <c r="BH362" s="19" t="s">
        <v>2128</v>
      </c>
      <c r="BI362" s="19"/>
      <c r="BJ362" s="19" t="s">
        <v>2128</v>
      </c>
      <c r="BK362" s="19" t="s">
        <v>17</v>
      </c>
      <c r="BL362" s="19"/>
      <c r="BM362" s="19" t="s">
        <v>5563</v>
      </c>
      <c r="BN362" s="19" t="s">
        <v>2708</v>
      </c>
      <c r="BO362" s="19" t="s">
        <v>3199</v>
      </c>
      <c r="BP362" s="19" t="s">
        <v>8477</v>
      </c>
      <c r="BQ362" s="19" t="s">
        <v>2325</v>
      </c>
      <c r="BR362" s="19" t="s">
        <v>2325</v>
      </c>
      <c r="BS362" s="19" t="s">
        <v>2134</v>
      </c>
      <c r="BT362" s="19" t="s">
        <v>118</v>
      </c>
      <c r="BU362" s="19" t="s">
        <v>8478</v>
      </c>
      <c r="BV362" s="19"/>
      <c r="BW362" s="19"/>
      <c r="BX362" s="19"/>
      <c r="BY362" s="19"/>
      <c r="BZ362" s="19" t="s">
        <v>2113</v>
      </c>
      <c r="CA362" s="19"/>
      <c r="CB362" s="19" t="s">
        <v>2113</v>
      </c>
      <c r="CC362" s="19" t="s">
        <v>2113</v>
      </c>
      <c r="CD362" s="19" t="s">
        <v>2137</v>
      </c>
      <c r="CE362" s="19" t="s">
        <v>16</v>
      </c>
      <c r="CF362" s="19"/>
      <c r="CG362" s="19"/>
      <c r="CH362" s="19" t="s">
        <v>16</v>
      </c>
      <c r="CI362" s="21">
        <v>0.0</v>
      </c>
      <c r="CJ362" s="19" t="s">
        <v>17</v>
      </c>
      <c r="CK362" s="19"/>
      <c r="CL362" s="19"/>
      <c r="CM362" s="19" t="s">
        <v>2138</v>
      </c>
      <c r="CN362" s="19" t="s">
        <v>3220</v>
      </c>
      <c r="CO362" s="19"/>
      <c r="CP362" s="19" t="s">
        <v>2140</v>
      </c>
      <c r="CQ362" s="19" t="s">
        <v>2113</v>
      </c>
      <c r="CR362" s="19" t="s">
        <v>2113</v>
      </c>
      <c r="CS362" s="19" t="s">
        <v>2113</v>
      </c>
      <c r="CT362" s="19" t="s">
        <v>2113</v>
      </c>
      <c r="CU362" s="19" t="s">
        <v>2113</v>
      </c>
      <c r="CV362" s="19" t="s">
        <v>2179</v>
      </c>
      <c r="CW362" s="19"/>
      <c r="CX362" s="19"/>
      <c r="CY362" s="19" t="s">
        <v>2113</v>
      </c>
      <c r="CZ362" s="19" t="s">
        <v>2113</v>
      </c>
      <c r="DA362" s="19" t="s">
        <v>16</v>
      </c>
      <c r="DB362" s="19" t="s">
        <v>17</v>
      </c>
      <c r="DC362" s="19" t="s">
        <v>2455</v>
      </c>
      <c r="DD362" s="19" t="s">
        <v>2113</v>
      </c>
      <c r="DE362" s="19" t="s">
        <v>2113</v>
      </c>
      <c r="DF362" s="19" t="s">
        <v>2433</v>
      </c>
      <c r="DG362" s="19" t="s">
        <v>2323</v>
      </c>
      <c r="DH362" s="19" t="s">
        <v>2144</v>
      </c>
      <c r="DI362" s="24">
        <v>45525.0</v>
      </c>
      <c r="DJ362" s="19" t="s">
        <v>2325</v>
      </c>
      <c r="DK362" s="19" t="s">
        <v>2145</v>
      </c>
      <c r="DL362" s="19" t="s">
        <v>2326</v>
      </c>
      <c r="DM362" s="19"/>
      <c r="DN362" s="19">
        <v>9.0</v>
      </c>
      <c r="DO362" s="19">
        <v>9.0</v>
      </c>
      <c r="DP362" s="19"/>
      <c r="DQ362" s="19"/>
      <c r="DR362" s="19"/>
      <c r="DS362" s="19" t="s">
        <v>2365</v>
      </c>
      <c r="DT362" s="19" t="s">
        <v>2301</v>
      </c>
      <c r="DU362" s="19" t="s">
        <v>8479</v>
      </c>
      <c r="DV362" s="19"/>
      <c r="DW362" s="19" t="s">
        <v>2479</v>
      </c>
      <c r="DX362" s="19">
        <v>11.0</v>
      </c>
      <c r="DY362" s="19">
        <v>10.0</v>
      </c>
      <c r="DZ362" s="19">
        <v>0.0</v>
      </c>
      <c r="EA362" s="19">
        <v>10.0</v>
      </c>
      <c r="EB362" s="19">
        <v>0.0</v>
      </c>
      <c r="EC362" s="19">
        <v>0.0</v>
      </c>
      <c r="ED362" s="19" t="s">
        <v>2325</v>
      </c>
      <c r="EE362" s="24">
        <v>45525.0</v>
      </c>
      <c r="EF362" s="19" t="s">
        <v>2325</v>
      </c>
      <c r="EG362" s="19" t="s">
        <v>2145</v>
      </c>
      <c r="EH362" s="19" t="s">
        <v>2326</v>
      </c>
      <c r="EI362" s="22">
        <v>14.043750000000001</v>
      </c>
      <c r="EJ362" s="19">
        <v>43.0</v>
      </c>
      <c r="EK362" s="19" t="s">
        <v>2113</v>
      </c>
      <c r="EL362" s="19" t="s">
        <v>2163</v>
      </c>
      <c r="EM362" s="19" t="s">
        <v>8471</v>
      </c>
      <c r="EN362" s="19" t="s">
        <v>1074</v>
      </c>
      <c r="EO362" s="19" t="s">
        <v>4564</v>
      </c>
      <c r="EP362" s="19" t="s">
        <v>2445</v>
      </c>
      <c r="EQ362" s="19" t="s">
        <v>3220</v>
      </c>
      <c r="ER362" s="19"/>
      <c r="ES362" s="19" t="s">
        <v>1074</v>
      </c>
      <c r="ET362" s="19" t="s">
        <v>1074</v>
      </c>
      <c r="EU362" s="19" t="s">
        <v>8469</v>
      </c>
      <c r="EV362" s="19">
        <v>8677.0</v>
      </c>
      <c r="EW362" s="19" t="s">
        <v>16</v>
      </c>
      <c r="EX362" s="19">
        <v>2.0</v>
      </c>
      <c r="EY362" s="25" t="s">
        <v>1073</v>
      </c>
      <c r="EZ362" s="19" t="s">
        <v>2154</v>
      </c>
      <c r="FA362" s="5" t="s">
        <v>8480</v>
      </c>
      <c r="FB362" s="26" t="s">
        <v>2156</v>
      </c>
      <c r="FC362" s="26"/>
    </row>
    <row r="363">
      <c r="A363" s="19" t="s">
        <v>2112</v>
      </c>
      <c r="B363" s="19"/>
      <c r="C363" s="19" t="s">
        <v>2113</v>
      </c>
      <c r="D363" s="19" t="s">
        <v>1075</v>
      </c>
      <c r="E363" s="19" t="s">
        <v>8481</v>
      </c>
      <c r="F363" s="19" t="s">
        <v>1075</v>
      </c>
      <c r="G363" s="19"/>
      <c r="H363" s="19" t="s">
        <v>1075</v>
      </c>
      <c r="I363" s="19" t="s">
        <v>1077</v>
      </c>
      <c r="J363" s="19" t="s">
        <v>8482</v>
      </c>
      <c r="K363" s="19" t="s">
        <v>8483</v>
      </c>
      <c r="L363" s="20">
        <v>45442.0</v>
      </c>
      <c r="M363" s="20">
        <v>45446.0</v>
      </c>
      <c r="N363" s="20">
        <v>45446.0</v>
      </c>
      <c r="O363" s="19" t="s">
        <v>1076</v>
      </c>
      <c r="P363" s="19">
        <v>0.0</v>
      </c>
      <c r="Q363" s="19">
        <v>22.0</v>
      </c>
      <c r="R363" s="19">
        <v>8137.0</v>
      </c>
      <c r="S363" s="20" t="s">
        <v>3589</v>
      </c>
      <c r="T363" s="20">
        <v>45461.0</v>
      </c>
      <c r="U363" s="19" t="s">
        <v>1075</v>
      </c>
      <c r="V363" s="19"/>
      <c r="W363" s="19"/>
      <c r="X363" s="21">
        <v>0.0</v>
      </c>
      <c r="Y363" s="21">
        <v>10.0</v>
      </c>
      <c r="Z363" s="21">
        <v>2.0</v>
      </c>
      <c r="AA363" s="21">
        <v>0.0</v>
      </c>
      <c r="AB363" s="5">
        <v>12.0</v>
      </c>
      <c r="AC363" s="19">
        <v>4.2</v>
      </c>
      <c r="AD363" s="19">
        <v>4.8</v>
      </c>
      <c r="AE363" s="19">
        <v>4.8</v>
      </c>
      <c r="AF363" s="19">
        <v>4.8</v>
      </c>
      <c r="AG363" s="19">
        <v>4.4</v>
      </c>
      <c r="AH363" s="19">
        <v>4.8</v>
      </c>
      <c r="AI363" s="22">
        <v>13.96875</v>
      </c>
      <c r="AJ363" s="19">
        <v>13.0</v>
      </c>
      <c r="AK363" s="19">
        <v>15.0</v>
      </c>
      <c r="AL363" s="19">
        <v>15.0</v>
      </c>
      <c r="AM363" s="19">
        <v>43.0</v>
      </c>
      <c r="AN363" s="19">
        <v>57.0</v>
      </c>
      <c r="AO363" s="19">
        <v>69.0</v>
      </c>
      <c r="AP363" s="19">
        <v>863.0</v>
      </c>
      <c r="AQ363" s="23">
        <v>356.0</v>
      </c>
      <c r="AR363" s="23">
        <v>27.0</v>
      </c>
      <c r="AS363" s="22"/>
      <c r="AT363" s="19" t="s">
        <v>2163</v>
      </c>
      <c r="AU363" s="19" t="s">
        <v>8484</v>
      </c>
      <c r="AV363" s="19" t="s">
        <v>8485</v>
      </c>
      <c r="AW363" s="19" t="s">
        <v>4717</v>
      </c>
      <c r="AX363" s="20">
        <v>37324.0</v>
      </c>
      <c r="AY363" s="19" t="s">
        <v>4978</v>
      </c>
      <c r="AZ363" s="19" t="s">
        <v>2122</v>
      </c>
      <c r="BA363" s="19" t="s">
        <v>8486</v>
      </c>
      <c r="BB363" s="19" t="s">
        <v>6469</v>
      </c>
      <c r="BC363" s="19" t="s">
        <v>8487</v>
      </c>
      <c r="BD363" s="19" t="s">
        <v>8488</v>
      </c>
      <c r="BE363" s="19" t="s">
        <v>8489</v>
      </c>
      <c r="BF363" s="19">
        <v>1.1954231318E10</v>
      </c>
      <c r="BG363" s="19" t="s">
        <v>2127</v>
      </c>
      <c r="BH363" s="19" t="s">
        <v>2128</v>
      </c>
      <c r="BI363" s="19"/>
      <c r="BJ363" s="19"/>
      <c r="BK363" s="19" t="s">
        <v>16</v>
      </c>
      <c r="BL363" s="19"/>
      <c r="BM363" s="19" t="s">
        <v>5563</v>
      </c>
      <c r="BN363" s="19" t="s">
        <v>2708</v>
      </c>
      <c r="BO363" s="19" t="s">
        <v>3199</v>
      </c>
      <c r="BP363" s="19"/>
      <c r="BQ363" s="19" t="s">
        <v>2318</v>
      </c>
      <c r="BR363" s="19" t="s">
        <v>2318</v>
      </c>
      <c r="BS363" s="19" t="s">
        <v>2243</v>
      </c>
      <c r="BT363" s="19" t="s">
        <v>42</v>
      </c>
      <c r="BU363" s="19" t="s">
        <v>7394</v>
      </c>
      <c r="BV363" s="19"/>
      <c r="BW363" s="19"/>
      <c r="BX363" s="19"/>
      <c r="BY363" s="19" t="s">
        <v>2113</v>
      </c>
      <c r="BZ363" s="19"/>
      <c r="CA363" s="19"/>
      <c r="CB363" s="19" t="s">
        <v>2113</v>
      </c>
      <c r="CC363" s="19"/>
      <c r="CD363" s="19" t="s">
        <v>2137</v>
      </c>
      <c r="CE363" s="19" t="s">
        <v>16</v>
      </c>
      <c r="CF363" s="19"/>
      <c r="CG363" s="19"/>
      <c r="CH363" s="19" t="s">
        <v>16</v>
      </c>
      <c r="CI363" s="21">
        <v>0.0</v>
      </c>
      <c r="CJ363" s="19" t="s">
        <v>17</v>
      </c>
      <c r="CK363" s="19"/>
      <c r="CL363" s="19"/>
      <c r="CM363" s="19" t="s">
        <v>2138</v>
      </c>
      <c r="CN363" s="19" t="s">
        <v>4985</v>
      </c>
      <c r="CO363" s="19"/>
      <c r="CP363" s="19" t="s">
        <v>2267</v>
      </c>
      <c r="CQ363" s="19"/>
      <c r="CR363" s="19" t="s">
        <v>2113</v>
      </c>
      <c r="CS363" s="19" t="s">
        <v>2113</v>
      </c>
      <c r="CT363" s="19" t="s">
        <v>2113</v>
      </c>
      <c r="CU363" s="19" t="s">
        <v>2113</v>
      </c>
      <c r="CV363" s="19" t="s">
        <v>2141</v>
      </c>
      <c r="CW363" s="19"/>
      <c r="CX363" s="19"/>
      <c r="CY363" s="19" t="s">
        <v>2113</v>
      </c>
      <c r="CZ363" s="19" t="s">
        <v>2113</v>
      </c>
      <c r="DA363" s="19" t="s">
        <v>16</v>
      </c>
      <c r="DB363" s="19" t="s">
        <v>17</v>
      </c>
      <c r="DC363" s="19" t="s">
        <v>2983</v>
      </c>
      <c r="DD363" s="19" t="s">
        <v>2113</v>
      </c>
      <c r="DE363" s="19" t="s">
        <v>2113</v>
      </c>
      <c r="DF363" s="19" t="s">
        <v>2982</v>
      </c>
      <c r="DG363" s="19" t="s">
        <v>2712</v>
      </c>
      <c r="DH363" s="19" t="s">
        <v>2144</v>
      </c>
      <c r="DI363" s="24">
        <v>45525.0</v>
      </c>
      <c r="DJ363" s="19" t="s">
        <v>2325</v>
      </c>
      <c r="DK363" s="19" t="s">
        <v>2145</v>
      </c>
      <c r="DL363" s="19" t="s">
        <v>2326</v>
      </c>
      <c r="DM363" s="19"/>
      <c r="DN363" s="19">
        <v>9.0</v>
      </c>
      <c r="DO363" s="19">
        <v>9.0</v>
      </c>
      <c r="DP363" s="19" t="s">
        <v>8490</v>
      </c>
      <c r="DQ363" s="19" t="s">
        <v>8491</v>
      </c>
      <c r="DR363" s="19" t="s">
        <v>8492</v>
      </c>
      <c r="DS363" s="19" t="s">
        <v>2365</v>
      </c>
      <c r="DT363" s="19" t="s">
        <v>2209</v>
      </c>
      <c r="DU363" s="19"/>
      <c r="DV363" s="19"/>
      <c r="DW363" s="19" t="s">
        <v>2153</v>
      </c>
      <c r="DX363" s="19">
        <v>9.0</v>
      </c>
      <c r="DY363" s="19">
        <v>10.0</v>
      </c>
      <c r="DZ363" s="19">
        <v>0.0</v>
      </c>
      <c r="EA363" s="19">
        <v>10.0</v>
      </c>
      <c r="EB363" s="19">
        <v>0.0</v>
      </c>
      <c r="EC363" s="19">
        <v>0.0</v>
      </c>
      <c r="ED363" s="19" t="s">
        <v>2325</v>
      </c>
      <c r="EE363" s="24">
        <v>45525.0</v>
      </c>
      <c r="EF363" s="19" t="s">
        <v>2325</v>
      </c>
      <c r="EG363" s="19" t="s">
        <v>2145</v>
      </c>
      <c r="EH363" s="19" t="s">
        <v>2326</v>
      </c>
      <c r="EI363" s="22">
        <v>13.96875</v>
      </c>
      <c r="EJ363" s="19">
        <v>43.0</v>
      </c>
      <c r="EK363" s="19" t="s">
        <v>2113</v>
      </c>
      <c r="EL363" s="19" t="s">
        <v>2163</v>
      </c>
      <c r="EM363" s="19" t="s">
        <v>8484</v>
      </c>
      <c r="EN363" s="19" t="s">
        <v>1077</v>
      </c>
      <c r="EO363" s="19" t="s">
        <v>4978</v>
      </c>
      <c r="EP363" s="19" t="s">
        <v>2122</v>
      </c>
      <c r="EQ363" s="19" t="s">
        <v>4985</v>
      </c>
      <c r="ER363" s="19"/>
      <c r="ES363" s="19" t="s">
        <v>1077</v>
      </c>
      <c r="ET363" s="19" t="s">
        <v>1077</v>
      </c>
      <c r="EU363" s="19" t="s">
        <v>8483</v>
      </c>
      <c r="EV363" s="19">
        <v>8137.0</v>
      </c>
      <c r="EW363" s="19" t="s">
        <v>16</v>
      </c>
      <c r="EX363" s="19">
        <v>2.0</v>
      </c>
      <c r="EY363" s="25" t="s">
        <v>1076</v>
      </c>
      <c r="EZ363" s="19" t="s">
        <v>2154</v>
      </c>
      <c r="FA363" s="5" t="s">
        <v>8493</v>
      </c>
      <c r="FB363" s="26" t="s">
        <v>2156</v>
      </c>
      <c r="FC363" s="26"/>
    </row>
    <row r="364">
      <c r="A364" s="19" t="s">
        <v>2156</v>
      </c>
      <c r="B364" s="19"/>
      <c r="C364" s="19" t="s">
        <v>2113</v>
      </c>
      <c r="D364" s="19" t="s">
        <v>8494</v>
      </c>
      <c r="E364" s="19" t="s">
        <v>8494</v>
      </c>
      <c r="F364" s="19" t="s">
        <v>8494</v>
      </c>
      <c r="G364" s="19" t="s">
        <v>8494</v>
      </c>
      <c r="H364" s="19" t="s">
        <v>1078</v>
      </c>
      <c r="I364" s="19" t="s">
        <v>1080</v>
      </c>
      <c r="J364" s="19" t="s">
        <v>8495</v>
      </c>
      <c r="K364" s="19" t="s">
        <v>8496</v>
      </c>
      <c r="L364" s="20">
        <v>45402.0</v>
      </c>
      <c r="M364" s="20">
        <v>45411.0</v>
      </c>
      <c r="N364" s="20">
        <v>45411.0</v>
      </c>
      <c r="O364" s="19" t="s">
        <v>1079</v>
      </c>
      <c r="P364" s="19">
        <v>0.0</v>
      </c>
      <c r="Q364" s="19">
        <v>26.0</v>
      </c>
      <c r="R364" s="19">
        <v>9602.0</v>
      </c>
      <c r="S364" s="20" t="s">
        <v>8497</v>
      </c>
      <c r="T364" s="20">
        <v>45461.0</v>
      </c>
      <c r="U364" s="19" t="s">
        <v>8494</v>
      </c>
      <c r="V364" s="19"/>
      <c r="W364" s="19"/>
      <c r="X364" s="21">
        <v>0.0</v>
      </c>
      <c r="Y364" s="21">
        <v>10.0</v>
      </c>
      <c r="Z364" s="21">
        <v>1.0</v>
      </c>
      <c r="AA364" s="21">
        <v>0.0</v>
      </c>
      <c r="AB364" s="5">
        <v>11.0</v>
      </c>
      <c r="AC364" s="19">
        <v>5.0</v>
      </c>
      <c r="AD364" s="19">
        <v>5.0</v>
      </c>
      <c r="AE364" s="19">
        <v>5.0</v>
      </c>
      <c r="AF364" s="19">
        <v>5.0</v>
      </c>
      <c r="AG364" s="19">
        <v>5.0</v>
      </c>
      <c r="AH364" s="19">
        <v>5.0</v>
      </c>
      <c r="AI364" s="22">
        <v>15.0</v>
      </c>
      <c r="AJ364" s="19">
        <v>14.0</v>
      </c>
      <c r="AK364" s="19">
        <v>15.0</v>
      </c>
      <c r="AL364" s="19">
        <v>14.0</v>
      </c>
      <c r="AM364" s="19">
        <v>43.0</v>
      </c>
      <c r="AN364" s="19">
        <v>58.0</v>
      </c>
      <c r="AO364" s="19">
        <v>69.0</v>
      </c>
      <c r="AP364" s="19">
        <v>920.0</v>
      </c>
      <c r="AQ364" s="23">
        <v>357.0</v>
      </c>
      <c r="AR364" s="23">
        <v>27.0</v>
      </c>
      <c r="AS364" s="22"/>
      <c r="AT364" s="19" t="s">
        <v>2163</v>
      </c>
      <c r="AU364" s="19" t="s">
        <v>8498</v>
      </c>
      <c r="AV364" s="19" t="s">
        <v>8499</v>
      </c>
      <c r="AW364" s="19"/>
      <c r="AX364" s="20">
        <v>35859.0</v>
      </c>
      <c r="AY364" s="19" t="s">
        <v>3494</v>
      </c>
      <c r="AZ364" s="19" t="s">
        <v>2310</v>
      </c>
      <c r="BA364" s="19" t="s">
        <v>8500</v>
      </c>
      <c r="BB364" s="19" t="s">
        <v>5038</v>
      </c>
      <c r="BC364" s="19" t="s">
        <v>8501</v>
      </c>
      <c r="BD364" s="19" t="s">
        <v>8502</v>
      </c>
      <c r="BE364" s="19" t="s">
        <v>8495</v>
      </c>
      <c r="BF364" s="19" t="s">
        <v>8503</v>
      </c>
      <c r="BG364" s="19" t="s">
        <v>2127</v>
      </c>
      <c r="BH364" s="19" t="s">
        <v>2128</v>
      </c>
      <c r="BI364" s="19"/>
      <c r="BJ364" s="19" t="s">
        <v>2128</v>
      </c>
      <c r="BK364" s="19" t="s">
        <v>17</v>
      </c>
      <c r="BL364" s="19"/>
      <c r="BM364" s="19" t="s">
        <v>5411</v>
      </c>
      <c r="BN364" s="19" t="s">
        <v>17</v>
      </c>
      <c r="BO364" s="19" t="s">
        <v>3082</v>
      </c>
      <c r="BP364" s="19"/>
      <c r="BQ364" s="19" t="s">
        <v>2325</v>
      </c>
      <c r="BR364" s="19" t="s">
        <v>2325</v>
      </c>
      <c r="BS364" s="19" t="s">
        <v>2134</v>
      </c>
      <c r="BT364" s="19" t="s">
        <v>118</v>
      </c>
      <c r="BU364" s="19" t="s">
        <v>7637</v>
      </c>
      <c r="BV364" s="19"/>
      <c r="BW364" s="19" t="s">
        <v>2113</v>
      </c>
      <c r="BX364" s="19"/>
      <c r="BY364" s="19"/>
      <c r="BZ364" s="19"/>
      <c r="CA364" s="19"/>
      <c r="CB364" s="19" t="s">
        <v>2113</v>
      </c>
      <c r="CC364" s="19"/>
      <c r="CD364" s="19" t="s">
        <v>2137</v>
      </c>
      <c r="CE364" s="19" t="s">
        <v>16</v>
      </c>
      <c r="CF364" s="19"/>
      <c r="CG364" s="19"/>
      <c r="CH364" s="19" t="s">
        <v>16</v>
      </c>
      <c r="CI364" s="21">
        <v>0.0</v>
      </c>
      <c r="CJ364" s="19" t="s">
        <v>16</v>
      </c>
      <c r="CK364" s="19"/>
      <c r="CL364" s="19"/>
      <c r="CM364" s="19" t="s">
        <v>2344</v>
      </c>
      <c r="CN364" s="19" t="s">
        <v>3503</v>
      </c>
      <c r="CO364" s="19"/>
      <c r="CP364" s="19" t="s">
        <v>2140</v>
      </c>
      <c r="CQ364" s="19"/>
      <c r="CR364" s="19" t="s">
        <v>2113</v>
      </c>
      <c r="CS364" s="19" t="s">
        <v>2113</v>
      </c>
      <c r="CT364" s="19" t="s">
        <v>2113</v>
      </c>
      <c r="CU364" s="19" t="s">
        <v>2113</v>
      </c>
      <c r="CV364" s="19" t="s">
        <v>2141</v>
      </c>
      <c r="CW364" s="19" t="s">
        <v>2113</v>
      </c>
      <c r="CX364" s="19" t="s">
        <v>2113</v>
      </c>
      <c r="CY364" s="19" t="s">
        <v>2113</v>
      </c>
      <c r="CZ364" s="19" t="s">
        <v>2113</v>
      </c>
      <c r="DA364" s="19" t="s">
        <v>16</v>
      </c>
      <c r="DB364" s="19" t="s">
        <v>16</v>
      </c>
      <c r="DC364" s="19" t="s">
        <v>3933</v>
      </c>
      <c r="DD364" s="19" t="s">
        <v>2113</v>
      </c>
      <c r="DE364" s="19" t="s">
        <v>2113</v>
      </c>
      <c r="DF364" s="19" t="s">
        <v>3221</v>
      </c>
      <c r="DG364" s="19" t="s">
        <v>3933</v>
      </c>
      <c r="DH364" s="19" t="s">
        <v>2144</v>
      </c>
      <c r="DI364" s="24">
        <v>45518.0</v>
      </c>
      <c r="DJ364" s="19" t="s">
        <v>2325</v>
      </c>
      <c r="DK364" s="19" t="s">
        <v>2145</v>
      </c>
      <c r="DL364" s="19" t="s">
        <v>2326</v>
      </c>
      <c r="DM364" s="19"/>
      <c r="DN364" s="19">
        <v>3.0</v>
      </c>
      <c r="DO364" s="19">
        <v>3.0</v>
      </c>
      <c r="DP364" s="19" t="s">
        <v>8504</v>
      </c>
      <c r="DQ364" s="19" t="s">
        <v>8505</v>
      </c>
      <c r="DR364" s="19" t="s">
        <v>8506</v>
      </c>
      <c r="DS364" s="19" t="s">
        <v>2185</v>
      </c>
      <c r="DT364" s="19" t="s">
        <v>2152</v>
      </c>
      <c r="DU364" s="19"/>
      <c r="DV364" s="19"/>
      <c r="DW364" s="19" t="s">
        <v>2153</v>
      </c>
      <c r="DX364" s="19">
        <v>3.0</v>
      </c>
      <c r="DY364" s="19">
        <v>10.0</v>
      </c>
      <c r="DZ364" s="19">
        <v>0.0</v>
      </c>
      <c r="EA364" s="19">
        <v>10.0</v>
      </c>
      <c r="EB364" s="19">
        <v>0.0</v>
      </c>
      <c r="EC364" s="19">
        <v>0.0</v>
      </c>
      <c r="ED364" s="19" t="s">
        <v>2325</v>
      </c>
      <c r="EE364" s="24">
        <v>45518.0</v>
      </c>
      <c r="EF364" s="19" t="s">
        <v>2325</v>
      </c>
      <c r="EG364" s="19" t="s">
        <v>2145</v>
      </c>
      <c r="EH364" s="19" t="s">
        <v>2326</v>
      </c>
      <c r="EI364" s="22">
        <v>15.0</v>
      </c>
      <c r="EJ364" s="19">
        <v>43.0</v>
      </c>
      <c r="EK364" s="19"/>
      <c r="EL364" s="19" t="s">
        <v>2163</v>
      </c>
      <c r="EM364" s="19" t="s">
        <v>8498</v>
      </c>
      <c r="EN364" s="19" t="s">
        <v>1080</v>
      </c>
      <c r="EO364" s="19" t="s">
        <v>3494</v>
      </c>
      <c r="EP364" s="19" t="s">
        <v>2310</v>
      </c>
      <c r="EQ364" s="19" t="s">
        <v>3503</v>
      </c>
      <c r="ER364" s="19"/>
      <c r="ES364" s="19" t="s">
        <v>1080</v>
      </c>
      <c r="ET364" s="19" t="s">
        <v>1080</v>
      </c>
      <c r="EU364" s="19" t="s">
        <v>8496</v>
      </c>
      <c r="EV364" s="19">
        <v>9602.0</v>
      </c>
      <c r="EW364" s="19" t="s">
        <v>16</v>
      </c>
      <c r="EX364" s="19">
        <v>1.0</v>
      </c>
      <c r="EY364" s="25" t="s">
        <v>1079</v>
      </c>
      <c r="EZ364" s="19" t="s">
        <v>2154</v>
      </c>
      <c r="FA364" s="5" t="s">
        <v>8507</v>
      </c>
      <c r="FB364" s="26" t="s">
        <v>2156</v>
      </c>
      <c r="FC364" s="26"/>
    </row>
    <row r="365">
      <c r="A365" s="19" t="s">
        <v>8508</v>
      </c>
      <c r="B365" s="19"/>
      <c r="C365" s="19" t="s">
        <v>2113</v>
      </c>
      <c r="D365" s="19" t="s">
        <v>8509</v>
      </c>
      <c r="E365" s="19" t="s">
        <v>8510</v>
      </c>
      <c r="F365" s="19" t="s">
        <v>8511</v>
      </c>
      <c r="G365" s="19" t="s">
        <v>8512</v>
      </c>
      <c r="H365" s="19" t="s">
        <v>1081</v>
      </c>
      <c r="I365" s="19" t="s">
        <v>1083</v>
      </c>
      <c r="J365" s="19" t="s">
        <v>8513</v>
      </c>
      <c r="K365" s="19" t="s">
        <v>8514</v>
      </c>
      <c r="L365" s="20">
        <v>45447.0</v>
      </c>
      <c r="M365" s="20">
        <v>45448.0</v>
      </c>
      <c r="N365" s="20">
        <v>45448.0</v>
      </c>
      <c r="O365" s="19" t="s">
        <v>1082</v>
      </c>
      <c r="P365" s="19">
        <v>0.0</v>
      </c>
      <c r="Q365" s="19">
        <v>23.0</v>
      </c>
      <c r="R365" s="19">
        <v>8665.0</v>
      </c>
      <c r="S365" s="20" t="s">
        <v>2990</v>
      </c>
      <c r="T365" s="20">
        <v>45461.0</v>
      </c>
      <c r="U365" s="19" t="s">
        <v>8511</v>
      </c>
      <c r="V365" s="19"/>
      <c r="W365" s="19" t="s">
        <v>3380</v>
      </c>
      <c r="X365" s="21">
        <v>0.0</v>
      </c>
      <c r="Y365" s="21">
        <v>10.0</v>
      </c>
      <c r="Z365" s="21">
        <v>4.0</v>
      </c>
      <c r="AA365" s="21">
        <v>0.0</v>
      </c>
      <c r="AB365" s="5">
        <v>14.0</v>
      </c>
      <c r="AC365" s="19">
        <v>5.0</v>
      </c>
      <c r="AD365" s="19">
        <v>5.0</v>
      </c>
      <c r="AE365" s="19">
        <v>5.0</v>
      </c>
      <c r="AF365" s="19">
        <v>4.0</v>
      </c>
      <c r="AG365" s="19">
        <v>4.0</v>
      </c>
      <c r="AH365" s="19">
        <v>4.0</v>
      </c>
      <c r="AI365" s="22">
        <v>13.875</v>
      </c>
      <c r="AJ365" s="19">
        <v>15.0</v>
      </c>
      <c r="AK365" s="19">
        <v>13.0</v>
      </c>
      <c r="AL365" s="19">
        <v>13.0</v>
      </c>
      <c r="AM365" s="19">
        <v>41.0</v>
      </c>
      <c r="AN365" s="19">
        <v>54.9</v>
      </c>
      <c r="AO365" s="19">
        <v>68.9</v>
      </c>
      <c r="AP365" s="19">
        <v>600.0</v>
      </c>
      <c r="AQ365" s="23">
        <v>358.0</v>
      </c>
      <c r="AR365" s="23">
        <v>27.0</v>
      </c>
      <c r="AS365" s="22"/>
      <c r="AT365" s="19" t="s">
        <v>2117</v>
      </c>
      <c r="AU365" s="19" t="s">
        <v>8515</v>
      </c>
      <c r="AV365" s="19" t="s">
        <v>8516</v>
      </c>
      <c r="AW365" s="19" t="s">
        <v>2166</v>
      </c>
      <c r="AX365" s="20">
        <v>36796.0</v>
      </c>
      <c r="AY365" s="19" t="s">
        <v>2375</v>
      </c>
      <c r="AZ365" s="19" t="s">
        <v>2122</v>
      </c>
      <c r="BA365" s="19" t="s">
        <v>8517</v>
      </c>
      <c r="BB365" s="19" t="s">
        <v>8518</v>
      </c>
      <c r="BC365" s="19" t="s">
        <v>8519</v>
      </c>
      <c r="BD365" s="19" t="s">
        <v>8520</v>
      </c>
      <c r="BE365" s="19" t="s">
        <v>8521</v>
      </c>
      <c r="BF365" s="19">
        <v>1.1960998662E10</v>
      </c>
      <c r="BG365" s="19" t="s">
        <v>2127</v>
      </c>
      <c r="BH365" s="19" t="s">
        <v>2128</v>
      </c>
      <c r="BI365" s="19"/>
      <c r="BJ365" s="19" t="s">
        <v>2128</v>
      </c>
      <c r="BK365" s="19" t="s">
        <v>17</v>
      </c>
      <c r="BL365" s="19"/>
      <c r="BM365" s="19" t="s">
        <v>5411</v>
      </c>
      <c r="BN365" s="19" t="s">
        <v>2401</v>
      </c>
      <c r="BO365" s="19" t="s">
        <v>2317</v>
      </c>
      <c r="BP365" s="19"/>
      <c r="BQ365" s="19" t="s">
        <v>2133</v>
      </c>
      <c r="BR365" s="19" t="s">
        <v>2133</v>
      </c>
      <c r="BS365" s="19" t="s">
        <v>2134</v>
      </c>
      <c r="BT365" s="19" t="s">
        <v>52</v>
      </c>
      <c r="BU365" s="19" t="s">
        <v>5988</v>
      </c>
      <c r="BV365" s="19"/>
      <c r="BW365" s="19"/>
      <c r="BX365" s="19"/>
      <c r="BY365" s="19" t="s">
        <v>2113</v>
      </c>
      <c r="BZ365" s="19"/>
      <c r="CA365" s="19"/>
      <c r="CB365" s="19" t="s">
        <v>2113</v>
      </c>
      <c r="CC365" s="19"/>
      <c r="CD365" s="19" t="s">
        <v>2137</v>
      </c>
      <c r="CE365" s="19" t="s">
        <v>16</v>
      </c>
      <c r="CF365" s="19"/>
      <c r="CG365" s="19"/>
      <c r="CH365" s="19" t="s">
        <v>16</v>
      </c>
      <c r="CI365" s="21">
        <v>0.0</v>
      </c>
      <c r="CJ365" s="19" t="s">
        <v>17</v>
      </c>
      <c r="CK365" s="19"/>
      <c r="CL365" s="19" t="s">
        <v>2113</v>
      </c>
      <c r="CM365" s="19" t="s">
        <v>3102</v>
      </c>
      <c r="CN365" s="19" t="s">
        <v>2382</v>
      </c>
      <c r="CO365" s="19"/>
      <c r="CP365" s="19" t="s">
        <v>2140</v>
      </c>
      <c r="CQ365" s="19"/>
      <c r="CR365" s="19" t="s">
        <v>2113</v>
      </c>
      <c r="CS365" s="19" t="s">
        <v>2113</v>
      </c>
      <c r="CT365" s="19" t="s">
        <v>2113</v>
      </c>
      <c r="CU365" s="19" t="s">
        <v>2113</v>
      </c>
      <c r="CV365" s="19" t="s">
        <v>2141</v>
      </c>
      <c r="CW365" s="19"/>
      <c r="CX365" s="19"/>
      <c r="CY365" s="19" t="s">
        <v>2113</v>
      </c>
      <c r="CZ365" s="19" t="s">
        <v>2113</v>
      </c>
      <c r="DA365" s="19" t="s">
        <v>16</v>
      </c>
      <c r="DB365" s="19" t="s">
        <v>17</v>
      </c>
      <c r="DC365" s="19" t="s">
        <v>2579</v>
      </c>
      <c r="DD365" s="19" t="s">
        <v>2113</v>
      </c>
      <c r="DE365" s="19" t="s">
        <v>2113</v>
      </c>
      <c r="DF365" s="19" t="s">
        <v>2297</v>
      </c>
      <c r="DG365" s="19" t="s">
        <v>2477</v>
      </c>
      <c r="DH365" s="19" t="s">
        <v>2144</v>
      </c>
      <c r="DI365" s="24">
        <v>45525.0</v>
      </c>
      <c r="DJ365" s="19" t="s">
        <v>2133</v>
      </c>
      <c r="DK365" s="19" t="s">
        <v>2145</v>
      </c>
      <c r="DL365" s="19" t="s">
        <v>2146</v>
      </c>
      <c r="DM365" s="19" t="s">
        <v>3003</v>
      </c>
      <c r="DN365" s="19">
        <v>9.0</v>
      </c>
      <c r="DO365" s="19">
        <v>9.0</v>
      </c>
      <c r="DP365" s="19" t="s">
        <v>8522</v>
      </c>
      <c r="DQ365" s="19" t="s">
        <v>8523</v>
      </c>
      <c r="DR365" s="19" t="s">
        <v>8524</v>
      </c>
      <c r="DS365" s="19" t="s">
        <v>2365</v>
      </c>
      <c r="DT365" s="19" t="s">
        <v>2366</v>
      </c>
      <c r="DU365" s="19"/>
      <c r="DV365" s="19"/>
      <c r="DW365" s="19" t="s">
        <v>2188</v>
      </c>
      <c r="DX365" s="19">
        <v>10.0</v>
      </c>
      <c r="DY365" s="19">
        <v>10.0</v>
      </c>
      <c r="DZ365" s="19">
        <v>0.0</v>
      </c>
      <c r="EA365" s="19">
        <v>10.0</v>
      </c>
      <c r="EB365" s="19">
        <v>0.0</v>
      </c>
      <c r="EC365" s="19">
        <v>0.0</v>
      </c>
      <c r="ED365" s="19" t="s">
        <v>2133</v>
      </c>
      <c r="EE365" s="24">
        <v>45525.0</v>
      </c>
      <c r="EF365" s="19" t="s">
        <v>2133</v>
      </c>
      <c r="EG365" s="19" t="s">
        <v>2145</v>
      </c>
      <c r="EH365" s="19" t="s">
        <v>2146</v>
      </c>
      <c r="EI365" s="22">
        <v>13.875</v>
      </c>
      <c r="EJ365" s="19">
        <v>41.0</v>
      </c>
      <c r="EK365" s="19" t="s">
        <v>2113</v>
      </c>
      <c r="EL365" s="19" t="s">
        <v>2117</v>
      </c>
      <c r="EM365" s="19" t="s">
        <v>8515</v>
      </c>
      <c r="EN365" s="19" t="s">
        <v>1083</v>
      </c>
      <c r="EO365" s="19" t="s">
        <v>2375</v>
      </c>
      <c r="EP365" s="19" t="s">
        <v>2122</v>
      </c>
      <c r="EQ365" s="19" t="s">
        <v>2382</v>
      </c>
      <c r="ER365" s="19"/>
      <c r="ES365" s="19" t="s">
        <v>1083</v>
      </c>
      <c r="ET365" s="19" t="s">
        <v>1083</v>
      </c>
      <c r="EU365" s="19" t="s">
        <v>8514</v>
      </c>
      <c r="EV365" s="19">
        <v>8665.0</v>
      </c>
      <c r="EW365" s="19" t="s">
        <v>16</v>
      </c>
      <c r="EX365" s="19">
        <v>4.0</v>
      </c>
      <c r="EY365" s="25" t="s">
        <v>1082</v>
      </c>
      <c r="EZ365" s="19" t="s">
        <v>2154</v>
      </c>
      <c r="FA365" s="5" t="s">
        <v>8525</v>
      </c>
      <c r="FB365" s="26" t="s">
        <v>2156</v>
      </c>
      <c r="FC365" s="26"/>
    </row>
    <row r="366">
      <c r="A366" s="19" t="s">
        <v>17</v>
      </c>
      <c r="B366" s="19"/>
      <c r="C366" s="19" t="s">
        <v>2113</v>
      </c>
      <c r="D366" s="19" t="s">
        <v>1084</v>
      </c>
      <c r="E366" s="19" t="s">
        <v>8526</v>
      </c>
      <c r="F366" s="19" t="s">
        <v>1084</v>
      </c>
      <c r="G366" s="19" t="s">
        <v>8526</v>
      </c>
      <c r="H366" s="19" t="s">
        <v>1084</v>
      </c>
      <c r="I366" s="19" t="s">
        <v>1086</v>
      </c>
      <c r="J366" s="19" t="s">
        <v>8527</v>
      </c>
      <c r="K366" s="19" t="s">
        <v>8528</v>
      </c>
      <c r="L366" s="20">
        <v>45446.0</v>
      </c>
      <c r="M366" s="20">
        <v>45447.0</v>
      </c>
      <c r="N366" s="20">
        <v>45447.0</v>
      </c>
      <c r="O366" s="19" t="s">
        <v>1085</v>
      </c>
      <c r="P366" s="19">
        <v>0.0</v>
      </c>
      <c r="Q366" s="19">
        <v>23.0</v>
      </c>
      <c r="R366" s="19">
        <v>8749.0</v>
      </c>
      <c r="S366" s="20" t="s">
        <v>8529</v>
      </c>
      <c r="T366" s="20">
        <v>45461.0</v>
      </c>
      <c r="U366" s="19" t="s">
        <v>1084</v>
      </c>
      <c r="V366" s="19"/>
      <c r="W366" s="19" t="s">
        <v>8530</v>
      </c>
      <c r="X366" s="21">
        <v>0.0</v>
      </c>
      <c r="Y366" s="21">
        <v>10.0</v>
      </c>
      <c r="Z366" s="21">
        <v>3.0</v>
      </c>
      <c r="AA366" s="21">
        <v>0.0</v>
      </c>
      <c r="AB366" s="5">
        <v>13.0</v>
      </c>
      <c r="AC366" s="19">
        <v>4.0</v>
      </c>
      <c r="AD366" s="19">
        <v>4.0</v>
      </c>
      <c r="AE366" s="19">
        <v>3.0</v>
      </c>
      <c r="AF366" s="19">
        <v>4.0</v>
      </c>
      <c r="AG366" s="19">
        <v>3.0</v>
      </c>
      <c r="AH366" s="19">
        <v>4.0</v>
      </c>
      <c r="AI366" s="22">
        <v>10.875</v>
      </c>
      <c r="AJ366" s="19">
        <v>15.0</v>
      </c>
      <c r="AK366" s="19">
        <v>15.0</v>
      </c>
      <c r="AL366" s="19">
        <v>15.0</v>
      </c>
      <c r="AM366" s="19">
        <v>45.0</v>
      </c>
      <c r="AN366" s="19">
        <v>55.9</v>
      </c>
      <c r="AO366" s="19">
        <v>68.9</v>
      </c>
      <c r="AP366" s="19">
        <v>711.0</v>
      </c>
      <c r="AQ366" s="23">
        <v>359.0</v>
      </c>
      <c r="AR366" s="23">
        <v>26.0</v>
      </c>
      <c r="AS366" s="22"/>
      <c r="AT366" s="19" t="s">
        <v>2117</v>
      </c>
      <c r="AU366" s="19" t="s">
        <v>8531</v>
      </c>
      <c r="AV366" s="19" t="s">
        <v>8532</v>
      </c>
      <c r="AW366" s="19"/>
      <c r="AX366" s="20">
        <v>36712.0</v>
      </c>
      <c r="AY366" s="19" t="s">
        <v>3905</v>
      </c>
      <c r="AZ366" s="19" t="s">
        <v>2995</v>
      </c>
      <c r="BA366" s="19" t="s">
        <v>8533</v>
      </c>
      <c r="BB366" s="19" t="s">
        <v>2447</v>
      </c>
      <c r="BC366" s="19" t="s">
        <v>8534</v>
      </c>
      <c r="BD366" s="19" t="s">
        <v>8535</v>
      </c>
      <c r="BE366" s="19" t="s">
        <v>8527</v>
      </c>
      <c r="BF366" s="19">
        <v>1.1987019099E10</v>
      </c>
      <c r="BG366" s="19" t="s">
        <v>2127</v>
      </c>
      <c r="BH366" s="19" t="s">
        <v>2128</v>
      </c>
      <c r="BI366" s="19"/>
      <c r="BJ366" s="19"/>
      <c r="BK366" s="19" t="s">
        <v>16</v>
      </c>
      <c r="BL366" s="19" t="s">
        <v>2113</v>
      </c>
      <c r="BM366" s="19" t="s">
        <v>5563</v>
      </c>
      <c r="BN366" s="19" t="s">
        <v>17</v>
      </c>
      <c r="BO366" s="19" t="s">
        <v>2473</v>
      </c>
      <c r="BP366" s="19" t="s">
        <v>8536</v>
      </c>
      <c r="BQ366" s="19" t="s">
        <v>2133</v>
      </c>
      <c r="BR366" s="19" t="s">
        <v>2133</v>
      </c>
      <c r="BS366" s="19" t="s">
        <v>2243</v>
      </c>
      <c r="BT366" s="19" t="s">
        <v>222</v>
      </c>
      <c r="BU366" s="19" t="s">
        <v>8537</v>
      </c>
      <c r="BV366" s="19"/>
      <c r="BW366" s="19"/>
      <c r="BX366" s="19"/>
      <c r="BY366" s="19" t="s">
        <v>2113</v>
      </c>
      <c r="BZ366" s="19" t="s">
        <v>2113</v>
      </c>
      <c r="CA366" s="19"/>
      <c r="CB366" s="19" t="s">
        <v>2113</v>
      </c>
      <c r="CC366" s="19"/>
      <c r="CD366" s="19" t="s">
        <v>2137</v>
      </c>
      <c r="CE366" s="19" t="s">
        <v>16</v>
      </c>
      <c r="CF366" s="19"/>
      <c r="CG366" s="19"/>
      <c r="CH366" s="19" t="s">
        <v>16</v>
      </c>
      <c r="CI366" s="21">
        <v>0.0</v>
      </c>
      <c r="CJ366" s="19" t="s">
        <v>17</v>
      </c>
      <c r="CK366" s="19" t="s">
        <v>2113</v>
      </c>
      <c r="CL366" s="19"/>
      <c r="CM366" s="19" t="s">
        <v>2138</v>
      </c>
      <c r="CN366" s="19" t="s">
        <v>3544</v>
      </c>
      <c r="CO366" s="19"/>
      <c r="CP366" s="19"/>
      <c r="CQ366" s="19"/>
      <c r="CR366" s="19" t="s">
        <v>2113</v>
      </c>
      <c r="CS366" s="19" t="s">
        <v>2113</v>
      </c>
      <c r="CT366" s="19" t="s">
        <v>2113</v>
      </c>
      <c r="CU366" s="19" t="s">
        <v>2113</v>
      </c>
      <c r="CV366" s="19" t="s">
        <v>2179</v>
      </c>
      <c r="CW366" s="19" t="s">
        <v>2113</v>
      </c>
      <c r="CX366" s="19" t="s">
        <v>2113</v>
      </c>
      <c r="CY366" s="19" t="s">
        <v>2113</v>
      </c>
      <c r="CZ366" s="19" t="s">
        <v>2113</v>
      </c>
      <c r="DA366" s="19" t="s">
        <v>16</v>
      </c>
      <c r="DB366" s="19" t="s">
        <v>17</v>
      </c>
      <c r="DC366" s="19" t="s">
        <v>8396</v>
      </c>
      <c r="DD366" s="19" t="s">
        <v>2113</v>
      </c>
      <c r="DE366" s="19" t="s">
        <v>2113</v>
      </c>
      <c r="DF366" s="19" t="s">
        <v>2579</v>
      </c>
      <c r="DG366" s="19" t="s">
        <v>3103</v>
      </c>
      <c r="DH366" s="19" t="s">
        <v>2144</v>
      </c>
      <c r="DI366" s="24">
        <v>45519.0</v>
      </c>
      <c r="DJ366" s="19" t="s">
        <v>2133</v>
      </c>
      <c r="DK366" s="19" t="s">
        <v>2271</v>
      </c>
      <c r="DL366" s="19" t="s">
        <v>2146</v>
      </c>
      <c r="DM366" s="19" t="s">
        <v>2751</v>
      </c>
      <c r="DN366" s="19">
        <v>6.0</v>
      </c>
      <c r="DO366" s="19">
        <v>6.0</v>
      </c>
      <c r="DP366" s="19"/>
      <c r="DQ366" s="19"/>
      <c r="DR366" s="19"/>
      <c r="DS366" s="19" t="s">
        <v>2365</v>
      </c>
      <c r="DT366" s="19" t="s">
        <v>2209</v>
      </c>
      <c r="DU366" s="19" t="s">
        <v>8538</v>
      </c>
      <c r="DV366" s="19"/>
      <c r="DW366" s="19" t="s">
        <v>2153</v>
      </c>
      <c r="DX366" s="19">
        <v>7.0</v>
      </c>
      <c r="DY366" s="19">
        <v>10.0</v>
      </c>
      <c r="DZ366" s="19">
        <v>0.0</v>
      </c>
      <c r="EA366" s="19">
        <v>10.0</v>
      </c>
      <c r="EB366" s="19">
        <v>0.0</v>
      </c>
      <c r="EC366" s="19">
        <v>0.0</v>
      </c>
      <c r="ED366" s="19" t="s">
        <v>2133</v>
      </c>
      <c r="EE366" s="24">
        <v>45519.0</v>
      </c>
      <c r="EF366" s="19" t="s">
        <v>2133</v>
      </c>
      <c r="EG366" s="19" t="s">
        <v>2271</v>
      </c>
      <c r="EH366" s="19" t="s">
        <v>2146</v>
      </c>
      <c r="EI366" s="22">
        <v>10.875</v>
      </c>
      <c r="EJ366" s="19">
        <v>45.0</v>
      </c>
      <c r="EK366" s="19" t="s">
        <v>2113</v>
      </c>
      <c r="EL366" s="19" t="s">
        <v>2117</v>
      </c>
      <c r="EM366" s="19" t="s">
        <v>8531</v>
      </c>
      <c r="EN366" s="19" t="s">
        <v>1086</v>
      </c>
      <c r="EO366" s="19" t="s">
        <v>3905</v>
      </c>
      <c r="EP366" s="19" t="s">
        <v>2995</v>
      </c>
      <c r="EQ366" s="19" t="s">
        <v>3544</v>
      </c>
      <c r="ER366" s="19"/>
      <c r="ES366" s="19" t="s">
        <v>1086</v>
      </c>
      <c r="ET366" s="19" t="s">
        <v>1086</v>
      </c>
      <c r="EU366" s="19" t="s">
        <v>8528</v>
      </c>
      <c r="EV366" s="19">
        <v>8749.0</v>
      </c>
      <c r="EW366" s="19" t="s">
        <v>16</v>
      </c>
      <c r="EX366" s="19">
        <v>3.0</v>
      </c>
      <c r="EY366" s="25" t="s">
        <v>1085</v>
      </c>
      <c r="EZ366" s="19" t="s">
        <v>2154</v>
      </c>
      <c r="FA366" s="5" t="s">
        <v>8539</v>
      </c>
      <c r="FB366" s="26" t="s">
        <v>2156</v>
      </c>
      <c r="FC366" s="26"/>
    </row>
    <row r="367">
      <c r="A367" s="19" t="s">
        <v>2112</v>
      </c>
      <c r="B367" s="19"/>
      <c r="C367" s="19" t="s">
        <v>2113</v>
      </c>
      <c r="D367" s="19" t="s">
        <v>1087</v>
      </c>
      <c r="E367" s="19" t="s">
        <v>8540</v>
      </c>
      <c r="F367" s="19" t="s">
        <v>1087</v>
      </c>
      <c r="G367" s="19"/>
      <c r="H367" s="19" t="s">
        <v>1087</v>
      </c>
      <c r="I367" s="19" t="s">
        <v>1089</v>
      </c>
      <c r="J367" s="19" t="s">
        <v>8541</v>
      </c>
      <c r="K367" s="19" t="s">
        <v>8542</v>
      </c>
      <c r="L367" s="20">
        <v>45459.0</v>
      </c>
      <c r="M367" s="20">
        <v>45460.0</v>
      </c>
      <c r="N367" s="20">
        <v>45460.0</v>
      </c>
      <c r="O367" s="19" t="s">
        <v>1088</v>
      </c>
      <c r="P367" s="19">
        <v>0.0</v>
      </c>
      <c r="Q367" s="19">
        <v>21.0</v>
      </c>
      <c r="R367" s="19">
        <v>7901.0</v>
      </c>
      <c r="S367" s="20" t="s">
        <v>8543</v>
      </c>
      <c r="T367" s="20">
        <v>45461.0</v>
      </c>
      <c r="U367" s="19" t="s">
        <v>1087</v>
      </c>
      <c r="V367" s="19"/>
      <c r="W367" s="19"/>
      <c r="X367" s="21">
        <v>0.0</v>
      </c>
      <c r="Y367" s="21">
        <v>10.0</v>
      </c>
      <c r="Z367" s="21">
        <v>3.0</v>
      </c>
      <c r="AA367" s="21">
        <v>0.0</v>
      </c>
      <c r="AB367" s="5">
        <v>13.0</v>
      </c>
      <c r="AC367" s="19">
        <v>3.3</v>
      </c>
      <c r="AD367" s="19">
        <v>3.0</v>
      </c>
      <c r="AE367" s="19">
        <v>4.0</v>
      </c>
      <c r="AF367" s="19">
        <v>3.6</v>
      </c>
      <c r="AG367" s="19">
        <v>4.0</v>
      </c>
      <c r="AH367" s="19">
        <v>4.0</v>
      </c>
      <c r="AI367" s="22">
        <v>10.865625</v>
      </c>
      <c r="AJ367" s="19">
        <v>15.0</v>
      </c>
      <c r="AK367" s="19">
        <v>15.0</v>
      </c>
      <c r="AL367" s="19">
        <v>15.0</v>
      </c>
      <c r="AM367" s="19">
        <v>45.0</v>
      </c>
      <c r="AN367" s="19">
        <v>55.9</v>
      </c>
      <c r="AO367" s="19">
        <v>68.9</v>
      </c>
      <c r="AP367" s="19">
        <v>753.0</v>
      </c>
      <c r="AQ367" s="23">
        <v>360.0</v>
      </c>
      <c r="AR367" s="23">
        <v>32.0</v>
      </c>
      <c r="AS367" s="22"/>
      <c r="AT367" s="19" t="s">
        <v>2282</v>
      </c>
      <c r="AU367" s="19" t="s">
        <v>8544</v>
      </c>
      <c r="AV367" s="19" t="s">
        <v>8545</v>
      </c>
      <c r="AW367" s="19"/>
      <c r="AX367" s="20">
        <v>37560.0</v>
      </c>
      <c r="AY367" s="19" t="s">
        <v>5573</v>
      </c>
      <c r="AZ367" s="19" t="s">
        <v>2310</v>
      </c>
      <c r="BA367" s="19" t="s">
        <v>8546</v>
      </c>
      <c r="BB367" s="19" t="s">
        <v>8547</v>
      </c>
      <c r="BC367" s="19" t="s">
        <v>8548</v>
      </c>
      <c r="BD367" s="19" t="s">
        <v>8549</v>
      </c>
      <c r="BE367" s="19" t="s">
        <v>8541</v>
      </c>
      <c r="BF367" s="19">
        <v>1.1970744241E10</v>
      </c>
      <c r="BG367" s="19" t="s">
        <v>2127</v>
      </c>
      <c r="BH367" s="19" t="s">
        <v>2128</v>
      </c>
      <c r="BI367" s="19" t="s">
        <v>2113</v>
      </c>
      <c r="BJ367" s="19"/>
      <c r="BK367" s="19" t="s">
        <v>16</v>
      </c>
      <c r="BL367" s="19"/>
      <c r="BM367" s="19" t="s">
        <v>5411</v>
      </c>
      <c r="BN367" s="19" t="s">
        <v>2172</v>
      </c>
      <c r="BO367" s="19" t="s">
        <v>2473</v>
      </c>
      <c r="BP367" s="19"/>
      <c r="BQ367" s="19" t="s">
        <v>2174</v>
      </c>
      <c r="BR367" s="19" t="s">
        <v>2174</v>
      </c>
      <c r="BS367" s="19" t="s">
        <v>2134</v>
      </c>
      <c r="BT367" s="19" t="s">
        <v>34</v>
      </c>
      <c r="BU367" s="19"/>
      <c r="BV367" s="19"/>
      <c r="BW367" s="19"/>
      <c r="BX367" s="19" t="s">
        <v>2113</v>
      </c>
      <c r="BY367" s="19" t="s">
        <v>2113</v>
      </c>
      <c r="BZ367" s="19" t="s">
        <v>2113</v>
      </c>
      <c r="CA367" s="19" t="s">
        <v>2113</v>
      </c>
      <c r="CB367" s="19"/>
      <c r="CC367" s="19"/>
      <c r="CD367" s="19" t="s">
        <v>2137</v>
      </c>
      <c r="CE367" s="19" t="s">
        <v>16</v>
      </c>
      <c r="CF367" s="19"/>
      <c r="CG367" s="19"/>
      <c r="CH367" s="19" t="s">
        <v>16</v>
      </c>
      <c r="CI367" s="21">
        <v>0.0</v>
      </c>
      <c r="CJ367" s="19" t="s">
        <v>16</v>
      </c>
      <c r="CK367" s="19"/>
      <c r="CL367" s="19"/>
      <c r="CM367" s="19"/>
      <c r="CN367" s="19" t="s">
        <v>3041</v>
      </c>
      <c r="CO367" s="19"/>
      <c r="CP367" s="19"/>
      <c r="CQ367" s="19"/>
      <c r="CR367" s="19" t="s">
        <v>2113</v>
      </c>
      <c r="CS367" s="19" t="s">
        <v>2113</v>
      </c>
      <c r="CT367" s="19" t="s">
        <v>2113</v>
      </c>
      <c r="CU367" s="19" t="s">
        <v>2113</v>
      </c>
      <c r="CV367" s="19" t="s">
        <v>2179</v>
      </c>
      <c r="CW367" s="19" t="s">
        <v>2113</v>
      </c>
      <c r="CX367" s="19" t="s">
        <v>2113</v>
      </c>
      <c r="CY367" s="19"/>
      <c r="CZ367" s="19"/>
      <c r="DA367" s="19" t="s">
        <v>16</v>
      </c>
      <c r="DB367" s="19" t="s">
        <v>16</v>
      </c>
      <c r="DC367" s="19" t="s">
        <v>3042</v>
      </c>
      <c r="DD367" s="19" t="s">
        <v>2113</v>
      </c>
      <c r="DE367" s="19" t="s">
        <v>2113</v>
      </c>
      <c r="DF367" s="19" t="s">
        <v>2269</v>
      </c>
      <c r="DG367" s="19" t="s">
        <v>2433</v>
      </c>
      <c r="DH367" s="19" t="s">
        <v>2144</v>
      </c>
      <c r="DI367" s="24">
        <v>45525.0</v>
      </c>
      <c r="DJ367" s="19" t="s">
        <v>2174</v>
      </c>
      <c r="DK367" s="19" t="s">
        <v>2145</v>
      </c>
      <c r="DL367" s="19" t="s">
        <v>2183</v>
      </c>
      <c r="DM367" s="19" t="s">
        <v>2249</v>
      </c>
      <c r="DN367" s="19">
        <v>9.0</v>
      </c>
      <c r="DO367" s="19">
        <v>9.0</v>
      </c>
      <c r="DP367" s="19"/>
      <c r="DQ367" s="19"/>
      <c r="DR367" s="19"/>
      <c r="DS367" s="19" t="s">
        <v>2151</v>
      </c>
      <c r="DT367" s="19" t="s">
        <v>2152</v>
      </c>
      <c r="DU367" s="19" t="s">
        <v>8550</v>
      </c>
      <c r="DV367" s="19"/>
      <c r="DW367" s="19" t="s">
        <v>2153</v>
      </c>
      <c r="DX367" s="19">
        <v>14.0</v>
      </c>
      <c r="DY367" s="19">
        <v>10.0</v>
      </c>
      <c r="DZ367" s="19">
        <v>0.0</v>
      </c>
      <c r="EA367" s="19">
        <v>10.0</v>
      </c>
      <c r="EB367" s="19">
        <v>0.0</v>
      </c>
      <c r="EC367" s="19">
        <v>0.0</v>
      </c>
      <c r="ED367" s="19" t="s">
        <v>2174</v>
      </c>
      <c r="EE367" s="24">
        <v>45525.0</v>
      </c>
      <c r="EF367" s="19" t="s">
        <v>2174</v>
      </c>
      <c r="EG367" s="19" t="s">
        <v>2145</v>
      </c>
      <c r="EH367" s="19" t="s">
        <v>2183</v>
      </c>
      <c r="EI367" s="22">
        <v>10.865625</v>
      </c>
      <c r="EJ367" s="19">
        <v>45.0</v>
      </c>
      <c r="EK367" s="19"/>
      <c r="EL367" s="19" t="s">
        <v>2282</v>
      </c>
      <c r="EM367" s="19" t="s">
        <v>8544</v>
      </c>
      <c r="EN367" s="19" t="s">
        <v>1089</v>
      </c>
      <c r="EO367" s="19" t="s">
        <v>5573</v>
      </c>
      <c r="EP367" s="19" t="s">
        <v>2310</v>
      </c>
      <c r="EQ367" s="19" t="s">
        <v>3041</v>
      </c>
      <c r="ER367" s="19"/>
      <c r="ES367" s="19" t="s">
        <v>1089</v>
      </c>
      <c r="ET367" s="19" t="s">
        <v>1089</v>
      </c>
      <c r="EU367" s="19" t="s">
        <v>8542</v>
      </c>
      <c r="EV367" s="19">
        <v>7901.0</v>
      </c>
      <c r="EW367" s="19" t="s">
        <v>16</v>
      </c>
      <c r="EX367" s="19">
        <v>3.0</v>
      </c>
      <c r="EY367" s="25" t="s">
        <v>1088</v>
      </c>
      <c r="EZ367" s="19" t="s">
        <v>2154</v>
      </c>
      <c r="FA367" s="5" t="s">
        <v>8551</v>
      </c>
      <c r="FB367" s="26" t="s">
        <v>2156</v>
      </c>
      <c r="FC367" s="26"/>
    </row>
    <row r="368">
      <c r="A368" s="19" t="s">
        <v>2112</v>
      </c>
      <c r="B368" s="19"/>
      <c r="C368" s="19" t="s">
        <v>2113</v>
      </c>
      <c r="D368" s="19" t="s">
        <v>1090</v>
      </c>
      <c r="E368" s="19" t="s">
        <v>8552</v>
      </c>
      <c r="F368" s="19" t="s">
        <v>1090</v>
      </c>
      <c r="G368" s="19"/>
      <c r="H368" s="19" t="s">
        <v>1090</v>
      </c>
      <c r="I368" s="19" t="s">
        <v>1092</v>
      </c>
      <c r="J368" s="19" t="s">
        <v>8553</v>
      </c>
      <c r="K368" s="19" t="s">
        <v>8554</v>
      </c>
      <c r="L368" s="20">
        <v>45428.0</v>
      </c>
      <c r="M368" s="20">
        <v>45429.0</v>
      </c>
      <c r="N368" s="20">
        <v>45429.0</v>
      </c>
      <c r="O368" s="19" t="s">
        <v>1091</v>
      </c>
      <c r="P368" s="19">
        <v>0.0</v>
      </c>
      <c r="Q368" s="19">
        <v>26.0</v>
      </c>
      <c r="R368" s="19">
        <v>9523.0</v>
      </c>
      <c r="S368" s="20" t="s">
        <v>8555</v>
      </c>
      <c r="T368" s="20">
        <v>45461.0</v>
      </c>
      <c r="U368" s="19" t="s">
        <v>1090</v>
      </c>
      <c r="V368" s="19"/>
      <c r="W368" s="19" t="s">
        <v>2131</v>
      </c>
      <c r="X368" s="21">
        <v>0.0</v>
      </c>
      <c r="Y368" s="21">
        <v>10.0</v>
      </c>
      <c r="Z368" s="21">
        <v>3.0</v>
      </c>
      <c r="AA368" s="21">
        <v>0.0</v>
      </c>
      <c r="AB368" s="5">
        <v>13.0</v>
      </c>
      <c r="AC368" s="19">
        <v>4.75</v>
      </c>
      <c r="AD368" s="19">
        <v>4.75</v>
      </c>
      <c r="AE368" s="19">
        <v>4.5</v>
      </c>
      <c r="AF368" s="19">
        <v>4.75</v>
      </c>
      <c r="AG368" s="19">
        <v>4.25</v>
      </c>
      <c r="AH368" s="19">
        <v>4.75</v>
      </c>
      <c r="AI368" s="22">
        <v>13.875</v>
      </c>
      <c r="AJ368" s="19">
        <v>15.0</v>
      </c>
      <c r="AK368" s="19">
        <v>15.0</v>
      </c>
      <c r="AL368" s="19">
        <v>12.0</v>
      </c>
      <c r="AM368" s="19">
        <v>42.0</v>
      </c>
      <c r="AN368" s="19">
        <v>55.9</v>
      </c>
      <c r="AO368" s="19">
        <v>68.9</v>
      </c>
      <c r="AP368" s="19">
        <v>689.0</v>
      </c>
      <c r="AQ368" s="23">
        <v>361.0</v>
      </c>
      <c r="AR368" s="23">
        <v>33.0</v>
      </c>
      <c r="AS368" s="22"/>
      <c r="AT368" s="19" t="s">
        <v>2282</v>
      </c>
      <c r="AU368" s="19" t="s">
        <v>8544</v>
      </c>
      <c r="AV368" s="19" t="s">
        <v>8545</v>
      </c>
      <c r="AW368" s="19" t="s">
        <v>8556</v>
      </c>
      <c r="AX368" s="20">
        <v>35938.0</v>
      </c>
      <c r="AY368" s="19" t="s">
        <v>3034</v>
      </c>
      <c r="AZ368" s="19" t="s">
        <v>2122</v>
      </c>
      <c r="BA368" s="19" t="s">
        <v>8546</v>
      </c>
      <c r="BB368" s="19" t="s">
        <v>5000</v>
      </c>
      <c r="BC368" s="19" t="s">
        <v>8557</v>
      </c>
      <c r="BD368" s="19" t="s">
        <v>8558</v>
      </c>
      <c r="BE368" s="19"/>
      <c r="BF368" s="19"/>
      <c r="BG368" s="19" t="s">
        <v>2127</v>
      </c>
      <c r="BH368" s="19" t="s">
        <v>2128</v>
      </c>
      <c r="BI368" s="19"/>
      <c r="BJ368" s="19" t="s">
        <v>2128</v>
      </c>
      <c r="BK368" s="19" t="s">
        <v>17</v>
      </c>
      <c r="BL368" s="19"/>
      <c r="BM368" s="19" t="s">
        <v>5563</v>
      </c>
      <c r="BN368" s="19" t="s">
        <v>17</v>
      </c>
      <c r="BO368" s="19" t="s">
        <v>2473</v>
      </c>
      <c r="BP368" s="19"/>
      <c r="BQ368" s="19" t="s">
        <v>2174</v>
      </c>
      <c r="BR368" s="19" t="s">
        <v>2174</v>
      </c>
      <c r="BS368" s="19" t="s">
        <v>2134</v>
      </c>
      <c r="BT368" s="19" t="s">
        <v>34</v>
      </c>
      <c r="BU368" s="19" t="s">
        <v>8559</v>
      </c>
      <c r="BV368" s="19"/>
      <c r="BW368" s="19" t="s">
        <v>2113</v>
      </c>
      <c r="BX368" s="19"/>
      <c r="BY368" s="19"/>
      <c r="BZ368" s="19"/>
      <c r="CA368" s="19"/>
      <c r="CB368" s="19" t="s">
        <v>2113</v>
      </c>
      <c r="CC368" s="19"/>
      <c r="CD368" s="19" t="s">
        <v>2137</v>
      </c>
      <c r="CE368" s="19" t="s">
        <v>16</v>
      </c>
      <c r="CF368" s="19"/>
      <c r="CG368" s="19"/>
      <c r="CH368" s="19" t="s">
        <v>16</v>
      </c>
      <c r="CI368" s="21">
        <v>0.0</v>
      </c>
      <c r="CJ368" s="19" t="s">
        <v>16</v>
      </c>
      <c r="CK368" s="19"/>
      <c r="CL368" s="19"/>
      <c r="CM368" s="19" t="s">
        <v>2138</v>
      </c>
      <c r="CN368" s="19" t="s">
        <v>3041</v>
      </c>
      <c r="CO368" s="19" t="s">
        <v>2177</v>
      </c>
      <c r="CP368" s="19" t="s">
        <v>2140</v>
      </c>
      <c r="CQ368" s="19"/>
      <c r="CR368" s="19" t="s">
        <v>2113</v>
      </c>
      <c r="CS368" s="19" t="s">
        <v>2113</v>
      </c>
      <c r="CT368" s="19" t="s">
        <v>2113</v>
      </c>
      <c r="CU368" s="19" t="s">
        <v>2113</v>
      </c>
      <c r="CV368" s="19" t="s">
        <v>2179</v>
      </c>
      <c r="CW368" s="19" t="s">
        <v>2113</v>
      </c>
      <c r="CX368" s="19" t="s">
        <v>2113</v>
      </c>
      <c r="CY368" s="19" t="s">
        <v>2113</v>
      </c>
      <c r="CZ368" s="19" t="s">
        <v>2113</v>
      </c>
      <c r="DA368" s="19" t="s">
        <v>16</v>
      </c>
      <c r="DB368" s="19" t="s">
        <v>16</v>
      </c>
      <c r="DC368" s="19" t="s">
        <v>3145</v>
      </c>
      <c r="DD368" s="19" t="s">
        <v>2113</v>
      </c>
      <c r="DE368" s="19" t="s">
        <v>2113</v>
      </c>
      <c r="DF368" s="19" t="s">
        <v>2227</v>
      </c>
      <c r="DG368" s="19" t="s">
        <v>2769</v>
      </c>
      <c r="DH368" s="19" t="s">
        <v>2144</v>
      </c>
      <c r="DI368" s="24">
        <v>45517.0</v>
      </c>
      <c r="DJ368" s="19" t="s">
        <v>2174</v>
      </c>
      <c r="DK368" s="19" t="s">
        <v>2271</v>
      </c>
      <c r="DL368" s="19" t="s">
        <v>2183</v>
      </c>
      <c r="DM368" s="19" t="s">
        <v>2515</v>
      </c>
      <c r="DN368" s="19">
        <v>2.0</v>
      </c>
      <c r="DO368" s="19">
        <v>2.0</v>
      </c>
      <c r="DP368" s="19"/>
      <c r="DQ368" s="19"/>
      <c r="DR368" s="19"/>
      <c r="DS368" s="19" t="s">
        <v>2365</v>
      </c>
      <c r="DT368" s="19" t="s">
        <v>2366</v>
      </c>
      <c r="DU368" s="19" t="s">
        <v>8560</v>
      </c>
      <c r="DV368" s="19"/>
      <c r="DW368" s="19" t="s">
        <v>2153</v>
      </c>
      <c r="DX368" s="19">
        <v>9.0</v>
      </c>
      <c r="DY368" s="19">
        <v>10.0</v>
      </c>
      <c r="DZ368" s="19">
        <v>0.0</v>
      </c>
      <c r="EA368" s="19">
        <v>10.0</v>
      </c>
      <c r="EB368" s="19">
        <v>0.0</v>
      </c>
      <c r="EC368" s="19">
        <v>0.0</v>
      </c>
      <c r="ED368" s="19" t="s">
        <v>2174</v>
      </c>
      <c r="EE368" s="24">
        <v>45517.0</v>
      </c>
      <c r="EF368" s="19" t="s">
        <v>2174</v>
      </c>
      <c r="EG368" s="19" t="s">
        <v>2271</v>
      </c>
      <c r="EH368" s="19" t="s">
        <v>2183</v>
      </c>
      <c r="EI368" s="22">
        <v>13.875</v>
      </c>
      <c r="EJ368" s="19">
        <v>42.0</v>
      </c>
      <c r="EK368" s="19"/>
      <c r="EL368" s="19" t="s">
        <v>2282</v>
      </c>
      <c r="EM368" s="19" t="s">
        <v>8544</v>
      </c>
      <c r="EN368" s="19" t="s">
        <v>1092</v>
      </c>
      <c r="EO368" s="19" t="s">
        <v>3034</v>
      </c>
      <c r="EP368" s="19" t="s">
        <v>2122</v>
      </c>
      <c r="EQ368" s="19" t="s">
        <v>3041</v>
      </c>
      <c r="ER368" s="19" t="s">
        <v>2177</v>
      </c>
      <c r="ES368" s="19" t="s">
        <v>1092</v>
      </c>
      <c r="ET368" s="19" t="s">
        <v>1092</v>
      </c>
      <c r="EU368" s="19" t="s">
        <v>8554</v>
      </c>
      <c r="EV368" s="19">
        <v>9523.0</v>
      </c>
      <c r="EW368" s="19" t="s">
        <v>16</v>
      </c>
      <c r="EX368" s="19">
        <v>3.0</v>
      </c>
      <c r="EY368" s="25" t="s">
        <v>1091</v>
      </c>
      <c r="EZ368" s="19" t="s">
        <v>2154</v>
      </c>
      <c r="FA368" s="5" t="s">
        <v>8561</v>
      </c>
      <c r="FB368" s="26" t="s">
        <v>2156</v>
      </c>
      <c r="FC368" s="26"/>
    </row>
    <row r="369">
      <c r="A369" s="19" t="s">
        <v>8562</v>
      </c>
      <c r="B369" s="19"/>
      <c r="C369" s="19" t="s">
        <v>2113</v>
      </c>
      <c r="D369" s="19" t="s">
        <v>1093</v>
      </c>
      <c r="E369" s="19" t="s">
        <v>8563</v>
      </c>
      <c r="F369" s="19" t="s">
        <v>1093</v>
      </c>
      <c r="G369" s="19"/>
      <c r="H369" s="19" t="s">
        <v>1093</v>
      </c>
      <c r="I369" s="19" t="s">
        <v>1095</v>
      </c>
      <c r="J369" s="19" t="s">
        <v>8564</v>
      </c>
      <c r="K369" s="19" t="s">
        <v>8565</v>
      </c>
      <c r="L369" s="20">
        <v>45445.0</v>
      </c>
      <c r="M369" s="20">
        <v>45446.0</v>
      </c>
      <c r="N369" s="20">
        <v>45446.0</v>
      </c>
      <c r="O369" s="19" t="s">
        <v>1094</v>
      </c>
      <c r="P369" s="19">
        <v>0.0</v>
      </c>
      <c r="Q369" s="19">
        <v>18.0</v>
      </c>
      <c r="R369" s="19">
        <v>6929.0</v>
      </c>
      <c r="S369" s="20" t="s">
        <v>8566</v>
      </c>
      <c r="T369" s="20">
        <v>45461.0</v>
      </c>
      <c r="U369" s="19" t="s">
        <v>1093</v>
      </c>
      <c r="V369" s="19"/>
      <c r="W369" s="19"/>
      <c r="X369" s="21">
        <v>0.0</v>
      </c>
      <c r="Y369" s="21">
        <v>10.0</v>
      </c>
      <c r="Z369" s="21">
        <v>4.0</v>
      </c>
      <c r="AA369" s="21">
        <v>0.0</v>
      </c>
      <c r="AB369" s="5">
        <v>14.0</v>
      </c>
      <c r="AC369" s="19">
        <v>4.0</v>
      </c>
      <c r="AD369" s="19">
        <v>3.0</v>
      </c>
      <c r="AE369" s="19">
        <v>3.0</v>
      </c>
      <c r="AF369" s="19">
        <v>3.0</v>
      </c>
      <c r="AG369" s="19">
        <v>3.0</v>
      </c>
      <c r="AH369" s="19">
        <v>4.0</v>
      </c>
      <c r="AI369" s="22">
        <v>9.84375</v>
      </c>
      <c r="AJ369" s="19">
        <v>15.0</v>
      </c>
      <c r="AK369" s="19">
        <v>15.0</v>
      </c>
      <c r="AL369" s="19">
        <v>15.0</v>
      </c>
      <c r="AM369" s="19">
        <v>45.0</v>
      </c>
      <c r="AN369" s="19">
        <v>54.8</v>
      </c>
      <c r="AO369" s="19">
        <v>68.8</v>
      </c>
      <c r="AP369" s="19">
        <v>638.0</v>
      </c>
      <c r="AQ369" s="23">
        <v>362.0</v>
      </c>
      <c r="AR369" s="23">
        <v>28.0</v>
      </c>
      <c r="AS369" s="22"/>
      <c r="AT369" s="19" t="s">
        <v>2117</v>
      </c>
      <c r="AU369" s="19" t="s">
        <v>3691</v>
      </c>
      <c r="AV369" s="19" t="s">
        <v>8567</v>
      </c>
      <c r="AW369" s="19" t="s">
        <v>2285</v>
      </c>
      <c r="AX369" s="20">
        <v>38532.0</v>
      </c>
      <c r="AY369" s="19" t="s">
        <v>6083</v>
      </c>
      <c r="AZ369" s="19" t="s">
        <v>2122</v>
      </c>
      <c r="BA369" s="19" t="s">
        <v>8568</v>
      </c>
      <c r="BB369" s="19" t="s">
        <v>8569</v>
      </c>
      <c r="BC369" s="19" t="s">
        <v>8570</v>
      </c>
      <c r="BD369" s="19" t="s">
        <v>8571</v>
      </c>
      <c r="BE369" s="19" t="s">
        <v>8572</v>
      </c>
      <c r="BF369" s="19">
        <v>1.1949426404E10</v>
      </c>
      <c r="BG369" s="19" t="s">
        <v>2127</v>
      </c>
      <c r="BH369" s="19" t="s">
        <v>2649</v>
      </c>
      <c r="BI369" s="19"/>
      <c r="BJ369" s="19" t="s">
        <v>2427</v>
      </c>
      <c r="BK369" s="19" t="s">
        <v>17</v>
      </c>
      <c r="BL369" s="19"/>
      <c r="BM369" s="19" t="s">
        <v>5796</v>
      </c>
      <c r="BN369" s="19" t="s">
        <v>17</v>
      </c>
      <c r="BO369" s="19" t="s">
        <v>2317</v>
      </c>
      <c r="BP369" s="19" t="s">
        <v>8573</v>
      </c>
      <c r="BQ369" s="19" t="s">
        <v>2133</v>
      </c>
      <c r="BR369" s="19" t="s">
        <v>2133</v>
      </c>
      <c r="BS369" s="19" t="s">
        <v>2134</v>
      </c>
      <c r="BT369" s="19" t="s">
        <v>52</v>
      </c>
      <c r="BU369" s="19" t="s">
        <v>2512</v>
      </c>
      <c r="BV369" s="19"/>
      <c r="BW369" s="19"/>
      <c r="BX369" s="19"/>
      <c r="BY369" s="19"/>
      <c r="BZ369" s="19"/>
      <c r="CA369" s="19" t="s">
        <v>2113</v>
      </c>
      <c r="CB369" s="19"/>
      <c r="CC369" s="19"/>
      <c r="CD369" s="19" t="s">
        <v>2137</v>
      </c>
      <c r="CE369" s="19" t="s">
        <v>16</v>
      </c>
      <c r="CF369" s="19"/>
      <c r="CG369" s="19"/>
      <c r="CH369" s="19" t="s">
        <v>16</v>
      </c>
      <c r="CI369" s="21">
        <v>0.0</v>
      </c>
      <c r="CJ369" s="19" t="s">
        <v>17</v>
      </c>
      <c r="CK369" s="19"/>
      <c r="CL369" s="19"/>
      <c r="CM369" s="19" t="s">
        <v>2926</v>
      </c>
      <c r="CN369" s="19" t="s">
        <v>2626</v>
      </c>
      <c r="CO369" s="19"/>
      <c r="CP369" s="19" t="s">
        <v>2267</v>
      </c>
      <c r="CQ369" s="19"/>
      <c r="CR369" s="19"/>
      <c r="CS369" s="19"/>
      <c r="CT369" s="19" t="s">
        <v>2113</v>
      </c>
      <c r="CU369" s="19" t="s">
        <v>2113</v>
      </c>
      <c r="CV369" s="19" t="s">
        <v>2141</v>
      </c>
      <c r="CW369" s="19"/>
      <c r="CX369" s="19"/>
      <c r="CY369" s="19" t="s">
        <v>2113</v>
      </c>
      <c r="CZ369" s="19" t="s">
        <v>2113</v>
      </c>
      <c r="DA369" s="19" t="s">
        <v>16</v>
      </c>
      <c r="DB369" s="19" t="s">
        <v>17</v>
      </c>
      <c r="DC369" s="19" t="s">
        <v>6005</v>
      </c>
      <c r="DD369" s="19" t="s">
        <v>2113</v>
      </c>
      <c r="DE369" s="19" t="s">
        <v>2113</v>
      </c>
      <c r="DF369" s="19" t="s">
        <v>4466</v>
      </c>
      <c r="DG369" s="19" t="s">
        <v>2843</v>
      </c>
      <c r="DH369" s="19" t="s">
        <v>2144</v>
      </c>
      <c r="DI369" s="24">
        <v>45531.0</v>
      </c>
      <c r="DJ369" s="19" t="s">
        <v>2133</v>
      </c>
      <c r="DK369" s="19" t="s">
        <v>2145</v>
      </c>
      <c r="DL369" s="19" t="s">
        <v>2146</v>
      </c>
      <c r="DM369" s="19" t="s">
        <v>3183</v>
      </c>
      <c r="DN369" s="19">
        <v>13.0</v>
      </c>
      <c r="DO369" s="19">
        <v>13.0</v>
      </c>
      <c r="DP369" s="19" t="s">
        <v>8574</v>
      </c>
      <c r="DQ369" s="19" t="s">
        <v>8575</v>
      </c>
      <c r="DR369" s="19" t="s">
        <v>8576</v>
      </c>
      <c r="DS369" s="19" t="s">
        <v>2365</v>
      </c>
      <c r="DT369" s="19" t="s">
        <v>2186</v>
      </c>
      <c r="DU369" s="19"/>
      <c r="DV369" s="19"/>
      <c r="DW369" s="19" t="s">
        <v>2188</v>
      </c>
      <c r="DX369" s="19">
        <v>10.0</v>
      </c>
      <c r="DY369" s="19">
        <v>10.0</v>
      </c>
      <c r="DZ369" s="19">
        <v>0.0</v>
      </c>
      <c r="EA369" s="19">
        <v>10.0</v>
      </c>
      <c r="EB369" s="19">
        <v>0.0</v>
      </c>
      <c r="EC369" s="19">
        <v>0.0</v>
      </c>
      <c r="ED369" s="19" t="s">
        <v>2133</v>
      </c>
      <c r="EE369" s="24">
        <v>45531.0</v>
      </c>
      <c r="EF369" s="19" t="s">
        <v>2133</v>
      </c>
      <c r="EG369" s="19" t="s">
        <v>2145</v>
      </c>
      <c r="EH369" s="19" t="s">
        <v>2146</v>
      </c>
      <c r="EI369" s="22">
        <v>9.84375</v>
      </c>
      <c r="EJ369" s="19">
        <v>45.0</v>
      </c>
      <c r="EK369" s="19" t="s">
        <v>2113</v>
      </c>
      <c r="EL369" s="19" t="s">
        <v>2117</v>
      </c>
      <c r="EM369" s="19" t="s">
        <v>3691</v>
      </c>
      <c r="EN369" s="19" t="s">
        <v>1095</v>
      </c>
      <c r="EO369" s="19" t="s">
        <v>6083</v>
      </c>
      <c r="EP369" s="19" t="s">
        <v>2122</v>
      </c>
      <c r="EQ369" s="19" t="s">
        <v>2626</v>
      </c>
      <c r="ER369" s="19"/>
      <c r="ES369" s="19" t="s">
        <v>1095</v>
      </c>
      <c r="ET369" s="19" t="s">
        <v>1095</v>
      </c>
      <c r="EU369" s="19" t="s">
        <v>8565</v>
      </c>
      <c r="EV369" s="19">
        <v>6929.0</v>
      </c>
      <c r="EW369" s="19" t="s">
        <v>16</v>
      </c>
      <c r="EX369" s="19">
        <v>4.0</v>
      </c>
      <c r="EY369" s="25" t="s">
        <v>1094</v>
      </c>
      <c r="EZ369" s="19" t="s">
        <v>2154</v>
      </c>
      <c r="FA369" s="5" t="s">
        <v>8577</v>
      </c>
      <c r="FB369" s="26" t="s">
        <v>2156</v>
      </c>
      <c r="FC369" s="26"/>
    </row>
    <row r="370">
      <c r="A370" s="19" t="s">
        <v>2112</v>
      </c>
      <c r="B370" s="19"/>
      <c r="C370" s="19" t="s">
        <v>2113</v>
      </c>
      <c r="D370" s="19" t="s">
        <v>1096</v>
      </c>
      <c r="E370" s="19" t="s">
        <v>8578</v>
      </c>
      <c r="F370" s="19" t="s">
        <v>1096</v>
      </c>
      <c r="G370" s="19"/>
      <c r="H370" s="19" t="s">
        <v>1096</v>
      </c>
      <c r="I370" s="19" t="s">
        <v>1098</v>
      </c>
      <c r="J370" s="19" t="s">
        <v>8579</v>
      </c>
      <c r="K370" s="19" t="s">
        <v>8580</v>
      </c>
      <c r="L370" s="20">
        <v>45398.0</v>
      </c>
      <c r="M370" s="20">
        <v>45411.0</v>
      </c>
      <c r="N370" s="20">
        <v>45411.0</v>
      </c>
      <c r="O370" s="19" t="s">
        <v>1097</v>
      </c>
      <c r="P370" s="19">
        <v>0.0</v>
      </c>
      <c r="Q370" s="19">
        <v>22.0</v>
      </c>
      <c r="R370" s="19">
        <v>8195.0</v>
      </c>
      <c r="S370" s="20" t="s">
        <v>8581</v>
      </c>
      <c r="T370" s="20">
        <v>45461.0</v>
      </c>
      <c r="U370" s="19" t="s">
        <v>1096</v>
      </c>
      <c r="V370" s="19"/>
      <c r="W370" s="19"/>
      <c r="X370" s="21">
        <v>0.0</v>
      </c>
      <c r="Y370" s="21">
        <v>10.0</v>
      </c>
      <c r="Z370" s="21">
        <v>3.0</v>
      </c>
      <c r="AA370" s="21">
        <v>0.0</v>
      </c>
      <c r="AB370" s="5">
        <v>13.0</v>
      </c>
      <c r="AC370" s="19">
        <v>3.5</v>
      </c>
      <c r="AD370" s="19">
        <v>4.0</v>
      </c>
      <c r="AE370" s="19">
        <v>3.5</v>
      </c>
      <c r="AF370" s="19">
        <v>4.0</v>
      </c>
      <c r="AG370" s="19">
        <v>3.0</v>
      </c>
      <c r="AH370" s="19">
        <v>3.5</v>
      </c>
      <c r="AI370" s="22">
        <v>10.828125</v>
      </c>
      <c r="AJ370" s="19">
        <v>15.0</v>
      </c>
      <c r="AK370" s="19">
        <v>15.0</v>
      </c>
      <c r="AL370" s="19">
        <v>15.0</v>
      </c>
      <c r="AM370" s="19">
        <v>45.0</v>
      </c>
      <c r="AN370" s="19">
        <v>55.8</v>
      </c>
      <c r="AO370" s="19">
        <v>68.8</v>
      </c>
      <c r="AP370" s="19">
        <v>727.0</v>
      </c>
      <c r="AQ370" s="23">
        <v>363.0</v>
      </c>
      <c r="AR370" s="23">
        <v>19.0</v>
      </c>
      <c r="AS370" s="22"/>
      <c r="AT370" s="19" t="s">
        <v>2163</v>
      </c>
      <c r="AU370" s="19" t="s">
        <v>8582</v>
      </c>
      <c r="AV370" s="19" t="s">
        <v>8583</v>
      </c>
      <c r="AW370" s="19" t="s">
        <v>2701</v>
      </c>
      <c r="AX370" s="20">
        <v>37266.0</v>
      </c>
      <c r="AY370" s="19" t="s">
        <v>3826</v>
      </c>
      <c r="AZ370" s="19" t="s">
        <v>2122</v>
      </c>
      <c r="BA370" s="19" t="s">
        <v>8584</v>
      </c>
      <c r="BB370" s="19" t="s">
        <v>2120</v>
      </c>
      <c r="BC370" s="19" t="s">
        <v>8585</v>
      </c>
      <c r="BD370" s="19" t="s">
        <v>8586</v>
      </c>
      <c r="BE370" s="19" t="s">
        <v>8579</v>
      </c>
      <c r="BF370" s="19">
        <v>1.1992881343E10</v>
      </c>
      <c r="BG370" s="19" t="s">
        <v>2127</v>
      </c>
      <c r="BH370" s="19" t="s">
        <v>2128</v>
      </c>
      <c r="BI370" s="19"/>
      <c r="BJ370" s="19"/>
      <c r="BK370" s="19" t="s">
        <v>16</v>
      </c>
      <c r="BL370" s="19"/>
      <c r="BM370" s="19" t="s">
        <v>5411</v>
      </c>
      <c r="BN370" s="19" t="s">
        <v>2172</v>
      </c>
      <c r="BO370" s="19" t="s">
        <v>2473</v>
      </c>
      <c r="BP370" s="19" t="s">
        <v>8587</v>
      </c>
      <c r="BQ370" s="19" t="s">
        <v>3832</v>
      </c>
      <c r="BR370" s="19" t="s">
        <v>3832</v>
      </c>
      <c r="BS370" s="19" t="s">
        <v>2134</v>
      </c>
      <c r="BT370" s="19" t="s">
        <v>268</v>
      </c>
      <c r="BU370" s="19"/>
      <c r="BV370" s="19"/>
      <c r="BW370" s="19" t="s">
        <v>2113</v>
      </c>
      <c r="BX370" s="19"/>
      <c r="BY370" s="19"/>
      <c r="BZ370" s="19"/>
      <c r="CA370" s="19"/>
      <c r="CB370" s="19" t="s">
        <v>2113</v>
      </c>
      <c r="CC370" s="19"/>
      <c r="CD370" s="19" t="s">
        <v>2137</v>
      </c>
      <c r="CE370" s="19" t="s">
        <v>16</v>
      </c>
      <c r="CF370" s="19"/>
      <c r="CG370" s="19"/>
      <c r="CH370" s="19" t="s">
        <v>16</v>
      </c>
      <c r="CI370" s="21">
        <v>0.0</v>
      </c>
      <c r="CJ370" s="19" t="s">
        <v>17</v>
      </c>
      <c r="CK370" s="19"/>
      <c r="CL370" s="19"/>
      <c r="CM370" s="19" t="s">
        <v>2138</v>
      </c>
      <c r="CN370" s="19" t="s">
        <v>3835</v>
      </c>
      <c r="CO370" s="19"/>
      <c r="CP370" s="19"/>
      <c r="CQ370" s="19"/>
      <c r="CR370" s="19"/>
      <c r="CS370" s="19"/>
      <c r="CT370" s="19" t="s">
        <v>2113</v>
      </c>
      <c r="CU370" s="19" t="s">
        <v>2113</v>
      </c>
      <c r="CV370" s="19" t="s">
        <v>2141</v>
      </c>
      <c r="CW370" s="19"/>
      <c r="CX370" s="19"/>
      <c r="CY370" s="19" t="s">
        <v>2113</v>
      </c>
      <c r="CZ370" s="19" t="s">
        <v>2113</v>
      </c>
      <c r="DA370" s="19" t="s">
        <v>16</v>
      </c>
      <c r="DB370" s="19" t="s">
        <v>17</v>
      </c>
      <c r="DC370" s="19" t="s">
        <v>3836</v>
      </c>
      <c r="DD370" s="19" t="s">
        <v>2113</v>
      </c>
      <c r="DE370" s="19" t="s">
        <v>2113</v>
      </c>
      <c r="DF370" s="19" t="s">
        <v>3990</v>
      </c>
      <c r="DG370" s="19" t="s">
        <v>3991</v>
      </c>
      <c r="DH370" s="19" t="s">
        <v>2144</v>
      </c>
      <c r="DI370" s="24">
        <v>45518.0</v>
      </c>
      <c r="DJ370" s="19" t="s">
        <v>3257</v>
      </c>
      <c r="DK370" s="19" t="s">
        <v>2271</v>
      </c>
      <c r="DL370" s="19" t="s">
        <v>2207</v>
      </c>
      <c r="DM370" s="22" t="s">
        <v>8588</v>
      </c>
      <c r="DN370" s="19">
        <v>1.0</v>
      </c>
      <c r="DO370" s="19">
        <v>1.0</v>
      </c>
      <c r="DP370" s="19" t="s">
        <v>8589</v>
      </c>
      <c r="DQ370" s="19" t="s">
        <v>8590</v>
      </c>
      <c r="DR370" s="19" t="s">
        <v>8591</v>
      </c>
      <c r="DS370" s="19" t="s">
        <v>2185</v>
      </c>
      <c r="DT370" s="19" t="s">
        <v>2350</v>
      </c>
      <c r="DU370" s="19"/>
      <c r="DV370" s="19"/>
      <c r="DW370" s="19" t="s">
        <v>2153</v>
      </c>
      <c r="DX370" s="19">
        <v>1.0</v>
      </c>
      <c r="DY370" s="19">
        <v>10.0</v>
      </c>
      <c r="DZ370" s="19">
        <v>0.0</v>
      </c>
      <c r="EA370" s="19">
        <v>10.0</v>
      </c>
      <c r="EB370" s="19">
        <v>0.0</v>
      </c>
      <c r="EC370" s="19">
        <v>0.0</v>
      </c>
      <c r="ED370" s="19" t="s">
        <v>3257</v>
      </c>
      <c r="EE370" s="24">
        <v>45518.0</v>
      </c>
      <c r="EF370" s="19" t="s">
        <v>3257</v>
      </c>
      <c r="EG370" s="19" t="s">
        <v>2271</v>
      </c>
      <c r="EH370" s="19" t="s">
        <v>2207</v>
      </c>
      <c r="EI370" s="22">
        <v>10.828125</v>
      </c>
      <c r="EJ370" s="19">
        <v>45.0</v>
      </c>
      <c r="EK370" s="19" t="s">
        <v>2113</v>
      </c>
      <c r="EL370" s="19" t="s">
        <v>2163</v>
      </c>
      <c r="EM370" s="19" t="s">
        <v>8582</v>
      </c>
      <c r="EN370" s="19" t="s">
        <v>1098</v>
      </c>
      <c r="EO370" s="19" t="s">
        <v>3826</v>
      </c>
      <c r="EP370" s="19" t="s">
        <v>2122</v>
      </c>
      <c r="EQ370" s="19" t="s">
        <v>3835</v>
      </c>
      <c r="ER370" s="19"/>
      <c r="ES370" s="19" t="s">
        <v>1098</v>
      </c>
      <c r="ET370" s="19" t="s">
        <v>1098</v>
      </c>
      <c r="EU370" s="19" t="s">
        <v>8580</v>
      </c>
      <c r="EV370" s="19">
        <v>8195.0</v>
      </c>
      <c r="EW370" s="19" t="s">
        <v>16</v>
      </c>
      <c r="EX370" s="19">
        <v>3.0</v>
      </c>
      <c r="EY370" s="25" t="s">
        <v>1097</v>
      </c>
      <c r="EZ370" s="19" t="s">
        <v>2154</v>
      </c>
      <c r="FA370" s="5" t="s">
        <v>8592</v>
      </c>
      <c r="FB370" s="26" t="s">
        <v>2156</v>
      </c>
      <c r="FC370" s="26"/>
    </row>
    <row r="371">
      <c r="A371" s="19" t="s">
        <v>2112</v>
      </c>
      <c r="B371" s="19"/>
      <c r="C371" s="19" t="s">
        <v>2113</v>
      </c>
      <c r="D371" s="19" t="s">
        <v>8593</v>
      </c>
      <c r="E371" s="19" t="s">
        <v>8594</v>
      </c>
      <c r="F371" s="19" t="s">
        <v>8593</v>
      </c>
      <c r="G371" s="19" t="s">
        <v>8593</v>
      </c>
      <c r="H371" s="19" t="s">
        <v>1099</v>
      </c>
      <c r="I371" s="19" t="s">
        <v>1101</v>
      </c>
      <c r="J371" s="19" t="s">
        <v>8595</v>
      </c>
      <c r="K371" s="19" t="s">
        <v>8596</v>
      </c>
      <c r="L371" s="20">
        <v>45446.0</v>
      </c>
      <c r="M371" s="20">
        <v>45447.0</v>
      </c>
      <c r="N371" s="20">
        <v>45447.0</v>
      </c>
      <c r="O371" s="19" t="s">
        <v>1100</v>
      </c>
      <c r="P371" s="19">
        <v>0.0</v>
      </c>
      <c r="Q371" s="19">
        <v>23.0</v>
      </c>
      <c r="R371" s="19">
        <v>8728.0</v>
      </c>
      <c r="S371" s="20" t="s">
        <v>8597</v>
      </c>
      <c r="T371" s="20">
        <v>45461.0</v>
      </c>
      <c r="U371" s="19" t="s">
        <v>8593</v>
      </c>
      <c r="V371" s="19"/>
      <c r="W371" s="19" t="s">
        <v>8598</v>
      </c>
      <c r="X371" s="21">
        <v>0.0</v>
      </c>
      <c r="Y371" s="21">
        <v>5.0</v>
      </c>
      <c r="Z371" s="21">
        <v>4.0</v>
      </c>
      <c r="AA371" s="21">
        <v>0.0</v>
      </c>
      <c r="AB371" s="5">
        <v>9.0</v>
      </c>
      <c r="AC371" s="19">
        <v>5.0</v>
      </c>
      <c r="AD371" s="19">
        <v>5.0</v>
      </c>
      <c r="AE371" s="19">
        <v>5.0</v>
      </c>
      <c r="AF371" s="19">
        <v>5.0</v>
      </c>
      <c r="AG371" s="19">
        <v>4.5</v>
      </c>
      <c r="AH371" s="19">
        <v>5.0</v>
      </c>
      <c r="AI371" s="22">
        <v>14.8125</v>
      </c>
      <c r="AJ371" s="19">
        <v>15.0</v>
      </c>
      <c r="AK371" s="19">
        <v>15.0</v>
      </c>
      <c r="AL371" s="19">
        <v>15.0</v>
      </c>
      <c r="AM371" s="19">
        <v>45.0</v>
      </c>
      <c r="AN371" s="19">
        <v>59.8</v>
      </c>
      <c r="AO371" s="19">
        <v>68.8</v>
      </c>
      <c r="AP371" s="19">
        <v>976.0</v>
      </c>
      <c r="AQ371" s="23">
        <v>364.0</v>
      </c>
      <c r="AR371" s="23">
        <v>29.0</v>
      </c>
      <c r="AS371" s="22"/>
      <c r="AT371" s="19" t="s">
        <v>2163</v>
      </c>
      <c r="AU371" s="19" t="s">
        <v>7756</v>
      </c>
      <c r="AV371" s="19" t="s">
        <v>8599</v>
      </c>
      <c r="AW371" s="19"/>
      <c r="AX371" s="20">
        <v>36733.0</v>
      </c>
      <c r="AY371" s="19" t="s">
        <v>2619</v>
      </c>
      <c r="AZ371" s="19" t="s">
        <v>2310</v>
      </c>
      <c r="BA371" s="19" t="s">
        <v>8600</v>
      </c>
      <c r="BB371" s="19" t="s">
        <v>8601</v>
      </c>
      <c r="BC371" s="19" t="s">
        <v>8602</v>
      </c>
      <c r="BD371" s="19" t="s">
        <v>8603</v>
      </c>
      <c r="BE371" s="19" t="s">
        <v>8604</v>
      </c>
      <c r="BF371" s="19">
        <v>1.1945813713E10</v>
      </c>
      <c r="BG371" s="19" t="s">
        <v>3518</v>
      </c>
      <c r="BH371" s="19" t="s">
        <v>2128</v>
      </c>
      <c r="BI371" s="19"/>
      <c r="BJ371" s="19" t="s">
        <v>2427</v>
      </c>
      <c r="BK371" s="19" t="s">
        <v>16</v>
      </c>
      <c r="BL371" s="19" t="s">
        <v>2113</v>
      </c>
      <c r="BM371" s="19" t="s">
        <v>5411</v>
      </c>
      <c r="BN371" s="19" t="s">
        <v>3951</v>
      </c>
      <c r="BO371" s="19" t="s">
        <v>2317</v>
      </c>
      <c r="BP371" s="19"/>
      <c r="BQ371" s="19" t="s">
        <v>2133</v>
      </c>
      <c r="BR371" s="19" t="s">
        <v>2133</v>
      </c>
      <c r="BS371" s="19" t="s">
        <v>3521</v>
      </c>
      <c r="BT371" s="19" t="s">
        <v>52</v>
      </c>
      <c r="BU371" s="19" t="s">
        <v>8605</v>
      </c>
      <c r="BV371" s="19"/>
      <c r="BW371" s="19"/>
      <c r="BX371" s="19"/>
      <c r="BY371" s="19" t="s">
        <v>2113</v>
      </c>
      <c r="BZ371" s="19"/>
      <c r="CA371" s="19" t="s">
        <v>2113</v>
      </c>
      <c r="CB371" s="19" t="s">
        <v>2113</v>
      </c>
      <c r="CC371" s="19"/>
      <c r="CD371" s="19" t="s">
        <v>2137</v>
      </c>
      <c r="CE371" s="19" t="s">
        <v>16</v>
      </c>
      <c r="CF371" s="19"/>
      <c r="CG371" s="19"/>
      <c r="CH371" s="19" t="s">
        <v>16</v>
      </c>
      <c r="CI371" s="21">
        <v>0.0</v>
      </c>
      <c r="CJ371" s="19" t="s">
        <v>17</v>
      </c>
      <c r="CK371" s="19"/>
      <c r="CL371" s="19"/>
      <c r="CM371" s="19" t="s">
        <v>2138</v>
      </c>
      <c r="CN371" s="19" t="s">
        <v>2626</v>
      </c>
      <c r="CO371" s="19"/>
      <c r="CP371" s="19" t="s">
        <v>2246</v>
      </c>
      <c r="CQ371" s="19" t="s">
        <v>2113</v>
      </c>
      <c r="CR371" s="19" t="s">
        <v>2113</v>
      </c>
      <c r="CS371" s="19" t="s">
        <v>2113</v>
      </c>
      <c r="CT371" s="19"/>
      <c r="CU371" s="19"/>
      <c r="CV371" s="19" t="s">
        <v>2179</v>
      </c>
      <c r="CW371" s="19"/>
      <c r="CX371" s="19"/>
      <c r="CY371" s="19" t="s">
        <v>2113</v>
      </c>
      <c r="CZ371" s="19" t="s">
        <v>2113</v>
      </c>
      <c r="DA371" s="19" t="s">
        <v>16</v>
      </c>
      <c r="DB371" s="19" t="s">
        <v>17</v>
      </c>
      <c r="DC371" s="19" t="s">
        <v>2627</v>
      </c>
      <c r="DD371" s="19" t="s">
        <v>2113</v>
      </c>
      <c r="DE371" s="19" t="s">
        <v>2113</v>
      </c>
      <c r="DF371" s="19" t="s">
        <v>2297</v>
      </c>
      <c r="DG371" s="19" t="s">
        <v>2142</v>
      </c>
      <c r="DH371" s="19" t="s">
        <v>2144</v>
      </c>
      <c r="DI371" s="24">
        <v>45533.0</v>
      </c>
      <c r="DJ371" s="19" t="s">
        <v>2133</v>
      </c>
      <c r="DK371" s="19" t="s">
        <v>2271</v>
      </c>
      <c r="DL371" s="19" t="s">
        <v>2146</v>
      </c>
      <c r="DM371" s="19" t="s">
        <v>2906</v>
      </c>
      <c r="DN371" s="19">
        <v>18.0</v>
      </c>
      <c r="DO371" s="19">
        <v>18.0</v>
      </c>
      <c r="DP371" s="19"/>
      <c r="DQ371" s="19"/>
      <c r="DR371" s="19"/>
      <c r="DS371" s="19" t="s">
        <v>2151</v>
      </c>
      <c r="DT371" s="19" t="s">
        <v>2209</v>
      </c>
      <c r="DU371" s="19" t="s">
        <v>8606</v>
      </c>
      <c r="DV371" s="19"/>
      <c r="DW371" s="19" t="s">
        <v>2153</v>
      </c>
      <c r="DX371" s="19">
        <v>12.0</v>
      </c>
      <c r="DY371" s="19">
        <v>5.0</v>
      </c>
      <c r="DZ371" s="19">
        <v>0.0</v>
      </c>
      <c r="EA371" s="19">
        <v>5.0</v>
      </c>
      <c r="EB371" s="19">
        <v>0.0</v>
      </c>
      <c r="EC371" s="19">
        <v>0.0</v>
      </c>
      <c r="ED371" s="19" t="s">
        <v>2133</v>
      </c>
      <c r="EE371" s="24">
        <v>45533.0</v>
      </c>
      <c r="EF371" s="19" t="s">
        <v>2133</v>
      </c>
      <c r="EG371" s="19" t="s">
        <v>2271</v>
      </c>
      <c r="EH371" s="19" t="s">
        <v>2146</v>
      </c>
      <c r="EI371" s="22">
        <v>14.8125</v>
      </c>
      <c r="EJ371" s="19">
        <v>45.0</v>
      </c>
      <c r="EK371" s="19" t="s">
        <v>2113</v>
      </c>
      <c r="EL371" s="19" t="s">
        <v>2163</v>
      </c>
      <c r="EM371" s="19" t="s">
        <v>7756</v>
      </c>
      <c r="EN371" s="19" t="s">
        <v>1101</v>
      </c>
      <c r="EO371" s="19" t="s">
        <v>2619</v>
      </c>
      <c r="EP371" s="19" t="s">
        <v>2310</v>
      </c>
      <c r="EQ371" s="19" t="s">
        <v>2626</v>
      </c>
      <c r="ER371" s="19"/>
      <c r="ES371" s="19" t="s">
        <v>1101</v>
      </c>
      <c r="ET371" s="19" t="s">
        <v>1101</v>
      </c>
      <c r="EU371" s="19" t="s">
        <v>8596</v>
      </c>
      <c r="EV371" s="19">
        <v>8728.0</v>
      </c>
      <c r="EW371" s="19" t="s">
        <v>16</v>
      </c>
      <c r="EX371" s="19">
        <v>4.0</v>
      </c>
      <c r="EY371" s="25" t="s">
        <v>1100</v>
      </c>
      <c r="EZ371" s="19" t="s">
        <v>2154</v>
      </c>
      <c r="FA371" s="5" t="s">
        <v>8607</v>
      </c>
      <c r="FB371" s="26" t="s">
        <v>2156</v>
      </c>
      <c r="FC371" s="26"/>
    </row>
    <row r="372">
      <c r="A372" s="19" t="s">
        <v>2156</v>
      </c>
      <c r="B372" s="19"/>
      <c r="C372" s="19" t="s">
        <v>2113</v>
      </c>
      <c r="D372" s="19" t="s">
        <v>8608</v>
      </c>
      <c r="E372" s="19" t="s">
        <v>8608</v>
      </c>
      <c r="F372" s="19" t="s">
        <v>8609</v>
      </c>
      <c r="G372" s="19" t="s">
        <v>8610</v>
      </c>
      <c r="H372" s="19" t="s">
        <v>1102</v>
      </c>
      <c r="I372" s="19" t="s">
        <v>1104</v>
      </c>
      <c r="J372" s="19" t="s">
        <v>8611</v>
      </c>
      <c r="K372" s="19" t="s">
        <v>8612</v>
      </c>
      <c r="L372" s="20">
        <v>45395.0</v>
      </c>
      <c r="M372" s="20">
        <v>45411.0</v>
      </c>
      <c r="N372" s="20">
        <v>45411.0</v>
      </c>
      <c r="O372" s="19" t="s">
        <v>1103</v>
      </c>
      <c r="P372" s="19">
        <v>0.0</v>
      </c>
      <c r="Q372" s="19">
        <v>25.0</v>
      </c>
      <c r="R372" s="19">
        <v>9330.0</v>
      </c>
      <c r="S372" s="20" t="s">
        <v>8613</v>
      </c>
      <c r="T372" s="20">
        <v>45461.0</v>
      </c>
      <c r="U372" s="19" t="s">
        <v>8609</v>
      </c>
      <c r="V372" s="19"/>
      <c r="W372" s="19"/>
      <c r="X372" s="21">
        <v>0.0</v>
      </c>
      <c r="Y372" s="21">
        <v>10.0</v>
      </c>
      <c r="Z372" s="21">
        <v>3.0</v>
      </c>
      <c r="AA372" s="21">
        <v>0.0</v>
      </c>
      <c r="AB372" s="5">
        <v>13.0</v>
      </c>
      <c r="AC372" s="19">
        <v>4.0</v>
      </c>
      <c r="AD372" s="19">
        <v>4.0</v>
      </c>
      <c r="AE372" s="19">
        <v>4.0</v>
      </c>
      <c r="AF372" s="19">
        <v>4.0</v>
      </c>
      <c r="AG372" s="19">
        <v>3.0</v>
      </c>
      <c r="AH372" s="19">
        <v>4.0</v>
      </c>
      <c r="AI372" s="22">
        <v>11.625</v>
      </c>
      <c r="AJ372" s="19">
        <v>15.0</v>
      </c>
      <c r="AK372" s="19">
        <v>14.0</v>
      </c>
      <c r="AL372" s="19">
        <v>15.0</v>
      </c>
      <c r="AM372" s="19">
        <v>44.0</v>
      </c>
      <c r="AN372" s="19">
        <v>55.6</v>
      </c>
      <c r="AO372" s="19">
        <v>68.6</v>
      </c>
      <c r="AP372" s="19">
        <v>692.0</v>
      </c>
      <c r="AQ372" s="23">
        <v>365.0</v>
      </c>
      <c r="AR372" s="23">
        <v>46.0</v>
      </c>
      <c r="AS372" s="22"/>
      <c r="AT372" s="19" t="s">
        <v>2117</v>
      </c>
      <c r="AU372" s="19" t="s">
        <v>8614</v>
      </c>
      <c r="AV372" s="19" t="s">
        <v>8615</v>
      </c>
      <c r="AW372" s="19" t="s">
        <v>3383</v>
      </c>
      <c r="AX372" s="20">
        <v>36131.0</v>
      </c>
      <c r="AY372" s="19" t="s">
        <v>2467</v>
      </c>
      <c r="AZ372" s="19" t="s">
        <v>2122</v>
      </c>
      <c r="BA372" s="19" t="s">
        <v>8616</v>
      </c>
      <c r="BB372" s="19" t="s">
        <v>4020</v>
      </c>
      <c r="BC372" s="19" t="s">
        <v>8617</v>
      </c>
      <c r="BD372" s="19" t="s">
        <v>8618</v>
      </c>
      <c r="BE372" s="19" t="s">
        <v>8611</v>
      </c>
      <c r="BF372" s="19">
        <v>1.1981331297E10</v>
      </c>
      <c r="BG372" s="19" t="s">
        <v>2127</v>
      </c>
      <c r="BH372" s="19" t="s">
        <v>2128</v>
      </c>
      <c r="BI372" s="19"/>
      <c r="BJ372" s="19" t="s">
        <v>2128</v>
      </c>
      <c r="BK372" s="19" t="s">
        <v>16</v>
      </c>
      <c r="BL372" s="19" t="s">
        <v>2113</v>
      </c>
      <c r="BM372" s="19" t="s">
        <v>5411</v>
      </c>
      <c r="BN372" s="19" t="s">
        <v>2172</v>
      </c>
      <c r="BO372" s="19" t="s">
        <v>2473</v>
      </c>
      <c r="BP372" s="19"/>
      <c r="BQ372" s="19" t="s">
        <v>2133</v>
      </c>
      <c r="BR372" s="19" t="s">
        <v>2133</v>
      </c>
      <c r="BS372" s="19" t="s">
        <v>2134</v>
      </c>
      <c r="BT372" s="19" t="s">
        <v>38</v>
      </c>
      <c r="BU372" s="19" t="s">
        <v>3501</v>
      </c>
      <c r="BV372" s="19"/>
      <c r="BW372" s="19"/>
      <c r="BX372" s="19"/>
      <c r="BY372" s="19" t="s">
        <v>2113</v>
      </c>
      <c r="BZ372" s="19" t="s">
        <v>2113</v>
      </c>
      <c r="CA372" s="19" t="s">
        <v>2113</v>
      </c>
      <c r="CB372" s="19" t="s">
        <v>2113</v>
      </c>
      <c r="CC372" s="19"/>
      <c r="CD372" s="19" t="s">
        <v>2137</v>
      </c>
      <c r="CE372" s="19" t="s">
        <v>16</v>
      </c>
      <c r="CF372" s="19"/>
      <c r="CG372" s="19"/>
      <c r="CH372" s="19" t="s">
        <v>16</v>
      </c>
      <c r="CI372" s="21">
        <v>0.0</v>
      </c>
      <c r="CJ372" s="19" t="s">
        <v>16</v>
      </c>
      <c r="CK372" s="19"/>
      <c r="CL372" s="19"/>
      <c r="CM372" s="19" t="s">
        <v>2344</v>
      </c>
      <c r="CN372" s="19" t="s">
        <v>2475</v>
      </c>
      <c r="CO372" s="19"/>
      <c r="CP372" s="19" t="s">
        <v>2134</v>
      </c>
      <c r="CQ372" s="19" t="s">
        <v>2113</v>
      </c>
      <c r="CR372" s="19" t="s">
        <v>2113</v>
      </c>
      <c r="CS372" s="19" t="s">
        <v>2113</v>
      </c>
      <c r="CT372" s="19" t="s">
        <v>2113</v>
      </c>
      <c r="CU372" s="19" t="s">
        <v>2113</v>
      </c>
      <c r="CV372" s="19" t="s">
        <v>2141</v>
      </c>
      <c r="CW372" s="19" t="s">
        <v>2113</v>
      </c>
      <c r="CX372" s="19" t="s">
        <v>2113</v>
      </c>
      <c r="CY372" s="19" t="s">
        <v>2113</v>
      </c>
      <c r="CZ372" s="19" t="s">
        <v>2113</v>
      </c>
      <c r="DA372" s="19" t="s">
        <v>16</v>
      </c>
      <c r="DB372" s="19" t="s">
        <v>16</v>
      </c>
      <c r="DC372" s="19" t="s">
        <v>2142</v>
      </c>
      <c r="DD372" s="19" t="s">
        <v>2113</v>
      </c>
      <c r="DE372" s="19" t="s">
        <v>2113</v>
      </c>
      <c r="DF372" s="19" t="s">
        <v>2406</v>
      </c>
      <c r="DG372" s="19" t="s">
        <v>2407</v>
      </c>
      <c r="DH372" s="19" t="s">
        <v>2144</v>
      </c>
      <c r="DI372" s="24">
        <v>45518.0</v>
      </c>
      <c r="DJ372" s="19" t="s">
        <v>2133</v>
      </c>
      <c r="DK372" s="19" t="s">
        <v>2271</v>
      </c>
      <c r="DL372" s="19" t="s">
        <v>2146</v>
      </c>
      <c r="DM372" s="19"/>
      <c r="DN372" s="19">
        <v>4.0</v>
      </c>
      <c r="DO372" s="19">
        <v>4.0</v>
      </c>
      <c r="DP372" s="19" t="s">
        <v>8619</v>
      </c>
      <c r="DQ372" s="19" t="s">
        <v>8620</v>
      </c>
      <c r="DR372" s="19" t="s">
        <v>8621</v>
      </c>
      <c r="DS372" s="19" t="s">
        <v>2185</v>
      </c>
      <c r="DT372" s="19" t="s">
        <v>2301</v>
      </c>
      <c r="DU372" s="19"/>
      <c r="DV372" s="19"/>
      <c r="DW372" s="19" t="s">
        <v>2153</v>
      </c>
      <c r="DX372" s="19">
        <v>1.0</v>
      </c>
      <c r="DY372" s="19">
        <v>10.0</v>
      </c>
      <c r="DZ372" s="19">
        <v>0.0</v>
      </c>
      <c r="EA372" s="19">
        <v>10.0</v>
      </c>
      <c r="EB372" s="19">
        <v>0.0</v>
      </c>
      <c r="EC372" s="19">
        <v>0.0</v>
      </c>
      <c r="ED372" s="19" t="s">
        <v>2133</v>
      </c>
      <c r="EE372" s="24">
        <v>45518.0</v>
      </c>
      <c r="EF372" s="19" t="s">
        <v>2133</v>
      </c>
      <c r="EG372" s="19" t="s">
        <v>2271</v>
      </c>
      <c r="EH372" s="19" t="s">
        <v>2146</v>
      </c>
      <c r="EI372" s="22">
        <v>11.625</v>
      </c>
      <c r="EJ372" s="19">
        <v>44.0</v>
      </c>
      <c r="EK372" s="19"/>
      <c r="EL372" s="19" t="s">
        <v>2117</v>
      </c>
      <c r="EM372" s="19" t="s">
        <v>8614</v>
      </c>
      <c r="EN372" s="19" t="s">
        <v>1104</v>
      </c>
      <c r="EO372" s="19" t="s">
        <v>2467</v>
      </c>
      <c r="EP372" s="19" t="s">
        <v>2122</v>
      </c>
      <c r="EQ372" s="19" t="s">
        <v>2475</v>
      </c>
      <c r="ER372" s="19"/>
      <c r="ES372" s="19" t="s">
        <v>1104</v>
      </c>
      <c r="ET372" s="19" t="s">
        <v>1104</v>
      </c>
      <c r="EU372" s="19" t="s">
        <v>8612</v>
      </c>
      <c r="EV372" s="19">
        <v>9330.0</v>
      </c>
      <c r="EW372" s="19" t="s">
        <v>16</v>
      </c>
      <c r="EX372" s="19">
        <v>3.0</v>
      </c>
      <c r="EY372" s="25" t="s">
        <v>1103</v>
      </c>
      <c r="EZ372" s="19" t="s">
        <v>2154</v>
      </c>
      <c r="FA372" s="5" t="s">
        <v>8622</v>
      </c>
      <c r="FB372" s="26" t="s">
        <v>2156</v>
      </c>
      <c r="FC372" s="26"/>
    </row>
    <row r="373">
      <c r="A373" s="19" t="s">
        <v>2112</v>
      </c>
      <c r="B373" s="19"/>
      <c r="C373" s="19" t="s">
        <v>2113</v>
      </c>
      <c r="D373" s="19" t="s">
        <v>1105</v>
      </c>
      <c r="E373" s="19" t="s">
        <v>8623</v>
      </c>
      <c r="F373" s="19" t="s">
        <v>1105</v>
      </c>
      <c r="G373" s="19"/>
      <c r="H373" s="19" t="s">
        <v>1105</v>
      </c>
      <c r="I373" s="19" t="s">
        <v>1107</v>
      </c>
      <c r="J373" s="19" t="s">
        <v>8624</v>
      </c>
      <c r="K373" s="19" t="s">
        <v>8625</v>
      </c>
      <c r="L373" s="20">
        <v>45405.0</v>
      </c>
      <c r="M373" s="20">
        <v>45411.0</v>
      </c>
      <c r="N373" s="20">
        <v>45411.0</v>
      </c>
      <c r="O373" s="19" t="s">
        <v>1106</v>
      </c>
      <c r="P373" s="19">
        <v>0.0</v>
      </c>
      <c r="Q373" s="19">
        <v>24.0</v>
      </c>
      <c r="R373" s="19">
        <v>8811.0</v>
      </c>
      <c r="S373" s="20" t="s">
        <v>8626</v>
      </c>
      <c r="T373" s="20">
        <v>45461.0</v>
      </c>
      <c r="U373" s="19" t="s">
        <v>1105</v>
      </c>
      <c r="V373" s="19"/>
      <c r="W373" s="19" t="s">
        <v>8627</v>
      </c>
      <c r="X373" s="21">
        <v>0.0</v>
      </c>
      <c r="Y373" s="21">
        <v>10.0</v>
      </c>
      <c r="Z373" s="21">
        <v>3.0</v>
      </c>
      <c r="AA373" s="21">
        <v>0.0</v>
      </c>
      <c r="AB373" s="5">
        <v>13.0</v>
      </c>
      <c r="AC373" s="19">
        <v>5.0</v>
      </c>
      <c r="AD373" s="19">
        <v>3.0</v>
      </c>
      <c r="AE373" s="19">
        <v>4.0</v>
      </c>
      <c r="AF373" s="19">
        <v>5.0</v>
      </c>
      <c r="AG373" s="19">
        <v>5.0</v>
      </c>
      <c r="AH373" s="19">
        <v>4.0</v>
      </c>
      <c r="AI373" s="22">
        <v>12.5625</v>
      </c>
      <c r="AJ373" s="19">
        <v>15.0</v>
      </c>
      <c r="AK373" s="19">
        <v>15.0</v>
      </c>
      <c r="AL373" s="19">
        <v>13.0</v>
      </c>
      <c r="AM373" s="19">
        <v>43.0</v>
      </c>
      <c r="AN373" s="19">
        <v>55.6</v>
      </c>
      <c r="AO373" s="19">
        <v>68.6</v>
      </c>
      <c r="AP373" s="19">
        <v>709.0</v>
      </c>
      <c r="AQ373" s="23">
        <v>366.0</v>
      </c>
      <c r="AR373" s="23">
        <v>27.0</v>
      </c>
      <c r="AS373" s="22"/>
      <c r="AT373" s="19" t="s">
        <v>2117</v>
      </c>
      <c r="AU373" s="19" t="s">
        <v>8628</v>
      </c>
      <c r="AV373" s="19" t="s">
        <v>8629</v>
      </c>
      <c r="AW373" s="19"/>
      <c r="AX373" s="20">
        <v>36650.0</v>
      </c>
      <c r="AY373" s="19" t="s">
        <v>4661</v>
      </c>
      <c r="AZ373" s="19" t="s">
        <v>2310</v>
      </c>
      <c r="BA373" s="19" t="s">
        <v>8630</v>
      </c>
      <c r="BB373" s="19" t="s">
        <v>8631</v>
      </c>
      <c r="BC373" s="19" t="s">
        <v>8632</v>
      </c>
      <c r="BD373" s="19" t="s">
        <v>8633</v>
      </c>
      <c r="BE373" s="19" t="s">
        <v>8634</v>
      </c>
      <c r="BF373" s="19">
        <v>1.1982986921E10</v>
      </c>
      <c r="BG373" s="19" t="s">
        <v>2127</v>
      </c>
      <c r="BH373" s="19" t="s">
        <v>2128</v>
      </c>
      <c r="BI373" s="19"/>
      <c r="BJ373" s="19"/>
      <c r="BK373" s="19" t="s">
        <v>16</v>
      </c>
      <c r="BL373" s="19"/>
      <c r="BM373" s="19" t="s">
        <v>5411</v>
      </c>
      <c r="BN373" s="19" t="s">
        <v>2172</v>
      </c>
      <c r="BO373" s="19" t="s">
        <v>2473</v>
      </c>
      <c r="BP373" s="19" t="s">
        <v>8635</v>
      </c>
      <c r="BQ373" s="19" t="s">
        <v>2133</v>
      </c>
      <c r="BR373" s="19" t="s">
        <v>2133</v>
      </c>
      <c r="BS373" s="19" t="s">
        <v>2134</v>
      </c>
      <c r="BT373" s="19" t="s">
        <v>222</v>
      </c>
      <c r="BU373" s="19"/>
      <c r="BV373" s="19"/>
      <c r="BW373" s="19"/>
      <c r="BX373" s="19"/>
      <c r="BY373" s="19"/>
      <c r="BZ373" s="19"/>
      <c r="CA373" s="19"/>
      <c r="CB373" s="19" t="s">
        <v>2113</v>
      </c>
      <c r="CC373" s="19" t="s">
        <v>2113</v>
      </c>
      <c r="CD373" s="19" t="s">
        <v>2137</v>
      </c>
      <c r="CE373" s="19" t="s">
        <v>16</v>
      </c>
      <c r="CF373" s="19"/>
      <c r="CG373" s="19"/>
      <c r="CH373" s="19" t="s">
        <v>16</v>
      </c>
      <c r="CI373" s="21">
        <v>0.0</v>
      </c>
      <c r="CJ373" s="19" t="s">
        <v>17</v>
      </c>
      <c r="CK373" s="19"/>
      <c r="CL373" s="19"/>
      <c r="CM373" s="19"/>
      <c r="CN373" s="19" t="s">
        <v>3544</v>
      </c>
      <c r="CO373" s="19"/>
      <c r="CP373" s="19"/>
      <c r="CQ373" s="19"/>
      <c r="CR373" s="19" t="s">
        <v>2113</v>
      </c>
      <c r="CS373" s="19" t="s">
        <v>2113</v>
      </c>
      <c r="CT373" s="19" t="s">
        <v>2113</v>
      </c>
      <c r="CU373" s="19" t="s">
        <v>2113</v>
      </c>
      <c r="CV373" s="19" t="s">
        <v>2141</v>
      </c>
      <c r="CW373" s="19" t="s">
        <v>2113</v>
      </c>
      <c r="CX373" s="19" t="s">
        <v>2113</v>
      </c>
      <c r="CY373" s="19" t="s">
        <v>2113</v>
      </c>
      <c r="CZ373" s="19" t="s">
        <v>2113</v>
      </c>
      <c r="DA373" s="19" t="s">
        <v>16</v>
      </c>
      <c r="DB373" s="19" t="s">
        <v>17</v>
      </c>
      <c r="DC373" s="19" t="s">
        <v>2146</v>
      </c>
      <c r="DD373" s="19" t="s">
        <v>2113</v>
      </c>
      <c r="DE373" s="19" t="s">
        <v>2113</v>
      </c>
      <c r="DF373" s="19" t="s">
        <v>2804</v>
      </c>
      <c r="DG373" s="19" t="s">
        <v>2433</v>
      </c>
      <c r="DH373" s="19" t="s">
        <v>2144</v>
      </c>
      <c r="DI373" s="24">
        <v>45531.0</v>
      </c>
      <c r="DJ373" s="19" t="s">
        <v>2133</v>
      </c>
      <c r="DK373" s="19" t="s">
        <v>2271</v>
      </c>
      <c r="DL373" s="19" t="s">
        <v>2146</v>
      </c>
      <c r="DM373" s="19" t="s">
        <v>2827</v>
      </c>
      <c r="DN373" s="19">
        <v>14.0</v>
      </c>
      <c r="DO373" s="19">
        <v>14.0</v>
      </c>
      <c r="DP373" s="19" t="s">
        <v>8636</v>
      </c>
      <c r="DQ373" s="19" t="s">
        <v>8637</v>
      </c>
      <c r="DR373" s="19" t="s">
        <v>8638</v>
      </c>
      <c r="DS373" s="19" t="s">
        <v>2151</v>
      </c>
      <c r="DT373" s="19" t="s">
        <v>2301</v>
      </c>
      <c r="DU373" s="19"/>
      <c r="DV373" s="19"/>
      <c r="DW373" s="19" t="s">
        <v>2153</v>
      </c>
      <c r="DX373" s="19">
        <v>12.0</v>
      </c>
      <c r="DY373" s="19">
        <v>10.0</v>
      </c>
      <c r="DZ373" s="19">
        <v>0.0</v>
      </c>
      <c r="EA373" s="19">
        <v>10.0</v>
      </c>
      <c r="EB373" s="19">
        <v>0.0</v>
      </c>
      <c r="EC373" s="19">
        <v>0.0</v>
      </c>
      <c r="ED373" s="19" t="s">
        <v>2133</v>
      </c>
      <c r="EE373" s="24">
        <v>45531.0</v>
      </c>
      <c r="EF373" s="19" t="s">
        <v>2133</v>
      </c>
      <c r="EG373" s="19" t="s">
        <v>2271</v>
      </c>
      <c r="EH373" s="19" t="s">
        <v>2146</v>
      </c>
      <c r="EI373" s="22">
        <v>12.5625</v>
      </c>
      <c r="EJ373" s="19">
        <v>43.0</v>
      </c>
      <c r="EK373" s="19" t="s">
        <v>2113</v>
      </c>
      <c r="EL373" s="19" t="s">
        <v>2117</v>
      </c>
      <c r="EM373" s="19" t="s">
        <v>8628</v>
      </c>
      <c r="EN373" s="19" t="s">
        <v>1107</v>
      </c>
      <c r="EO373" s="19" t="s">
        <v>4661</v>
      </c>
      <c r="EP373" s="19" t="s">
        <v>2310</v>
      </c>
      <c r="EQ373" s="19" t="s">
        <v>3544</v>
      </c>
      <c r="ER373" s="19"/>
      <c r="ES373" s="19" t="s">
        <v>1107</v>
      </c>
      <c r="ET373" s="19" t="s">
        <v>1107</v>
      </c>
      <c r="EU373" s="19" t="s">
        <v>8625</v>
      </c>
      <c r="EV373" s="19">
        <v>8811.0</v>
      </c>
      <c r="EW373" s="19" t="s">
        <v>16</v>
      </c>
      <c r="EX373" s="19">
        <v>3.0</v>
      </c>
      <c r="EY373" s="25" t="s">
        <v>1106</v>
      </c>
      <c r="EZ373" s="19" t="s">
        <v>2154</v>
      </c>
      <c r="FA373" s="5" t="s">
        <v>8639</v>
      </c>
      <c r="FB373" s="26" t="s">
        <v>2156</v>
      </c>
      <c r="FC373" s="26"/>
    </row>
    <row r="374">
      <c r="A374" s="19" t="s">
        <v>2112</v>
      </c>
      <c r="B374" s="19"/>
      <c r="C374" s="19" t="s">
        <v>2113</v>
      </c>
      <c r="D374" s="19" t="s">
        <v>1108</v>
      </c>
      <c r="E374" s="19" t="s">
        <v>1108</v>
      </c>
      <c r="F374" s="19" t="s">
        <v>1108</v>
      </c>
      <c r="G374" s="19" t="s">
        <v>8640</v>
      </c>
      <c r="H374" s="19" t="s">
        <v>1108</v>
      </c>
      <c r="I374" s="19" t="s">
        <v>1110</v>
      </c>
      <c r="J374" s="19" t="s">
        <v>8641</v>
      </c>
      <c r="K374" s="19" t="s">
        <v>8642</v>
      </c>
      <c r="L374" s="20">
        <v>45456.0</v>
      </c>
      <c r="M374" s="20">
        <v>45457.0</v>
      </c>
      <c r="N374" s="20">
        <v>45457.0</v>
      </c>
      <c r="O374" s="19" t="s">
        <v>1109</v>
      </c>
      <c r="P374" s="19">
        <v>0.0</v>
      </c>
      <c r="Q374" s="19">
        <v>28.0</v>
      </c>
      <c r="R374" s="19">
        <v>10413.0</v>
      </c>
      <c r="S374" s="20" t="s">
        <v>8643</v>
      </c>
      <c r="T374" s="20">
        <v>45461.0</v>
      </c>
      <c r="U374" s="19" t="s">
        <v>8644</v>
      </c>
      <c r="V374" s="19"/>
      <c r="W374" s="19"/>
      <c r="X374" s="21">
        <v>0.0</v>
      </c>
      <c r="Y374" s="21">
        <v>10.0</v>
      </c>
      <c r="Z374" s="21">
        <v>2.0</v>
      </c>
      <c r="AA374" s="21">
        <v>0.0</v>
      </c>
      <c r="AB374" s="5">
        <v>12.0</v>
      </c>
      <c r="AC374" s="19">
        <v>4.666666666666667</v>
      </c>
      <c r="AD374" s="19">
        <v>4.666666666666667</v>
      </c>
      <c r="AE374" s="19">
        <v>4.0</v>
      </c>
      <c r="AF374" s="19">
        <v>3.6666666666666665</v>
      </c>
      <c r="AG374" s="19">
        <v>3.6666666666666665</v>
      </c>
      <c r="AH374" s="19">
        <v>4.333333333333333</v>
      </c>
      <c r="AI374" s="22">
        <v>12.625000000000002</v>
      </c>
      <c r="AJ374" s="19">
        <v>14.0</v>
      </c>
      <c r="AK374" s="19">
        <v>15.0</v>
      </c>
      <c r="AL374" s="19">
        <v>15.0</v>
      </c>
      <c r="AM374" s="19">
        <v>44.0</v>
      </c>
      <c r="AN374" s="19">
        <v>56.6</v>
      </c>
      <c r="AO374" s="19">
        <v>68.6</v>
      </c>
      <c r="AP374" s="19">
        <v>832.0</v>
      </c>
      <c r="AQ374" s="23">
        <v>367.0</v>
      </c>
      <c r="AR374" s="23">
        <v>11.0</v>
      </c>
      <c r="AS374" s="22"/>
      <c r="AT374" s="19" t="s">
        <v>2282</v>
      </c>
      <c r="AU374" s="19" t="s">
        <v>8645</v>
      </c>
      <c r="AV374" s="19" t="s">
        <v>8646</v>
      </c>
      <c r="AW374" s="19" t="s">
        <v>8647</v>
      </c>
      <c r="AX374" s="20">
        <v>35048.0</v>
      </c>
      <c r="AY374" s="19" t="s">
        <v>8648</v>
      </c>
      <c r="AZ374" s="19" t="s">
        <v>2122</v>
      </c>
      <c r="BA374" s="19" t="s">
        <v>8649</v>
      </c>
      <c r="BB374" s="19" t="s">
        <v>3828</v>
      </c>
      <c r="BC374" s="19" t="s">
        <v>8650</v>
      </c>
      <c r="BD374" s="19" t="s">
        <v>8651</v>
      </c>
      <c r="BE374" s="19" t="s">
        <v>8641</v>
      </c>
      <c r="BF374" s="19">
        <v>6.1981105627E10</v>
      </c>
      <c r="BG374" s="19" t="s">
        <v>2127</v>
      </c>
      <c r="BH374" s="19" t="s">
        <v>2128</v>
      </c>
      <c r="BI374" s="19"/>
      <c r="BJ374" s="19" t="s">
        <v>2129</v>
      </c>
      <c r="BK374" s="19" t="s">
        <v>17</v>
      </c>
      <c r="BL374" s="19"/>
      <c r="BM374" s="19" t="s">
        <v>5563</v>
      </c>
      <c r="BN374" s="19" t="s">
        <v>17</v>
      </c>
      <c r="BO374" s="19" t="s">
        <v>3199</v>
      </c>
      <c r="BP374" s="19" t="s">
        <v>8652</v>
      </c>
      <c r="BQ374" s="19" t="s">
        <v>3251</v>
      </c>
      <c r="BR374" s="19" t="s">
        <v>3251</v>
      </c>
      <c r="BS374" s="19" t="s">
        <v>2134</v>
      </c>
      <c r="BT374" s="19" t="s">
        <v>177</v>
      </c>
      <c r="BU374" s="19" t="s">
        <v>8653</v>
      </c>
      <c r="BV374" s="19"/>
      <c r="BW374" s="19" t="s">
        <v>2113</v>
      </c>
      <c r="BX374" s="19"/>
      <c r="BY374" s="19"/>
      <c r="BZ374" s="19"/>
      <c r="CA374" s="19"/>
      <c r="CB374" s="19" t="s">
        <v>2113</v>
      </c>
      <c r="CC374" s="19"/>
      <c r="CD374" s="19" t="s">
        <v>2137</v>
      </c>
      <c r="CE374" s="19" t="s">
        <v>16</v>
      </c>
      <c r="CF374" s="19"/>
      <c r="CG374" s="19"/>
      <c r="CH374" s="19" t="s">
        <v>16</v>
      </c>
      <c r="CI374" s="21">
        <v>0.0</v>
      </c>
      <c r="CJ374" s="19" t="s">
        <v>16</v>
      </c>
      <c r="CK374" s="19"/>
      <c r="CL374" s="19"/>
      <c r="CM374" s="19" t="s">
        <v>2344</v>
      </c>
      <c r="CN374" s="19" t="s">
        <v>3253</v>
      </c>
      <c r="CO374" s="19"/>
      <c r="CP374" s="19" t="s">
        <v>2225</v>
      </c>
      <c r="CQ374" s="19"/>
      <c r="CR374" s="19" t="s">
        <v>2113</v>
      </c>
      <c r="CS374" s="19" t="s">
        <v>2113</v>
      </c>
      <c r="CT374" s="19" t="s">
        <v>2113</v>
      </c>
      <c r="CU374" s="19" t="s">
        <v>2113</v>
      </c>
      <c r="CV374" s="19" t="s">
        <v>2141</v>
      </c>
      <c r="CW374" s="19" t="s">
        <v>2113</v>
      </c>
      <c r="CX374" s="19" t="s">
        <v>2113</v>
      </c>
      <c r="CY374" s="19" t="s">
        <v>2113</v>
      </c>
      <c r="CZ374" s="19" t="s">
        <v>2113</v>
      </c>
      <c r="DA374" s="19" t="s">
        <v>16</v>
      </c>
      <c r="DB374" s="19" t="s">
        <v>16</v>
      </c>
      <c r="DC374" s="19" t="s">
        <v>2433</v>
      </c>
      <c r="DD374" s="19" t="s">
        <v>2113</v>
      </c>
      <c r="DE374" s="19" t="s">
        <v>2113</v>
      </c>
      <c r="DF374" s="19" t="s">
        <v>2207</v>
      </c>
      <c r="DG374" s="19" t="s">
        <v>3163</v>
      </c>
      <c r="DH374" s="19" t="s">
        <v>2144</v>
      </c>
      <c r="DI374" s="24">
        <v>45525.0</v>
      </c>
      <c r="DJ374" s="19" t="s">
        <v>3257</v>
      </c>
      <c r="DK374" s="19" t="s">
        <v>2271</v>
      </c>
      <c r="DL374" s="19" t="s">
        <v>2207</v>
      </c>
      <c r="DM374" s="22" t="s">
        <v>3599</v>
      </c>
      <c r="DN374" s="19">
        <v>4.0</v>
      </c>
      <c r="DO374" s="19">
        <v>4.0</v>
      </c>
      <c r="DP374" s="19" t="s">
        <v>8654</v>
      </c>
      <c r="DQ374" s="19" t="s">
        <v>8655</v>
      </c>
      <c r="DR374" s="19" t="s">
        <v>8656</v>
      </c>
      <c r="DS374" s="19" t="s">
        <v>2185</v>
      </c>
      <c r="DT374" s="19" t="s">
        <v>2209</v>
      </c>
      <c r="DU374" s="19"/>
      <c r="DV374" s="19"/>
      <c r="DW374" s="19" t="s">
        <v>2153</v>
      </c>
      <c r="DX374" s="19">
        <v>1.0</v>
      </c>
      <c r="DY374" s="19">
        <v>10.0</v>
      </c>
      <c r="DZ374" s="19">
        <v>0.0</v>
      </c>
      <c r="EA374" s="19">
        <v>10.0</v>
      </c>
      <c r="EB374" s="19">
        <v>0.0</v>
      </c>
      <c r="EC374" s="19">
        <v>0.0</v>
      </c>
      <c r="ED374" s="19" t="s">
        <v>3257</v>
      </c>
      <c r="EE374" s="24">
        <v>45525.0</v>
      </c>
      <c r="EF374" s="19" t="s">
        <v>3257</v>
      </c>
      <c r="EG374" s="19" t="s">
        <v>2271</v>
      </c>
      <c r="EH374" s="19" t="s">
        <v>2207</v>
      </c>
      <c r="EI374" s="22">
        <v>12.625000000000002</v>
      </c>
      <c r="EJ374" s="19">
        <v>44.0</v>
      </c>
      <c r="EK374" s="19"/>
      <c r="EL374" s="19" t="s">
        <v>2282</v>
      </c>
      <c r="EM374" s="19" t="s">
        <v>8645</v>
      </c>
      <c r="EN374" s="19" t="s">
        <v>1110</v>
      </c>
      <c r="EO374" s="19" t="s">
        <v>8648</v>
      </c>
      <c r="EP374" s="19" t="s">
        <v>2122</v>
      </c>
      <c r="EQ374" s="19" t="s">
        <v>3253</v>
      </c>
      <c r="ER374" s="19"/>
      <c r="ES374" s="19" t="s">
        <v>1110</v>
      </c>
      <c r="ET374" s="19" t="s">
        <v>1110</v>
      </c>
      <c r="EU374" s="19" t="s">
        <v>8642</v>
      </c>
      <c r="EV374" s="19">
        <v>10413.0</v>
      </c>
      <c r="EW374" s="19" t="s">
        <v>16</v>
      </c>
      <c r="EX374" s="19">
        <v>2.0</v>
      </c>
      <c r="EY374" s="25" t="s">
        <v>1109</v>
      </c>
      <c r="EZ374" s="19" t="s">
        <v>2154</v>
      </c>
      <c r="FA374" s="5" t="s">
        <v>8657</v>
      </c>
      <c r="FB374" s="26" t="s">
        <v>2156</v>
      </c>
      <c r="FC374" s="26"/>
    </row>
    <row r="375">
      <c r="A375" s="19" t="s">
        <v>2112</v>
      </c>
      <c r="B375" s="19" t="s">
        <v>2113</v>
      </c>
      <c r="C375" s="19" t="s">
        <v>2113</v>
      </c>
      <c r="D375" s="19" t="s">
        <v>1111</v>
      </c>
      <c r="E375" s="19" t="s">
        <v>8658</v>
      </c>
      <c r="F375" s="19" t="s">
        <v>8659</v>
      </c>
      <c r="G375" s="19" t="s">
        <v>8660</v>
      </c>
      <c r="H375" s="19" t="s">
        <v>1111</v>
      </c>
      <c r="I375" s="19" t="s">
        <v>1113</v>
      </c>
      <c r="J375" s="19" t="s">
        <v>8661</v>
      </c>
      <c r="K375" s="19" t="s">
        <v>8662</v>
      </c>
      <c r="L375" s="20">
        <v>45443.0</v>
      </c>
      <c r="M375" s="20">
        <v>45446.0</v>
      </c>
      <c r="N375" s="20">
        <v>45446.0</v>
      </c>
      <c r="O375" s="19" t="s">
        <v>1112</v>
      </c>
      <c r="P375" s="19">
        <v>1.0</v>
      </c>
      <c r="Q375" s="19">
        <v>18.0</v>
      </c>
      <c r="R375" s="19">
        <v>6621.0</v>
      </c>
      <c r="S375" s="20" t="s">
        <v>8663</v>
      </c>
      <c r="T375" s="20">
        <v>45461.0</v>
      </c>
      <c r="U375" s="19" t="s">
        <v>8659</v>
      </c>
      <c r="V375" s="19"/>
      <c r="W375" s="19"/>
      <c r="X375" s="21">
        <v>20.0</v>
      </c>
      <c r="Y375" s="21">
        <v>0.0</v>
      </c>
      <c r="Z375" s="21">
        <v>4.0</v>
      </c>
      <c r="AA375" s="21">
        <v>0.0</v>
      </c>
      <c r="AB375" s="5">
        <v>24.0</v>
      </c>
      <c r="AC375" s="19">
        <v>5.0</v>
      </c>
      <c r="AD375" s="19">
        <v>4.8</v>
      </c>
      <c r="AE375" s="19">
        <v>5.0</v>
      </c>
      <c r="AF375" s="19">
        <v>4.6</v>
      </c>
      <c r="AG375" s="19">
        <v>4.6</v>
      </c>
      <c r="AH375" s="19">
        <v>4.8</v>
      </c>
      <c r="AI375" s="22">
        <v>14.493749999999999</v>
      </c>
      <c r="AJ375" s="19">
        <v>10.0</v>
      </c>
      <c r="AK375" s="19">
        <v>10.0</v>
      </c>
      <c r="AL375" s="19">
        <v>10.0</v>
      </c>
      <c r="AM375" s="19">
        <v>30.0</v>
      </c>
      <c r="AN375" s="19">
        <v>44.5</v>
      </c>
      <c r="AO375" s="19">
        <v>68.5</v>
      </c>
      <c r="AP375" s="19">
        <v>297.0</v>
      </c>
      <c r="AQ375" s="23">
        <v>368.0</v>
      </c>
      <c r="AR375" s="23">
        <v>26.0</v>
      </c>
      <c r="AS375" s="22"/>
      <c r="AT375" s="19" t="s">
        <v>2117</v>
      </c>
      <c r="AU375" s="19" t="s">
        <v>6237</v>
      </c>
      <c r="AV375" s="19" t="s">
        <v>8664</v>
      </c>
      <c r="AW375" s="19" t="s">
        <v>3923</v>
      </c>
      <c r="AX375" s="20">
        <v>38840.0</v>
      </c>
      <c r="AY375" s="19" t="s">
        <v>4876</v>
      </c>
      <c r="AZ375" s="19" t="s">
        <v>2122</v>
      </c>
      <c r="BA375" s="19" t="s">
        <v>8665</v>
      </c>
      <c r="BB375" s="19" t="s">
        <v>2447</v>
      </c>
      <c r="BC375" s="19" t="s">
        <v>8666</v>
      </c>
      <c r="BD375" s="19" t="s">
        <v>8667</v>
      </c>
      <c r="BE375" s="19" t="s">
        <v>8668</v>
      </c>
      <c r="BF375" s="19"/>
      <c r="BG375" s="19" t="s">
        <v>4038</v>
      </c>
      <c r="BH375" s="19" t="s">
        <v>2649</v>
      </c>
      <c r="BI375" s="19"/>
      <c r="BJ375" s="19" t="s">
        <v>2129</v>
      </c>
      <c r="BK375" s="19" t="s">
        <v>17</v>
      </c>
      <c r="BL375" s="19"/>
      <c r="BM375" s="19" t="s">
        <v>2130</v>
      </c>
      <c r="BN375" s="19" t="s">
        <v>17</v>
      </c>
      <c r="BO375" s="19" t="s">
        <v>2317</v>
      </c>
      <c r="BP375" s="19" t="s">
        <v>8669</v>
      </c>
      <c r="BQ375" s="19" t="s">
        <v>2174</v>
      </c>
      <c r="BR375" s="19" t="s">
        <v>2174</v>
      </c>
      <c r="BS375" s="19" t="s">
        <v>2134</v>
      </c>
      <c r="BT375" s="19" t="s">
        <v>75</v>
      </c>
      <c r="BU375" s="19" t="s">
        <v>8670</v>
      </c>
      <c r="BV375" s="19" t="s">
        <v>8671</v>
      </c>
      <c r="BW375" s="19"/>
      <c r="BX375" s="19" t="s">
        <v>2113</v>
      </c>
      <c r="BY375" s="19"/>
      <c r="BZ375" s="19"/>
      <c r="CA375" s="19"/>
      <c r="CB375" s="19" t="s">
        <v>2113</v>
      </c>
      <c r="CC375" s="19"/>
      <c r="CD375" s="19" t="s">
        <v>2137</v>
      </c>
      <c r="CE375" s="19" t="s">
        <v>16</v>
      </c>
      <c r="CF375" s="19"/>
      <c r="CG375" s="19"/>
      <c r="CH375" s="19" t="s">
        <v>16</v>
      </c>
      <c r="CI375" s="21">
        <v>0.0</v>
      </c>
      <c r="CJ375" s="19" t="s">
        <v>17</v>
      </c>
      <c r="CK375" s="19"/>
      <c r="CL375" s="19"/>
      <c r="CM375" s="19" t="s">
        <v>2926</v>
      </c>
      <c r="CN375" s="19" t="s">
        <v>4884</v>
      </c>
      <c r="CO375" s="19"/>
      <c r="CP375" s="19" t="s">
        <v>2246</v>
      </c>
      <c r="CQ375" s="19"/>
      <c r="CR375" s="19"/>
      <c r="CS375" s="19"/>
      <c r="CT375" s="19"/>
      <c r="CU375" s="19"/>
      <c r="CV375" s="19" t="s">
        <v>2179</v>
      </c>
      <c r="CW375" s="19" t="s">
        <v>2113</v>
      </c>
      <c r="CX375" s="19" t="s">
        <v>2113</v>
      </c>
      <c r="CY375" s="19" t="s">
        <v>2113</v>
      </c>
      <c r="CZ375" s="19" t="s">
        <v>2113</v>
      </c>
      <c r="DA375" s="19" t="s">
        <v>16</v>
      </c>
      <c r="DB375" s="19" t="s">
        <v>17</v>
      </c>
      <c r="DC375" s="19" t="s">
        <v>3856</v>
      </c>
      <c r="DD375" s="19"/>
      <c r="DE375" s="19"/>
      <c r="DF375" s="19" t="s">
        <v>8672</v>
      </c>
      <c r="DG375" s="19" t="s">
        <v>4042</v>
      </c>
      <c r="DH375" s="19" t="s">
        <v>2144</v>
      </c>
      <c r="DI375" s="24">
        <v>45518.0</v>
      </c>
      <c r="DJ375" s="19" t="s">
        <v>2174</v>
      </c>
      <c r="DK375" s="19" t="s">
        <v>2271</v>
      </c>
      <c r="DL375" s="19" t="s">
        <v>2183</v>
      </c>
      <c r="DM375" s="19" t="s">
        <v>2346</v>
      </c>
      <c r="DN375" s="19">
        <v>4.0</v>
      </c>
      <c r="DO375" s="19">
        <v>4.0</v>
      </c>
      <c r="DP375" s="19"/>
      <c r="DQ375" s="19"/>
      <c r="DR375" s="19"/>
      <c r="DS375" s="19" t="s">
        <v>2151</v>
      </c>
      <c r="DT375" s="19" t="s">
        <v>2186</v>
      </c>
      <c r="DU375" s="19" t="s">
        <v>8673</v>
      </c>
      <c r="DV375" s="19"/>
      <c r="DW375" s="19" t="s">
        <v>2153</v>
      </c>
      <c r="DX375" s="19">
        <v>13.0</v>
      </c>
      <c r="DY375" s="19">
        <v>0.0</v>
      </c>
      <c r="DZ375" s="19">
        <v>0.0</v>
      </c>
      <c r="EA375" s="19">
        <v>0.0</v>
      </c>
      <c r="EB375" s="19">
        <v>0.0</v>
      </c>
      <c r="EC375" s="19">
        <v>20.0</v>
      </c>
      <c r="ED375" s="19" t="s">
        <v>2174</v>
      </c>
      <c r="EE375" s="24">
        <v>45518.0</v>
      </c>
      <c r="EF375" s="19" t="s">
        <v>2174</v>
      </c>
      <c r="EG375" s="19" t="s">
        <v>2271</v>
      </c>
      <c r="EH375" s="19" t="s">
        <v>2183</v>
      </c>
      <c r="EI375" s="22">
        <v>14.493749999999999</v>
      </c>
      <c r="EJ375" s="19">
        <v>30.0</v>
      </c>
      <c r="EK375" s="19" t="s">
        <v>2113</v>
      </c>
      <c r="EL375" s="19" t="s">
        <v>2117</v>
      </c>
      <c r="EM375" s="19" t="s">
        <v>6237</v>
      </c>
      <c r="EN375" s="19" t="s">
        <v>1113</v>
      </c>
      <c r="EO375" s="19" t="s">
        <v>4876</v>
      </c>
      <c r="EP375" s="19" t="s">
        <v>2122</v>
      </c>
      <c r="EQ375" s="19" t="s">
        <v>4884</v>
      </c>
      <c r="ER375" s="19"/>
      <c r="ES375" s="19" t="s">
        <v>1113</v>
      </c>
      <c r="ET375" s="19" t="s">
        <v>1113</v>
      </c>
      <c r="EU375" s="19" t="s">
        <v>8662</v>
      </c>
      <c r="EV375" s="19">
        <v>6621.0</v>
      </c>
      <c r="EW375" s="19" t="s">
        <v>16</v>
      </c>
      <c r="EX375" s="19">
        <v>4.0</v>
      </c>
      <c r="EY375" s="25" t="s">
        <v>1112</v>
      </c>
      <c r="EZ375" s="19" t="s">
        <v>2154</v>
      </c>
      <c r="FA375" s="5" t="s">
        <v>8674</v>
      </c>
      <c r="FB375" s="26" t="s">
        <v>2156</v>
      </c>
      <c r="FC375" s="26"/>
    </row>
    <row r="376">
      <c r="A376" s="19" t="s">
        <v>2112</v>
      </c>
      <c r="B376" s="19"/>
      <c r="C376" s="19" t="s">
        <v>2113</v>
      </c>
      <c r="D376" s="19" t="s">
        <v>1114</v>
      </c>
      <c r="E376" s="19" t="s">
        <v>8675</v>
      </c>
      <c r="F376" s="19" t="s">
        <v>8676</v>
      </c>
      <c r="G376" s="19" t="s">
        <v>8677</v>
      </c>
      <c r="H376" s="19" t="s">
        <v>1114</v>
      </c>
      <c r="I376" s="19" t="s">
        <v>1116</v>
      </c>
      <c r="J376" s="19" t="s">
        <v>8678</v>
      </c>
      <c r="K376" s="19" t="s">
        <v>8679</v>
      </c>
      <c r="L376" s="20">
        <v>45453.0</v>
      </c>
      <c r="M376" s="20">
        <v>45455.0</v>
      </c>
      <c r="N376" s="20">
        <v>45455.0</v>
      </c>
      <c r="O376" s="19" t="s">
        <v>1115</v>
      </c>
      <c r="P376" s="19">
        <v>0.0</v>
      </c>
      <c r="Q376" s="19">
        <v>22.0</v>
      </c>
      <c r="R376" s="19">
        <v>8320.0</v>
      </c>
      <c r="S376" s="20" t="s">
        <v>3981</v>
      </c>
      <c r="T376" s="20">
        <v>45461.0</v>
      </c>
      <c r="U376" s="19" t="s">
        <v>8676</v>
      </c>
      <c r="V376" s="19"/>
      <c r="W376" s="19"/>
      <c r="X376" s="21">
        <v>0.0</v>
      </c>
      <c r="Y376" s="21">
        <v>10.0</v>
      </c>
      <c r="Z376" s="21">
        <v>4.0</v>
      </c>
      <c r="AA376" s="21">
        <v>0.0</v>
      </c>
      <c r="AB376" s="5">
        <v>14.0</v>
      </c>
      <c r="AC376" s="19">
        <v>4.0</v>
      </c>
      <c r="AD376" s="19">
        <v>3.4</v>
      </c>
      <c r="AE376" s="19">
        <v>4.4</v>
      </c>
      <c r="AF376" s="19">
        <v>4.0</v>
      </c>
      <c r="AG376" s="19">
        <v>3.2</v>
      </c>
      <c r="AH376" s="19">
        <v>3.8</v>
      </c>
      <c r="AI376" s="22">
        <v>11.53125</v>
      </c>
      <c r="AJ376" s="19">
        <v>15.0</v>
      </c>
      <c r="AK376" s="19">
        <v>15.0</v>
      </c>
      <c r="AL376" s="19">
        <v>13.0</v>
      </c>
      <c r="AM376" s="19">
        <v>43.0</v>
      </c>
      <c r="AN376" s="19">
        <v>54.5</v>
      </c>
      <c r="AO376" s="19">
        <v>68.5</v>
      </c>
      <c r="AP376" s="19">
        <v>610.0</v>
      </c>
      <c r="AQ376" s="23">
        <v>369.0</v>
      </c>
      <c r="AR376" s="23">
        <v>28.0</v>
      </c>
      <c r="AS376" s="22"/>
      <c r="AT376" s="19" t="s">
        <v>2163</v>
      </c>
      <c r="AU376" s="19" t="s">
        <v>6179</v>
      </c>
      <c r="AV376" s="19" t="s">
        <v>8680</v>
      </c>
      <c r="AW376" s="19" t="s">
        <v>3331</v>
      </c>
      <c r="AX376" s="20">
        <v>37141.0</v>
      </c>
      <c r="AY376" s="19" t="s">
        <v>3232</v>
      </c>
      <c r="AZ376" s="19" t="s">
        <v>2122</v>
      </c>
      <c r="BA376" s="19" t="s">
        <v>8681</v>
      </c>
      <c r="BB376" s="19" t="s">
        <v>8682</v>
      </c>
      <c r="BC376" s="19" t="s">
        <v>8683</v>
      </c>
      <c r="BD376" s="19" t="s">
        <v>8684</v>
      </c>
      <c r="BE376" s="19" t="s">
        <v>8685</v>
      </c>
      <c r="BF376" s="19">
        <v>1.1934023289E10</v>
      </c>
      <c r="BG376" s="19" t="s">
        <v>2127</v>
      </c>
      <c r="BH376" s="19" t="s">
        <v>2128</v>
      </c>
      <c r="BI376" s="19"/>
      <c r="BJ376" s="19" t="s">
        <v>2128</v>
      </c>
      <c r="BK376" s="19" t="s">
        <v>16</v>
      </c>
      <c r="BL376" s="19" t="s">
        <v>2113</v>
      </c>
      <c r="BM376" s="19" t="s">
        <v>5411</v>
      </c>
      <c r="BN376" s="19" t="s">
        <v>2172</v>
      </c>
      <c r="BO376" s="19" t="s">
        <v>2317</v>
      </c>
      <c r="BP376" s="19"/>
      <c r="BQ376" s="19" t="s">
        <v>2325</v>
      </c>
      <c r="BR376" s="19" t="s">
        <v>2325</v>
      </c>
      <c r="BS376" s="19" t="s">
        <v>2134</v>
      </c>
      <c r="BT376" s="19" t="s">
        <v>118</v>
      </c>
      <c r="BU376" s="19" t="s">
        <v>2560</v>
      </c>
      <c r="BV376" s="19"/>
      <c r="BW376" s="19"/>
      <c r="BX376" s="19"/>
      <c r="BY376" s="19" t="s">
        <v>2113</v>
      </c>
      <c r="BZ376" s="19"/>
      <c r="CA376" s="19"/>
      <c r="CB376" s="19" t="s">
        <v>2113</v>
      </c>
      <c r="CC376" s="19"/>
      <c r="CD376" s="19" t="s">
        <v>2137</v>
      </c>
      <c r="CE376" s="19" t="s">
        <v>16</v>
      </c>
      <c r="CF376" s="19"/>
      <c r="CG376" s="19"/>
      <c r="CH376" s="19" t="s">
        <v>16</v>
      </c>
      <c r="CI376" s="21">
        <v>0.0</v>
      </c>
      <c r="CJ376" s="19" t="s">
        <v>17</v>
      </c>
      <c r="CK376" s="19"/>
      <c r="CL376" s="19"/>
      <c r="CM376" s="19" t="s">
        <v>2138</v>
      </c>
      <c r="CN376" s="19" t="s">
        <v>2868</v>
      </c>
      <c r="CO376" s="19"/>
      <c r="CP376" s="19" t="s">
        <v>2134</v>
      </c>
      <c r="CQ376" s="19"/>
      <c r="CR376" s="19"/>
      <c r="CS376" s="19"/>
      <c r="CT376" s="19" t="s">
        <v>2113</v>
      </c>
      <c r="CU376" s="19" t="s">
        <v>2113</v>
      </c>
      <c r="CV376" s="19" t="s">
        <v>2141</v>
      </c>
      <c r="CW376" s="19"/>
      <c r="CX376" s="19"/>
      <c r="CY376" s="19"/>
      <c r="CZ376" s="19"/>
      <c r="DA376" s="19" t="s">
        <v>16</v>
      </c>
      <c r="DB376" s="19" t="s">
        <v>17</v>
      </c>
      <c r="DC376" s="19" t="s">
        <v>2498</v>
      </c>
      <c r="DD376" s="19" t="s">
        <v>2113</v>
      </c>
      <c r="DE376" s="19" t="s">
        <v>2113</v>
      </c>
      <c r="DF376" s="19" t="s">
        <v>2869</v>
      </c>
      <c r="DG376" s="19" t="s">
        <v>2804</v>
      </c>
      <c r="DH376" s="19" t="s">
        <v>2144</v>
      </c>
      <c r="DI376" s="24">
        <v>45525.0</v>
      </c>
      <c r="DJ376" s="19" t="s">
        <v>2325</v>
      </c>
      <c r="DK376" s="19" t="s">
        <v>2145</v>
      </c>
      <c r="DL376" s="19" t="s">
        <v>2326</v>
      </c>
      <c r="DM376" s="19"/>
      <c r="DN376" s="19">
        <v>9.0</v>
      </c>
      <c r="DO376" s="19">
        <v>9.0</v>
      </c>
      <c r="DP376" s="19" t="s">
        <v>8686</v>
      </c>
      <c r="DQ376" s="19" t="s">
        <v>8687</v>
      </c>
      <c r="DR376" s="19" t="s">
        <v>8688</v>
      </c>
      <c r="DS376" s="19" t="s">
        <v>2365</v>
      </c>
      <c r="DT376" s="19" t="s">
        <v>2301</v>
      </c>
      <c r="DU376" s="19"/>
      <c r="DV376" s="19"/>
      <c r="DW376" s="19" t="s">
        <v>2479</v>
      </c>
      <c r="DX376" s="19">
        <v>11.0</v>
      </c>
      <c r="DY376" s="19">
        <v>10.0</v>
      </c>
      <c r="DZ376" s="19">
        <v>0.0</v>
      </c>
      <c r="EA376" s="19">
        <v>10.0</v>
      </c>
      <c r="EB376" s="19">
        <v>0.0</v>
      </c>
      <c r="EC376" s="19">
        <v>0.0</v>
      </c>
      <c r="ED376" s="19" t="s">
        <v>2325</v>
      </c>
      <c r="EE376" s="24">
        <v>45525.0</v>
      </c>
      <c r="EF376" s="19" t="s">
        <v>2325</v>
      </c>
      <c r="EG376" s="19" t="s">
        <v>2145</v>
      </c>
      <c r="EH376" s="19" t="s">
        <v>2326</v>
      </c>
      <c r="EI376" s="22">
        <v>11.53125</v>
      </c>
      <c r="EJ376" s="19">
        <v>43.0</v>
      </c>
      <c r="EK376" s="19" t="s">
        <v>2113</v>
      </c>
      <c r="EL376" s="19" t="s">
        <v>2163</v>
      </c>
      <c r="EM376" s="19" t="s">
        <v>6179</v>
      </c>
      <c r="EN376" s="19" t="s">
        <v>1116</v>
      </c>
      <c r="EO376" s="19" t="s">
        <v>3232</v>
      </c>
      <c r="EP376" s="19" t="s">
        <v>2122</v>
      </c>
      <c r="EQ376" s="19" t="s">
        <v>2868</v>
      </c>
      <c r="ER376" s="19"/>
      <c r="ES376" s="19" t="s">
        <v>1116</v>
      </c>
      <c r="ET376" s="19" t="s">
        <v>1116</v>
      </c>
      <c r="EU376" s="19" t="s">
        <v>8679</v>
      </c>
      <c r="EV376" s="19">
        <v>8320.0</v>
      </c>
      <c r="EW376" s="19" t="s">
        <v>16</v>
      </c>
      <c r="EX376" s="19">
        <v>4.0</v>
      </c>
      <c r="EY376" s="25" t="s">
        <v>1115</v>
      </c>
      <c r="EZ376" s="19" t="s">
        <v>2154</v>
      </c>
      <c r="FA376" s="5" t="s">
        <v>8689</v>
      </c>
      <c r="FB376" s="26" t="s">
        <v>2156</v>
      </c>
      <c r="FC376" s="26"/>
    </row>
    <row r="377">
      <c r="A377" s="19" t="s">
        <v>2112</v>
      </c>
      <c r="B377" s="19"/>
      <c r="C377" s="19" t="s">
        <v>2113</v>
      </c>
      <c r="D377" s="19" t="s">
        <v>1117</v>
      </c>
      <c r="E377" s="19" t="s">
        <v>8690</v>
      </c>
      <c r="F377" s="19" t="s">
        <v>8691</v>
      </c>
      <c r="G377" s="19" t="s">
        <v>8692</v>
      </c>
      <c r="H377" s="19" t="s">
        <v>1117</v>
      </c>
      <c r="I377" s="19" t="s">
        <v>1119</v>
      </c>
      <c r="J377" s="19" t="s">
        <v>8693</v>
      </c>
      <c r="K377" s="19" t="s">
        <v>8694</v>
      </c>
      <c r="L377" s="20">
        <v>45453.0</v>
      </c>
      <c r="M377" s="20">
        <v>45455.0</v>
      </c>
      <c r="N377" s="20">
        <v>45455.0</v>
      </c>
      <c r="O377" s="19" t="s">
        <v>1118</v>
      </c>
      <c r="P377" s="19">
        <v>0.0</v>
      </c>
      <c r="Q377" s="19">
        <v>18.0</v>
      </c>
      <c r="R377" s="19">
        <v>6801.0</v>
      </c>
      <c r="S377" s="20" t="s">
        <v>8695</v>
      </c>
      <c r="T377" s="20">
        <v>45461.0</v>
      </c>
      <c r="U377" s="19" t="s">
        <v>8691</v>
      </c>
      <c r="V377" s="19"/>
      <c r="W377" s="19" t="s">
        <v>8696</v>
      </c>
      <c r="X377" s="21">
        <v>0.0</v>
      </c>
      <c r="Y377" s="21">
        <v>10.0</v>
      </c>
      <c r="Z377" s="21">
        <v>3.0</v>
      </c>
      <c r="AA377" s="21">
        <v>0.0</v>
      </c>
      <c r="AB377" s="5">
        <v>13.0</v>
      </c>
      <c r="AC377" s="19">
        <v>4.0</v>
      </c>
      <c r="AD377" s="19">
        <v>5.0</v>
      </c>
      <c r="AE377" s="19">
        <v>5.0</v>
      </c>
      <c r="AF377" s="19">
        <v>5.0</v>
      </c>
      <c r="AG377" s="19">
        <v>5.0</v>
      </c>
      <c r="AH377" s="19">
        <v>5.0</v>
      </c>
      <c r="AI377" s="22">
        <v>14.53125</v>
      </c>
      <c r="AJ377" s="19">
        <v>13.0</v>
      </c>
      <c r="AK377" s="19">
        <v>13.0</v>
      </c>
      <c r="AL377" s="19">
        <v>15.0</v>
      </c>
      <c r="AM377" s="19">
        <v>41.0</v>
      </c>
      <c r="AN377" s="19">
        <v>55.5</v>
      </c>
      <c r="AO377" s="19">
        <v>68.5</v>
      </c>
      <c r="AP377" s="19">
        <v>810.0</v>
      </c>
      <c r="AQ377" s="23">
        <v>370.0</v>
      </c>
      <c r="AR377" s="23">
        <v>28.0</v>
      </c>
      <c r="AS377" s="22"/>
      <c r="AT377" s="19" t="s">
        <v>2163</v>
      </c>
      <c r="AU377" s="19" t="s">
        <v>8697</v>
      </c>
      <c r="AV377" s="19" t="s">
        <v>8698</v>
      </c>
      <c r="AW377" s="19"/>
      <c r="AX377" s="20">
        <v>38660.0</v>
      </c>
      <c r="AY377" s="19" t="s">
        <v>4661</v>
      </c>
      <c r="AZ377" s="19" t="s">
        <v>2122</v>
      </c>
      <c r="BA377" s="19" t="s">
        <v>8699</v>
      </c>
      <c r="BB377" s="19" t="s">
        <v>8700</v>
      </c>
      <c r="BC377" s="19" t="s">
        <v>8701</v>
      </c>
      <c r="BD377" s="19" t="s">
        <v>8702</v>
      </c>
      <c r="BE377" s="19" t="s">
        <v>8703</v>
      </c>
      <c r="BF377" s="19">
        <v>1.1972163707E10</v>
      </c>
      <c r="BG377" s="19" t="s">
        <v>2127</v>
      </c>
      <c r="BH377" s="19" t="s">
        <v>2128</v>
      </c>
      <c r="BI377" s="19"/>
      <c r="BJ377" s="19"/>
      <c r="BK377" s="19" t="s">
        <v>16</v>
      </c>
      <c r="BL377" s="19" t="s">
        <v>2113</v>
      </c>
      <c r="BM377" s="19" t="s">
        <v>5411</v>
      </c>
      <c r="BN377" s="19" t="s">
        <v>2172</v>
      </c>
      <c r="BO377" s="19" t="s">
        <v>2473</v>
      </c>
      <c r="BP377" s="19"/>
      <c r="BQ377" s="19" t="s">
        <v>2133</v>
      </c>
      <c r="BR377" s="19" t="s">
        <v>2133</v>
      </c>
      <c r="BS377" s="19" t="s">
        <v>2134</v>
      </c>
      <c r="BT377" s="19" t="s">
        <v>222</v>
      </c>
      <c r="BU377" s="19"/>
      <c r="BV377" s="19"/>
      <c r="BW377" s="19"/>
      <c r="BX377" s="19" t="s">
        <v>2113</v>
      </c>
      <c r="BY377" s="19" t="s">
        <v>2113</v>
      </c>
      <c r="BZ377" s="19" t="s">
        <v>2113</v>
      </c>
      <c r="CA377" s="19"/>
      <c r="CB377" s="19"/>
      <c r="CC377" s="19"/>
      <c r="CD377" s="19" t="s">
        <v>2137</v>
      </c>
      <c r="CE377" s="19" t="s">
        <v>16</v>
      </c>
      <c r="CF377" s="19"/>
      <c r="CG377" s="19"/>
      <c r="CH377" s="19" t="s">
        <v>16</v>
      </c>
      <c r="CI377" s="21">
        <v>0.0</v>
      </c>
      <c r="CJ377" s="19" t="s">
        <v>17</v>
      </c>
      <c r="CK377" s="19"/>
      <c r="CL377" s="19" t="s">
        <v>2113</v>
      </c>
      <c r="CM377" s="19" t="s">
        <v>2138</v>
      </c>
      <c r="CN377" s="19" t="s">
        <v>3544</v>
      </c>
      <c r="CO377" s="19"/>
      <c r="CP377" s="19" t="s">
        <v>2178</v>
      </c>
      <c r="CQ377" s="19"/>
      <c r="CR377" s="19"/>
      <c r="CS377" s="19"/>
      <c r="CT377" s="19" t="s">
        <v>2113</v>
      </c>
      <c r="CU377" s="19" t="s">
        <v>2113</v>
      </c>
      <c r="CV377" s="19" t="s">
        <v>2141</v>
      </c>
      <c r="CW377" s="19" t="s">
        <v>2113</v>
      </c>
      <c r="CX377" s="19" t="s">
        <v>2113</v>
      </c>
      <c r="CY377" s="19" t="s">
        <v>2113</v>
      </c>
      <c r="CZ377" s="19" t="s">
        <v>2113</v>
      </c>
      <c r="DA377" s="19" t="s">
        <v>16</v>
      </c>
      <c r="DB377" s="19" t="s">
        <v>17</v>
      </c>
      <c r="DC377" s="19" t="s">
        <v>2146</v>
      </c>
      <c r="DD377" s="19" t="s">
        <v>2113</v>
      </c>
      <c r="DE377" s="19" t="s">
        <v>2113</v>
      </c>
      <c r="DF377" s="19" t="s">
        <v>2579</v>
      </c>
      <c r="DG377" s="19" t="s">
        <v>4540</v>
      </c>
      <c r="DH377" s="19" t="s">
        <v>2144</v>
      </c>
      <c r="DI377" s="24">
        <v>45531.0</v>
      </c>
      <c r="DJ377" s="19" t="s">
        <v>2133</v>
      </c>
      <c r="DK377" s="19" t="s">
        <v>2145</v>
      </c>
      <c r="DL377" s="19" t="s">
        <v>2146</v>
      </c>
      <c r="DM377" s="19" t="s">
        <v>3183</v>
      </c>
      <c r="DN377" s="19">
        <v>13.0</v>
      </c>
      <c r="DO377" s="19">
        <v>13.0</v>
      </c>
      <c r="DP377" s="19" t="s">
        <v>8704</v>
      </c>
      <c r="DQ377" s="19" t="s">
        <v>8705</v>
      </c>
      <c r="DR377" s="19" t="s">
        <v>8706</v>
      </c>
      <c r="DS377" s="19" t="s">
        <v>2151</v>
      </c>
      <c r="DT377" s="19" t="s">
        <v>2301</v>
      </c>
      <c r="DU377" s="19"/>
      <c r="DV377" s="19"/>
      <c r="DW377" s="19" t="s">
        <v>2153</v>
      </c>
      <c r="DX377" s="19">
        <v>12.0</v>
      </c>
      <c r="DY377" s="19">
        <v>10.0</v>
      </c>
      <c r="DZ377" s="19">
        <v>0.0</v>
      </c>
      <c r="EA377" s="19">
        <v>10.0</v>
      </c>
      <c r="EB377" s="19">
        <v>0.0</v>
      </c>
      <c r="EC377" s="19">
        <v>0.0</v>
      </c>
      <c r="ED377" s="19" t="s">
        <v>2133</v>
      </c>
      <c r="EE377" s="24">
        <v>45531.0</v>
      </c>
      <c r="EF377" s="19" t="s">
        <v>2133</v>
      </c>
      <c r="EG377" s="19" t="s">
        <v>2145</v>
      </c>
      <c r="EH377" s="19" t="s">
        <v>2146</v>
      </c>
      <c r="EI377" s="22">
        <v>14.53125</v>
      </c>
      <c r="EJ377" s="19">
        <v>41.0</v>
      </c>
      <c r="EK377" s="19" t="s">
        <v>2113</v>
      </c>
      <c r="EL377" s="19" t="s">
        <v>2163</v>
      </c>
      <c r="EM377" s="19" t="s">
        <v>8697</v>
      </c>
      <c r="EN377" s="19" t="s">
        <v>1119</v>
      </c>
      <c r="EO377" s="19" t="s">
        <v>4661</v>
      </c>
      <c r="EP377" s="19" t="s">
        <v>2122</v>
      </c>
      <c r="EQ377" s="19" t="s">
        <v>3544</v>
      </c>
      <c r="ER377" s="19"/>
      <c r="ES377" s="19" t="s">
        <v>1119</v>
      </c>
      <c r="ET377" s="19" t="s">
        <v>1119</v>
      </c>
      <c r="EU377" s="19" t="s">
        <v>8694</v>
      </c>
      <c r="EV377" s="19">
        <v>6801.0</v>
      </c>
      <c r="EW377" s="19" t="s">
        <v>16</v>
      </c>
      <c r="EX377" s="19">
        <v>3.0</v>
      </c>
      <c r="EY377" s="25" t="s">
        <v>1118</v>
      </c>
      <c r="EZ377" s="19" t="s">
        <v>2154</v>
      </c>
      <c r="FA377" s="5" t="s">
        <v>8707</v>
      </c>
      <c r="FB377" s="26" t="s">
        <v>2156</v>
      </c>
      <c r="FC377" s="26"/>
    </row>
    <row r="378">
      <c r="A378" s="19" t="s">
        <v>2112</v>
      </c>
      <c r="B378" s="19"/>
      <c r="C378" s="19" t="s">
        <v>2113</v>
      </c>
      <c r="D378" s="19" t="s">
        <v>8708</v>
      </c>
      <c r="E378" s="19" t="s">
        <v>8709</v>
      </c>
      <c r="F378" s="19" t="s">
        <v>1120</v>
      </c>
      <c r="G378" s="19" t="s">
        <v>8709</v>
      </c>
      <c r="H378" s="19" t="s">
        <v>1120</v>
      </c>
      <c r="I378" s="19" t="s">
        <v>1122</v>
      </c>
      <c r="J378" s="19" t="s">
        <v>8710</v>
      </c>
      <c r="K378" s="19" t="s">
        <v>8711</v>
      </c>
      <c r="L378" s="20">
        <v>45460.0</v>
      </c>
      <c r="M378" s="20">
        <v>45460.0</v>
      </c>
      <c r="N378" s="20">
        <v>45460.0</v>
      </c>
      <c r="O378" s="19" t="s">
        <v>1121</v>
      </c>
      <c r="P378" s="19">
        <v>0.0</v>
      </c>
      <c r="Q378" s="19">
        <v>22.0</v>
      </c>
      <c r="R378" s="19">
        <v>8041.0</v>
      </c>
      <c r="S378" s="20" t="s">
        <v>8712</v>
      </c>
      <c r="T378" s="20">
        <v>45461.0</v>
      </c>
      <c r="U378" s="19" t="s">
        <v>1120</v>
      </c>
      <c r="V378" s="19"/>
      <c r="W378" s="19"/>
      <c r="X378" s="21">
        <v>0.0</v>
      </c>
      <c r="Y378" s="21">
        <v>5.0</v>
      </c>
      <c r="Z378" s="21">
        <v>5.0</v>
      </c>
      <c r="AA378" s="21">
        <v>0.0</v>
      </c>
      <c r="AB378" s="5">
        <v>10.0</v>
      </c>
      <c r="AC378" s="19">
        <v>4.6</v>
      </c>
      <c r="AD378" s="19">
        <v>4.6</v>
      </c>
      <c r="AE378" s="19">
        <v>4.6</v>
      </c>
      <c r="AF378" s="19">
        <v>4.2</v>
      </c>
      <c r="AG378" s="19">
        <v>4.6</v>
      </c>
      <c r="AH378" s="19">
        <v>4.2</v>
      </c>
      <c r="AI378" s="22">
        <v>13.5</v>
      </c>
      <c r="AJ378" s="19">
        <v>15.0</v>
      </c>
      <c r="AK378" s="19">
        <v>15.0</v>
      </c>
      <c r="AL378" s="19">
        <v>15.0</v>
      </c>
      <c r="AM378" s="19">
        <v>45.0</v>
      </c>
      <c r="AN378" s="19">
        <v>58.5</v>
      </c>
      <c r="AO378" s="19">
        <v>68.5</v>
      </c>
      <c r="AP378" s="19">
        <v>961.0</v>
      </c>
      <c r="AQ378" s="23">
        <v>371.0</v>
      </c>
      <c r="AR378" s="23">
        <v>27.0</v>
      </c>
      <c r="AS378" s="22"/>
      <c r="AT378" s="19" t="s">
        <v>2117</v>
      </c>
      <c r="AU378" s="19" t="s">
        <v>5541</v>
      </c>
      <c r="AV378" s="19" t="s">
        <v>8713</v>
      </c>
      <c r="AW378" s="19" t="s">
        <v>2466</v>
      </c>
      <c r="AX378" s="20">
        <v>37420.0</v>
      </c>
      <c r="AY378" s="19" t="s">
        <v>2529</v>
      </c>
      <c r="AZ378" s="19" t="s">
        <v>2122</v>
      </c>
      <c r="BA378" s="19" t="s">
        <v>8714</v>
      </c>
      <c r="BB378" s="19" t="s">
        <v>3139</v>
      </c>
      <c r="BC378" s="19" t="s">
        <v>8715</v>
      </c>
      <c r="BD378" s="19" t="s">
        <v>8716</v>
      </c>
      <c r="BE378" s="19" t="s">
        <v>8710</v>
      </c>
      <c r="BF378" s="19">
        <v>1.1996745205E10</v>
      </c>
      <c r="BG378" s="19" t="s">
        <v>3518</v>
      </c>
      <c r="BH378" s="19" t="s">
        <v>2128</v>
      </c>
      <c r="BI378" s="19"/>
      <c r="BJ378" s="19" t="s">
        <v>2427</v>
      </c>
      <c r="BK378" s="19" t="s">
        <v>17</v>
      </c>
      <c r="BL378" s="19"/>
      <c r="BM378" s="19" t="s">
        <v>5411</v>
      </c>
      <c r="BN378" s="19" t="s">
        <v>17</v>
      </c>
      <c r="BO378" s="19" t="s">
        <v>2132</v>
      </c>
      <c r="BP378" s="19"/>
      <c r="BQ378" s="19" t="s">
        <v>2174</v>
      </c>
      <c r="BR378" s="19" t="s">
        <v>2174</v>
      </c>
      <c r="BS378" s="19" t="s">
        <v>3521</v>
      </c>
      <c r="BT378" s="19" t="s">
        <v>75</v>
      </c>
      <c r="BU378" s="19" t="s">
        <v>4350</v>
      </c>
      <c r="BV378" s="19"/>
      <c r="BW378" s="19"/>
      <c r="BX378" s="19" t="s">
        <v>2113</v>
      </c>
      <c r="BY378" s="19"/>
      <c r="BZ378" s="19" t="s">
        <v>2113</v>
      </c>
      <c r="CA378" s="19" t="s">
        <v>2113</v>
      </c>
      <c r="CB378" s="19" t="s">
        <v>2113</v>
      </c>
      <c r="CC378" s="19"/>
      <c r="CD378" s="19" t="s">
        <v>2137</v>
      </c>
      <c r="CE378" s="19" t="s">
        <v>16</v>
      </c>
      <c r="CF378" s="19"/>
      <c r="CG378" s="19"/>
      <c r="CH378" s="19" t="s">
        <v>16</v>
      </c>
      <c r="CI378" s="21">
        <v>0.0</v>
      </c>
      <c r="CJ378" s="19" t="s">
        <v>16</v>
      </c>
      <c r="CK378" s="19"/>
      <c r="CL378" s="19"/>
      <c r="CM378" s="19" t="s">
        <v>2344</v>
      </c>
      <c r="CN378" s="19" t="s">
        <v>2537</v>
      </c>
      <c r="CO378" s="19"/>
      <c r="CP378" s="19" t="s">
        <v>2246</v>
      </c>
      <c r="CQ378" s="19"/>
      <c r="CR378" s="19" t="s">
        <v>2113</v>
      </c>
      <c r="CS378" s="19" t="s">
        <v>2113</v>
      </c>
      <c r="CT378" s="19"/>
      <c r="CU378" s="19"/>
      <c r="CV378" s="19" t="s">
        <v>2141</v>
      </c>
      <c r="CW378" s="19" t="s">
        <v>2113</v>
      </c>
      <c r="CX378" s="19" t="s">
        <v>2113</v>
      </c>
      <c r="CY378" s="19"/>
      <c r="CZ378" s="19"/>
      <c r="DA378" s="19" t="s">
        <v>16</v>
      </c>
      <c r="DB378" s="19" t="s">
        <v>16</v>
      </c>
      <c r="DC378" s="19" t="s">
        <v>2538</v>
      </c>
      <c r="DD378" s="19" t="s">
        <v>2113</v>
      </c>
      <c r="DE378" s="19" t="s">
        <v>2113</v>
      </c>
      <c r="DF378" s="19" t="s">
        <v>4042</v>
      </c>
      <c r="DG378" s="19" t="s">
        <v>2182</v>
      </c>
      <c r="DH378" s="19" t="s">
        <v>2144</v>
      </c>
      <c r="DI378" s="24">
        <v>45526.0</v>
      </c>
      <c r="DJ378" s="19" t="s">
        <v>2174</v>
      </c>
      <c r="DK378" s="19" t="s">
        <v>2271</v>
      </c>
      <c r="DL378" s="19" t="s">
        <v>2183</v>
      </c>
      <c r="DM378" s="19"/>
      <c r="DN378" s="19">
        <v>12.0</v>
      </c>
      <c r="DO378" s="19">
        <v>12.0</v>
      </c>
      <c r="DP378" s="19" t="s">
        <v>8717</v>
      </c>
      <c r="DQ378" s="19" t="s">
        <v>8718</v>
      </c>
      <c r="DR378" s="19" t="s">
        <v>8719</v>
      </c>
      <c r="DS378" s="19" t="s">
        <v>2151</v>
      </c>
      <c r="DT378" s="19" t="s">
        <v>2186</v>
      </c>
      <c r="DU378" s="19"/>
      <c r="DV378" s="19"/>
      <c r="DW378" s="19" t="s">
        <v>2479</v>
      </c>
      <c r="DX378" s="19">
        <v>16.0</v>
      </c>
      <c r="DY378" s="19">
        <v>5.0</v>
      </c>
      <c r="DZ378" s="19">
        <v>0.0</v>
      </c>
      <c r="EA378" s="19">
        <v>5.0</v>
      </c>
      <c r="EB378" s="19">
        <v>0.0</v>
      </c>
      <c r="EC378" s="19">
        <v>0.0</v>
      </c>
      <c r="ED378" s="19" t="s">
        <v>2174</v>
      </c>
      <c r="EE378" s="24">
        <v>45526.0</v>
      </c>
      <c r="EF378" s="19" t="s">
        <v>2174</v>
      </c>
      <c r="EG378" s="19" t="s">
        <v>2271</v>
      </c>
      <c r="EH378" s="19" t="s">
        <v>2183</v>
      </c>
      <c r="EI378" s="22">
        <v>13.5</v>
      </c>
      <c r="EJ378" s="19">
        <v>45.0</v>
      </c>
      <c r="EK378" s="19"/>
      <c r="EL378" s="19" t="s">
        <v>2117</v>
      </c>
      <c r="EM378" s="19" t="s">
        <v>5541</v>
      </c>
      <c r="EN378" s="19" t="s">
        <v>1122</v>
      </c>
      <c r="EO378" s="19" t="s">
        <v>2529</v>
      </c>
      <c r="EP378" s="19" t="s">
        <v>2122</v>
      </c>
      <c r="EQ378" s="19" t="s">
        <v>2537</v>
      </c>
      <c r="ER378" s="19"/>
      <c r="ES378" s="19" t="s">
        <v>1122</v>
      </c>
      <c r="ET378" s="19" t="s">
        <v>1122</v>
      </c>
      <c r="EU378" s="19" t="s">
        <v>8711</v>
      </c>
      <c r="EV378" s="19">
        <v>8041.0</v>
      </c>
      <c r="EW378" s="19" t="s">
        <v>16</v>
      </c>
      <c r="EX378" s="19">
        <v>5.0</v>
      </c>
      <c r="EY378" s="25" t="s">
        <v>1121</v>
      </c>
      <c r="EZ378" s="19" t="s">
        <v>2154</v>
      </c>
      <c r="FA378" s="5" t="s">
        <v>8720</v>
      </c>
      <c r="FB378" s="26" t="s">
        <v>2156</v>
      </c>
      <c r="FC378" s="26"/>
    </row>
    <row r="379">
      <c r="A379" s="19" t="s">
        <v>2112</v>
      </c>
      <c r="B379" s="19"/>
      <c r="C379" s="19" t="s">
        <v>2113</v>
      </c>
      <c r="D379" s="19" t="s">
        <v>1123</v>
      </c>
      <c r="E379" s="19" t="s">
        <v>8721</v>
      </c>
      <c r="F379" s="19" t="s">
        <v>1123</v>
      </c>
      <c r="G379" s="19"/>
      <c r="H379" s="19" t="s">
        <v>1123</v>
      </c>
      <c r="I379" s="19" t="s">
        <v>1125</v>
      </c>
      <c r="J379" s="19" t="s">
        <v>8722</v>
      </c>
      <c r="K379" s="19" t="s">
        <v>8723</v>
      </c>
      <c r="L379" s="20">
        <v>45455.0</v>
      </c>
      <c r="M379" s="20">
        <v>45456.0</v>
      </c>
      <c r="N379" s="20">
        <v>45456.0</v>
      </c>
      <c r="O379" s="19" t="s">
        <v>1124</v>
      </c>
      <c r="P379" s="19">
        <v>0.0</v>
      </c>
      <c r="Q379" s="19">
        <v>23.0</v>
      </c>
      <c r="R379" s="19">
        <v>8715.0</v>
      </c>
      <c r="S379" s="20" t="s">
        <v>8724</v>
      </c>
      <c r="T379" s="20">
        <v>45461.0</v>
      </c>
      <c r="U379" s="19" t="s">
        <v>1123</v>
      </c>
      <c r="V379" s="19"/>
      <c r="W379" s="19"/>
      <c r="X379" s="21">
        <v>0.0</v>
      </c>
      <c r="Y379" s="21">
        <v>10.0</v>
      </c>
      <c r="Z379" s="21">
        <v>2.0</v>
      </c>
      <c r="AA379" s="21">
        <v>0.0</v>
      </c>
      <c r="AB379" s="5">
        <v>12.0</v>
      </c>
      <c r="AC379" s="19">
        <v>3.8</v>
      </c>
      <c r="AD379" s="19">
        <v>3.6</v>
      </c>
      <c r="AE379" s="19">
        <v>4.0</v>
      </c>
      <c r="AF379" s="19">
        <v>4.1</v>
      </c>
      <c r="AG379" s="19">
        <v>3.1</v>
      </c>
      <c r="AH379" s="19">
        <v>4.0</v>
      </c>
      <c r="AI379" s="22">
        <v>11.34375</v>
      </c>
      <c r="AJ379" s="19">
        <v>15.0</v>
      </c>
      <c r="AK379" s="19">
        <v>15.0</v>
      </c>
      <c r="AL379" s="19">
        <v>15.0</v>
      </c>
      <c r="AM379" s="19">
        <v>45.0</v>
      </c>
      <c r="AN379" s="19">
        <v>56.3</v>
      </c>
      <c r="AO379" s="19">
        <v>68.3</v>
      </c>
      <c r="AP379" s="19">
        <v>855.0</v>
      </c>
      <c r="AQ379" s="23">
        <v>372.0</v>
      </c>
      <c r="AR379" s="23">
        <v>29.0</v>
      </c>
      <c r="AS379" s="22"/>
      <c r="AT379" s="19" t="s">
        <v>2163</v>
      </c>
      <c r="AU379" s="19" t="s">
        <v>8725</v>
      </c>
      <c r="AV379" s="19" t="s">
        <v>8726</v>
      </c>
      <c r="AW379" s="19"/>
      <c r="AX379" s="20">
        <v>36746.0</v>
      </c>
      <c r="AY379" s="19" t="s">
        <v>3211</v>
      </c>
      <c r="AZ379" s="19" t="s">
        <v>2310</v>
      </c>
      <c r="BA379" s="19" t="s">
        <v>8727</v>
      </c>
      <c r="BB379" s="19" t="s">
        <v>7322</v>
      </c>
      <c r="BC379" s="19" t="s">
        <v>8728</v>
      </c>
      <c r="BD379" s="19" t="s">
        <v>8729</v>
      </c>
      <c r="BE379" s="19" t="s">
        <v>8730</v>
      </c>
      <c r="BF379" s="19">
        <v>1.1997483857E10</v>
      </c>
      <c r="BG379" s="19" t="s">
        <v>2127</v>
      </c>
      <c r="BH379" s="19" t="s">
        <v>2128</v>
      </c>
      <c r="BI379" s="19"/>
      <c r="BJ379" s="19" t="s">
        <v>2128</v>
      </c>
      <c r="BK379" s="19" t="s">
        <v>17</v>
      </c>
      <c r="BL379" s="19"/>
      <c r="BM379" s="19" t="s">
        <v>5563</v>
      </c>
      <c r="BN379" s="19" t="s">
        <v>2708</v>
      </c>
      <c r="BO379" s="19" t="s">
        <v>3199</v>
      </c>
      <c r="BP379" s="19"/>
      <c r="BQ379" s="19" t="s">
        <v>2325</v>
      </c>
      <c r="BR379" s="19" t="s">
        <v>2325</v>
      </c>
      <c r="BS379" s="19" t="s">
        <v>2134</v>
      </c>
      <c r="BT379" s="19" t="s">
        <v>118</v>
      </c>
      <c r="BU379" s="19" t="s">
        <v>8731</v>
      </c>
      <c r="BV379" s="19"/>
      <c r="BW379" s="19" t="s">
        <v>2113</v>
      </c>
      <c r="BX379" s="19"/>
      <c r="BY379" s="19"/>
      <c r="BZ379" s="19"/>
      <c r="CA379" s="19"/>
      <c r="CB379" s="19" t="s">
        <v>2113</v>
      </c>
      <c r="CC379" s="19"/>
      <c r="CD379" s="19" t="s">
        <v>2137</v>
      </c>
      <c r="CE379" s="19" t="s">
        <v>16</v>
      </c>
      <c r="CF379" s="19"/>
      <c r="CG379" s="19"/>
      <c r="CH379" s="19" t="s">
        <v>16</v>
      </c>
      <c r="CI379" s="21">
        <v>0.0</v>
      </c>
      <c r="CJ379" s="19" t="s">
        <v>17</v>
      </c>
      <c r="CK379" s="19"/>
      <c r="CL379" s="19"/>
      <c r="CM379" s="19" t="s">
        <v>2138</v>
      </c>
      <c r="CN379" s="19" t="s">
        <v>3220</v>
      </c>
      <c r="CO379" s="19"/>
      <c r="CP379" s="19" t="s">
        <v>2140</v>
      </c>
      <c r="CQ379" s="19"/>
      <c r="CR379" s="19" t="s">
        <v>2113</v>
      </c>
      <c r="CS379" s="19" t="s">
        <v>2113</v>
      </c>
      <c r="CT379" s="19"/>
      <c r="CU379" s="19"/>
      <c r="CV379" s="19" t="s">
        <v>2141</v>
      </c>
      <c r="CW379" s="19" t="s">
        <v>2113</v>
      </c>
      <c r="CX379" s="19" t="s">
        <v>2113</v>
      </c>
      <c r="CY379" s="19"/>
      <c r="CZ379" s="19"/>
      <c r="DA379" s="19" t="s">
        <v>16</v>
      </c>
      <c r="DB379" s="19" t="s">
        <v>17</v>
      </c>
      <c r="DC379" s="19" t="s">
        <v>3892</v>
      </c>
      <c r="DD379" s="19"/>
      <c r="DE379" s="19"/>
      <c r="DF379" s="19" t="s">
        <v>3221</v>
      </c>
      <c r="DG379" s="19" t="s">
        <v>3222</v>
      </c>
      <c r="DH379" s="19" t="s">
        <v>2144</v>
      </c>
      <c r="DI379" s="24">
        <v>45525.0</v>
      </c>
      <c r="DJ379" s="19" t="s">
        <v>2325</v>
      </c>
      <c r="DK379" s="19" t="s">
        <v>2271</v>
      </c>
      <c r="DL379" s="19" t="s">
        <v>2326</v>
      </c>
      <c r="DM379" s="19"/>
      <c r="DN379" s="19">
        <v>10.0</v>
      </c>
      <c r="DO379" s="19">
        <v>10.0</v>
      </c>
      <c r="DP379" s="19" t="s">
        <v>8732</v>
      </c>
      <c r="DQ379" s="19" t="s">
        <v>8733</v>
      </c>
      <c r="DR379" s="19" t="s">
        <v>8734</v>
      </c>
      <c r="DS379" s="19" t="s">
        <v>2365</v>
      </c>
      <c r="DT379" s="19" t="s">
        <v>2301</v>
      </c>
      <c r="DU379" s="19"/>
      <c r="DV379" s="19"/>
      <c r="DW379" s="19" t="s">
        <v>2479</v>
      </c>
      <c r="DX379" s="19">
        <v>11.0</v>
      </c>
      <c r="DY379" s="19">
        <v>10.0</v>
      </c>
      <c r="DZ379" s="19">
        <v>0.0</v>
      </c>
      <c r="EA379" s="19">
        <v>10.0</v>
      </c>
      <c r="EB379" s="19">
        <v>0.0</v>
      </c>
      <c r="EC379" s="19">
        <v>0.0</v>
      </c>
      <c r="ED379" s="19" t="s">
        <v>2325</v>
      </c>
      <c r="EE379" s="24">
        <v>45525.0</v>
      </c>
      <c r="EF379" s="19" t="s">
        <v>2325</v>
      </c>
      <c r="EG379" s="19" t="s">
        <v>2271</v>
      </c>
      <c r="EH379" s="19" t="s">
        <v>2326</v>
      </c>
      <c r="EI379" s="22">
        <v>11.34375</v>
      </c>
      <c r="EJ379" s="19">
        <v>45.0</v>
      </c>
      <c r="EK379" s="19" t="s">
        <v>2113</v>
      </c>
      <c r="EL379" s="19" t="s">
        <v>2163</v>
      </c>
      <c r="EM379" s="19" t="s">
        <v>8725</v>
      </c>
      <c r="EN379" s="19" t="s">
        <v>1125</v>
      </c>
      <c r="EO379" s="19" t="s">
        <v>3211</v>
      </c>
      <c r="EP379" s="19" t="s">
        <v>2310</v>
      </c>
      <c r="EQ379" s="19" t="s">
        <v>3220</v>
      </c>
      <c r="ER379" s="19"/>
      <c r="ES379" s="19" t="s">
        <v>1125</v>
      </c>
      <c r="ET379" s="19" t="s">
        <v>1125</v>
      </c>
      <c r="EU379" s="19" t="s">
        <v>8723</v>
      </c>
      <c r="EV379" s="19">
        <v>8715.0</v>
      </c>
      <c r="EW379" s="19" t="s">
        <v>16</v>
      </c>
      <c r="EX379" s="19">
        <v>2.0</v>
      </c>
      <c r="EY379" s="25" t="s">
        <v>1124</v>
      </c>
      <c r="EZ379" s="19" t="s">
        <v>2154</v>
      </c>
      <c r="FA379" s="5" t="s">
        <v>8735</v>
      </c>
      <c r="FB379" s="26" t="s">
        <v>2156</v>
      </c>
      <c r="FC379" s="26"/>
    </row>
    <row r="380">
      <c r="A380" s="19" t="s">
        <v>2112</v>
      </c>
      <c r="B380" s="19"/>
      <c r="C380" s="19" t="s">
        <v>2113</v>
      </c>
      <c r="D380" s="19" t="s">
        <v>8736</v>
      </c>
      <c r="E380" s="19" t="s">
        <v>8737</v>
      </c>
      <c r="F380" s="19" t="s">
        <v>8738</v>
      </c>
      <c r="G380" s="19" t="s">
        <v>8739</v>
      </c>
      <c r="H380" s="19" t="s">
        <v>1126</v>
      </c>
      <c r="I380" s="19" t="s">
        <v>1128</v>
      </c>
      <c r="J380" s="19" t="s">
        <v>8740</v>
      </c>
      <c r="K380" s="19" t="s">
        <v>8741</v>
      </c>
      <c r="L380" s="20">
        <v>45459.0</v>
      </c>
      <c r="M380" s="20">
        <v>45460.0</v>
      </c>
      <c r="N380" s="20">
        <v>45460.0</v>
      </c>
      <c r="O380" s="19" t="s">
        <v>1127</v>
      </c>
      <c r="P380" s="19">
        <v>0.0</v>
      </c>
      <c r="Q380" s="19">
        <v>18.0</v>
      </c>
      <c r="R380" s="19">
        <v>6607.0</v>
      </c>
      <c r="S380" s="20" t="s">
        <v>8742</v>
      </c>
      <c r="T380" s="20">
        <v>45461.0</v>
      </c>
      <c r="U380" s="19" t="s">
        <v>8738</v>
      </c>
      <c r="V380" s="19"/>
      <c r="W380" s="19"/>
      <c r="X380" s="21">
        <v>0.0</v>
      </c>
      <c r="Y380" s="21">
        <v>10.0</v>
      </c>
      <c r="Z380" s="21">
        <v>2.0</v>
      </c>
      <c r="AA380" s="21">
        <v>0.0</v>
      </c>
      <c r="AB380" s="5">
        <v>12.0</v>
      </c>
      <c r="AC380" s="19">
        <v>3.6</v>
      </c>
      <c r="AD380" s="19">
        <v>3.2</v>
      </c>
      <c r="AE380" s="19">
        <v>4.4</v>
      </c>
      <c r="AF380" s="19">
        <v>4.0</v>
      </c>
      <c r="AG380" s="19">
        <v>3.0</v>
      </c>
      <c r="AH380" s="19">
        <v>4.2</v>
      </c>
      <c r="AI380" s="22">
        <v>11.287500000000001</v>
      </c>
      <c r="AJ380" s="19">
        <v>15.0</v>
      </c>
      <c r="AK380" s="19">
        <v>15.0</v>
      </c>
      <c r="AL380" s="19">
        <v>15.0</v>
      </c>
      <c r="AM380" s="19">
        <v>45.0</v>
      </c>
      <c r="AN380" s="19">
        <v>56.3</v>
      </c>
      <c r="AO380" s="19">
        <v>68.3</v>
      </c>
      <c r="AP380" s="19">
        <v>910.0</v>
      </c>
      <c r="AQ380" s="23">
        <v>373.0</v>
      </c>
      <c r="AR380" s="23">
        <v>28.0</v>
      </c>
      <c r="AS380" s="22"/>
      <c r="AT380" s="19" t="s">
        <v>2282</v>
      </c>
      <c r="AU380" s="19" t="s">
        <v>5222</v>
      </c>
      <c r="AV380" s="19" t="s">
        <v>7286</v>
      </c>
      <c r="AW380" s="19" t="s">
        <v>7287</v>
      </c>
      <c r="AX380" s="20">
        <v>38854.0</v>
      </c>
      <c r="AY380" s="19" t="s">
        <v>4978</v>
      </c>
      <c r="AZ380" s="19" t="s">
        <v>2310</v>
      </c>
      <c r="BA380" s="19" t="s">
        <v>7288</v>
      </c>
      <c r="BB380" s="19" t="s">
        <v>7289</v>
      </c>
      <c r="BC380" s="19" t="s">
        <v>8743</v>
      </c>
      <c r="BD380" s="19" t="s">
        <v>8744</v>
      </c>
      <c r="BE380" s="19" t="s">
        <v>8745</v>
      </c>
      <c r="BF380" s="19">
        <v>1.195669571E9</v>
      </c>
      <c r="BG380" s="19" t="s">
        <v>2127</v>
      </c>
      <c r="BH380" s="19" t="s">
        <v>4080</v>
      </c>
      <c r="BI380" s="19"/>
      <c r="BJ380" s="19"/>
      <c r="BK380" s="19" t="s">
        <v>16</v>
      </c>
      <c r="BL380" s="19"/>
      <c r="BM380" s="19" t="s">
        <v>5411</v>
      </c>
      <c r="BN380" s="19" t="s">
        <v>2172</v>
      </c>
      <c r="BO380" s="19" t="s">
        <v>3199</v>
      </c>
      <c r="BP380" s="19"/>
      <c r="BQ380" s="19" t="s">
        <v>2318</v>
      </c>
      <c r="BR380" s="19" t="s">
        <v>2318</v>
      </c>
      <c r="BS380" s="19" t="s">
        <v>2134</v>
      </c>
      <c r="BT380" s="19" t="s">
        <v>42</v>
      </c>
      <c r="BU380" s="19" t="s">
        <v>2560</v>
      </c>
      <c r="BV380" s="19"/>
      <c r="BW380" s="19"/>
      <c r="BX380" s="19"/>
      <c r="BY380" s="19" t="s">
        <v>2113</v>
      </c>
      <c r="BZ380" s="19"/>
      <c r="CA380" s="19"/>
      <c r="CB380" s="19" t="s">
        <v>2113</v>
      </c>
      <c r="CC380" s="19"/>
      <c r="CD380" s="19" t="s">
        <v>2137</v>
      </c>
      <c r="CE380" s="19" t="s">
        <v>16</v>
      </c>
      <c r="CF380" s="19"/>
      <c r="CG380" s="19"/>
      <c r="CH380" s="19" t="s">
        <v>16</v>
      </c>
      <c r="CI380" s="21">
        <v>0.0</v>
      </c>
      <c r="CJ380" s="19" t="s">
        <v>16</v>
      </c>
      <c r="CK380" s="19"/>
      <c r="CL380" s="19"/>
      <c r="CM380" s="19" t="s">
        <v>2344</v>
      </c>
      <c r="CN380" s="19" t="s">
        <v>4985</v>
      </c>
      <c r="CO380" s="19"/>
      <c r="CP380" s="19" t="s">
        <v>2134</v>
      </c>
      <c r="CQ380" s="19"/>
      <c r="CR380" s="19" t="s">
        <v>2113</v>
      </c>
      <c r="CS380" s="19" t="s">
        <v>2113</v>
      </c>
      <c r="CT380" s="19"/>
      <c r="CU380" s="19"/>
      <c r="CV380" s="19" t="s">
        <v>2141</v>
      </c>
      <c r="CW380" s="19"/>
      <c r="CX380" s="19"/>
      <c r="CY380" s="19"/>
      <c r="CZ380" s="19"/>
      <c r="DA380" s="19" t="s">
        <v>16</v>
      </c>
      <c r="DB380" s="19" t="s">
        <v>16</v>
      </c>
      <c r="DC380" s="19" t="s">
        <v>2982</v>
      </c>
      <c r="DD380" s="19" t="s">
        <v>2113</v>
      </c>
      <c r="DE380" s="19" t="s">
        <v>2113</v>
      </c>
      <c r="DF380" s="19" t="s">
        <v>2248</v>
      </c>
      <c r="DG380" s="19" t="s">
        <v>2712</v>
      </c>
      <c r="DH380" s="19" t="s">
        <v>2144</v>
      </c>
      <c r="DI380" s="24">
        <v>45525.0</v>
      </c>
      <c r="DJ380" s="19" t="s">
        <v>2325</v>
      </c>
      <c r="DK380" s="19" t="s">
        <v>2145</v>
      </c>
      <c r="DL380" s="19" t="s">
        <v>2326</v>
      </c>
      <c r="DM380" s="19"/>
      <c r="DN380" s="19">
        <v>9.0</v>
      </c>
      <c r="DO380" s="19">
        <v>9.0</v>
      </c>
      <c r="DP380" s="19" t="s">
        <v>8746</v>
      </c>
      <c r="DQ380" s="19" t="s">
        <v>8747</v>
      </c>
      <c r="DR380" s="19" t="s">
        <v>8748</v>
      </c>
      <c r="DS380" s="19" t="s">
        <v>2365</v>
      </c>
      <c r="DT380" s="19" t="s">
        <v>2209</v>
      </c>
      <c r="DU380" s="19"/>
      <c r="DV380" s="19"/>
      <c r="DW380" s="19" t="s">
        <v>2153</v>
      </c>
      <c r="DX380" s="19">
        <v>9.0</v>
      </c>
      <c r="DY380" s="19">
        <v>10.0</v>
      </c>
      <c r="DZ380" s="19">
        <v>0.0</v>
      </c>
      <c r="EA380" s="19">
        <v>10.0</v>
      </c>
      <c r="EB380" s="19">
        <v>0.0</v>
      </c>
      <c r="EC380" s="19">
        <v>0.0</v>
      </c>
      <c r="ED380" s="19" t="s">
        <v>2325</v>
      </c>
      <c r="EE380" s="24">
        <v>45525.0</v>
      </c>
      <c r="EF380" s="19" t="s">
        <v>2325</v>
      </c>
      <c r="EG380" s="19" t="s">
        <v>2145</v>
      </c>
      <c r="EH380" s="19" t="s">
        <v>2326</v>
      </c>
      <c r="EI380" s="22">
        <v>11.287500000000001</v>
      </c>
      <c r="EJ380" s="19">
        <v>45.0</v>
      </c>
      <c r="EK380" s="19"/>
      <c r="EL380" s="19" t="s">
        <v>2282</v>
      </c>
      <c r="EM380" s="19" t="s">
        <v>5222</v>
      </c>
      <c r="EN380" s="19" t="s">
        <v>1128</v>
      </c>
      <c r="EO380" s="19" t="s">
        <v>4978</v>
      </c>
      <c r="EP380" s="19" t="s">
        <v>2310</v>
      </c>
      <c r="EQ380" s="19" t="s">
        <v>4985</v>
      </c>
      <c r="ER380" s="19"/>
      <c r="ES380" s="19" t="s">
        <v>1128</v>
      </c>
      <c r="ET380" s="19" t="s">
        <v>1128</v>
      </c>
      <c r="EU380" s="19" t="s">
        <v>8741</v>
      </c>
      <c r="EV380" s="19">
        <v>6607.0</v>
      </c>
      <c r="EW380" s="19" t="s">
        <v>16</v>
      </c>
      <c r="EX380" s="19">
        <v>2.0</v>
      </c>
      <c r="EY380" s="25" t="s">
        <v>1127</v>
      </c>
      <c r="EZ380" s="19" t="s">
        <v>2154</v>
      </c>
      <c r="FA380" s="5" t="s">
        <v>8749</v>
      </c>
      <c r="FB380" s="26" t="s">
        <v>2156</v>
      </c>
      <c r="FC380" s="26"/>
    </row>
    <row r="381">
      <c r="A381" s="19" t="s">
        <v>2112</v>
      </c>
      <c r="B381" s="19"/>
      <c r="C381" s="19" t="s">
        <v>2113</v>
      </c>
      <c r="D381" s="19" t="s">
        <v>1129</v>
      </c>
      <c r="E381" s="19" t="s">
        <v>8750</v>
      </c>
      <c r="F381" s="19" t="s">
        <v>1129</v>
      </c>
      <c r="G381" s="19"/>
      <c r="H381" s="19" t="s">
        <v>1129</v>
      </c>
      <c r="I381" s="19" t="s">
        <v>1131</v>
      </c>
      <c r="J381" s="19" t="s">
        <v>8751</v>
      </c>
      <c r="K381" s="19" t="s">
        <v>8752</v>
      </c>
      <c r="L381" s="20">
        <v>45410.0</v>
      </c>
      <c r="M381" s="20">
        <v>45411.0</v>
      </c>
      <c r="N381" s="20">
        <v>45411.0</v>
      </c>
      <c r="O381" s="19" t="s">
        <v>1130</v>
      </c>
      <c r="P381" s="19">
        <v>0.0</v>
      </c>
      <c r="Q381" s="19">
        <v>20.0</v>
      </c>
      <c r="R381" s="19">
        <v>7583.0</v>
      </c>
      <c r="S381" s="20" t="s">
        <v>8753</v>
      </c>
      <c r="T381" s="20">
        <v>45461.0</v>
      </c>
      <c r="U381" s="19" t="s">
        <v>1129</v>
      </c>
      <c r="V381" s="19"/>
      <c r="W381" s="19"/>
      <c r="X381" s="21">
        <v>0.0</v>
      </c>
      <c r="Y381" s="21">
        <v>5.0</v>
      </c>
      <c r="Z381" s="21">
        <v>5.0</v>
      </c>
      <c r="AA381" s="21">
        <v>0.0</v>
      </c>
      <c r="AB381" s="5">
        <v>10.0</v>
      </c>
      <c r="AC381" s="19">
        <v>5.0</v>
      </c>
      <c r="AD381" s="19">
        <v>5.0</v>
      </c>
      <c r="AE381" s="19">
        <v>5.0</v>
      </c>
      <c r="AF381" s="19">
        <v>4.0</v>
      </c>
      <c r="AG381" s="19">
        <v>4.0</v>
      </c>
      <c r="AH381" s="19">
        <v>5.0</v>
      </c>
      <c r="AI381" s="22">
        <v>14.25</v>
      </c>
      <c r="AJ381" s="19">
        <v>14.0</v>
      </c>
      <c r="AK381" s="19">
        <v>15.0</v>
      </c>
      <c r="AL381" s="19">
        <v>15.0</v>
      </c>
      <c r="AM381" s="19">
        <v>44.0</v>
      </c>
      <c r="AN381" s="19">
        <v>58.3</v>
      </c>
      <c r="AO381" s="19">
        <v>68.3</v>
      </c>
      <c r="AP381" s="19">
        <v>965.0</v>
      </c>
      <c r="AQ381" s="23">
        <v>374.0</v>
      </c>
      <c r="AR381" s="23">
        <v>42.0</v>
      </c>
      <c r="AS381" s="22"/>
      <c r="AT381" s="19" t="s">
        <v>2163</v>
      </c>
      <c r="AU381" s="19" t="s">
        <v>2394</v>
      </c>
      <c r="AV381" s="19" t="s">
        <v>8754</v>
      </c>
      <c r="AW381" s="19"/>
      <c r="AX381" s="20">
        <v>37878.0</v>
      </c>
      <c r="AY381" s="19" t="s">
        <v>2121</v>
      </c>
      <c r="AZ381" s="19" t="s">
        <v>2310</v>
      </c>
      <c r="BA381" s="19" t="s">
        <v>8755</v>
      </c>
      <c r="BB381" s="19" t="s">
        <v>4534</v>
      </c>
      <c r="BC381" s="19" t="s">
        <v>8756</v>
      </c>
      <c r="BD381" s="19" t="s">
        <v>8757</v>
      </c>
      <c r="BE381" s="19" t="s">
        <v>8758</v>
      </c>
      <c r="BF381" s="19">
        <v>1.19454128E10</v>
      </c>
      <c r="BG381" s="19" t="s">
        <v>3518</v>
      </c>
      <c r="BH381" s="19" t="s">
        <v>2128</v>
      </c>
      <c r="BI381" s="19"/>
      <c r="BJ381" s="19" t="s">
        <v>2427</v>
      </c>
      <c r="BK381" s="19" t="s">
        <v>17</v>
      </c>
      <c r="BL381" s="19"/>
      <c r="BM381" s="19" t="s">
        <v>5411</v>
      </c>
      <c r="BN381" s="19" t="s">
        <v>17</v>
      </c>
      <c r="BO381" s="19" t="s">
        <v>2132</v>
      </c>
      <c r="BP381" s="19"/>
      <c r="BQ381" s="19" t="s">
        <v>2133</v>
      </c>
      <c r="BR381" s="19" t="s">
        <v>2133</v>
      </c>
      <c r="BS381" s="19" t="s">
        <v>2134</v>
      </c>
      <c r="BT381" s="19" t="s">
        <v>15</v>
      </c>
      <c r="BU381" s="19" t="s">
        <v>6590</v>
      </c>
      <c r="BV381" s="19"/>
      <c r="BW381" s="19"/>
      <c r="BX381" s="19"/>
      <c r="BY381" s="19"/>
      <c r="BZ381" s="19"/>
      <c r="CA381" s="19"/>
      <c r="CB381" s="19" t="s">
        <v>2113</v>
      </c>
      <c r="CC381" s="19"/>
      <c r="CD381" s="19" t="s">
        <v>2137</v>
      </c>
      <c r="CE381" s="19" t="s">
        <v>16</v>
      </c>
      <c r="CF381" s="19" t="s">
        <v>2113</v>
      </c>
      <c r="CG381" s="19"/>
      <c r="CH381" s="19" t="s">
        <v>16</v>
      </c>
      <c r="CI381" s="21">
        <v>0.0</v>
      </c>
      <c r="CJ381" s="19" t="s">
        <v>17</v>
      </c>
      <c r="CK381" s="19"/>
      <c r="CL381" s="19"/>
      <c r="CM381" s="19" t="s">
        <v>2926</v>
      </c>
      <c r="CN381" s="19" t="s">
        <v>2139</v>
      </c>
      <c r="CO381" s="19"/>
      <c r="CP381" s="19" t="s">
        <v>2246</v>
      </c>
      <c r="CQ381" s="19"/>
      <c r="CR381" s="19" t="s">
        <v>2113</v>
      </c>
      <c r="CS381" s="19" t="s">
        <v>2113</v>
      </c>
      <c r="CT381" s="19" t="s">
        <v>2113</v>
      </c>
      <c r="CU381" s="19" t="s">
        <v>2113</v>
      </c>
      <c r="CV381" s="19" t="s">
        <v>2141</v>
      </c>
      <c r="CW381" s="19"/>
      <c r="CX381" s="19"/>
      <c r="CY381" s="19" t="s">
        <v>2113</v>
      </c>
      <c r="CZ381" s="19" t="s">
        <v>2113</v>
      </c>
      <c r="DA381" s="19" t="s">
        <v>16</v>
      </c>
      <c r="DB381" s="19" t="s">
        <v>17</v>
      </c>
      <c r="DC381" s="19" t="s">
        <v>2405</v>
      </c>
      <c r="DD381" s="19" t="s">
        <v>2113</v>
      </c>
      <c r="DE381" s="19" t="s">
        <v>2113</v>
      </c>
      <c r="DF381" s="19" t="s">
        <v>3525</v>
      </c>
      <c r="DG381" s="19" t="s">
        <v>2406</v>
      </c>
      <c r="DH381" s="19" t="s">
        <v>2144</v>
      </c>
      <c r="DI381" s="24">
        <v>45531.0</v>
      </c>
      <c r="DJ381" s="19" t="s">
        <v>2133</v>
      </c>
      <c r="DK381" s="19" t="s">
        <v>2271</v>
      </c>
      <c r="DL381" s="19" t="s">
        <v>2146</v>
      </c>
      <c r="DM381" s="19" t="s">
        <v>2827</v>
      </c>
      <c r="DN381" s="19">
        <v>14.0</v>
      </c>
      <c r="DO381" s="19">
        <v>14.0</v>
      </c>
      <c r="DP381" s="19" t="s">
        <v>8759</v>
      </c>
      <c r="DQ381" s="19" t="s">
        <v>8760</v>
      </c>
      <c r="DR381" s="19" t="s">
        <v>8761</v>
      </c>
      <c r="DS381" s="19" t="s">
        <v>2365</v>
      </c>
      <c r="DT381" s="19" t="s">
        <v>2152</v>
      </c>
      <c r="DU381" s="19"/>
      <c r="DV381" s="19"/>
      <c r="DW381" s="19" t="s">
        <v>2479</v>
      </c>
      <c r="DX381" s="19">
        <v>11.0</v>
      </c>
      <c r="DY381" s="19">
        <v>5.0</v>
      </c>
      <c r="DZ381" s="19">
        <v>0.0</v>
      </c>
      <c r="EA381" s="19">
        <v>5.0</v>
      </c>
      <c r="EB381" s="19">
        <v>0.0</v>
      </c>
      <c r="EC381" s="19">
        <v>0.0</v>
      </c>
      <c r="ED381" s="19" t="s">
        <v>2133</v>
      </c>
      <c r="EE381" s="24">
        <v>45531.0</v>
      </c>
      <c r="EF381" s="19" t="s">
        <v>2133</v>
      </c>
      <c r="EG381" s="19" t="s">
        <v>2271</v>
      </c>
      <c r="EH381" s="19" t="s">
        <v>2146</v>
      </c>
      <c r="EI381" s="22">
        <v>14.25</v>
      </c>
      <c r="EJ381" s="19">
        <v>44.0</v>
      </c>
      <c r="EK381" s="19" t="s">
        <v>2113</v>
      </c>
      <c r="EL381" s="19" t="s">
        <v>2163</v>
      </c>
      <c r="EM381" s="19" t="s">
        <v>2394</v>
      </c>
      <c r="EN381" s="19" t="s">
        <v>1131</v>
      </c>
      <c r="EO381" s="19" t="s">
        <v>2121</v>
      </c>
      <c r="EP381" s="19" t="s">
        <v>2310</v>
      </c>
      <c r="EQ381" s="19" t="s">
        <v>2139</v>
      </c>
      <c r="ER381" s="19"/>
      <c r="ES381" s="19" t="s">
        <v>1131</v>
      </c>
      <c r="ET381" s="19" t="s">
        <v>1131</v>
      </c>
      <c r="EU381" s="19" t="s">
        <v>8752</v>
      </c>
      <c r="EV381" s="19">
        <v>7583.0</v>
      </c>
      <c r="EW381" s="19" t="s">
        <v>16</v>
      </c>
      <c r="EX381" s="19">
        <v>5.0</v>
      </c>
      <c r="EY381" s="25" t="s">
        <v>1130</v>
      </c>
      <c r="EZ381" s="19" t="s">
        <v>2154</v>
      </c>
      <c r="FA381" s="5" t="s">
        <v>8762</v>
      </c>
      <c r="FB381" s="26" t="s">
        <v>2156</v>
      </c>
      <c r="FC381" s="26"/>
    </row>
    <row r="382">
      <c r="A382" s="19" t="s">
        <v>2112</v>
      </c>
      <c r="B382" s="19"/>
      <c r="C382" s="19" t="s">
        <v>2113</v>
      </c>
      <c r="D382" s="19" t="s">
        <v>1132</v>
      </c>
      <c r="E382" s="19" t="s">
        <v>8763</v>
      </c>
      <c r="F382" s="19" t="s">
        <v>1132</v>
      </c>
      <c r="G382" s="19"/>
      <c r="H382" s="19" t="s">
        <v>1132</v>
      </c>
      <c r="I382" s="19" t="s">
        <v>1134</v>
      </c>
      <c r="J382" s="19" t="s">
        <v>8764</v>
      </c>
      <c r="K382" s="19" t="s">
        <v>8765</v>
      </c>
      <c r="L382" s="20">
        <v>45460.0</v>
      </c>
      <c r="M382" s="20">
        <v>45462.0</v>
      </c>
      <c r="N382" s="20">
        <v>45462.0</v>
      </c>
      <c r="O382" s="19" t="s">
        <v>1133</v>
      </c>
      <c r="P382" s="19">
        <v>1.0</v>
      </c>
      <c r="Q382" s="19">
        <v>25.0</v>
      </c>
      <c r="R382" s="19">
        <v>9233.0</v>
      </c>
      <c r="S382" s="20" t="s">
        <v>8766</v>
      </c>
      <c r="T382" s="20">
        <v>45461.0</v>
      </c>
      <c r="U382" s="19" t="s">
        <v>1132</v>
      </c>
      <c r="V382" s="19"/>
      <c r="W382" s="19"/>
      <c r="X382" s="21">
        <v>0.0</v>
      </c>
      <c r="Y382" s="21">
        <v>10.0</v>
      </c>
      <c r="Z382" s="21">
        <v>3.0</v>
      </c>
      <c r="AA382" s="21">
        <v>0.0</v>
      </c>
      <c r="AB382" s="5">
        <v>13.0</v>
      </c>
      <c r="AC382" s="19">
        <v>4.6</v>
      </c>
      <c r="AD382" s="19">
        <v>4.1</v>
      </c>
      <c r="AE382" s="19">
        <v>4.5</v>
      </c>
      <c r="AF382" s="19">
        <v>4.1</v>
      </c>
      <c r="AG382" s="19">
        <v>4.6</v>
      </c>
      <c r="AH382" s="19">
        <v>4.6</v>
      </c>
      <c r="AI382" s="22">
        <v>13.209375</v>
      </c>
      <c r="AJ382" s="19">
        <v>12.0</v>
      </c>
      <c r="AK382" s="19">
        <v>15.0</v>
      </c>
      <c r="AL382" s="19">
        <v>15.0</v>
      </c>
      <c r="AM382" s="19">
        <v>42.0</v>
      </c>
      <c r="AN382" s="19">
        <v>55.2</v>
      </c>
      <c r="AO382" s="19">
        <v>68.2</v>
      </c>
      <c r="AP382" s="19">
        <v>696.0</v>
      </c>
      <c r="AQ382" s="23">
        <v>375.0</v>
      </c>
      <c r="AR382" s="23">
        <v>34.0</v>
      </c>
      <c r="AS382" s="22"/>
      <c r="AT382" s="19" t="s">
        <v>2163</v>
      </c>
      <c r="AU382" s="19" t="s">
        <v>8767</v>
      </c>
      <c r="AV382" s="19" t="s">
        <v>8768</v>
      </c>
      <c r="AW382" s="19" t="s">
        <v>2285</v>
      </c>
      <c r="AX382" s="20">
        <v>36228.0</v>
      </c>
      <c r="AY382" s="19" t="s">
        <v>3053</v>
      </c>
      <c r="AZ382" s="19" t="s">
        <v>2310</v>
      </c>
      <c r="BA382" s="19" t="s">
        <v>8769</v>
      </c>
      <c r="BB382" s="19" t="s">
        <v>8770</v>
      </c>
      <c r="BC382" s="19" t="s">
        <v>8771</v>
      </c>
      <c r="BD382" s="19" t="s">
        <v>8772</v>
      </c>
      <c r="BE382" s="19" t="s">
        <v>8773</v>
      </c>
      <c r="BF382" s="19">
        <v>1.1945627297E10</v>
      </c>
      <c r="BG382" s="19" t="s">
        <v>2127</v>
      </c>
      <c r="BH382" s="19" t="s">
        <v>2649</v>
      </c>
      <c r="BI382" s="19"/>
      <c r="BJ382" s="19" t="s">
        <v>2128</v>
      </c>
      <c r="BK382" s="19" t="s">
        <v>16</v>
      </c>
      <c r="BL382" s="19" t="s">
        <v>2113</v>
      </c>
      <c r="BM382" s="19" t="s">
        <v>5411</v>
      </c>
      <c r="BN382" s="19" t="s">
        <v>2172</v>
      </c>
      <c r="BO382" s="19" t="s">
        <v>2473</v>
      </c>
      <c r="BP382" s="19"/>
      <c r="BQ382" s="19" t="s">
        <v>2325</v>
      </c>
      <c r="BR382" s="19" t="s">
        <v>2325</v>
      </c>
      <c r="BS382" s="19" t="s">
        <v>2134</v>
      </c>
      <c r="BT382" s="19" t="s">
        <v>59</v>
      </c>
      <c r="BU382" s="19" t="s">
        <v>2560</v>
      </c>
      <c r="BV382" s="19"/>
      <c r="BW382" s="19"/>
      <c r="BX382" s="19"/>
      <c r="BY382" s="19" t="s">
        <v>2113</v>
      </c>
      <c r="BZ382" s="19"/>
      <c r="CA382" s="19"/>
      <c r="CB382" s="19" t="s">
        <v>2113</v>
      </c>
      <c r="CC382" s="19"/>
      <c r="CD382" s="19" t="s">
        <v>2137</v>
      </c>
      <c r="CE382" s="19" t="s">
        <v>16</v>
      </c>
      <c r="CF382" s="19"/>
      <c r="CG382" s="19"/>
      <c r="CH382" s="19" t="s">
        <v>16</v>
      </c>
      <c r="CI382" s="21">
        <v>0.0</v>
      </c>
      <c r="CJ382" s="19" t="s">
        <v>17</v>
      </c>
      <c r="CK382" s="19"/>
      <c r="CL382" s="19"/>
      <c r="CM382" s="19" t="s">
        <v>2138</v>
      </c>
      <c r="CN382" s="19" t="s">
        <v>3064</v>
      </c>
      <c r="CO382" s="19"/>
      <c r="CP382" s="19" t="s">
        <v>2134</v>
      </c>
      <c r="CQ382" s="19"/>
      <c r="CR382" s="19" t="s">
        <v>2113</v>
      </c>
      <c r="CS382" s="19" t="s">
        <v>2113</v>
      </c>
      <c r="CT382" s="19" t="s">
        <v>2113</v>
      </c>
      <c r="CU382" s="19" t="s">
        <v>2113</v>
      </c>
      <c r="CV382" s="19" t="s">
        <v>2141</v>
      </c>
      <c r="CW382" s="19" t="s">
        <v>2113</v>
      </c>
      <c r="CX382" s="19" t="s">
        <v>2113</v>
      </c>
      <c r="CY382" s="19"/>
      <c r="CZ382" s="19"/>
      <c r="DA382" s="19" t="s">
        <v>16</v>
      </c>
      <c r="DB382" s="19" t="s">
        <v>17</v>
      </c>
      <c r="DC382" s="19" t="s">
        <v>2432</v>
      </c>
      <c r="DD382" s="19" t="s">
        <v>2113</v>
      </c>
      <c r="DE382" s="19" t="s">
        <v>2113</v>
      </c>
      <c r="DF382" s="19" t="s">
        <v>2433</v>
      </c>
      <c r="DG382" s="19" t="s">
        <v>2207</v>
      </c>
      <c r="DH382" s="19" t="s">
        <v>2144</v>
      </c>
      <c r="DI382" s="24">
        <v>45525.0</v>
      </c>
      <c r="DJ382" s="19" t="s">
        <v>2325</v>
      </c>
      <c r="DK382" s="19" t="s">
        <v>2271</v>
      </c>
      <c r="DL382" s="19" t="s">
        <v>2326</v>
      </c>
      <c r="DM382" s="19"/>
      <c r="DN382" s="19">
        <v>10.0</v>
      </c>
      <c r="DO382" s="19">
        <v>10.0</v>
      </c>
      <c r="DP382" s="19" t="s">
        <v>8774</v>
      </c>
      <c r="DQ382" s="19" t="s">
        <v>8775</v>
      </c>
      <c r="DR382" s="19" t="s">
        <v>8776</v>
      </c>
      <c r="DS382" s="19" t="s">
        <v>2151</v>
      </c>
      <c r="DT382" s="19" t="s">
        <v>2229</v>
      </c>
      <c r="DU382" s="19"/>
      <c r="DV382" s="19"/>
      <c r="DW382" s="19" t="s">
        <v>2479</v>
      </c>
      <c r="DX382" s="19">
        <v>16.0</v>
      </c>
      <c r="DY382" s="19">
        <v>10.0</v>
      </c>
      <c r="DZ382" s="19">
        <v>0.0</v>
      </c>
      <c r="EA382" s="19">
        <v>10.0</v>
      </c>
      <c r="EB382" s="19">
        <v>0.0</v>
      </c>
      <c r="EC382" s="19">
        <v>0.0</v>
      </c>
      <c r="ED382" s="19" t="s">
        <v>2325</v>
      </c>
      <c r="EE382" s="24">
        <v>45525.0</v>
      </c>
      <c r="EF382" s="19" t="s">
        <v>2325</v>
      </c>
      <c r="EG382" s="19" t="s">
        <v>2271</v>
      </c>
      <c r="EH382" s="19" t="s">
        <v>2326</v>
      </c>
      <c r="EI382" s="22">
        <v>13.209375</v>
      </c>
      <c r="EJ382" s="19">
        <v>42.0</v>
      </c>
      <c r="EK382" s="19" t="s">
        <v>2113</v>
      </c>
      <c r="EL382" s="19" t="s">
        <v>2163</v>
      </c>
      <c r="EM382" s="19" t="s">
        <v>8767</v>
      </c>
      <c r="EN382" s="19" t="s">
        <v>1134</v>
      </c>
      <c r="EO382" s="19" t="s">
        <v>3053</v>
      </c>
      <c r="EP382" s="19" t="s">
        <v>2310</v>
      </c>
      <c r="EQ382" s="19" t="s">
        <v>3064</v>
      </c>
      <c r="ER382" s="19"/>
      <c r="ES382" s="19" t="s">
        <v>1134</v>
      </c>
      <c r="ET382" s="19" t="s">
        <v>1134</v>
      </c>
      <c r="EU382" s="19" t="s">
        <v>8765</v>
      </c>
      <c r="EV382" s="19">
        <v>9233.0</v>
      </c>
      <c r="EW382" s="19" t="s">
        <v>16</v>
      </c>
      <c r="EX382" s="19">
        <v>3.0</v>
      </c>
      <c r="EY382" s="25" t="s">
        <v>1133</v>
      </c>
      <c r="EZ382" s="19" t="s">
        <v>2154</v>
      </c>
      <c r="FA382" s="5" t="s">
        <v>8777</v>
      </c>
      <c r="FB382" s="26" t="s">
        <v>2156</v>
      </c>
      <c r="FC382" s="26"/>
    </row>
    <row r="383">
      <c r="A383" s="19" t="s">
        <v>2112</v>
      </c>
      <c r="B383" s="19"/>
      <c r="C383" s="19" t="s">
        <v>2113</v>
      </c>
      <c r="D383" s="19" t="s">
        <v>8778</v>
      </c>
      <c r="E383" s="19" t="s">
        <v>1135</v>
      </c>
      <c r="F383" s="19" t="s">
        <v>1135</v>
      </c>
      <c r="G383" s="19"/>
      <c r="H383" s="19" t="s">
        <v>1135</v>
      </c>
      <c r="I383" s="19" t="s">
        <v>1137</v>
      </c>
      <c r="J383" s="19" t="s">
        <v>8779</v>
      </c>
      <c r="K383" s="19" t="s">
        <v>8780</v>
      </c>
      <c r="L383" s="20">
        <v>45460.0</v>
      </c>
      <c r="M383" s="20">
        <v>45462.0</v>
      </c>
      <c r="N383" s="20">
        <v>45462.0</v>
      </c>
      <c r="O383" s="19" t="s">
        <v>1136</v>
      </c>
      <c r="P383" s="19">
        <v>0.0</v>
      </c>
      <c r="Q383" s="19">
        <v>21.0</v>
      </c>
      <c r="R383" s="19">
        <v>7721.0</v>
      </c>
      <c r="S383" s="20" t="s">
        <v>8781</v>
      </c>
      <c r="T383" s="20">
        <v>45461.0</v>
      </c>
      <c r="U383" s="19" t="s">
        <v>1135</v>
      </c>
      <c r="V383" s="19"/>
      <c r="W383" s="19"/>
      <c r="X383" s="21">
        <v>0.0</v>
      </c>
      <c r="Y383" s="21">
        <v>10.0</v>
      </c>
      <c r="Z383" s="21">
        <v>3.0</v>
      </c>
      <c r="AA383" s="21">
        <v>0.0</v>
      </c>
      <c r="AB383" s="5">
        <v>13.0</v>
      </c>
      <c r="AC383" s="19">
        <v>4.6</v>
      </c>
      <c r="AD383" s="19">
        <v>5.0</v>
      </c>
      <c r="AE383" s="19">
        <v>4.0</v>
      </c>
      <c r="AF383" s="19">
        <v>4.4</v>
      </c>
      <c r="AG383" s="19">
        <v>4.0</v>
      </c>
      <c r="AH383" s="19">
        <v>4.0</v>
      </c>
      <c r="AI383" s="22">
        <v>13.087499999999999</v>
      </c>
      <c r="AJ383" s="19">
        <v>15.0</v>
      </c>
      <c r="AK383" s="19">
        <v>15.0</v>
      </c>
      <c r="AL383" s="19">
        <v>12.0</v>
      </c>
      <c r="AM383" s="19">
        <v>42.0</v>
      </c>
      <c r="AN383" s="19">
        <v>55.1</v>
      </c>
      <c r="AO383" s="19">
        <v>68.1</v>
      </c>
      <c r="AP383" s="19">
        <v>758.0</v>
      </c>
      <c r="AQ383" s="23">
        <v>376.0</v>
      </c>
      <c r="AR383" s="23">
        <v>34.0</v>
      </c>
      <c r="AS383" s="22"/>
      <c r="AT383" s="19" t="s">
        <v>2282</v>
      </c>
      <c r="AU383" s="19" t="s">
        <v>8782</v>
      </c>
      <c r="AV383" s="19" t="s">
        <v>8783</v>
      </c>
      <c r="AW383" s="19" t="s">
        <v>2166</v>
      </c>
      <c r="AX383" s="20">
        <v>37740.0</v>
      </c>
      <c r="AY383" s="19" t="s">
        <v>5573</v>
      </c>
      <c r="AZ383" s="19" t="s">
        <v>2310</v>
      </c>
      <c r="BA383" s="19" t="s">
        <v>8784</v>
      </c>
      <c r="BB383" s="19" t="s">
        <v>2132</v>
      </c>
      <c r="BC383" s="19" t="s">
        <v>8785</v>
      </c>
      <c r="BD383" s="19" t="s">
        <v>8786</v>
      </c>
      <c r="BE383" s="19" t="s">
        <v>8779</v>
      </c>
      <c r="BF383" s="19">
        <v>1.198044311E10</v>
      </c>
      <c r="BG383" s="19" t="s">
        <v>2127</v>
      </c>
      <c r="BH383" s="19" t="s">
        <v>2128</v>
      </c>
      <c r="BI383" s="19"/>
      <c r="BJ383" s="19" t="s">
        <v>2128</v>
      </c>
      <c r="BK383" s="19" t="s">
        <v>17</v>
      </c>
      <c r="BL383" s="19"/>
      <c r="BM383" s="19" t="s">
        <v>5411</v>
      </c>
      <c r="BN383" s="19" t="s">
        <v>2172</v>
      </c>
      <c r="BO383" s="19" t="s">
        <v>2473</v>
      </c>
      <c r="BP383" s="19" t="s">
        <v>8787</v>
      </c>
      <c r="BQ383" s="19" t="s">
        <v>2174</v>
      </c>
      <c r="BR383" s="19" t="s">
        <v>2174</v>
      </c>
      <c r="BS383" s="19" t="s">
        <v>2134</v>
      </c>
      <c r="BT383" s="19" t="s">
        <v>34</v>
      </c>
      <c r="BU383" s="19"/>
      <c r="BV383" s="19"/>
      <c r="BW383" s="19"/>
      <c r="BX383" s="19"/>
      <c r="BY383" s="19"/>
      <c r="BZ383" s="19"/>
      <c r="CA383" s="19"/>
      <c r="CB383" s="19" t="s">
        <v>2113</v>
      </c>
      <c r="CC383" s="19"/>
      <c r="CD383" s="19" t="s">
        <v>2137</v>
      </c>
      <c r="CE383" s="19" t="s">
        <v>16</v>
      </c>
      <c r="CF383" s="19"/>
      <c r="CG383" s="19"/>
      <c r="CH383" s="19" t="s">
        <v>16</v>
      </c>
      <c r="CI383" s="21">
        <v>0.0</v>
      </c>
      <c r="CJ383" s="19" t="s">
        <v>16</v>
      </c>
      <c r="CK383" s="19"/>
      <c r="CL383" s="19" t="s">
        <v>2113</v>
      </c>
      <c r="CM383" s="19" t="s">
        <v>2344</v>
      </c>
      <c r="CN383" s="19" t="s">
        <v>3041</v>
      </c>
      <c r="CO383" s="19"/>
      <c r="CP383" s="19" t="s">
        <v>2178</v>
      </c>
      <c r="CQ383" s="19"/>
      <c r="CR383" s="19"/>
      <c r="CS383" s="19"/>
      <c r="CT383" s="19" t="s">
        <v>2113</v>
      </c>
      <c r="CU383" s="19" t="s">
        <v>2113</v>
      </c>
      <c r="CV383" s="19" t="s">
        <v>2179</v>
      </c>
      <c r="CW383" s="19"/>
      <c r="CX383" s="19"/>
      <c r="CY383" s="19" t="s">
        <v>2113</v>
      </c>
      <c r="CZ383" s="19" t="s">
        <v>2113</v>
      </c>
      <c r="DA383" s="19" t="s">
        <v>16</v>
      </c>
      <c r="DB383" s="19" t="s">
        <v>16</v>
      </c>
      <c r="DC383" s="19" t="s">
        <v>3042</v>
      </c>
      <c r="DD383" s="19" t="s">
        <v>2113</v>
      </c>
      <c r="DE383" s="19" t="s">
        <v>2113</v>
      </c>
      <c r="DF383" s="19" t="s">
        <v>2433</v>
      </c>
      <c r="DG383" s="19" t="s">
        <v>5864</v>
      </c>
      <c r="DH383" s="19" t="s">
        <v>2144</v>
      </c>
      <c r="DI383" s="24">
        <v>45519.0</v>
      </c>
      <c r="DJ383" s="19" t="s">
        <v>2174</v>
      </c>
      <c r="DK383" s="19" t="s">
        <v>2271</v>
      </c>
      <c r="DL383" s="19" t="s">
        <v>2183</v>
      </c>
      <c r="DM383" s="19" t="s">
        <v>2272</v>
      </c>
      <c r="DN383" s="19">
        <v>6.0</v>
      </c>
      <c r="DO383" s="19">
        <v>6.0</v>
      </c>
      <c r="DP383" s="19"/>
      <c r="DQ383" s="19"/>
      <c r="DR383" s="19"/>
      <c r="DS383" s="19" t="s">
        <v>2151</v>
      </c>
      <c r="DT383" s="19" t="s">
        <v>2152</v>
      </c>
      <c r="DU383" s="19" t="s">
        <v>8788</v>
      </c>
      <c r="DV383" s="19"/>
      <c r="DW383" s="19" t="s">
        <v>2153</v>
      </c>
      <c r="DX383" s="19">
        <v>13.0</v>
      </c>
      <c r="DY383" s="19">
        <v>10.0</v>
      </c>
      <c r="DZ383" s="19">
        <v>0.0</v>
      </c>
      <c r="EA383" s="19">
        <v>10.0</v>
      </c>
      <c r="EB383" s="19">
        <v>0.0</v>
      </c>
      <c r="EC383" s="19">
        <v>0.0</v>
      </c>
      <c r="ED383" s="19" t="s">
        <v>2174</v>
      </c>
      <c r="EE383" s="24">
        <v>45519.0</v>
      </c>
      <c r="EF383" s="19" t="s">
        <v>2174</v>
      </c>
      <c r="EG383" s="19" t="s">
        <v>2271</v>
      </c>
      <c r="EH383" s="19" t="s">
        <v>2183</v>
      </c>
      <c r="EI383" s="22">
        <v>13.087499999999999</v>
      </c>
      <c r="EJ383" s="19">
        <v>42.0</v>
      </c>
      <c r="EK383" s="19"/>
      <c r="EL383" s="19" t="s">
        <v>2282</v>
      </c>
      <c r="EM383" s="19" t="s">
        <v>8782</v>
      </c>
      <c r="EN383" s="19" t="s">
        <v>1137</v>
      </c>
      <c r="EO383" s="19" t="s">
        <v>5573</v>
      </c>
      <c r="EP383" s="19" t="s">
        <v>2310</v>
      </c>
      <c r="EQ383" s="19" t="s">
        <v>3041</v>
      </c>
      <c r="ER383" s="19"/>
      <c r="ES383" s="19" t="s">
        <v>1137</v>
      </c>
      <c r="ET383" s="19" t="s">
        <v>1137</v>
      </c>
      <c r="EU383" s="19" t="s">
        <v>8780</v>
      </c>
      <c r="EV383" s="19">
        <v>7721.0</v>
      </c>
      <c r="EW383" s="19" t="s">
        <v>16</v>
      </c>
      <c r="EX383" s="19">
        <v>3.0</v>
      </c>
      <c r="EY383" s="25" t="s">
        <v>1136</v>
      </c>
      <c r="EZ383" s="19" t="s">
        <v>2154</v>
      </c>
      <c r="FA383" s="5" t="s">
        <v>8789</v>
      </c>
      <c r="FB383" s="26" t="s">
        <v>2156</v>
      </c>
      <c r="FC383" s="26"/>
    </row>
    <row r="384">
      <c r="A384" s="19" t="s">
        <v>17</v>
      </c>
      <c r="B384" s="19"/>
      <c r="C384" s="19" t="s">
        <v>2113</v>
      </c>
      <c r="D384" s="19" t="s">
        <v>1138</v>
      </c>
      <c r="E384" s="19" t="s">
        <v>8790</v>
      </c>
      <c r="F384" s="19" t="s">
        <v>1138</v>
      </c>
      <c r="G384" s="19"/>
      <c r="H384" s="19" t="s">
        <v>1138</v>
      </c>
      <c r="I384" s="19" t="s">
        <v>1140</v>
      </c>
      <c r="J384" s="19" t="s">
        <v>8791</v>
      </c>
      <c r="K384" s="19" t="s">
        <v>8792</v>
      </c>
      <c r="L384" s="20">
        <v>45451.0</v>
      </c>
      <c r="M384" s="20">
        <v>45453.0</v>
      </c>
      <c r="N384" s="20">
        <v>45453.0</v>
      </c>
      <c r="O384" s="19" t="s">
        <v>1139</v>
      </c>
      <c r="P384" s="19">
        <v>0.0</v>
      </c>
      <c r="Q384" s="19">
        <v>22.0</v>
      </c>
      <c r="R384" s="19">
        <v>8129.0</v>
      </c>
      <c r="S384" s="20" t="s">
        <v>8793</v>
      </c>
      <c r="T384" s="20">
        <v>45461.0</v>
      </c>
      <c r="U384" s="19" t="s">
        <v>1138</v>
      </c>
      <c r="V384" s="19"/>
      <c r="W384" s="19"/>
      <c r="X384" s="21">
        <v>0.0</v>
      </c>
      <c r="Y384" s="21">
        <v>10.0</v>
      </c>
      <c r="Z384" s="21">
        <v>3.0</v>
      </c>
      <c r="AA384" s="21">
        <v>0.0</v>
      </c>
      <c r="AB384" s="5">
        <v>13.0</v>
      </c>
      <c r="AC384" s="19">
        <v>4.5</v>
      </c>
      <c r="AD384" s="19">
        <v>4.5</v>
      </c>
      <c r="AE384" s="19">
        <v>5.0</v>
      </c>
      <c r="AF384" s="19">
        <v>5.0</v>
      </c>
      <c r="AG384" s="19">
        <v>4.0</v>
      </c>
      <c r="AH384" s="19">
        <v>5.0</v>
      </c>
      <c r="AI384" s="22">
        <v>14.0625</v>
      </c>
      <c r="AJ384" s="19">
        <v>14.0</v>
      </c>
      <c r="AK384" s="19">
        <v>14.0</v>
      </c>
      <c r="AL384" s="19">
        <v>13.0</v>
      </c>
      <c r="AM384" s="19">
        <v>41.0</v>
      </c>
      <c r="AN384" s="19">
        <v>55.1</v>
      </c>
      <c r="AO384" s="19">
        <v>68.1</v>
      </c>
      <c r="AP384" s="19">
        <v>732.0</v>
      </c>
      <c r="AQ384" s="23">
        <v>377.0</v>
      </c>
      <c r="AR384" s="23">
        <v>20.0</v>
      </c>
      <c r="AS384" s="22" t="s">
        <v>8794</v>
      </c>
      <c r="AT384" s="19" t="s">
        <v>2282</v>
      </c>
      <c r="AU384" s="19" t="s">
        <v>8795</v>
      </c>
      <c r="AV384" s="19" t="s">
        <v>8796</v>
      </c>
      <c r="AW384" s="19" t="s">
        <v>8797</v>
      </c>
      <c r="AX384" s="20">
        <v>37332.0</v>
      </c>
      <c r="AY384" s="19" t="s">
        <v>5087</v>
      </c>
      <c r="AZ384" s="19" t="s">
        <v>2122</v>
      </c>
      <c r="BA384" s="19" t="s">
        <v>8798</v>
      </c>
      <c r="BB384" s="19" t="s">
        <v>8799</v>
      </c>
      <c r="BC384" s="19" t="s">
        <v>8800</v>
      </c>
      <c r="BD384" s="19" t="s">
        <v>8801</v>
      </c>
      <c r="BE384" s="19" t="s">
        <v>8791</v>
      </c>
      <c r="BF384" s="19">
        <v>1.1984271127E10</v>
      </c>
      <c r="BG384" s="19" t="s">
        <v>2127</v>
      </c>
      <c r="BH384" s="19" t="s">
        <v>2128</v>
      </c>
      <c r="BI384" s="19"/>
      <c r="BJ384" s="19" t="s">
        <v>2129</v>
      </c>
      <c r="BK384" s="19" t="s">
        <v>17</v>
      </c>
      <c r="BL384" s="19"/>
      <c r="BM384" s="19" t="s">
        <v>5411</v>
      </c>
      <c r="BN384" s="19" t="s">
        <v>7956</v>
      </c>
      <c r="BO384" s="19" t="s">
        <v>2473</v>
      </c>
      <c r="BP384" s="19" t="s">
        <v>8802</v>
      </c>
      <c r="BQ384" s="19" t="s">
        <v>3832</v>
      </c>
      <c r="BR384" s="19" t="s">
        <v>3832</v>
      </c>
      <c r="BS384" s="19" t="s">
        <v>2243</v>
      </c>
      <c r="BT384" s="19" t="s">
        <v>268</v>
      </c>
      <c r="BU384" s="19" t="s">
        <v>3019</v>
      </c>
      <c r="BV384" s="19"/>
      <c r="BW384" s="19" t="s">
        <v>2113</v>
      </c>
      <c r="BX384" s="19"/>
      <c r="BY384" s="19"/>
      <c r="BZ384" s="19"/>
      <c r="CA384" s="19"/>
      <c r="CB384" s="19" t="s">
        <v>2113</v>
      </c>
      <c r="CC384" s="19"/>
      <c r="CD384" s="19" t="s">
        <v>2137</v>
      </c>
      <c r="CE384" s="19" t="s">
        <v>16</v>
      </c>
      <c r="CF384" s="19"/>
      <c r="CG384" s="19"/>
      <c r="CH384" s="19" t="s">
        <v>16</v>
      </c>
      <c r="CI384" s="21">
        <v>0.0</v>
      </c>
      <c r="CJ384" s="19" t="s">
        <v>16</v>
      </c>
      <c r="CK384" s="19"/>
      <c r="CL384" s="19"/>
      <c r="CM384" s="19" t="s">
        <v>2344</v>
      </c>
      <c r="CN384" s="19" t="s">
        <v>3835</v>
      </c>
      <c r="CO384" s="19"/>
      <c r="CP384" s="19" t="s">
        <v>2267</v>
      </c>
      <c r="CQ384" s="19"/>
      <c r="CR384" s="19" t="s">
        <v>2113</v>
      </c>
      <c r="CS384" s="19" t="s">
        <v>2113</v>
      </c>
      <c r="CT384" s="19" t="s">
        <v>2113</v>
      </c>
      <c r="CU384" s="19" t="s">
        <v>2113</v>
      </c>
      <c r="CV384" s="19" t="s">
        <v>2179</v>
      </c>
      <c r="CW384" s="19" t="s">
        <v>2113</v>
      </c>
      <c r="CX384" s="19" t="s">
        <v>2113</v>
      </c>
      <c r="CY384" s="19" t="s">
        <v>2113</v>
      </c>
      <c r="CZ384" s="19" t="s">
        <v>2113</v>
      </c>
      <c r="DA384" s="19" t="s">
        <v>16</v>
      </c>
      <c r="DB384" s="19" t="s">
        <v>16</v>
      </c>
      <c r="DC384" s="19" t="s">
        <v>4084</v>
      </c>
      <c r="DD384" s="19" t="s">
        <v>2113</v>
      </c>
      <c r="DE384" s="19" t="s">
        <v>2113</v>
      </c>
      <c r="DF384" s="19" t="s">
        <v>3990</v>
      </c>
      <c r="DG384" s="19" t="s">
        <v>3836</v>
      </c>
      <c r="DH384" s="19" t="s">
        <v>2144</v>
      </c>
      <c r="DI384" s="24">
        <v>45518.0</v>
      </c>
      <c r="DJ384" s="19" t="s">
        <v>3257</v>
      </c>
      <c r="DK384" s="19" t="s">
        <v>2271</v>
      </c>
      <c r="DL384" s="19" t="s">
        <v>2207</v>
      </c>
      <c r="DM384" s="22" t="s">
        <v>4602</v>
      </c>
      <c r="DN384" s="19">
        <v>1.0</v>
      </c>
      <c r="DO384" s="19">
        <v>1.0</v>
      </c>
      <c r="DP384" s="19"/>
      <c r="DQ384" s="19"/>
      <c r="DR384" s="19"/>
      <c r="DS384" s="19" t="s">
        <v>2185</v>
      </c>
      <c r="DT384" s="19" t="s">
        <v>2350</v>
      </c>
      <c r="DU384" s="19" t="s">
        <v>8803</v>
      </c>
      <c r="DV384" s="19"/>
      <c r="DW384" s="19" t="s">
        <v>2153</v>
      </c>
      <c r="DX384" s="19">
        <v>1.0</v>
      </c>
      <c r="DY384" s="19">
        <v>10.0</v>
      </c>
      <c r="DZ384" s="19">
        <v>0.0</v>
      </c>
      <c r="EA384" s="19">
        <v>10.0</v>
      </c>
      <c r="EB384" s="19">
        <v>0.0</v>
      </c>
      <c r="EC384" s="19">
        <v>0.0</v>
      </c>
      <c r="ED384" s="19" t="s">
        <v>3257</v>
      </c>
      <c r="EE384" s="24">
        <v>45518.0</v>
      </c>
      <c r="EF384" s="19" t="s">
        <v>3257</v>
      </c>
      <c r="EG384" s="19" t="s">
        <v>2271</v>
      </c>
      <c r="EH384" s="19" t="s">
        <v>2207</v>
      </c>
      <c r="EI384" s="22">
        <v>14.0625</v>
      </c>
      <c r="EJ384" s="19">
        <v>41.0</v>
      </c>
      <c r="EK384" s="19"/>
      <c r="EL384" s="19" t="s">
        <v>2282</v>
      </c>
      <c r="EM384" s="19" t="s">
        <v>8795</v>
      </c>
      <c r="EN384" s="19" t="s">
        <v>1140</v>
      </c>
      <c r="EO384" s="19" t="s">
        <v>5087</v>
      </c>
      <c r="EP384" s="19" t="s">
        <v>2122</v>
      </c>
      <c r="EQ384" s="19" t="s">
        <v>3835</v>
      </c>
      <c r="ER384" s="19"/>
      <c r="ES384" s="19" t="s">
        <v>1140</v>
      </c>
      <c r="ET384" s="19" t="s">
        <v>1140</v>
      </c>
      <c r="EU384" s="19" t="s">
        <v>8792</v>
      </c>
      <c r="EV384" s="19">
        <v>8129.0</v>
      </c>
      <c r="EW384" s="19" t="s">
        <v>16</v>
      </c>
      <c r="EX384" s="19">
        <v>3.0</v>
      </c>
      <c r="EY384" s="25" t="s">
        <v>1139</v>
      </c>
      <c r="EZ384" s="19" t="s">
        <v>2154</v>
      </c>
      <c r="FA384" s="5" t="s">
        <v>8804</v>
      </c>
      <c r="FB384" s="26" t="s">
        <v>2156</v>
      </c>
      <c r="FC384" s="26"/>
    </row>
    <row r="385">
      <c r="A385" s="19" t="s">
        <v>2112</v>
      </c>
      <c r="B385" s="19"/>
      <c r="C385" s="19" t="s">
        <v>2113</v>
      </c>
      <c r="D385" s="19" t="s">
        <v>1141</v>
      </c>
      <c r="E385" s="19" t="s">
        <v>8805</v>
      </c>
      <c r="F385" s="19" t="s">
        <v>8806</v>
      </c>
      <c r="G385" s="19" t="s">
        <v>8807</v>
      </c>
      <c r="H385" s="19" t="s">
        <v>1141</v>
      </c>
      <c r="I385" s="19" t="s">
        <v>1143</v>
      </c>
      <c r="J385" s="19" t="s">
        <v>8808</v>
      </c>
      <c r="K385" s="19" t="s">
        <v>8809</v>
      </c>
      <c r="L385" s="20">
        <v>45435.0</v>
      </c>
      <c r="M385" s="20">
        <v>45435.0</v>
      </c>
      <c r="N385" s="20">
        <v>45435.0</v>
      </c>
      <c r="O385" s="19" t="s">
        <v>1142</v>
      </c>
      <c r="P385" s="19">
        <v>0.0</v>
      </c>
      <c r="Q385" s="19">
        <v>22.0</v>
      </c>
      <c r="R385" s="19">
        <v>8148.0</v>
      </c>
      <c r="S385" s="20" t="s">
        <v>8810</v>
      </c>
      <c r="T385" s="20">
        <v>45461.0</v>
      </c>
      <c r="U385" s="19" t="s">
        <v>8806</v>
      </c>
      <c r="V385" s="19"/>
      <c r="W385" s="19"/>
      <c r="X385" s="21">
        <v>0.0</v>
      </c>
      <c r="Y385" s="21">
        <v>10.0</v>
      </c>
      <c r="Z385" s="21">
        <v>5.0</v>
      </c>
      <c r="AA385" s="21">
        <v>0.0</v>
      </c>
      <c r="AB385" s="5">
        <v>15.0</v>
      </c>
      <c r="AC385" s="19">
        <v>3.0</v>
      </c>
      <c r="AD385" s="19">
        <v>2.0</v>
      </c>
      <c r="AE385" s="19">
        <v>2.0</v>
      </c>
      <c r="AF385" s="19">
        <v>3.0</v>
      </c>
      <c r="AG385" s="19">
        <v>3.0</v>
      </c>
      <c r="AH385" s="19">
        <v>4.0</v>
      </c>
      <c r="AI385" s="22">
        <v>7.96875</v>
      </c>
      <c r="AJ385" s="19">
        <v>15.0</v>
      </c>
      <c r="AK385" s="19">
        <v>15.0</v>
      </c>
      <c r="AL385" s="19">
        <v>15.0</v>
      </c>
      <c r="AM385" s="19">
        <v>45.0</v>
      </c>
      <c r="AN385" s="19">
        <v>53.0</v>
      </c>
      <c r="AO385" s="19">
        <v>68.0</v>
      </c>
      <c r="AP385" s="19">
        <v>464.0</v>
      </c>
      <c r="AQ385" s="23">
        <v>378.0</v>
      </c>
      <c r="AR385" s="23">
        <v>47.0</v>
      </c>
      <c r="AS385" s="22"/>
      <c r="AT385" s="19" t="s">
        <v>2117</v>
      </c>
      <c r="AU385" s="19" t="s">
        <v>8811</v>
      </c>
      <c r="AV385" s="19" t="s">
        <v>8812</v>
      </c>
      <c r="AW385" s="19" t="s">
        <v>8813</v>
      </c>
      <c r="AX385" s="20">
        <v>37313.0</v>
      </c>
      <c r="AY385" s="19" t="s">
        <v>2286</v>
      </c>
      <c r="AZ385" s="19" t="s">
        <v>2122</v>
      </c>
      <c r="BA385" s="19" t="s">
        <v>8814</v>
      </c>
      <c r="BB385" s="19" t="s">
        <v>8815</v>
      </c>
      <c r="BC385" s="19" t="s">
        <v>3793</v>
      </c>
      <c r="BD385" s="19" t="s">
        <v>8816</v>
      </c>
      <c r="BE385" s="19" t="s">
        <v>8817</v>
      </c>
      <c r="BF385" s="19">
        <v>1.199254635E10</v>
      </c>
      <c r="BG385" s="19" t="s">
        <v>2127</v>
      </c>
      <c r="BH385" s="19" t="s">
        <v>2128</v>
      </c>
      <c r="BI385" s="19"/>
      <c r="BJ385" s="19"/>
      <c r="BK385" s="19" t="s">
        <v>16</v>
      </c>
      <c r="BL385" s="19"/>
      <c r="BM385" s="19" t="s">
        <v>5563</v>
      </c>
      <c r="BN385" s="19" t="s">
        <v>2401</v>
      </c>
      <c r="BO385" s="19" t="s">
        <v>2132</v>
      </c>
      <c r="BP385" s="19"/>
      <c r="BQ385" s="19" t="s">
        <v>2133</v>
      </c>
      <c r="BR385" s="19" t="s">
        <v>2133</v>
      </c>
      <c r="BS385" s="19" t="s">
        <v>2134</v>
      </c>
      <c r="BT385" s="19" t="s">
        <v>38</v>
      </c>
      <c r="BU385" s="19" t="s">
        <v>8818</v>
      </c>
      <c r="BV385" s="19"/>
      <c r="BW385" s="19" t="s">
        <v>2113</v>
      </c>
      <c r="BX385" s="19"/>
      <c r="BY385" s="19"/>
      <c r="BZ385" s="19"/>
      <c r="CA385" s="19"/>
      <c r="CB385" s="19" t="s">
        <v>2113</v>
      </c>
      <c r="CC385" s="19"/>
      <c r="CD385" s="19" t="s">
        <v>2137</v>
      </c>
      <c r="CE385" s="19" t="s">
        <v>16</v>
      </c>
      <c r="CF385" s="19"/>
      <c r="CG385" s="19"/>
      <c r="CH385" s="19" t="s">
        <v>16</v>
      </c>
      <c r="CI385" s="21">
        <v>0.0</v>
      </c>
      <c r="CJ385" s="19" t="s">
        <v>17</v>
      </c>
      <c r="CK385" s="19"/>
      <c r="CL385" s="19"/>
      <c r="CM385" s="19" t="s">
        <v>2138</v>
      </c>
      <c r="CN385" s="19" t="s">
        <v>2294</v>
      </c>
      <c r="CO385" s="19"/>
      <c r="CP385" s="19"/>
      <c r="CQ385" s="19"/>
      <c r="CR385" s="19" t="s">
        <v>2113</v>
      </c>
      <c r="CS385" s="19" t="s">
        <v>2113</v>
      </c>
      <c r="CT385" s="19" t="s">
        <v>2113</v>
      </c>
      <c r="CU385" s="19" t="s">
        <v>2113</v>
      </c>
      <c r="CV385" s="19" t="s">
        <v>2141</v>
      </c>
      <c r="CW385" s="19"/>
      <c r="CX385" s="19"/>
      <c r="CY385" s="19"/>
      <c r="CZ385" s="19"/>
      <c r="DA385" s="19" t="s">
        <v>16</v>
      </c>
      <c r="DB385" s="19" t="s">
        <v>17</v>
      </c>
      <c r="DC385" s="19" t="s">
        <v>2296</v>
      </c>
      <c r="DD385" s="19" t="s">
        <v>2113</v>
      </c>
      <c r="DE385" s="19" t="s">
        <v>2113</v>
      </c>
      <c r="DF385" s="19" t="s">
        <v>3163</v>
      </c>
      <c r="DG385" s="19" t="s">
        <v>2578</v>
      </c>
      <c r="DH385" s="19" t="s">
        <v>2144</v>
      </c>
      <c r="DI385" s="24">
        <v>45531.0</v>
      </c>
      <c r="DJ385" s="19" t="s">
        <v>2133</v>
      </c>
      <c r="DK385" s="19" t="s">
        <v>2145</v>
      </c>
      <c r="DL385" s="19" t="s">
        <v>2146</v>
      </c>
      <c r="DM385" s="19" t="s">
        <v>3183</v>
      </c>
      <c r="DN385" s="19">
        <v>13.0</v>
      </c>
      <c r="DO385" s="19">
        <v>13.0</v>
      </c>
      <c r="DP385" s="19" t="s">
        <v>8819</v>
      </c>
      <c r="DQ385" s="19" t="s">
        <v>8820</v>
      </c>
      <c r="DR385" s="19" t="s">
        <v>8821</v>
      </c>
      <c r="DS385" s="19" t="s">
        <v>2365</v>
      </c>
      <c r="DT385" s="19" t="s">
        <v>2350</v>
      </c>
      <c r="DU385" s="19"/>
      <c r="DV385" s="19"/>
      <c r="DW385" s="19" t="s">
        <v>2153</v>
      </c>
      <c r="DX385" s="19">
        <v>8.0</v>
      </c>
      <c r="DY385" s="19">
        <v>10.0</v>
      </c>
      <c r="DZ385" s="19">
        <v>0.0</v>
      </c>
      <c r="EA385" s="19">
        <v>10.0</v>
      </c>
      <c r="EB385" s="19">
        <v>0.0</v>
      </c>
      <c r="EC385" s="19">
        <v>0.0</v>
      </c>
      <c r="ED385" s="19" t="s">
        <v>2133</v>
      </c>
      <c r="EE385" s="24">
        <v>45531.0</v>
      </c>
      <c r="EF385" s="19" t="s">
        <v>2133</v>
      </c>
      <c r="EG385" s="19" t="s">
        <v>2145</v>
      </c>
      <c r="EH385" s="19" t="s">
        <v>2146</v>
      </c>
      <c r="EI385" s="22">
        <v>7.96875</v>
      </c>
      <c r="EJ385" s="19">
        <v>45.0</v>
      </c>
      <c r="EK385" s="19" t="s">
        <v>2113</v>
      </c>
      <c r="EL385" s="19" t="s">
        <v>2117</v>
      </c>
      <c r="EM385" s="19" t="s">
        <v>8811</v>
      </c>
      <c r="EN385" s="19" t="s">
        <v>1143</v>
      </c>
      <c r="EO385" s="19" t="s">
        <v>2286</v>
      </c>
      <c r="EP385" s="19" t="s">
        <v>2122</v>
      </c>
      <c r="EQ385" s="19" t="s">
        <v>2294</v>
      </c>
      <c r="ER385" s="19"/>
      <c r="ES385" s="19" t="s">
        <v>1143</v>
      </c>
      <c r="ET385" s="19" t="s">
        <v>1143</v>
      </c>
      <c r="EU385" s="19" t="s">
        <v>8809</v>
      </c>
      <c r="EV385" s="19">
        <v>8148.0</v>
      </c>
      <c r="EW385" s="19" t="s">
        <v>16</v>
      </c>
      <c r="EX385" s="19">
        <v>5.0</v>
      </c>
      <c r="EY385" s="25" t="s">
        <v>1142</v>
      </c>
      <c r="EZ385" s="19" t="s">
        <v>2154</v>
      </c>
      <c r="FA385" s="5" t="s">
        <v>8822</v>
      </c>
      <c r="FB385" s="26" t="s">
        <v>2156</v>
      </c>
      <c r="FC385" s="26"/>
    </row>
    <row r="386">
      <c r="A386" s="19" t="s">
        <v>2112</v>
      </c>
      <c r="B386" s="19"/>
      <c r="C386" s="19" t="s">
        <v>2113</v>
      </c>
      <c r="D386" s="19" t="s">
        <v>1144</v>
      </c>
      <c r="E386" s="19" t="s">
        <v>8823</v>
      </c>
      <c r="F386" s="19" t="s">
        <v>1144</v>
      </c>
      <c r="G386" s="19" t="s">
        <v>8823</v>
      </c>
      <c r="H386" s="19" t="s">
        <v>1144</v>
      </c>
      <c r="I386" s="19" t="s">
        <v>1146</v>
      </c>
      <c r="J386" s="19" t="s">
        <v>8824</v>
      </c>
      <c r="K386" s="19" t="s">
        <v>8825</v>
      </c>
      <c r="L386" s="20">
        <v>45439.0</v>
      </c>
      <c r="M386" s="20">
        <v>45439.0</v>
      </c>
      <c r="N386" s="20">
        <v>45439.0</v>
      </c>
      <c r="O386" s="19" t="s">
        <v>1145</v>
      </c>
      <c r="P386" s="19">
        <v>0.0</v>
      </c>
      <c r="Q386" s="19">
        <v>20.0</v>
      </c>
      <c r="R386" s="19">
        <v>7318.0</v>
      </c>
      <c r="S386" s="20" t="s">
        <v>8826</v>
      </c>
      <c r="T386" s="20">
        <v>45461.0</v>
      </c>
      <c r="U386" s="19" t="s">
        <v>1144</v>
      </c>
      <c r="V386" s="19"/>
      <c r="W386" s="19"/>
      <c r="X386" s="21">
        <v>0.0</v>
      </c>
      <c r="Y386" s="21">
        <v>10.0</v>
      </c>
      <c r="Z386" s="21">
        <v>5.0</v>
      </c>
      <c r="AA386" s="21">
        <v>0.0</v>
      </c>
      <c r="AB386" s="5">
        <v>15.0</v>
      </c>
      <c r="AC386" s="19">
        <v>5.0</v>
      </c>
      <c r="AD386" s="19">
        <v>5.0</v>
      </c>
      <c r="AE386" s="19">
        <v>5.0</v>
      </c>
      <c r="AF386" s="19">
        <v>5.0</v>
      </c>
      <c r="AG386" s="19">
        <v>5.0</v>
      </c>
      <c r="AH386" s="19">
        <v>5.0</v>
      </c>
      <c r="AI386" s="22">
        <v>15.0</v>
      </c>
      <c r="AJ386" s="19">
        <v>13.0</v>
      </c>
      <c r="AK386" s="19">
        <v>13.0</v>
      </c>
      <c r="AL386" s="19">
        <v>12.0</v>
      </c>
      <c r="AM386" s="19">
        <v>38.0</v>
      </c>
      <c r="AN386" s="19">
        <v>53.0</v>
      </c>
      <c r="AO386" s="19">
        <v>68.0</v>
      </c>
      <c r="AP386" s="19">
        <v>515.0</v>
      </c>
      <c r="AQ386" s="23">
        <v>379.0</v>
      </c>
      <c r="AR386" s="23">
        <v>48.0</v>
      </c>
      <c r="AS386" s="22"/>
      <c r="AT386" s="19" t="s">
        <v>2117</v>
      </c>
      <c r="AU386" s="19" t="s">
        <v>2592</v>
      </c>
      <c r="AV386" s="19" t="s">
        <v>8827</v>
      </c>
      <c r="AW386" s="19" t="s">
        <v>8828</v>
      </c>
      <c r="AX386" s="20">
        <v>38143.0</v>
      </c>
      <c r="AY386" s="19" t="s">
        <v>2286</v>
      </c>
      <c r="AZ386" s="19" t="s">
        <v>2122</v>
      </c>
      <c r="BA386" s="19" t="s">
        <v>8829</v>
      </c>
      <c r="BB386" s="19" t="s">
        <v>8830</v>
      </c>
      <c r="BC386" s="19" t="s">
        <v>8831</v>
      </c>
      <c r="BD386" s="19" t="s">
        <v>8832</v>
      </c>
      <c r="BE386" s="19" t="s">
        <v>8833</v>
      </c>
      <c r="BF386" s="19">
        <v>1.1976844542E10</v>
      </c>
      <c r="BG386" s="19" t="s">
        <v>2127</v>
      </c>
      <c r="BH386" s="19" t="s">
        <v>2128</v>
      </c>
      <c r="BI386" s="19"/>
      <c r="BJ386" s="19" t="s">
        <v>2128</v>
      </c>
      <c r="BK386" s="19" t="s">
        <v>17</v>
      </c>
      <c r="BL386" s="19" t="s">
        <v>2113</v>
      </c>
      <c r="BM386" s="19" t="s">
        <v>5563</v>
      </c>
      <c r="BN386" s="19" t="s">
        <v>5646</v>
      </c>
      <c r="BO386" s="19" t="s">
        <v>2132</v>
      </c>
      <c r="BP386" s="19" t="s">
        <v>8834</v>
      </c>
      <c r="BQ386" s="19" t="s">
        <v>2133</v>
      </c>
      <c r="BR386" s="19" t="s">
        <v>2133</v>
      </c>
      <c r="BS386" s="19" t="s">
        <v>2243</v>
      </c>
      <c r="BT386" s="19" t="s">
        <v>38</v>
      </c>
      <c r="BU386" s="19" t="s">
        <v>8835</v>
      </c>
      <c r="BV386" s="19"/>
      <c r="BW386" s="19"/>
      <c r="BX386" s="19" t="s">
        <v>2113</v>
      </c>
      <c r="BY386" s="19"/>
      <c r="BZ386" s="19" t="s">
        <v>2113</v>
      </c>
      <c r="CA386" s="19" t="s">
        <v>2113</v>
      </c>
      <c r="CB386" s="19" t="s">
        <v>2113</v>
      </c>
      <c r="CC386" s="19"/>
      <c r="CD386" s="19" t="s">
        <v>2137</v>
      </c>
      <c r="CE386" s="19" t="s">
        <v>16</v>
      </c>
      <c r="CF386" s="19"/>
      <c r="CG386" s="19"/>
      <c r="CH386" s="19" t="s">
        <v>16</v>
      </c>
      <c r="CI386" s="21">
        <v>0.0</v>
      </c>
      <c r="CJ386" s="19" t="s">
        <v>17</v>
      </c>
      <c r="CK386" s="19"/>
      <c r="CL386" s="19"/>
      <c r="CM386" s="19" t="s">
        <v>2926</v>
      </c>
      <c r="CN386" s="19" t="s">
        <v>2294</v>
      </c>
      <c r="CO386" s="19"/>
      <c r="CP386" s="19" t="s">
        <v>2178</v>
      </c>
      <c r="CQ386" s="19"/>
      <c r="CR386" s="19"/>
      <c r="CS386" s="19"/>
      <c r="CT386" s="19" t="s">
        <v>2113</v>
      </c>
      <c r="CU386" s="19" t="s">
        <v>2113</v>
      </c>
      <c r="CV386" s="19" t="s">
        <v>2141</v>
      </c>
      <c r="CW386" s="19"/>
      <c r="CX386" s="19"/>
      <c r="CY386" s="19" t="s">
        <v>2113</v>
      </c>
      <c r="CZ386" s="19" t="s">
        <v>2113</v>
      </c>
      <c r="DA386" s="19" t="s">
        <v>16</v>
      </c>
      <c r="DB386" s="19" t="s">
        <v>17</v>
      </c>
      <c r="DC386" s="19" t="s">
        <v>3874</v>
      </c>
      <c r="DD386" s="19"/>
      <c r="DE386" s="19"/>
      <c r="DF386" s="19" t="s">
        <v>2578</v>
      </c>
      <c r="DG386" s="19" t="s">
        <v>2296</v>
      </c>
      <c r="DH386" s="19" t="s">
        <v>2144</v>
      </c>
      <c r="DI386" s="24">
        <v>45525.0</v>
      </c>
      <c r="DJ386" s="19" t="s">
        <v>2133</v>
      </c>
      <c r="DK386" s="19" t="s">
        <v>2145</v>
      </c>
      <c r="DL386" s="19" t="s">
        <v>2146</v>
      </c>
      <c r="DM386" s="19" t="s">
        <v>3003</v>
      </c>
      <c r="DN386" s="19">
        <v>9.0</v>
      </c>
      <c r="DO386" s="19">
        <v>9.0</v>
      </c>
      <c r="DP386" s="19" t="s">
        <v>8836</v>
      </c>
      <c r="DQ386" s="19" t="s">
        <v>8837</v>
      </c>
      <c r="DR386" s="19" t="s">
        <v>8838</v>
      </c>
      <c r="DS386" s="19" t="s">
        <v>2185</v>
      </c>
      <c r="DT386" s="19" t="s">
        <v>2229</v>
      </c>
      <c r="DU386" s="19"/>
      <c r="DV386" s="19"/>
      <c r="DW386" s="19" t="s">
        <v>2479</v>
      </c>
      <c r="DX386" s="19">
        <v>6.0</v>
      </c>
      <c r="DY386" s="19">
        <v>10.0</v>
      </c>
      <c r="DZ386" s="19">
        <v>0.0</v>
      </c>
      <c r="EA386" s="19">
        <v>10.0</v>
      </c>
      <c r="EB386" s="19">
        <v>0.0</v>
      </c>
      <c r="EC386" s="19">
        <v>0.0</v>
      </c>
      <c r="ED386" s="19" t="s">
        <v>2133</v>
      </c>
      <c r="EE386" s="24">
        <v>45525.0</v>
      </c>
      <c r="EF386" s="19" t="s">
        <v>2133</v>
      </c>
      <c r="EG386" s="19" t="s">
        <v>2145</v>
      </c>
      <c r="EH386" s="19" t="s">
        <v>2146</v>
      </c>
      <c r="EI386" s="22">
        <v>15.0</v>
      </c>
      <c r="EJ386" s="19">
        <v>38.0</v>
      </c>
      <c r="EK386" s="19" t="s">
        <v>2113</v>
      </c>
      <c r="EL386" s="19" t="s">
        <v>2117</v>
      </c>
      <c r="EM386" s="19" t="s">
        <v>2592</v>
      </c>
      <c r="EN386" s="19" t="s">
        <v>1146</v>
      </c>
      <c r="EO386" s="19" t="s">
        <v>2286</v>
      </c>
      <c r="EP386" s="19" t="s">
        <v>2122</v>
      </c>
      <c r="EQ386" s="19" t="s">
        <v>2294</v>
      </c>
      <c r="ER386" s="19"/>
      <c r="ES386" s="19" t="s">
        <v>1146</v>
      </c>
      <c r="ET386" s="19" t="s">
        <v>1146</v>
      </c>
      <c r="EU386" s="19" t="s">
        <v>8825</v>
      </c>
      <c r="EV386" s="19">
        <v>7318.0</v>
      </c>
      <c r="EW386" s="19" t="s">
        <v>16</v>
      </c>
      <c r="EX386" s="19">
        <v>5.0</v>
      </c>
      <c r="EY386" s="25" t="s">
        <v>1145</v>
      </c>
      <c r="EZ386" s="19" t="s">
        <v>2154</v>
      </c>
      <c r="FA386" s="5" t="s">
        <v>8839</v>
      </c>
      <c r="FB386" s="26" t="s">
        <v>2156</v>
      </c>
      <c r="FC386" s="26"/>
    </row>
    <row r="387">
      <c r="A387" s="19" t="s">
        <v>2156</v>
      </c>
      <c r="B387" s="19"/>
      <c r="C387" s="19" t="s">
        <v>2113</v>
      </c>
      <c r="D387" s="19" t="s">
        <v>1147</v>
      </c>
      <c r="E387" s="19" t="s">
        <v>8840</v>
      </c>
      <c r="F387" s="19" t="s">
        <v>1147</v>
      </c>
      <c r="G387" s="19" t="s">
        <v>8840</v>
      </c>
      <c r="H387" s="19" t="s">
        <v>1147</v>
      </c>
      <c r="I387" s="19" t="s">
        <v>1149</v>
      </c>
      <c r="J387" s="19" t="s">
        <v>8841</v>
      </c>
      <c r="K387" s="19" t="s">
        <v>8842</v>
      </c>
      <c r="L387" s="20">
        <v>45399.0</v>
      </c>
      <c r="M387" s="20">
        <v>45411.0</v>
      </c>
      <c r="N387" s="20">
        <v>45411.0</v>
      </c>
      <c r="O387" s="19" t="s">
        <v>1148</v>
      </c>
      <c r="P387" s="19">
        <v>0.0</v>
      </c>
      <c r="Q387" s="19">
        <v>25.0</v>
      </c>
      <c r="R387" s="19">
        <v>9239.0</v>
      </c>
      <c r="S387" s="20" t="s">
        <v>8843</v>
      </c>
      <c r="T387" s="20">
        <v>45461.0</v>
      </c>
      <c r="U387" s="19" t="s">
        <v>1147</v>
      </c>
      <c r="V387" s="19"/>
      <c r="W387" s="19"/>
      <c r="X387" s="21">
        <v>0.0</v>
      </c>
      <c r="Y387" s="21">
        <v>10.0</v>
      </c>
      <c r="Z387" s="21">
        <v>4.0</v>
      </c>
      <c r="AA387" s="21">
        <v>0.0</v>
      </c>
      <c r="AB387" s="5">
        <v>14.0</v>
      </c>
      <c r="AC387" s="19">
        <v>4.0</v>
      </c>
      <c r="AD387" s="19">
        <v>5.0</v>
      </c>
      <c r="AE387" s="19">
        <v>5.0</v>
      </c>
      <c r="AF387" s="19">
        <v>4.0</v>
      </c>
      <c r="AG387" s="19">
        <v>5.0</v>
      </c>
      <c r="AH387" s="19">
        <v>4.5</v>
      </c>
      <c r="AI387" s="22">
        <v>13.96875</v>
      </c>
      <c r="AJ387" s="19">
        <v>14.0</v>
      </c>
      <c r="AK387" s="19">
        <v>13.0</v>
      </c>
      <c r="AL387" s="19">
        <v>13.0</v>
      </c>
      <c r="AM387" s="19">
        <v>40.0</v>
      </c>
      <c r="AN387" s="19">
        <v>54.0</v>
      </c>
      <c r="AO387" s="19">
        <v>68.0</v>
      </c>
      <c r="AP387" s="19">
        <v>589.0</v>
      </c>
      <c r="AQ387" s="23">
        <v>380.0</v>
      </c>
      <c r="AR387" s="23">
        <v>30.0</v>
      </c>
      <c r="AS387" s="22"/>
      <c r="AT387" s="19" t="s">
        <v>2282</v>
      </c>
      <c r="AU387" s="19" t="s">
        <v>8844</v>
      </c>
      <c r="AV387" s="19" t="s">
        <v>8845</v>
      </c>
      <c r="AW387" s="19"/>
      <c r="AX387" s="20">
        <v>36222.0</v>
      </c>
      <c r="AY387" s="19" t="s">
        <v>2858</v>
      </c>
      <c r="AZ387" s="19" t="s">
        <v>2122</v>
      </c>
      <c r="BA387" s="19" t="s">
        <v>8846</v>
      </c>
      <c r="BB387" s="19" t="s">
        <v>8847</v>
      </c>
      <c r="BC387" s="19" t="s">
        <v>8848</v>
      </c>
      <c r="BD387" s="19" t="s">
        <v>8849</v>
      </c>
      <c r="BE387" s="19" t="s">
        <v>8841</v>
      </c>
      <c r="BF387" s="19">
        <v>1.1985379896E10</v>
      </c>
      <c r="BG387" s="19" t="s">
        <v>2127</v>
      </c>
      <c r="BH387" s="19" t="s">
        <v>2649</v>
      </c>
      <c r="BI387" s="19"/>
      <c r="BJ387" s="19" t="s">
        <v>2129</v>
      </c>
      <c r="BK387" s="19" t="s">
        <v>17</v>
      </c>
      <c r="BL387" s="19"/>
      <c r="BM387" s="19" t="s">
        <v>5563</v>
      </c>
      <c r="BN387" s="19" t="s">
        <v>8850</v>
      </c>
      <c r="BO387" s="19" t="s">
        <v>2317</v>
      </c>
      <c r="BP387" s="19"/>
      <c r="BQ387" s="19" t="s">
        <v>2325</v>
      </c>
      <c r="BR387" s="19" t="s">
        <v>2325</v>
      </c>
      <c r="BS387" s="19" t="s">
        <v>2134</v>
      </c>
      <c r="BT387" s="19" t="s">
        <v>118</v>
      </c>
      <c r="BU387" s="19" t="s">
        <v>4848</v>
      </c>
      <c r="BV387" s="19"/>
      <c r="BW387" s="19"/>
      <c r="BX387" s="19"/>
      <c r="BY387" s="19" t="s">
        <v>2113</v>
      </c>
      <c r="BZ387" s="19" t="s">
        <v>2113</v>
      </c>
      <c r="CA387" s="19"/>
      <c r="CB387" s="19" t="s">
        <v>2113</v>
      </c>
      <c r="CC387" s="19"/>
      <c r="CD387" s="19" t="s">
        <v>2137</v>
      </c>
      <c r="CE387" s="19" t="s">
        <v>16</v>
      </c>
      <c r="CF387" s="19"/>
      <c r="CG387" s="19"/>
      <c r="CH387" s="19" t="s">
        <v>16</v>
      </c>
      <c r="CI387" s="21">
        <v>0.0</v>
      </c>
      <c r="CJ387" s="19" t="s">
        <v>16</v>
      </c>
      <c r="CK387" s="19"/>
      <c r="CL387" s="19"/>
      <c r="CM387" s="19" t="s">
        <v>2344</v>
      </c>
      <c r="CN387" s="19" t="s">
        <v>2868</v>
      </c>
      <c r="CO387" s="19"/>
      <c r="CP387" s="19" t="s">
        <v>2225</v>
      </c>
      <c r="CQ387" s="19"/>
      <c r="CR387" s="19" t="s">
        <v>2113</v>
      </c>
      <c r="CS387" s="19" t="s">
        <v>2113</v>
      </c>
      <c r="CT387" s="19" t="s">
        <v>2113</v>
      </c>
      <c r="CU387" s="19" t="s">
        <v>2113</v>
      </c>
      <c r="CV387" s="19" t="s">
        <v>2141</v>
      </c>
      <c r="CW387" s="19" t="s">
        <v>2113</v>
      </c>
      <c r="CX387" s="19" t="s">
        <v>2113</v>
      </c>
      <c r="CY387" s="19"/>
      <c r="CZ387" s="19"/>
      <c r="DA387" s="19" t="s">
        <v>16</v>
      </c>
      <c r="DB387" s="19" t="s">
        <v>16</v>
      </c>
      <c r="DC387" s="19" t="s">
        <v>2432</v>
      </c>
      <c r="DD387" s="19" t="s">
        <v>2113</v>
      </c>
      <c r="DE387" s="19" t="s">
        <v>2113</v>
      </c>
      <c r="DF387" s="19" t="s">
        <v>2433</v>
      </c>
      <c r="DG387" s="19" t="s">
        <v>2207</v>
      </c>
      <c r="DH387" s="19" t="s">
        <v>2144</v>
      </c>
      <c r="DI387" s="24">
        <v>45518.0</v>
      </c>
      <c r="DJ387" s="19" t="s">
        <v>2325</v>
      </c>
      <c r="DK387" s="19" t="s">
        <v>2271</v>
      </c>
      <c r="DL387" s="19" t="s">
        <v>2326</v>
      </c>
      <c r="DM387" s="19"/>
      <c r="DN387" s="19">
        <v>4.0</v>
      </c>
      <c r="DO387" s="19">
        <v>4.0</v>
      </c>
      <c r="DP387" s="19" t="s">
        <v>8851</v>
      </c>
      <c r="DQ387" s="19" t="s">
        <v>8852</v>
      </c>
      <c r="DR387" s="19" t="s">
        <v>8853</v>
      </c>
      <c r="DS387" s="19" t="s">
        <v>2185</v>
      </c>
      <c r="DT387" s="19" t="s">
        <v>2152</v>
      </c>
      <c r="DU387" s="19"/>
      <c r="DV387" s="19"/>
      <c r="DW387" s="19" t="s">
        <v>2153</v>
      </c>
      <c r="DX387" s="19">
        <v>3.0</v>
      </c>
      <c r="DY387" s="19">
        <v>10.0</v>
      </c>
      <c r="DZ387" s="19">
        <v>0.0</v>
      </c>
      <c r="EA387" s="19">
        <v>10.0</v>
      </c>
      <c r="EB387" s="19">
        <v>0.0</v>
      </c>
      <c r="EC387" s="19">
        <v>0.0</v>
      </c>
      <c r="ED387" s="19" t="s">
        <v>2325</v>
      </c>
      <c r="EE387" s="24">
        <v>45518.0</v>
      </c>
      <c r="EF387" s="19" t="s">
        <v>2325</v>
      </c>
      <c r="EG387" s="19" t="s">
        <v>2271</v>
      </c>
      <c r="EH387" s="19" t="s">
        <v>2326</v>
      </c>
      <c r="EI387" s="22">
        <v>13.96875</v>
      </c>
      <c r="EJ387" s="19">
        <v>40.0</v>
      </c>
      <c r="EK387" s="19"/>
      <c r="EL387" s="19" t="s">
        <v>2282</v>
      </c>
      <c r="EM387" s="19" t="s">
        <v>8844</v>
      </c>
      <c r="EN387" s="19" t="s">
        <v>1149</v>
      </c>
      <c r="EO387" s="19" t="s">
        <v>2858</v>
      </c>
      <c r="EP387" s="19" t="s">
        <v>2122</v>
      </c>
      <c r="EQ387" s="19" t="s">
        <v>2868</v>
      </c>
      <c r="ER387" s="19"/>
      <c r="ES387" s="19" t="s">
        <v>1149</v>
      </c>
      <c r="ET387" s="19" t="s">
        <v>1149</v>
      </c>
      <c r="EU387" s="19" t="s">
        <v>8842</v>
      </c>
      <c r="EV387" s="19">
        <v>9239.0</v>
      </c>
      <c r="EW387" s="19" t="s">
        <v>16</v>
      </c>
      <c r="EX387" s="19">
        <v>4.0</v>
      </c>
      <c r="EY387" s="25" t="s">
        <v>1148</v>
      </c>
      <c r="EZ387" s="19" t="s">
        <v>2154</v>
      </c>
      <c r="FA387" s="5" t="s">
        <v>8854</v>
      </c>
      <c r="FB387" s="26" t="s">
        <v>2156</v>
      </c>
      <c r="FC387" s="26"/>
    </row>
    <row r="388">
      <c r="A388" s="19" t="s">
        <v>2112</v>
      </c>
      <c r="B388" s="19"/>
      <c r="C388" s="19" t="s">
        <v>2113</v>
      </c>
      <c r="D388" s="19" t="s">
        <v>1150</v>
      </c>
      <c r="E388" s="19" t="s">
        <v>8855</v>
      </c>
      <c r="F388" s="19" t="s">
        <v>8856</v>
      </c>
      <c r="G388" s="19" t="s">
        <v>8857</v>
      </c>
      <c r="H388" s="19" t="s">
        <v>1150</v>
      </c>
      <c r="I388" s="19" t="s">
        <v>1152</v>
      </c>
      <c r="J388" s="19" t="s">
        <v>8858</v>
      </c>
      <c r="K388" s="19" t="s">
        <v>8859</v>
      </c>
      <c r="L388" s="20">
        <v>45460.0</v>
      </c>
      <c r="M388" s="20">
        <v>45462.0</v>
      </c>
      <c r="N388" s="20">
        <v>45462.0</v>
      </c>
      <c r="O388" s="19" t="s">
        <v>1151</v>
      </c>
      <c r="P388" s="19">
        <v>0.0</v>
      </c>
      <c r="Q388" s="19">
        <v>23.0</v>
      </c>
      <c r="R388" s="19">
        <v>8696.0</v>
      </c>
      <c r="S388" s="20" t="s">
        <v>8860</v>
      </c>
      <c r="T388" s="20">
        <v>45461.0</v>
      </c>
      <c r="U388" s="19" t="s">
        <v>8856</v>
      </c>
      <c r="V388" s="19"/>
      <c r="W388" s="19" t="s">
        <v>8861</v>
      </c>
      <c r="X388" s="21">
        <v>0.0</v>
      </c>
      <c r="Y388" s="21">
        <v>10.0</v>
      </c>
      <c r="Z388" s="21">
        <v>4.0</v>
      </c>
      <c r="AA388" s="21">
        <v>0.0</v>
      </c>
      <c r="AB388" s="5">
        <v>14.0</v>
      </c>
      <c r="AC388" s="19">
        <v>5.0</v>
      </c>
      <c r="AD388" s="19">
        <v>4.0</v>
      </c>
      <c r="AE388" s="19">
        <v>5.0</v>
      </c>
      <c r="AF388" s="19">
        <v>4.0</v>
      </c>
      <c r="AG388" s="19">
        <v>5.0</v>
      </c>
      <c r="AH388" s="19">
        <v>5.0</v>
      </c>
      <c r="AI388" s="22">
        <v>13.96875</v>
      </c>
      <c r="AJ388" s="19">
        <v>13.0</v>
      </c>
      <c r="AK388" s="19">
        <v>14.0</v>
      </c>
      <c r="AL388" s="19">
        <v>13.0</v>
      </c>
      <c r="AM388" s="19">
        <v>40.0</v>
      </c>
      <c r="AN388" s="19">
        <v>54.0</v>
      </c>
      <c r="AO388" s="19">
        <v>68.0</v>
      </c>
      <c r="AP388" s="19">
        <v>599.0</v>
      </c>
      <c r="AQ388" s="23">
        <v>381.0</v>
      </c>
      <c r="AR388" s="23">
        <v>30.0</v>
      </c>
      <c r="AS388" s="22"/>
      <c r="AT388" s="19" t="s">
        <v>5281</v>
      </c>
      <c r="AU388" s="19" t="s">
        <v>2664</v>
      </c>
      <c r="AV388" s="19" t="s">
        <v>8862</v>
      </c>
      <c r="AW388" s="19"/>
      <c r="AX388" s="20">
        <v>36765.0</v>
      </c>
      <c r="AY388" s="19" t="s">
        <v>2375</v>
      </c>
      <c r="AZ388" s="19" t="s">
        <v>2919</v>
      </c>
      <c r="BA388" s="19" t="s">
        <v>8863</v>
      </c>
      <c r="BB388" s="19" t="s">
        <v>7175</v>
      </c>
      <c r="BC388" s="19" t="s">
        <v>8864</v>
      </c>
      <c r="BD388" s="19" t="s">
        <v>8865</v>
      </c>
      <c r="BE388" s="19" t="s">
        <v>8866</v>
      </c>
      <c r="BF388" s="19">
        <v>1.1942000181E10</v>
      </c>
      <c r="BG388" s="19" t="s">
        <v>2127</v>
      </c>
      <c r="BH388" s="19" t="s">
        <v>2128</v>
      </c>
      <c r="BI388" s="19"/>
      <c r="BJ388" s="19" t="s">
        <v>2128</v>
      </c>
      <c r="BK388" s="19" t="s">
        <v>16</v>
      </c>
      <c r="BL388" s="19" t="s">
        <v>2113</v>
      </c>
      <c r="BM388" s="19" t="s">
        <v>5411</v>
      </c>
      <c r="BN388" s="19" t="s">
        <v>4443</v>
      </c>
      <c r="BO388" s="19" t="s">
        <v>2317</v>
      </c>
      <c r="BP388" s="19" t="s">
        <v>8867</v>
      </c>
      <c r="BQ388" s="19" t="s">
        <v>2133</v>
      </c>
      <c r="BR388" s="19" t="s">
        <v>2133</v>
      </c>
      <c r="BS388" s="19" t="s">
        <v>2134</v>
      </c>
      <c r="BT388" s="19" t="s">
        <v>52</v>
      </c>
      <c r="BU388" s="19" t="s">
        <v>8868</v>
      </c>
      <c r="BV388" s="19"/>
      <c r="BW388" s="19"/>
      <c r="BX388" s="19" t="s">
        <v>2113</v>
      </c>
      <c r="BY388" s="19" t="s">
        <v>2113</v>
      </c>
      <c r="BZ388" s="19" t="s">
        <v>2113</v>
      </c>
      <c r="CA388" s="19"/>
      <c r="CB388" s="19" t="s">
        <v>2113</v>
      </c>
      <c r="CC388" s="19" t="s">
        <v>2113</v>
      </c>
      <c r="CD388" s="19" t="s">
        <v>2137</v>
      </c>
      <c r="CE388" s="19" t="s">
        <v>16</v>
      </c>
      <c r="CF388" s="19"/>
      <c r="CG388" s="19"/>
      <c r="CH388" s="19" t="s">
        <v>16</v>
      </c>
      <c r="CI388" s="21">
        <v>0.0</v>
      </c>
      <c r="CJ388" s="19" t="s">
        <v>17</v>
      </c>
      <c r="CK388" s="19"/>
      <c r="CL388" s="19"/>
      <c r="CM388" s="19" t="s">
        <v>2344</v>
      </c>
      <c r="CN388" s="19" t="s">
        <v>2382</v>
      </c>
      <c r="CO388" s="19"/>
      <c r="CP388" s="19" t="s">
        <v>2225</v>
      </c>
      <c r="CQ388" s="19" t="s">
        <v>2113</v>
      </c>
      <c r="CR388" s="19"/>
      <c r="CS388" s="19"/>
      <c r="CT388" s="19"/>
      <c r="CU388" s="19"/>
      <c r="CV388" s="19" t="s">
        <v>2179</v>
      </c>
      <c r="CW388" s="19"/>
      <c r="CX388" s="19"/>
      <c r="CY388" s="19" t="s">
        <v>2113</v>
      </c>
      <c r="CZ388" s="19" t="s">
        <v>2113</v>
      </c>
      <c r="DA388" s="19" t="s">
        <v>16</v>
      </c>
      <c r="DB388" s="19" t="s">
        <v>17</v>
      </c>
      <c r="DC388" s="19" t="s">
        <v>2142</v>
      </c>
      <c r="DD388" s="19" t="s">
        <v>2113</v>
      </c>
      <c r="DE388" s="19" t="s">
        <v>2113</v>
      </c>
      <c r="DF388" s="19" t="s">
        <v>3163</v>
      </c>
      <c r="DG388" s="19" t="s">
        <v>2671</v>
      </c>
      <c r="DH388" s="19" t="s">
        <v>2144</v>
      </c>
      <c r="DI388" s="24">
        <v>45524.0</v>
      </c>
      <c r="DJ388" s="19" t="s">
        <v>2133</v>
      </c>
      <c r="DK388" s="19" t="s">
        <v>2145</v>
      </c>
      <c r="DL388" s="19" t="s">
        <v>2146</v>
      </c>
      <c r="DM388" s="19" t="s">
        <v>3302</v>
      </c>
      <c r="DN388" s="19">
        <v>7.0</v>
      </c>
      <c r="DO388" s="19">
        <v>7.0</v>
      </c>
      <c r="DP388" s="19"/>
      <c r="DQ388" s="19"/>
      <c r="DR388" s="19"/>
      <c r="DS388" s="19" t="s">
        <v>2365</v>
      </c>
      <c r="DT388" s="19" t="s">
        <v>2350</v>
      </c>
      <c r="DU388" s="19" t="s">
        <v>8869</v>
      </c>
      <c r="DV388" s="19"/>
      <c r="DW388" s="19" t="s">
        <v>2153</v>
      </c>
      <c r="DX388" s="19">
        <v>9.0</v>
      </c>
      <c r="DY388" s="19">
        <v>10.0</v>
      </c>
      <c r="DZ388" s="19">
        <v>0.0</v>
      </c>
      <c r="EA388" s="19">
        <v>10.0</v>
      </c>
      <c r="EB388" s="19">
        <v>0.0</v>
      </c>
      <c r="EC388" s="19">
        <v>0.0</v>
      </c>
      <c r="ED388" s="19" t="s">
        <v>2133</v>
      </c>
      <c r="EE388" s="24">
        <v>45524.0</v>
      </c>
      <c r="EF388" s="19" t="s">
        <v>2133</v>
      </c>
      <c r="EG388" s="19" t="s">
        <v>2145</v>
      </c>
      <c r="EH388" s="19" t="s">
        <v>2146</v>
      </c>
      <c r="EI388" s="22">
        <v>13.96875</v>
      </c>
      <c r="EJ388" s="19">
        <v>40.0</v>
      </c>
      <c r="EK388" s="19" t="s">
        <v>2113</v>
      </c>
      <c r="EL388" s="19" t="s">
        <v>5281</v>
      </c>
      <c r="EM388" s="19" t="s">
        <v>2664</v>
      </c>
      <c r="EN388" s="19" t="s">
        <v>1152</v>
      </c>
      <c r="EO388" s="19" t="s">
        <v>2375</v>
      </c>
      <c r="EP388" s="19" t="s">
        <v>2919</v>
      </c>
      <c r="EQ388" s="19" t="s">
        <v>2382</v>
      </c>
      <c r="ER388" s="19"/>
      <c r="ES388" s="19" t="s">
        <v>1152</v>
      </c>
      <c r="ET388" s="19" t="s">
        <v>1152</v>
      </c>
      <c r="EU388" s="19" t="s">
        <v>8859</v>
      </c>
      <c r="EV388" s="19">
        <v>8696.0</v>
      </c>
      <c r="EW388" s="19" t="s">
        <v>16</v>
      </c>
      <c r="EX388" s="19">
        <v>4.0</v>
      </c>
      <c r="EY388" s="25" t="s">
        <v>1151</v>
      </c>
      <c r="EZ388" s="19" t="s">
        <v>2154</v>
      </c>
      <c r="FA388" s="5" t="s">
        <v>8870</v>
      </c>
      <c r="FB388" s="26" t="s">
        <v>2156</v>
      </c>
      <c r="FC388" s="26"/>
    </row>
    <row r="389">
      <c r="A389" s="19" t="s">
        <v>2112</v>
      </c>
      <c r="B389" s="19"/>
      <c r="C389" s="19" t="s">
        <v>2113</v>
      </c>
      <c r="D389" s="19" t="s">
        <v>8871</v>
      </c>
      <c r="E389" s="19" t="s">
        <v>8872</v>
      </c>
      <c r="F389" s="19" t="s">
        <v>8873</v>
      </c>
      <c r="G389" s="19" t="s">
        <v>8874</v>
      </c>
      <c r="H389" s="19" t="s">
        <v>1153</v>
      </c>
      <c r="I389" s="19" t="s">
        <v>1155</v>
      </c>
      <c r="J389" s="19" t="s">
        <v>8875</v>
      </c>
      <c r="K389" s="19" t="s">
        <v>8876</v>
      </c>
      <c r="L389" s="20">
        <v>45441.0</v>
      </c>
      <c r="M389" s="20">
        <v>45446.0</v>
      </c>
      <c r="N389" s="20">
        <v>45446.0</v>
      </c>
      <c r="O389" s="19" t="s">
        <v>1154</v>
      </c>
      <c r="P389" s="19">
        <v>0.0</v>
      </c>
      <c r="Q389" s="19">
        <v>23.0</v>
      </c>
      <c r="R389" s="19">
        <v>8586.0</v>
      </c>
      <c r="S389" s="20" t="s">
        <v>8877</v>
      </c>
      <c r="T389" s="20">
        <v>45461.0</v>
      </c>
      <c r="U389" s="19" t="s">
        <v>8873</v>
      </c>
      <c r="V389" s="19"/>
      <c r="W389" s="19" t="s">
        <v>8878</v>
      </c>
      <c r="X389" s="21">
        <v>0.0</v>
      </c>
      <c r="Y389" s="21">
        <v>10.0</v>
      </c>
      <c r="Z389" s="21">
        <v>3.0</v>
      </c>
      <c r="AA389" s="21">
        <v>0.0</v>
      </c>
      <c r="AB389" s="5">
        <v>13.0</v>
      </c>
      <c r="AC389" s="19">
        <v>5.0</v>
      </c>
      <c r="AD389" s="19">
        <v>5.0</v>
      </c>
      <c r="AE389" s="19">
        <v>5.0</v>
      </c>
      <c r="AF389" s="19">
        <v>5.0</v>
      </c>
      <c r="AG389" s="19">
        <v>5.0</v>
      </c>
      <c r="AH389" s="19">
        <v>5.0</v>
      </c>
      <c r="AI389" s="22">
        <v>15.0</v>
      </c>
      <c r="AJ389" s="19">
        <v>15.0</v>
      </c>
      <c r="AK389" s="19">
        <v>15.0</v>
      </c>
      <c r="AL389" s="19">
        <v>10.0</v>
      </c>
      <c r="AM389" s="19">
        <v>40.0</v>
      </c>
      <c r="AN389" s="19">
        <v>55.0</v>
      </c>
      <c r="AO389" s="19">
        <v>68.0</v>
      </c>
      <c r="AP389" s="19">
        <v>713.0</v>
      </c>
      <c r="AQ389" s="23">
        <v>382.0</v>
      </c>
      <c r="AR389" s="23">
        <v>29.0</v>
      </c>
      <c r="AS389" s="22"/>
      <c r="AT389" s="19" t="s">
        <v>2163</v>
      </c>
      <c r="AU389" s="19" t="s">
        <v>8879</v>
      </c>
      <c r="AV389" s="19" t="s">
        <v>8880</v>
      </c>
      <c r="AW389" s="19" t="s">
        <v>2701</v>
      </c>
      <c r="AX389" s="20">
        <v>36875.0</v>
      </c>
      <c r="AY389" s="19" t="s">
        <v>3537</v>
      </c>
      <c r="AZ389" s="19" t="s">
        <v>2445</v>
      </c>
      <c r="BA389" s="19" t="s">
        <v>8881</v>
      </c>
      <c r="BB389" s="19" t="s">
        <v>8882</v>
      </c>
      <c r="BC389" s="19" t="s">
        <v>8883</v>
      </c>
      <c r="BD389" s="19" t="s">
        <v>8884</v>
      </c>
      <c r="BE389" s="19" t="s">
        <v>8885</v>
      </c>
      <c r="BF389" s="19">
        <v>1.1934281706E10</v>
      </c>
      <c r="BG389" s="19" t="s">
        <v>2127</v>
      </c>
      <c r="BH389" s="19" t="s">
        <v>2128</v>
      </c>
      <c r="BI389" s="19"/>
      <c r="BJ389" s="19"/>
      <c r="BK389" s="19" t="s">
        <v>16</v>
      </c>
      <c r="BL389" s="19"/>
      <c r="BM389" s="19" t="s">
        <v>5411</v>
      </c>
      <c r="BN389" s="19" t="s">
        <v>2401</v>
      </c>
      <c r="BO389" s="19" t="s">
        <v>2473</v>
      </c>
      <c r="BP389" s="19" t="s">
        <v>8886</v>
      </c>
      <c r="BQ389" s="19" t="s">
        <v>2133</v>
      </c>
      <c r="BR389" s="19" t="s">
        <v>2133</v>
      </c>
      <c r="BS389" s="19" t="s">
        <v>2243</v>
      </c>
      <c r="BT389" s="19" t="s">
        <v>222</v>
      </c>
      <c r="BU389" s="19" t="s">
        <v>2710</v>
      </c>
      <c r="BV389" s="19"/>
      <c r="BW389" s="19" t="s">
        <v>2113</v>
      </c>
      <c r="BX389" s="19"/>
      <c r="BY389" s="19"/>
      <c r="BZ389" s="19"/>
      <c r="CA389" s="19"/>
      <c r="CB389" s="19" t="s">
        <v>2113</v>
      </c>
      <c r="CC389" s="19"/>
      <c r="CD389" s="19" t="s">
        <v>2137</v>
      </c>
      <c r="CE389" s="19" t="s">
        <v>16</v>
      </c>
      <c r="CF389" s="19"/>
      <c r="CG389" s="19"/>
      <c r="CH389" s="19" t="s">
        <v>16</v>
      </c>
      <c r="CI389" s="21">
        <v>0.0</v>
      </c>
      <c r="CJ389" s="19" t="s">
        <v>17</v>
      </c>
      <c r="CK389" s="19"/>
      <c r="CL389" s="19"/>
      <c r="CM389" s="19" t="s">
        <v>2138</v>
      </c>
      <c r="CN389" s="19" t="s">
        <v>3544</v>
      </c>
      <c r="CO389" s="19"/>
      <c r="CP389" s="19"/>
      <c r="CQ389" s="19"/>
      <c r="CR389" s="19"/>
      <c r="CS389" s="19"/>
      <c r="CT389" s="19" t="s">
        <v>2113</v>
      </c>
      <c r="CU389" s="19" t="s">
        <v>2113</v>
      </c>
      <c r="CV389" s="19" t="s">
        <v>2179</v>
      </c>
      <c r="CW389" s="19"/>
      <c r="CX389" s="19"/>
      <c r="CY389" s="19" t="s">
        <v>2113</v>
      </c>
      <c r="CZ389" s="19" t="s">
        <v>2113</v>
      </c>
      <c r="DA389" s="19" t="s">
        <v>16</v>
      </c>
      <c r="DB389" s="19" t="s">
        <v>17</v>
      </c>
      <c r="DC389" s="19" t="s">
        <v>2146</v>
      </c>
      <c r="DD389" s="19" t="s">
        <v>2113</v>
      </c>
      <c r="DE389" s="19" t="s">
        <v>2113</v>
      </c>
      <c r="DF389" s="19" t="s">
        <v>3256</v>
      </c>
      <c r="DG389" s="19" t="s">
        <v>2207</v>
      </c>
      <c r="DH389" s="19" t="s">
        <v>2144</v>
      </c>
      <c r="DI389" s="24">
        <v>45532.0</v>
      </c>
      <c r="DJ389" s="19" t="s">
        <v>2133</v>
      </c>
      <c r="DK389" s="19" t="s">
        <v>2145</v>
      </c>
      <c r="DL389" s="19" t="s">
        <v>2146</v>
      </c>
      <c r="DM389" s="19" t="s">
        <v>4101</v>
      </c>
      <c r="DN389" s="19">
        <v>15.0</v>
      </c>
      <c r="DO389" s="19">
        <v>15.0</v>
      </c>
      <c r="DP389" s="19"/>
      <c r="DQ389" s="19"/>
      <c r="DR389" s="19"/>
      <c r="DS389" s="19" t="s">
        <v>2151</v>
      </c>
      <c r="DT389" s="19" t="s">
        <v>2301</v>
      </c>
      <c r="DU389" s="19" t="s">
        <v>8887</v>
      </c>
      <c r="DV389" s="19"/>
      <c r="DW389" s="19" t="s">
        <v>2153</v>
      </c>
      <c r="DX389" s="19">
        <v>12.0</v>
      </c>
      <c r="DY389" s="19">
        <v>10.0</v>
      </c>
      <c r="DZ389" s="19">
        <v>0.0</v>
      </c>
      <c r="EA389" s="19">
        <v>10.0</v>
      </c>
      <c r="EB389" s="19">
        <v>0.0</v>
      </c>
      <c r="EC389" s="19">
        <v>0.0</v>
      </c>
      <c r="ED389" s="19" t="s">
        <v>2133</v>
      </c>
      <c r="EE389" s="24">
        <v>45532.0</v>
      </c>
      <c r="EF389" s="19" t="s">
        <v>2133</v>
      </c>
      <c r="EG389" s="19" t="s">
        <v>2145</v>
      </c>
      <c r="EH389" s="19" t="s">
        <v>2146</v>
      </c>
      <c r="EI389" s="22">
        <v>15.0</v>
      </c>
      <c r="EJ389" s="19">
        <v>40.0</v>
      </c>
      <c r="EK389" s="19" t="s">
        <v>2113</v>
      </c>
      <c r="EL389" s="19" t="s">
        <v>2163</v>
      </c>
      <c r="EM389" s="19" t="s">
        <v>8879</v>
      </c>
      <c r="EN389" s="19" t="s">
        <v>1155</v>
      </c>
      <c r="EO389" s="19" t="s">
        <v>3537</v>
      </c>
      <c r="EP389" s="19" t="s">
        <v>2445</v>
      </c>
      <c r="EQ389" s="19" t="s">
        <v>3544</v>
      </c>
      <c r="ER389" s="19"/>
      <c r="ES389" s="19" t="s">
        <v>1155</v>
      </c>
      <c r="ET389" s="19" t="s">
        <v>1155</v>
      </c>
      <c r="EU389" s="19" t="s">
        <v>8876</v>
      </c>
      <c r="EV389" s="19">
        <v>8586.0</v>
      </c>
      <c r="EW389" s="19" t="s">
        <v>16</v>
      </c>
      <c r="EX389" s="19">
        <v>3.0</v>
      </c>
      <c r="EY389" s="25" t="s">
        <v>1154</v>
      </c>
      <c r="EZ389" s="19" t="s">
        <v>2154</v>
      </c>
      <c r="FA389" s="5" t="s">
        <v>8888</v>
      </c>
      <c r="FB389" s="26" t="s">
        <v>2156</v>
      </c>
      <c r="FC389" s="26"/>
    </row>
    <row r="390">
      <c r="A390" s="19" t="s">
        <v>17</v>
      </c>
      <c r="B390" s="19"/>
      <c r="C390" s="19" t="s">
        <v>2113</v>
      </c>
      <c r="D390" s="19" t="s">
        <v>1156</v>
      </c>
      <c r="E390" s="19" t="s">
        <v>8889</v>
      </c>
      <c r="F390" s="19" t="s">
        <v>1156</v>
      </c>
      <c r="G390" s="19"/>
      <c r="H390" s="19" t="s">
        <v>1156</v>
      </c>
      <c r="I390" s="19" t="s">
        <v>1158</v>
      </c>
      <c r="J390" s="19" t="s">
        <v>8890</v>
      </c>
      <c r="K390" s="19" t="s">
        <v>8891</v>
      </c>
      <c r="L390" s="20">
        <v>45446.0</v>
      </c>
      <c r="M390" s="20">
        <v>45446.0</v>
      </c>
      <c r="N390" s="20">
        <v>45446.0</v>
      </c>
      <c r="O390" s="19" t="s">
        <v>1157</v>
      </c>
      <c r="P390" s="19">
        <v>0.0</v>
      </c>
      <c r="Q390" s="19">
        <v>28.0</v>
      </c>
      <c r="R390" s="19">
        <v>10396.0</v>
      </c>
      <c r="S390" s="20" t="s">
        <v>8892</v>
      </c>
      <c r="T390" s="20">
        <v>45461.0</v>
      </c>
      <c r="U390" s="19" t="s">
        <v>1156</v>
      </c>
      <c r="V390" s="19"/>
      <c r="W390" s="19"/>
      <c r="X390" s="21">
        <v>0.0</v>
      </c>
      <c r="Y390" s="21">
        <v>10.0</v>
      </c>
      <c r="Z390" s="21">
        <v>2.0</v>
      </c>
      <c r="AA390" s="21">
        <v>0.0</v>
      </c>
      <c r="AB390" s="5">
        <v>12.0</v>
      </c>
      <c r="AC390" s="19">
        <v>5.0</v>
      </c>
      <c r="AD390" s="19">
        <v>5.0</v>
      </c>
      <c r="AE390" s="19">
        <v>5.0</v>
      </c>
      <c r="AF390" s="19">
        <v>5.0</v>
      </c>
      <c r="AG390" s="19">
        <v>5.0</v>
      </c>
      <c r="AH390" s="19">
        <v>5.0</v>
      </c>
      <c r="AI390" s="22">
        <v>15.0</v>
      </c>
      <c r="AJ390" s="19">
        <v>13.0</v>
      </c>
      <c r="AK390" s="19">
        <v>15.0</v>
      </c>
      <c r="AL390" s="19">
        <v>13.0</v>
      </c>
      <c r="AM390" s="19">
        <v>41.0</v>
      </c>
      <c r="AN390" s="19">
        <v>56.0</v>
      </c>
      <c r="AO390" s="19">
        <v>68.0</v>
      </c>
      <c r="AP390" s="19">
        <v>833.0</v>
      </c>
      <c r="AQ390" s="23">
        <v>383.0</v>
      </c>
      <c r="AR390" s="23">
        <v>12.0</v>
      </c>
      <c r="AS390" s="22"/>
      <c r="AT390" s="19" t="s">
        <v>2117</v>
      </c>
      <c r="AU390" s="19" t="s">
        <v>4957</v>
      </c>
      <c r="AV390" s="19" t="s">
        <v>8893</v>
      </c>
      <c r="AW390" s="19" t="s">
        <v>8894</v>
      </c>
      <c r="AX390" s="20">
        <v>35065.0</v>
      </c>
      <c r="AY390" s="19" t="s">
        <v>177</v>
      </c>
      <c r="AZ390" s="19" t="s">
        <v>2122</v>
      </c>
      <c r="BA390" s="19" t="s">
        <v>8895</v>
      </c>
      <c r="BB390" s="19" t="s">
        <v>8896</v>
      </c>
      <c r="BC390" s="19" t="s">
        <v>8897</v>
      </c>
      <c r="BD390" s="19" t="s">
        <v>8898</v>
      </c>
      <c r="BE390" s="19" t="s">
        <v>8890</v>
      </c>
      <c r="BF390" s="19">
        <v>5.1994995225E10</v>
      </c>
      <c r="BG390" s="19" t="s">
        <v>2127</v>
      </c>
      <c r="BH390" s="19" t="s">
        <v>2649</v>
      </c>
      <c r="BI390" s="19"/>
      <c r="BJ390" s="19"/>
      <c r="BK390" s="19" t="s">
        <v>16</v>
      </c>
      <c r="BL390" s="19"/>
      <c r="BM390" s="19" t="s">
        <v>5411</v>
      </c>
      <c r="BN390" s="19" t="s">
        <v>8899</v>
      </c>
      <c r="BO390" s="19" t="s">
        <v>3199</v>
      </c>
      <c r="BP390" s="19" t="s">
        <v>8900</v>
      </c>
      <c r="BQ390" s="19" t="s">
        <v>3251</v>
      </c>
      <c r="BR390" s="19" t="s">
        <v>3251</v>
      </c>
      <c r="BS390" s="19" t="s">
        <v>2134</v>
      </c>
      <c r="BT390" s="19" t="s">
        <v>177</v>
      </c>
      <c r="BU390" s="19" t="s">
        <v>8901</v>
      </c>
      <c r="BV390" s="19"/>
      <c r="BW390" s="19" t="s">
        <v>2113</v>
      </c>
      <c r="BX390" s="19"/>
      <c r="BY390" s="19"/>
      <c r="BZ390" s="19"/>
      <c r="CA390" s="19"/>
      <c r="CB390" s="19"/>
      <c r="CC390" s="19"/>
      <c r="CD390" s="19" t="s">
        <v>2137</v>
      </c>
      <c r="CE390" s="19" t="s">
        <v>16</v>
      </c>
      <c r="CF390" s="19"/>
      <c r="CG390" s="19"/>
      <c r="CH390" s="19" t="s">
        <v>16</v>
      </c>
      <c r="CI390" s="21">
        <v>0.0</v>
      </c>
      <c r="CJ390" s="19" t="s">
        <v>17</v>
      </c>
      <c r="CK390" s="19"/>
      <c r="CL390" s="19"/>
      <c r="CM390" s="19" t="s">
        <v>2138</v>
      </c>
      <c r="CN390" s="19" t="s">
        <v>3253</v>
      </c>
      <c r="CO390" s="19"/>
      <c r="CP390" s="19"/>
      <c r="CQ390" s="19"/>
      <c r="CR390" s="19" t="s">
        <v>2113</v>
      </c>
      <c r="CS390" s="19" t="s">
        <v>2113</v>
      </c>
      <c r="CT390" s="19" t="s">
        <v>2113</v>
      </c>
      <c r="CU390" s="19" t="s">
        <v>2113</v>
      </c>
      <c r="CV390" s="19" t="s">
        <v>2141</v>
      </c>
      <c r="CW390" s="19" t="s">
        <v>2113</v>
      </c>
      <c r="CX390" s="19" t="s">
        <v>2113</v>
      </c>
      <c r="CY390" s="19" t="s">
        <v>2113</v>
      </c>
      <c r="CZ390" s="19" t="s">
        <v>2113</v>
      </c>
      <c r="DA390" s="19" t="s">
        <v>16</v>
      </c>
      <c r="DB390" s="19" t="s">
        <v>17</v>
      </c>
      <c r="DC390" s="19" t="s">
        <v>2248</v>
      </c>
      <c r="DD390" s="19" t="s">
        <v>2113</v>
      </c>
      <c r="DE390" s="19" t="s">
        <v>2113</v>
      </c>
      <c r="DF390" s="19" t="s">
        <v>2433</v>
      </c>
      <c r="DG390" s="19" t="s">
        <v>2602</v>
      </c>
      <c r="DH390" s="19" t="s">
        <v>2144</v>
      </c>
      <c r="DI390" s="24">
        <v>45518.0</v>
      </c>
      <c r="DJ390" s="19" t="s">
        <v>3257</v>
      </c>
      <c r="DK390" s="19" t="s">
        <v>2271</v>
      </c>
      <c r="DL390" s="19" t="s">
        <v>2207</v>
      </c>
      <c r="DM390" s="22" t="s">
        <v>4008</v>
      </c>
      <c r="DN390" s="19">
        <v>1.0</v>
      </c>
      <c r="DO390" s="19">
        <v>1.0</v>
      </c>
      <c r="DP390" s="19" t="s">
        <v>8902</v>
      </c>
      <c r="DQ390" s="19" t="s">
        <v>8903</v>
      </c>
      <c r="DR390" s="19" t="s">
        <v>8904</v>
      </c>
      <c r="DS390" s="19" t="s">
        <v>2365</v>
      </c>
      <c r="DT390" s="19" t="s">
        <v>2350</v>
      </c>
      <c r="DU390" s="19"/>
      <c r="DV390" s="19"/>
      <c r="DW390" s="19" t="s">
        <v>2188</v>
      </c>
      <c r="DX390" s="19">
        <v>10.0</v>
      </c>
      <c r="DY390" s="19">
        <v>10.0</v>
      </c>
      <c r="DZ390" s="19">
        <v>0.0</v>
      </c>
      <c r="EA390" s="19">
        <v>10.0</v>
      </c>
      <c r="EB390" s="19">
        <v>0.0</v>
      </c>
      <c r="EC390" s="19">
        <v>0.0</v>
      </c>
      <c r="ED390" s="19" t="s">
        <v>3257</v>
      </c>
      <c r="EE390" s="24">
        <v>45518.0</v>
      </c>
      <c r="EF390" s="19" t="s">
        <v>3257</v>
      </c>
      <c r="EG390" s="19" t="s">
        <v>2271</v>
      </c>
      <c r="EH390" s="19" t="s">
        <v>2207</v>
      </c>
      <c r="EI390" s="22">
        <v>15.0</v>
      </c>
      <c r="EJ390" s="19">
        <v>41.0</v>
      </c>
      <c r="EK390" s="19" t="s">
        <v>2113</v>
      </c>
      <c r="EL390" s="19" t="s">
        <v>2117</v>
      </c>
      <c r="EM390" s="19" t="s">
        <v>4957</v>
      </c>
      <c r="EN390" s="19" t="s">
        <v>1158</v>
      </c>
      <c r="EO390" s="19" t="s">
        <v>177</v>
      </c>
      <c r="EP390" s="19" t="s">
        <v>2122</v>
      </c>
      <c r="EQ390" s="19" t="s">
        <v>3253</v>
      </c>
      <c r="ER390" s="19"/>
      <c r="ES390" s="19" t="s">
        <v>1158</v>
      </c>
      <c r="ET390" s="19" t="s">
        <v>1158</v>
      </c>
      <c r="EU390" s="19" t="s">
        <v>8891</v>
      </c>
      <c r="EV390" s="19">
        <v>10396.0</v>
      </c>
      <c r="EW390" s="19" t="s">
        <v>16</v>
      </c>
      <c r="EX390" s="19">
        <v>2.0</v>
      </c>
      <c r="EY390" s="25" t="s">
        <v>1157</v>
      </c>
      <c r="EZ390" s="19" t="s">
        <v>2154</v>
      </c>
      <c r="FA390" s="5" t="s">
        <v>8905</v>
      </c>
      <c r="FB390" s="26" t="s">
        <v>2156</v>
      </c>
      <c r="FC390" s="26"/>
    </row>
    <row r="391">
      <c r="A391" s="19" t="s">
        <v>2156</v>
      </c>
      <c r="B391" s="19"/>
      <c r="C391" s="19" t="s">
        <v>2113</v>
      </c>
      <c r="D391" s="19" t="s">
        <v>1159</v>
      </c>
      <c r="E391" s="19" t="s">
        <v>8906</v>
      </c>
      <c r="F391" s="19" t="s">
        <v>1159</v>
      </c>
      <c r="G391" s="19"/>
      <c r="H391" s="19" t="s">
        <v>1159</v>
      </c>
      <c r="I391" s="19" t="s">
        <v>1161</v>
      </c>
      <c r="J391" s="19" t="s">
        <v>8907</v>
      </c>
      <c r="K391" s="19" t="s">
        <v>8908</v>
      </c>
      <c r="L391" s="20">
        <v>45460.0</v>
      </c>
      <c r="M391" s="20">
        <v>45462.0</v>
      </c>
      <c r="N391" s="20">
        <v>45462.0</v>
      </c>
      <c r="O391" s="19" t="s">
        <v>1160</v>
      </c>
      <c r="P391" s="19">
        <v>0.0</v>
      </c>
      <c r="Q391" s="19">
        <v>18.0</v>
      </c>
      <c r="R391" s="19">
        <v>6642.0</v>
      </c>
      <c r="S391" s="20" t="s">
        <v>8909</v>
      </c>
      <c r="T391" s="20">
        <v>45461.0</v>
      </c>
      <c r="U391" s="19" t="s">
        <v>1159</v>
      </c>
      <c r="V391" s="19"/>
      <c r="W391" s="19"/>
      <c r="X391" s="21">
        <v>0.0</v>
      </c>
      <c r="Y391" s="21">
        <v>10.0</v>
      </c>
      <c r="Z391" s="21">
        <v>4.0</v>
      </c>
      <c r="AA391" s="21">
        <v>0.0</v>
      </c>
      <c r="AB391" s="5">
        <v>14.0</v>
      </c>
      <c r="AC391" s="19">
        <v>4.5</v>
      </c>
      <c r="AD391" s="19">
        <v>4.5</v>
      </c>
      <c r="AE391" s="19">
        <v>4.5</v>
      </c>
      <c r="AF391" s="19">
        <v>4.0</v>
      </c>
      <c r="AG391" s="19">
        <v>3.5</v>
      </c>
      <c r="AH391" s="19">
        <v>4.5</v>
      </c>
      <c r="AI391" s="22">
        <v>12.9375</v>
      </c>
      <c r="AJ391" s="19">
        <v>12.0</v>
      </c>
      <c r="AK391" s="19">
        <v>15.0</v>
      </c>
      <c r="AL391" s="19">
        <v>14.0</v>
      </c>
      <c r="AM391" s="19">
        <v>41.0</v>
      </c>
      <c r="AN391" s="19">
        <v>53.9</v>
      </c>
      <c r="AO391" s="19">
        <v>67.9</v>
      </c>
      <c r="AP391" s="19">
        <v>649.0</v>
      </c>
      <c r="AQ391" s="23">
        <v>384.0</v>
      </c>
      <c r="AR391" s="23">
        <v>29.0</v>
      </c>
      <c r="AS391" s="22" t="s">
        <v>2642</v>
      </c>
      <c r="AT391" s="19" t="s">
        <v>2117</v>
      </c>
      <c r="AU391" s="19" t="s">
        <v>8910</v>
      </c>
      <c r="AV391" s="19" t="s">
        <v>8911</v>
      </c>
      <c r="AW391" s="19"/>
      <c r="AX391" s="20">
        <v>38819.0</v>
      </c>
      <c r="AY391" s="19" t="s">
        <v>2702</v>
      </c>
      <c r="AZ391" s="19" t="s">
        <v>2122</v>
      </c>
      <c r="BA391" s="19" t="s">
        <v>8912</v>
      </c>
      <c r="BB391" s="19" t="s">
        <v>8913</v>
      </c>
      <c r="BC391" s="19" t="s">
        <v>8914</v>
      </c>
      <c r="BD391" s="19" t="s">
        <v>8915</v>
      </c>
      <c r="BE391" s="19"/>
      <c r="BF391" s="19"/>
      <c r="BG391" s="19" t="s">
        <v>2127</v>
      </c>
      <c r="BH391" s="19" t="s">
        <v>2128</v>
      </c>
      <c r="BI391" s="19"/>
      <c r="BJ391" s="19"/>
      <c r="BK391" s="19"/>
      <c r="BL391" s="19"/>
      <c r="BM391" s="19" t="s">
        <v>5411</v>
      </c>
      <c r="BN391" s="19" t="s">
        <v>6850</v>
      </c>
      <c r="BO391" s="19" t="s">
        <v>2317</v>
      </c>
      <c r="BP391" s="19"/>
      <c r="BQ391" s="19" t="s">
        <v>2318</v>
      </c>
      <c r="BR391" s="19" t="s">
        <v>2318</v>
      </c>
      <c r="BS391" s="19" t="s">
        <v>2134</v>
      </c>
      <c r="BT391" s="19" t="s">
        <v>42</v>
      </c>
      <c r="BU391" s="19" t="s">
        <v>8916</v>
      </c>
      <c r="BV391" s="19"/>
      <c r="BW391" s="19" t="s">
        <v>2113</v>
      </c>
      <c r="BX391" s="19"/>
      <c r="BY391" s="19"/>
      <c r="BZ391" s="19"/>
      <c r="CA391" s="19"/>
      <c r="CB391" s="19" t="s">
        <v>2113</v>
      </c>
      <c r="CC391" s="19"/>
      <c r="CD391" s="19" t="s">
        <v>2137</v>
      </c>
      <c r="CE391" s="19" t="s">
        <v>16</v>
      </c>
      <c r="CF391" s="19"/>
      <c r="CG391" s="19"/>
      <c r="CH391" s="19" t="s">
        <v>16</v>
      </c>
      <c r="CI391" s="21">
        <v>0.0</v>
      </c>
      <c r="CJ391" s="19" t="s">
        <v>17</v>
      </c>
      <c r="CK391" s="19"/>
      <c r="CL391" s="19"/>
      <c r="CM391" s="19"/>
      <c r="CN391" s="19" t="s">
        <v>2321</v>
      </c>
      <c r="CO391" s="19"/>
      <c r="CP391" s="19"/>
      <c r="CQ391" s="19"/>
      <c r="CR391" s="19" t="s">
        <v>2113</v>
      </c>
      <c r="CS391" s="19" t="s">
        <v>2113</v>
      </c>
      <c r="CT391" s="19"/>
      <c r="CU391" s="19"/>
      <c r="CV391" s="19" t="s">
        <v>2141</v>
      </c>
      <c r="CW391" s="19"/>
      <c r="CX391" s="19"/>
      <c r="CY391" s="19"/>
      <c r="CZ391" s="19"/>
      <c r="DA391" s="19" t="s">
        <v>16</v>
      </c>
      <c r="DB391" s="19" t="s">
        <v>17</v>
      </c>
      <c r="DC391" s="19" t="s">
        <v>2324</v>
      </c>
      <c r="DD391" s="19" t="s">
        <v>2113</v>
      </c>
      <c r="DE391" s="19" t="s">
        <v>2113</v>
      </c>
      <c r="DF391" s="19" t="s">
        <v>2433</v>
      </c>
      <c r="DG391" s="19" t="s">
        <v>2248</v>
      </c>
      <c r="DH391" s="19" t="s">
        <v>2144</v>
      </c>
      <c r="DI391" s="24">
        <v>45517.0</v>
      </c>
      <c r="DJ391" s="19" t="s">
        <v>2325</v>
      </c>
      <c r="DK391" s="19" t="s">
        <v>2145</v>
      </c>
      <c r="DL391" s="19" t="s">
        <v>2326</v>
      </c>
      <c r="DM391" s="19"/>
      <c r="DN391" s="19">
        <v>1.0</v>
      </c>
      <c r="DO391" s="19">
        <v>1.0</v>
      </c>
      <c r="DP391" s="19" t="s">
        <v>8917</v>
      </c>
      <c r="DQ391" s="19" t="s">
        <v>8918</v>
      </c>
      <c r="DR391" s="19" t="s">
        <v>8919</v>
      </c>
      <c r="DS391" s="19" t="s">
        <v>2185</v>
      </c>
      <c r="DT391" s="19" t="s">
        <v>2229</v>
      </c>
      <c r="DU391" s="19"/>
      <c r="DV391" s="19"/>
      <c r="DW391" s="19" t="s">
        <v>3306</v>
      </c>
      <c r="DX391" s="19">
        <v>4.0</v>
      </c>
      <c r="DY391" s="19">
        <v>10.0</v>
      </c>
      <c r="DZ391" s="19">
        <v>0.0</v>
      </c>
      <c r="EA391" s="19">
        <v>10.0</v>
      </c>
      <c r="EB391" s="19">
        <v>0.0</v>
      </c>
      <c r="EC391" s="19">
        <v>0.0</v>
      </c>
      <c r="ED391" s="19" t="s">
        <v>2325</v>
      </c>
      <c r="EE391" s="24">
        <v>45517.0</v>
      </c>
      <c r="EF391" s="19" t="s">
        <v>2325</v>
      </c>
      <c r="EG391" s="19" t="s">
        <v>2145</v>
      </c>
      <c r="EH391" s="19" t="s">
        <v>2326</v>
      </c>
      <c r="EI391" s="22">
        <v>12.9375</v>
      </c>
      <c r="EJ391" s="19">
        <v>41.0</v>
      </c>
      <c r="EK391" s="19" t="s">
        <v>2113</v>
      </c>
      <c r="EL391" s="19" t="s">
        <v>2117</v>
      </c>
      <c r="EM391" s="19" t="s">
        <v>8910</v>
      </c>
      <c r="EN391" s="19" t="s">
        <v>1161</v>
      </c>
      <c r="EO391" s="19" t="s">
        <v>2702</v>
      </c>
      <c r="EP391" s="19" t="s">
        <v>2122</v>
      </c>
      <c r="EQ391" s="19" t="s">
        <v>2321</v>
      </c>
      <c r="ER391" s="19"/>
      <c r="ES391" s="19" t="s">
        <v>1161</v>
      </c>
      <c r="ET391" s="19" t="s">
        <v>1161</v>
      </c>
      <c r="EU391" s="19" t="s">
        <v>8908</v>
      </c>
      <c r="EV391" s="19">
        <v>6642.0</v>
      </c>
      <c r="EW391" s="19" t="s">
        <v>16</v>
      </c>
      <c r="EX391" s="19">
        <v>4.0</v>
      </c>
      <c r="EY391" s="25" t="s">
        <v>1160</v>
      </c>
      <c r="EZ391" s="19" t="s">
        <v>2154</v>
      </c>
      <c r="FA391" s="5" t="s">
        <v>8920</v>
      </c>
      <c r="FB391" s="26" t="s">
        <v>2156</v>
      </c>
      <c r="FC391" s="26"/>
    </row>
    <row r="392">
      <c r="A392" s="19" t="s">
        <v>17</v>
      </c>
      <c r="B392" s="19"/>
      <c r="C392" s="19" t="s">
        <v>2113</v>
      </c>
      <c r="D392" s="19" t="s">
        <v>1162</v>
      </c>
      <c r="E392" s="19" t="s">
        <v>8921</v>
      </c>
      <c r="F392" s="19" t="s">
        <v>1162</v>
      </c>
      <c r="G392" s="19"/>
      <c r="H392" s="19" t="s">
        <v>1162</v>
      </c>
      <c r="I392" s="19" t="s">
        <v>1163</v>
      </c>
      <c r="J392" s="19" t="s">
        <v>8922</v>
      </c>
      <c r="K392" s="19" t="s">
        <v>8923</v>
      </c>
      <c r="L392" s="20">
        <v>45444.0</v>
      </c>
      <c r="M392" s="20">
        <v>45446.0</v>
      </c>
      <c r="N392" s="20">
        <v>45446.0</v>
      </c>
      <c r="O392" s="19">
        <v>3.2828115E7</v>
      </c>
      <c r="P392" s="19">
        <v>0.0</v>
      </c>
      <c r="Q392" s="19">
        <v>21.0</v>
      </c>
      <c r="R392" s="19">
        <v>7902.0</v>
      </c>
      <c r="S392" s="20" t="s">
        <v>8924</v>
      </c>
      <c r="T392" s="20">
        <v>45461.0</v>
      </c>
      <c r="U392" s="19" t="s">
        <v>1162</v>
      </c>
      <c r="V392" s="19"/>
      <c r="W392" s="19"/>
      <c r="X392" s="21">
        <v>0.0</v>
      </c>
      <c r="Y392" s="21">
        <v>10.0</v>
      </c>
      <c r="Z392" s="21">
        <v>3.0</v>
      </c>
      <c r="AA392" s="21">
        <v>0.0</v>
      </c>
      <c r="AB392" s="5">
        <v>13.0</v>
      </c>
      <c r="AC392" s="19">
        <v>4.0</v>
      </c>
      <c r="AD392" s="19">
        <v>4.0</v>
      </c>
      <c r="AE392" s="19">
        <v>4.0</v>
      </c>
      <c r="AF392" s="19">
        <v>5.0</v>
      </c>
      <c r="AG392" s="19">
        <v>5.0</v>
      </c>
      <c r="AH392" s="19">
        <v>4.0</v>
      </c>
      <c r="AI392" s="22">
        <v>12.75</v>
      </c>
      <c r="AJ392" s="19">
        <v>14.0</v>
      </c>
      <c r="AK392" s="19">
        <v>15.0</v>
      </c>
      <c r="AL392" s="19">
        <v>13.0</v>
      </c>
      <c r="AM392" s="19">
        <v>42.0</v>
      </c>
      <c r="AN392" s="19">
        <v>54.8</v>
      </c>
      <c r="AO392" s="19">
        <v>67.8</v>
      </c>
      <c r="AP392" s="19">
        <v>752.0</v>
      </c>
      <c r="AQ392" s="23">
        <v>385.0</v>
      </c>
      <c r="AR392" s="23">
        <v>49.0</v>
      </c>
      <c r="AS392" s="22"/>
      <c r="AT392" s="19" t="s">
        <v>2282</v>
      </c>
      <c r="AU392" s="19" t="s">
        <v>8925</v>
      </c>
      <c r="AV392" s="19" t="s">
        <v>8926</v>
      </c>
      <c r="AW392" s="19"/>
      <c r="AX392" s="20">
        <v>37559.0</v>
      </c>
      <c r="AY392" s="19" t="s">
        <v>3015</v>
      </c>
      <c r="AZ392" s="19" t="s">
        <v>2122</v>
      </c>
      <c r="BA392" s="19" t="s">
        <v>8927</v>
      </c>
      <c r="BB392" s="19">
        <v>346.0</v>
      </c>
      <c r="BC392" s="19">
        <v>5.3821233E8</v>
      </c>
      <c r="BD392" s="19" t="s">
        <v>8928</v>
      </c>
      <c r="BE392" s="19"/>
      <c r="BF392" s="19"/>
      <c r="BG392" s="19" t="s">
        <v>2127</v>
      </c>
      <c r="BH392" s="19" t="s">
        <v>2128</v>
      </c>
      <c r="BI392" s="19"/>
      <c r="BJ392" s="19"/>
      <c r="BK392" s="19" t="s">
        <v>16</v>
      </c>
      <c r="BL392" s="19" t="s">
        <v>2113</v>
      </c>
      <c r="BM392" s="19" t="s">
        <v>5411</v>
      </c>
      <c r="BN392" s="19" t="s">
        <v>17</v>
      </c>
      <c r="BO392" s="19">
        <v>3.0</v>
      </c>
      <c r="BP392" s="19" t="s">
        <v>8929</v>
      </c>
      <c r="BQ392" s="19" t="s">
        <v>2133</v>
      </c>
      <c r="BR392" s="19" t="s">
        <v>2133</v>
      </c>
      <c r="BS392" s="19" t="s">
        <v>2134</v>
      </c>
      <c r="BT392" s="19" t="s">
        <v>38</v>
      </c>
      <c r="BU392" s="19" t="s">
        <v>8930</v>
      </c>
      <c r="BV392" s="19"/>
      <c r="BW392" s="19"/>
      <c r="BX392" s="19"/>
      <c r="BY392" s="19"/>
      <c r="BZ392" s="19"/>
      <c r="CA392" s="19"/>
      <c r="CB392" s="19"/>
      <c r="CC392" s="19"/>
      <c r="CD392" s="19" t="s">
        <v>2137</v>
      </c>
      <c r="CE392" s="19" t="s">
        <v>16</v>
      </c>
      <c r="CF392" s="19"/>
      <c r="CG392" s="19"/>
      <c r="CH392" s="19" t="s">
        <v>16</v>
      </c>
      <c r="CI392" s="21">
        <v>0.0</v>
      </c>
      <c r="CJ392" s="19" t="s">
        <v>16</v>
      </c>
      <c r="CK392" s="19"/>
      <c r="CL392" s="19"/>
      <c r="CM392" s="19"/>
      <c r="CN392" s="19" t="s">
        <v>3020</v>
      </c>
      <c r="CO392" s="19"/>
      <c r="CP392" s="19"/>
      <c r="CQ392" s="19"/>
      <c r="CR392" s="19" t="s">
        <v>2113</v>
      </c>
      <c r="CS392" s="19" t="s">
        <v>2113</v>
      </c>
      <c r="CT392" s="19" t="s">
        <v>2113</v>
      </c>
      <c r="CU392" s="19" t="s">
        <v>2113</v>
      </c>
      <c r="CV392" s="19" t="s">
        <v>2141</v>
      </c>
      <c r="CW392" s="19"/>
      <c r="CX392" s="19"/>
      <c r="CY392" s="19" t="s">
        <v>2113</v>
      </c>
      <c r="CZ392" s="19" t="s">
        <v>2113</v>
      </c>
      <c r="DA392" s="19" t="s">
        <v>16</v>
      </c>
      <c r="DB392" s="19" t="s">
        <v>16</v>
      </c>
      <c r="DC392" s="19" t="s">
        <v>6592</v>
      </c>
      <c r="DD392" s="19" t="s">
        <v>2113</v>
      </c>
      <c r="DE392" s="19" t="s">
        <v>2113</v>
      </c>
      <c r="DF392" s="19" t="s">
        <v>4466</v>
      </c>
      <c r="DG392" s="19" t="s">
        <v>3255</v>
      </c>
      <c r="DH392" s="19" t="s">
        <v>2580</v>
      </c>
      <c r="DI392" s="24">
        <v>45517.0</v>
      </c>
      <c r="DJ392" s="19" t="s">
        <v>2133</v>
      </c>
      <c r="DK392" s="19" t="s">
        <v>2145</v>
      </c>
      <c r="DL392" s="19" t="s">
        <v>2146</v>
      </c>
      <c r="DM392" s="19" t="s">
        <v>3021</v>
      </c>
      <c r="DN392" s="19">
        <v>1.0</v>
      </c>
      <c r="DO392" s="19">
        <v>1.0</v>
      </c>
      <c r="DP392" s="19" t="s">
        <v>8931</v>
      </c>
      <c r="DQ392" s="19" t="s">
        <v>8932</v>
      </c>
      <c r="DR392" s="19" t="s">
        <v>8933</v>
      </c>
      <c r="DS392" s="19" t="s">
        <v>2185</v>
      </c>
      <c r="DT392" s="19" t="s">
        <v>2229</v>
      </c>
      <c r="DU392" s="19"/>
      <c r="DV392" s="19"/>
      <c r="DW392" s="19" t="s">
        <v>2153</v>
      </c>
      <c r="DX392" s="19">
        <v>1.0</v>
      </c>
      <c r="DY392" s="19">
        <v>10.0</v>
      </c>
      <c r="DZ392" s="19">
        <v>0.0</v>
      </c>
      <c r="EA392" s="19">
        <v>10.0</v>
      </c>
      <c r="EB392" s="19">
        <v>0.0</v>
      </c>
      <c r="EC392" s="19">
        <v>0.0</v>
      </c>
      <c r="ED392" s="19" t="s">
        <v>2133</v>
      </c>
      <c r="EE392" s="24">
        <v>45517.0</v>
      </c>
      <c r="EF392" s="19" t="s">
        <v>2133</v>
      </c>
      <c r="EG392" s="19" t="s">
        <v>2145</v>
      </c>
      <c r="EH392" s="19" t="s">
        <v>2146</v>
      </c>
      <c r="EI392" s="22">
        <v>12.75</v>
      </c>
      <c r="EJ392" s="19">
        <v>42.0</v>
      </c>
      <c r="EK392" s="19"/>
      <c r="EL392" s="19" t="s">
        <v>2282</v>
      </c>
      <c r="EM392" s="19" t="s">
        <v>8925</v>
      </c>
      <c r="EN392" s="19" t="s">
        <v>1163</v>
      </c>
      <c r="EO392" s="19" t="s">
        <v>3015</v>
      </c>
      <c r="EP392" s="19" t="s">
        <v>2122</v>
      </c>
      <c r="EQ392" s="19" t="s">
        <v>3020</v>
      </c>
      <c r="ER392" s="19"/>
      <c r="ES392" s="19" t="s">
        <v>1163</v>
      </c>
      <c r="ET392" s="19" t="s">
        <v>1163</v>
      </c>
      <c r="EU392" s="19" t="s">
        <v>8923</v>
      </c>
      <c r="EV392" s="19">
        <v>7902.0</v>
      </c>
      <c r="EW392" s="19" t="s">
        <v>16</v>
      </c>
      <c r="EX392" s="19">
        <v>3.0</v>
      </c>
      <c r="EY392" s="25" t="s">
        <v>8934</v>
      </c>
      <c r="EZ392" s="19" t="s">
        <v>2154</v>
      </c>
      <c r="FA392" s="5" t="s">
        <v>8935</v>
      </c>
      <c r="FB392" s="26" t="s">
        <v>2156</v>
      </c>
      <c r="FC392" s="26"/>
    </row>
    <row r="393">
      <c r="A393" s="19" t="s">
        <v>2112</v>
      </c>
      <c r="B393" s="19"/>
      <c r="C393" s="19" t="s">
        <v>2113</v>
      </c>
      <c r="D393" s="19" t="s">
        <v>1164</v>
      </c>
      <c r="E393" s="19" t="s">
        <v>8936</v>
      </c>
      <c r="F393" s="19" t="s">
        <v>1164</v>
      </c>
      <c r="G393" s="19"/>
      <c r="H393" s="19" t="s">
        <v>1164</v>
      </c>
      <c r="I393" s="19" t="s">
        <v>1166</v>
      </c>
      <c r="J393" s="19" t="s">
        <v>8937</v>
      </c>
      <c r="K393" s="19" t="s">
        <v>8938</v>
      </c>
      <c r="L393" s="20">
        <v>45397.0</v>
      </c>
      <c r="M393" s="20">
        <v>45411.0</v>
      </c>
      <c r="N393" s="20">
        <v>45411.0</v>
      </c>
      <c r="O393" s="19" t="s">
        <v>1165</v>
      </c>
      <c r="P393" s="19">
        <v>0.0</v>
      </c>
      <c r="Q393" s="19">
        <v>21.0</v>
      </c>
      <c r="R393" s="19">
        <v>7789.0</v>
      </c>
      <c r="S393" s="20" t="s">
        <v>8939</v>
      </c>
      <c r="T393" s="20">
        <v>45461.0</v>
      </c>
      <c r="U393" s="19" t="s">
        <v>1164</v>
      </c>
      <c r="V393" s="19"/>
      <c r="W393" s="19"/>
      <c r="X393" s="21">
        <v>0.0</v>
      </c>
      <c r="Y393" s="21">
        <v>5.0</v>
      </c>
      <c r="Z393" s="21">
        <v>4.0</v>
      </c>
      <c r="AA393" s="21">
        <v>0.0</v>
      </c>
      <c r="AB393" s="5">
        <v>9.0</v>
      </c>
      <c r="AC393" s="19">
        <v>4.6</v>
      </c>
      <c r="AD393" s="19">
        <v>4.6</v>
      </c>
      <c r="AE393" s="19">
        <v>4.8</v>
      </c>
      <c r="AF393" s="19">
        <v>4.6</v>
      </c>
      <c r="AG393" s="19">
        <v>4.8</v>
      </c>
      <c r="AH393" s="19">
        <v>4.0</v>
      </c>
      <c r="AI393" s="22">
        <v>13.799999999999999</v>
      </c>
      <c r="AJ393" s="19">
        <v>15.0</v>
      </c>
      <c r="AK393" s="19">
        <v>15.0</v>
      </c>
      <c r="AL393" s="19">
        <v>15.0</v>
      </c>
      <c r="AM393" s="19">
        <v>45.0</v>
      </c>
      <c r="AN393" s="19">
        <v>58.8</v>
      </c>
      <c r="AO393" s="19">
        <v>67.8</v>
      </c>
      <c r="AP393" s="19">
        <v>979.0</v>
      </c>
      <c r="AQ393" s="23">
        <v>386.0</v>
      </c>
      <c r="AR393" s="23">
        <v>31.0</v>
      </c>
      <c r="AS393" s="22"/>
      <c r="AT393" s="19" t="s">
        <v>2282</v>
      </c>
      <c r="AU393" s="19" t="s">
        <v>8940</v>
      </c>
      <c r="AV393" s="19" t="s">
        <v>8941</v>
      </c>
      <c r="AW393" s="19"/>
      <c r="AX393" s="20">
        <v>37672.0</v>
      </c>
      <c r="AY393" s="19" t="s">
        <v>2858</v>
      </c>
      <c r="AZ393" s="19" t="s">
        <v>2122</v>
      </c>
      <c r="BA393" s="19" t="s">
        <v>8942</v>
      </c>
      <c r="BB393" s="19" t="s">
        <v>8943</v>
      </c>
      <c r="BC393" s="19" t="s">
        <v>8944</v>
      </c>
      <c r="BD393" s="19" t="s">
        <v>8945</v>
      </c>
      <c r="BE393" s="19" t="s">
        <v>8946</v>
      </c>
      <c r="BF393" s="19">
        <v>1.1978869509E10</v>
      </c>
      <c r="BG393" s="19" t="s">
        <v>3518</v>
      </c>
      <c r="BH393" s="19" t="s">
        <v>2649</v>
      </c>
      <c r="BI393" s="19"/>
      <c r="BJ393" s="19" t="s">
        <v>2427</v>
      </c>
      <c r="BK393" s="19" t="s">
        <v>17</v>
      </c>
      <c r="BL393" s="19"/>
      <c r="BM393" s="19" t="s">
        <v>5411</v>
      </c>
      <c r="BN393" s="19" t="s">
        <v>2708</v>
      </c>
      <c r="BO393" s="19" t="s">
        <v>2317</v>
      </c>
      <c r="BP393" s="19" t="s">
        <v>8947</v>
      </c>
      <c r="BQ393" s="19" t="s">
        <v>2325</v>
      </c>
      <c r="BR393" s="19" t="s">
        <v>2325</v>
      </c>
      <c r="BS393" s="19" t="s">
        <v>2134</v>
      </c>
      <c r="BT393" s="19" t="s">
        <v>118</v>
      </c>
      <c r="BU393" s="19" t="s">
        <v>8948</v>
      </c>
      <c r="BV393" s="19"/>
      <c r="BW393" s="19"/>
      <c r="BX393" s="19"/>
      <c r="BY393" s="19" t="s">
        <v>2113</v>
      </c>
      <c r="BZ393" s="19"/>
      <c r="CA393" s="19"/>
      <c r="CB393" s="19" t="s">
        <v>2113</v>
      </c>
      <c r="CC393" s="19"/>
      <c r="CD393" s="19" t="s">
        <v>2137</v>
      </c>
      <c r="CE393" s="19" t="s">
        <v>16</v>
      </c>
      <c r="CF393" s="19"/>
      <c r="CG393" s="19"/>
      <c r="CH393" s="19" t="s">
        <v>16</v>
      </c>
      <c r="CI393" s="21">
        <v>0.0</v>
      </c>
      <c r="CJ393" s="19" t="s">
        <v>16</v>
      </c>
      <c r="CK393" s="19"/>
      <c r="CL393" s="19"/>
      <c r="CM393" s="19" t="s">
        <v>2138</v>
      </c>
      <c r="CN393" s="19" t="s">
        <v>2868</v>
      </c>
      <c r="CO393" s="19"/>
      <c r="CP393" s="19" t="s">
        <v>2246</v>
      </c>
      <c r="CQ393" s="19"/>
      <c r="CR393" s="19" t="s">
        <v>2113</v>
      </c>
      <c r="CS393" s="19" t="s">
        <v>2113</v>
      </c>
      <c r="CT393" s="19" t="s">
        <v>2113</v>
      </c>
      <c r="CU393" s="19" t="s">
        <v>2113</v>
      </c>
      <c r="CV393" s="19" t="s">
        <v>2141</v>
      </c>
      <c r="CW393" s="19" t="s">
        <v>2113</v>
      </c>
      <c r="CX393" s="19" t="s">
        <v>2113</v>
      </c>
      <c r="CY393" s="19" t="s">
        <v>2113</v>
      </c>
      <c r="CZ393" s="19" t="s">
        <v>2113</v>
      </c>
      <c r="DA393" s="19" t="s">
        <v>16</v>
      </c>
      <c r="DB393" s="19" t="s">
        <v>16</v>
      </c>
      <c r="DC393" s="19" t="s">
        <v>2498</v>
      </c>
      <c r="DD393" s="19" t="s">
        <v>2113</v>
      </c>
      <c r="DE393" s="19" t="s">
        <v>2113</v>
      </c>
      <c r="DF393" s="19" t="s">
        <v>3163</v>
      </c>
      <c r="DG393" s="19" t="s">
        <v>2804</v>
      </c>
      <c r="DH393" s="19" t="s">
        <v>2144</v>
      </c>
      <c r="DI393" s="24">
        <v>45525.0</v>
      </c>
      <c r="DJ393" s="19" t="s">
        <v>2325</v>
      </c>
      <c r="DK393" s="19" t="s">
        <v>2271</v>
      </c>
      <c r="DL393" s="19" t="s">
        <v>2326</v>
      </c>
      <c r="DM393" s="19"/>
      <c r="DN393" s="19">
        <v>10.0</v>
      </c>
      <c r="DO393" s="19">
        <v>10.0</v>
      </c>
      <c r="DP393" s="19" t="s">
        <v>8949</v>
      </c>
      <c r="DQ393" s="19" t="s">
        <v>8950</v>
      </c>
      <c r="DR393" s="19" t="s">
        <v>8951</v>
      </c>
      <c r="DS393" s="19" t="s">
        <v>2365</v>
      </c>
      <c r="DT393" s="19" t="s">
        <v>2301</v>
      </c>
      <c r="DU393" s="19"/>
      <c r="DV393" s="19"/>
      <c r="DW393" s="19" t="s">
        <v>2479</v>
      </c>
      <c r="DX393" s="19">
        <v>11.0</v>
      </c>
      <c r="DY393" s="19">
        <v>5.0</v>
      </c>
      <c r="DZ393" s="19">
        <v>0.0</v>
      </c>
      <c r="EA393" s="19">
        <v>5.0</v>
      </c>
      <c r="EB393" s="19">
        <v>0.0</v>
      </c>
      <c r="EC393" s="19">
        <v>0.0</v>
      </c>
      <c r="ED393" s="19" t="s">
        <v>2325</v>
      </c>
      <c r="EE393" s="24">
        <v>45525.0</v>
      </c>
      <c r="EF393" s="19" t="s">
        <v>2325</v>
      </c>
      <c r="EG393" s="19" t="s">
        <v>2271</v>
      </c>
      <c r="EH393" s="19" t="s">
        <v>2326</v>
      </c>
      <c r="EI393" s="22">
        <v>13.799999999999999</v>
      </c>
      <c r="EJ393" s="19">
        <v>45.0</v>
      </c>
      <c r="EK393" s="19"/>
      <c r="EL393" s="19" t="s">
        <v>2282</v>
      </c>
      <c r="EM393" s="19" t="s">
        <v>8940</v>
      </c>
      <c r="EN393" s="19" t="s">
        <v>1166</v>
      </c>
      <c r="EO393" s="19" t="s">
        <v>2858</v>
      </c>
      <c r="EP393" s="19" t="s">
        <v>2122</v>
      </c>
      <c r="EQ393" s="19" t="s">
        <v>2868</v>
      </c>
      <c r="ER393" s="19"/>
      <c r="ES393" s="19" t="s">
        <v>1166</v>
      </c>
      <c r="ET393" s="19" t="s">
        <v>1166</v>
      </c>
      <c r="EU393" s="19" t="s">
        <v>8938</v>
      </c>
      <c r="EV393" s="19">
        <v>7789.0</v>
      </c>
      <c r="EW393" s="19" t="s">
        <v>16</v>
      </c>
      <c r="EX393" s="19">
        <v>4.0</v>
      </c>
      <c r="EY393" s="25" t="s">
        <v>1165</v>
      </c>
      <c r="EZ393" s="19" t="s">
        <v>2154</v>
      </c>
      <c r="FA393" s="5" t="s">
        <v>8952</v>
      </c>
      <c r="FB393" s="26" t="s">
        <v>2156</v>
      </c>
      <c r="FC393" s="26"/>
    </row>
    <row r="394">
      <c r="A394" s="19" t="s">
        <v>17</v>
      </c>
      <c r="B394" s="19"/>
      <c r="C394" s="19" t="s">
        <v>2113</v>
      </c>
      <c r="D394" s="19" t="s">
        <v>1167</v>
      </c>
      <c r="E394" s="19" t="s">
        <v>8953</v>
      </c>
      <c r="F394" s="19" t="s">
        <v>1167</v>
      </c>
      <c r="G394" s="19"/>
      <c r="H394" s="19" t="s">
        <v>1167</v>
      </c>
      <c r="I394" s="19" t="s">
        <v>1169</v>
      </c>
      <c r="J394" s="19" t="s">
        <v>8954</v>
      </c>
      <c r="K394" s="19" t="s">
        <v>8955</v>
      </c>
      <c r="L394" s="20">
        <v>45444.0</v>
      </c>
      <c r="M394" s="20">
        <v>45446.0</v>
      </c>
      <c r="N394" s="20">
        <v>45446.0</v>
      </c>
      <c r="O394" s="19" t="s">
        <v>1168</v>
      </c>
      <c r="P394" s="19">
        <v>0.0</v>
      </c>
      <c r="Q394" s="19">
        <v>18.0</v>
      </c>
      <c r="R394" s="19">
        <v>6757.0</v>
      </c>
      <c r="S394" s="20" t="s">
        <v>8956</v>
      </c>
      <c r="T394" s="20">
        <v>45461.0</v>
      </c>
      <c r="U394" s="19" t="s">
        <v>1167</v>
      </c>
      <c r="V394" s="19"/>
      <c r="W394" s="19"/>
      <c r="X394" s="21">
        <v>0.0</v>
      </c>
      <c r="Y394" s="21">
        <v>10.0</v>
      </c>
      <c r="Z394" s="21">
        <v>3.0</v>
      </c>
      <c r="AA394" s="21">
        <v>0.0</v>
      </c>
      <c r="AB394" s="5">
        <v>13.0</v>
      </c>
      <c r="AC394" s="19">
        <v>3.6666666666666665</v>
      </c>
      <c r="AD394" s="19">
        <v>3.3333333333333335</v>
      </c>
      <c r="AE394" s="19">
        <v>3.3333333333333335</v>
      </c>
      <c r="AF394" s="19">
        <v>3.3333333333333335</v>
      </c>
      <c r="AG394" s="19">
        <v>2.6666666666666665</v>
      </c>
      <c r="AH394" s="19">
        <v>2.6666666666666665</v>
      </c>
      <c r="AI394" s="22">
        <v>9.65625</v>
      </c>
      <c r="AJ394" s="19">
        <v>15.0</v>
      </c>
      <c r="AK394" s="19">
        <v>15.0</v>
      </c>
      <c r="AL394" s="19">
        <v>15.0</v>
      </c>
      <c r="AM394" s="19">
        <v>45.0</v>
      </c>
      <c r="AN394" s="19">
        <v>54.7</v>
      </c>
      <c r="AO394" s="19">
        <v>67.7</v>
      </c>
      <c r="AP394" s="19">
        <v>813.0</v>
      </c>
      <c r="AQ394" s="23">
        <v>387.0</v>
      </c>
      <c r="AR394" s="23">
        <v>21.0</v>
      </c>
      <c r="AS394" s="22" t="s">
        <v>8957</v>
      </c>
      <c r="AT394" s="19" t="s">
        <v>2117</v>
      </c>
      <c r="AU394" s="19" t="s">
        <v>8958</v>
      </c>
      <c r="AV394" s="19" t="s">
        <v>8959</v>
      </c>
      <c r="AW394" s="19"/>
      <c r="AX394" s="20">
        <v>38704.0</v>
      </c>
      <c r="AY394" s="19" t="s">
        <v>3826</v>
      </c>
      <c r="AZ394" s="19" t="s">
        <v>2122</v>
      </c>
      <c r="BA394" s="19" t="s">
        <v>8960</v>
      </c>
      <c r="BB394" s="19" t="s">
        <v>8961</v>
      </c>
      <c r="BC394" s="19" t="s">
        <v>8962</v>
      </c>
      <c r="BD394" s="19" t="s">
        <v>8963</v>
      </c>
      <c r="BE394" s="19" t="s">
        <v>8954</v>
      </c>
      <c r="BF394" s="19">
        <v>1.1967436247E10</v>
      </c>
      <c r="BG394" s="19" t="s">
        <v>2127</v>
      </c>
      <c r="BH394" s="19" t="s">
        <v>2128</v>
      </c>
      <c r="BI394" s="19"/>
      <c r="BJ394" s="19" t="s">
        <v>2128</v>
      </c>
      <c r="BK394" s="19" t="s">
        <v>17</v>
      </c>
      <c r="BL394" s="19"/>
      <c r="BM394" s="19" t="s">
        <v>5563</v>
      </c>
      <c r="BN394" s="19" t="s">
        <v>8964</v>
      </c>
      <c r="BO394" s="19" t="s">
        <v>2473</v>
      </c>
      <c r="BP394" s="19" t="s">
        <v>8965</v>
      </c>
      <c r="BQ394" s="19" t="s">
        <v>3832</v>
      </c>
      <c r="BR394" s="19" t="s">
        <v>3832</v>
      </c>
      <c r="BS394" s="19" t="s">
        <v>2134</v>
      </c>
      <c r="BT394" s="19" t="s">
        <v>268</v>
      </c>
      <c r="BU394" s="19" t="s">
        <v>8966</v>
      </c>
      <c r="BV394" s="19"/>
      <c r="BW394" s="19"/>
      <c r="BX394" s="19"/>
      <c r="BY394" s="19"/>
      <c r="BZ394" s="19"/>
      <c r="CA394" s="19"/>
      <c r="CB394" s="19" t="s">
        <v>2113</v>
      </c>
      <c r="CC394" s="19" t="s">
        <v>2113</v>
      </c>
      <c r="CD394" s="19" t="s">
        <v>2137</v>
      </c>
      <c r="CE394" s="19" t="s">
        <v>16</v>
      </c>
      <c r="CF394" s="19"/>
      <c r="CG394" s="19"/>
      <c r="CH394" s="19" t="s">
        <v>16</v>
      </c>
      <c r="CI394" s="21">
        <v>0.0</v>
      </c>
      <c r="CJ394" s="19" t="s">
        <v>17</v>
      </c>
      <c r="CK394" s="19"/>
      <c r="CL394" s="19"/>
      <c r="CM394" s="19" t="s">
        <v>2926</v>
      </c>
      <c r="CN394" s="19" t="s">
        <v>3835</v>
      </c>
      <c r="CO394" s="19"/>
      <c r="CP394" s="19" t="s">
        <v>2140</v>
      </c>
      <c r="CQ394" s="19"/>
      <c r="CR394" s="19" t="s">
        <v>2113</v>
      </c>
      <c r="CS394" s="19" t="s">
        <v>2113</v>
      </c>
      <c r="CT394" s="19"/>
      <c r="CU394" s="19"/>
      <c r="CV394" s="19" t="s">
        <v>2141</v>
      </c>
      <c r="CW394" s="19" t="s">
        <v>2113</v>
      </c>
      <c r="CX394" s="19" t="s">
        <v>2113</v>
      </c>
      <c r="CY394" s="19"/>
      <c r="CZ394" s="19"/>
      <c r="DA394" s="19" t="s">
        <v>16</v>
      </c>
      <c r="DB394" s="19" t="s">
        <v>17</v>
      </c>
      <c r="DC394" s="19" t="s">
        <v>4083</v>
      </c>
      <c r="DD394" s="19"/>
      <c r="DE394" s="19"/>
      <c r="DF394" s="19" t="s">
        <v>3836</v>
      </c>
      <c r="DG394" s="19" t="s">
        <v>8967</v>
      </c>
      <c r="DH394" s="19" t="s">
        <v>2144</v>
      </c>
      <c r="DI394" s="24">
        <v>45525.0</v>
      </c>
      <c r="DJ394" s="19" t="s">
        <v>3257</v>
      </c>
      <c r="DK394" s="19" t="s">
        <v>2271</v>
      </c>
      <c r="DL394" s="19" t="s">
        <v>2207</v>
      </c>
      <c r="DM394" s="22" t="s">
        <v>7846</v>
      </c>
      <c r="DN394" s="19">
        <v>4.0</v>
      </c>
      <c r="DO394" s="19">
        <v>4.0</v>
      </c>
      <c r="DP394" s="19" t="s">
        <v>8968</v>
      </c>
      <c r="DQ394" s="19" t="s">
        <v>8969</v>
      </c>
      <c r="DR394" s="19" t="s">
        <v>8970</v>
      </c>
      <c r="DS394" s="19" t="s">
        <v>2365</v>
      </c>
      <c r="DT394" s="19" t="s">
        <v>2301</v>
      </c>
      <c r="DU394" s="19"/>
      <c r="DV394" s="19"/>
      <c r="DW394" s="19" t="s">
        <v>2188</v>
      </c>
      <c r="DX394" s="19">
        <v>10.0</v>
      </c>
      <c r="DY394" s="19">
        <v>10.0</v>
      </c>
      <c r="DZ394" s="19">
        <v>0.0</v>
      </c>
      <c r="EA394" s="19">
        <v>10.0</v>
      </c>
      <c r="EB394" s="19">
        <v>0.0</v>
      </c>
      <c r="EC394" s="19">
        <v>0.0</v>
      </c>
      <c r="ED394" s="19" t="s">
        <v>3257</v>
      </c>
      <c r="EE394" s="24">
        <v>45525.0</v>
      </c>
      <c r="EF394" s="19" t="s">
        <v>3257</v>
      </c>
      <c r="EG394" s="19" t="s">
        <v>2271</v>
      </c>
      <c r="EH394" s="19" t="s">
        <v>2207</v>
      </c>
      <c r="EI394" s="22">
        <v>9.65625</v>
      </c>
      <c r="EJ394" s="19">
        <v>45.0</v>
      </c>
      <c r="EK394" s="19" t="s">
        <v>2113</v>
      </c>
      <c r="EL394" s="19" t="s">
        <v>2117</v>
      </c>
      <c r="EM394" s="19" t="s">
        <v>8958</v>
      </c>
      <c r="EN394" s="19" t="s">
        <v>1169</v>
      </c>
      <c r="EO394" s="19" t="s">
        <v>3826</v>
      </c>
      <c r="EP394" s="19" t="s">
        <v>2122</v>
      </c>
      <c r="EQ394" s="19" t="s">
        <v>3835</v>
      </c>
      <c r="ER394" s="19"/>
      <c r="ES394" s="19" t="s">
        <v>1169</v>
      </c>
      <c r="ET394" s="19" t="s">
        <v>1169</v>
      </c>
      <c r="EU394" s="19" t="s">
        <v>8955</v>
      </c>
      <c r="EV394" s="19">
        <v>6757.0</v>
      </c>
      <c r="EW394" s="19" t="s">
        <v>16</v>
      </c>
      <c r="EX394" s="19">
        <v>3.0</v>
      </c>
      <c r="EY394" s="25" t="s">
        <v>1168</v>
      </c>
      <c r="EZ394" s="19" t="s">
        <v>2154</v>
      </c>
      <c r="FA394" s="5" t="s">
        <v>8971</v>
      </c>
      <c r="FB394" s="26" t="s">
        <v>2156</v>
      </c>
      <c r="FC394" s="26"/>
    </row>
    <row r="395">
      <c r="A395" s="19" t="s">
        <v>2112</v>
      </c>
      <c r="B395" s="19"/>
      <c r="C395" s="19" t="s">
        <v>2113</v>
      </c>
      <c r="D395" s="19" t="s">
        <v>1170</v>
      </c>
      <c r="E395" s="19" t="s">
        <v>8972</v>
      </c>
      <c r="F395" s="19" t="s">
        <v>1170</v>
      </c>
      <c r="G395" s="19"/>
      <c r="H395" s="19" t="s">
        <v>1170</v>
      </c>
      <c r="I395" s="19" t="s">
        <v>1172</v>
      </c>
      <c r="J395" s="19" t="s">
        <v>8973</v>
      </c>
      <c r="K395" s="19" t="s">
        <v>8974</v>
      </c>
      <c r="L395" s="20">
        <v>45460.0</v>
      </c>
      <c r="M395" s="20">
        <v>45462.0</v>
      </c>
      <c r="N395" s="20">
        <v>45462.0</v>
      </c>
      <c r="O395" s="19" t="s">
        <v>1171</v>
      </c>
      <c r="P395" s="19">
        <v>0.0</v>
      </c>
      <c r="Q395" s="19">
        <v>20.0</v>
      </c>
      <c r="R395" s="19">
        <v>7586.0</v>
      </c>
      <c r="S395" s="20" t="s">
        <v>8975</v>
      </c>
      <c r="T395" s="20">
        <v>45461.0</v>
      </c>
      <c r="U395" s="19" t="s">
        <v>1170</v>
      </c>
      <c r="V395" s="19"/>
      <c r="W395" s="19" t="s">
        <v>2131</v>
      </c>
      <c r="X395" s="21">
        <v>0.0</v>
      </c>
      <c r="Y395" s="21">
        <v>5.0</v>
      </c>
      <c r="Z395" s="21">
        <v>5.0</v>
      </c>
      <c r="AA395" s="21">
        <v>0.0</v>
      </c>
      <c r="AB395" s="5">
        <v>10.0</v>
      </c>
      <c r="AC395" s="19">
        <v>4.0</v>
      </c>
      <c r="AD395" s="19">
        <v>5.0</v>
      </c>
      <c r="AE395" s="19">
        <v>4.0</v>
      </c>
      <c r="AF395" s="19">
        <v>4.0</v>
      </c>
      <c r="AG395" s="19">
        <v>4.0</v>
      </c>
      <c r="AH395" s="19">
        <v>4.0</v>
      </c>
      <c r="AI395" s="22">
        <v>12.65625</v>
      </c>
      <c r="AJ395" s="19">
        <v>15.0</v>
      </c>
      <c r="AK395" s="19">
        <v>15.0</v>
      </c>
      <c r="AL395" s="19">
        <v>15.0</v>
      </c>
      <c r="AM395" s="19">
        <v>45.0</v>
      </c>
      <c r="AN395" s="19">
        <v>57.7</v>
      </c>
      <c r="AO395" s="19">
        <v>67.7</v>
      </c>
      <c r="AP395" s="19">
        <v>964.0</v>
      </c>
      <c r="AQ395" s="23">
        <v>388.0</v>
      </c>
      <c r="AR395" s="23">
        <v>50.0</v>
      </c>
      <c r="AS395" s="22"/>
      <c r="AT395" s="19" t="s">
        <v>2163</v>
      </c>
      <c r="AU395" s="19" t="s">
        <v>8976</v>
      </c>
      <c r="AV395" s="19" t="s">
        <v>8977</v>
      </c>
      <c r="AW395" s="19" t="s">
        <v>8978</v>
      </c>
      <c r="AX395" s="20">
        <v>37875.0</v>
      </c>
      <c r="AY395" s="19" t="s">
        <v>2196</v>
      </c>
      <c r="AZ395" s="19" t="s">
        <v>2122</v>
      </c>
      <c r="BA395" s="19" t="s">
        <v>8979</v>
      </c>
      <c r="BB395" s="19" t="s">
        <v>8978</v>
      </c>
      <c r="BC395" s="19" t="s">
        <v>8980</v>
      </c>
      <c r="BD395" s="19" t="s">
        <v>8981</v>
      </c>
      <c r="BE395" s="19" t="s">
        <v>8973</v>
      </c>
      <c r="BF395" s="19">
        <v>1.1961560843E10</v>
      </c>
      <c r="BG395" s="19" t="s">
        <v>3518</v>
      </c>
      <c r="BH395" s="19" t="s">
        <v>2128</v>
      </c>
      <c r="BI395" s="19"/>
      <c r="BJ395" s="19" t="s">
        <v>2427</v>
      </c>
      <c r="BK395" s="19" t="s">
        <v>17</v>
      </c>
      <c r="BL395" s="19"/>
      <c r="BM395" s="19" t="s">
        <v>5563</v>
      </c>
      <c r="BN395" s="19" t="s">
        <v>17</v>
      </c>
      <c r="BO395" s="19" t="s">
        <v>2132</v>
      </c>
      <c r="BP395" s="19" t="s">
        <v>8982</v>
      </c>
      <c r="BQ395" s="19" t="s">
        <v>2174</v>
      </c>
      <c r="BR395" s="19" t="s">
        <v>2174</v>
      </c>
      <c r="BS395" s="19" t="s">
        <v>3521</v>
      </c>
      <c r="BT395" s="19" t="s">
        <v>21</v>
      </c>
      <c r="BU395" s="19" t="s">
        <v>8983</v>
      </c>
      <c r="BV395" s="19"/>
      <c r="BW395" s="19" t="s">
        <v>2113</v>
      </c>
      <c r="BX395" s="19"/>
      <c r="BY395" s="19"/>
      <c r="BZ395" s="19"/>
      <c r="CA395" s="19"/>
      <c r="CB395" s="19" t="s">
        <v>2113</v>
      </c>
      <c r="CC395" s="19"/>
      <c r="CD395" s="19" t="s">
        <v>2137</v>
      </c>
      <c r="CE395" s="19" t="s">
        <v>16</v>
      </c>
      <c r="CF395" s="19"/>
      <c r="CG395" s="19"/>
      <c r="CH395" s="19" t="s">
        <v>16</v>
      </c>
      <c r="CI395" s="21">
        <v>0.0</v>
      </c>
      <c r="CJ395" s="19" t="s">
        <v>17</v>
      </c>
      <c r="CK395" s="19"/>
      <c r="CL395" s="19"/>
      <c r="CM395" s="19" t="s">
        <v>2344</v>
      </c>
      <c r="CN395" s="19" t="s">
        <v>2204</v>
      </c>
      <c r="CO395" s="19"/>
      <c r="CP395" s="19" t="s">
        <v>2246</v>
      </c>
      <c r="CQ395" s="19"/>
      <c r="CR395" s="19"/>
      <c r="CS395" s="19"/>
      <c r="CT395" s="19"/>
      <c r="CU395" s="19"/>
      <c r="CV395" s="19" t="s">
        <v>2179</v>
      </c>
      <c r="CW395" s="19"/>
      <c r="CX395" s="19"/>
      <c r="CY395" s="19"/>
      <c r="CZ395" s="19"/>
      <c r="DA395" s="19" t="s">
        <v>16</v>
      </c>
      <c r="DB395" s="19" t="s">
        <v>17</v>
      </c>
      <c r="DC395" s="19" t="s">
        <v>2539</v>
      </c>
      <c r="DD395" s="19" t="s">
        <v>2113</v>
      </c>
      <c r="DE395" s="19" t="s">
        <v>2113</v>
      </c>
      <c r="DF395" s="19" t="s">
        <v>2270</v>
      </c>
      <c r="DG395" s="19" t="s">
        <v>2514</v>
      </c>
      <c r="DH395" s="19" t="s">
        <v>2144</v>
      </c>
      <c r="DI395" s="24">
        <v>45525.0</v>
      </c>
      <c r="DJ395" s="19" t="s">
        <v>2174</v>
      </c>
      <c r="DK395" s="19" t="s">
        <v>2271</v>
      </c>
      <c r="DL395" s="19" t="s">
        <v>2183</v>
      </c>
      <c r="DM395" s="19" t="s">
        <v>2249</v>
      </c>
      <c r="DN395" s="19">
        <v>10.0</v>
      </c>
      <c r="DO395" s="19">
        <v>10.0</v>
      </c>
      <c r="DP395" s="19"/>
      <c r="DQ395" s="19"/>
      <c r="DR395" s="19"/>
      <c r="DS395" s="19" t="s">
        <v>2151</v>
      </c>
      <c r="DT395" s="19" t="s">
        <v>2350</v>
      </c>
      <c r="DU395" s="19" t="s">
        <v>8984</v>
      </c>
      <c r="DV395" s="19"/>
      <c r="DW395" s="19" t="s">
        <v>2188</v>
      </c>
      <c r="DX395" s="19">
        <v>15.0</v>
      </c>
      <c r="DY395" s="19">
        <v>5.0</v>
      </c>
      <c r="DZ395" s="19">
        <v>0.0</v>
      </c>
      <c r="EA395" s="19">
        <v>5.0</v>
      </c>
      <c r="EB395" s="19">
        <v>0.0</v>
      </c>
      <c r="EC395" s="19">
        <v>0.0</v>
      </c>
      <c r="ED395" s="19" t="s">
        <v>2174</v>
      </c>
      <c r="EE395" s="24">
        <v>45525.0</v>
      </c>
      <c r="EF395" s="19" t="s">
        <v>2174</v>
      </c>
      <c r="EG395" s="19" t="s">
        <v>2271</v>
      </c>
      <c r="EH395" s="19" t="s">
        <v>2183</v>
      </c>
      <c r="EI395" s="22">
        <v>12.65625</v>
      </c>
      <c r="EJ395" s="19">
        <v>45.0</v>
      </c>
      <c r="EK395" s="19" t="s">
        <v>2113</v>
      </c>
      <c r="EL395" s="19" t="s">
        <v>2163</v>
      </c>
      <c r="EM395" s="19" t="s">
        <v>8976</v>
      </c>
      <c r="EN395" s="19" t="s">
        <v>1172</v>
      </c>
      <c r="EO395" s="19" t="s">
        <v>2196</v>
      </c>
      <c r="EP395" s="19" t="s">
        <v>2122</v>
      </c>
      <c r="EQ395" s="19" t="s">
        <v>2204</v>
      </c>
      <c r="ER395" s="19"/>
      <c r="ES395" s="19" t="s">
        <v>1172</v>
      </c>
      <c r="ET395" s="19" t="s">
        <v>1172</v>
      </c>
      <c r="EU395" s="19" t="s">
        <v>8974</v>
      </c>
      <c r="EV395" s="19">
        <v>7586.0</v>
      </c>
      <c r="EW395" s="19" t="s">
        <v>16</v>
      </c>
      <c r="EX395" s="19">
        <v>5.0</v>
      </c>
      <c r="EY395" s="25" t="s">
        <v>1171</v>
      </c>
      <c r="EZ395" s="19" t="s">
        <v>2154</v>
      </c>
      <c r="FA395" s="5" t="s">
        <v>8985</v>
      </c>
      <c r="FB395" s="26" t="s">
        <v>2156</v>
      </c>
      <c r="FC395" s="26"/>
    </row>
    <row r="396">
      <c r="A396" s="19" t="s">
        <v>2112</v>
      </c>
      <c r="B396" s="19"/>
      <c r="C396" s="19" t="s">
        <v>2113</v>
      </c>
      <c r="D396" s="19" t="s">
        <v>1173</v>
      </c>
      <c r="E396" s="19" t="s">
        <v>8986</v>
      </c>
      <c r="F396" s="19" t="s">
        <v>1173</v>
      </c>
      <c r="G396" s="19" t="s">
        <v>8986</v>
      </c>
      <c r="H396" s="19" t="s">
        <v>1173</v>
      </c>
      <c r="I396" s="19" t="s">
        <v>1175</v>
      </c>
      <c r="J396" s="19" t="s">
        <v>8987</v>
      </c>
      <c r="K396" s="19" t="s">
        <v>8988</v>
      </c>
      <c r="L396" s="20">
        <v>45446.0</v>
      </c>
      <c r="M396" s="20">
        <v>45446.0</v>
      </c>
      <c r="N396" s="20">
        <v>45446.0</v>
      </c>
      <c r="O396" s="19" t="s">
        <v>1174</v>
      </c>
      <c r="P396" s="19">
        <v>0.0</v>
      </c>
      <c r="Q396" s="19">
        <v>23.0</v>
      </c>
      <c r="R396" s="19">
        <v>8757.0</v>
      </c>
      <c r="S396" s="20" t="s">
        <v>8989</v>
      </c>
      <c r="T396" s="20">
        <v>45461.0</v>
      </c>
      <c r="U396" s="19" t="s">
        <v>1173</v>
      </c>
      <c r="V396" s="19"/>
      <c r="W396" s="19"/>
      <c r="X396" s="21">
        <v>0.0</v>
      </c>
      <c r="Y396" s="21">
        <v>10.0</v>
      </c>
      <c r="Z396" s="21">
        <v>5.0</v>
      </c>
      <c r="AA396" s="21">
        <v>0.0</v>
      </c>
      <c r="AB396" s="5">
        <v>15.0</v>
      </c>
      <c r="AC396" s="19">
        <v>5.0</v>
      </c>
      <c r="AD396" s="19">
        <v>5.0</v>
      </c>
      <c r="AE396" s="19">
        <v>5.0</v>
      </c>
      <c r="AF396" s="19">
        <v>5.0</v>
      </c>
      <c r="AG396" s="19">
        <v>4.0</v>
      </c>
      <c r="AH396" s="19">
        <v>5.0</v>
      </c>
      <c r="AI396" s="22">
        <v>14.625</v>
      </c>
      <c r="AJ396" s="19">
        <v>13.0</v>
      </c>
      <c r="AK396" s="19">
        <v>13.0</v>
      </c>
      <c r="AL396" s="19">
        <v>12.0</v>
      </c>
      <c r="AM396" s="19">
        <v>38.0</v>
      </c>
      <c r="AN396" s="19">
        <v>52.6</v>
      </c>
      <c r="AO396" s="19">
        <v>67.6</v>
      </c>
      <c r="AP396" s="19">
        <v>440.0</v>
      </c>
      <c r="AQ396" s="23">
        <v>389.0</v>
      </c>
      <c r="AR396" s="23">
        <v>50.0</v>
      </c>
      <c r="AS396" s="22"/>
      <c r="AT396" s="19" t="s">
        <v>2282</v>
      </c>
      <c r="AU396" s="19" t="s">
        <v>2815</v>
      </c>
      <c r="AV396" s="19" t="s">
        <v>2816</v>
      </c>
      <c r="AW396" s="19"/>
      <c r="AX396" s="20">
        <v>36704.0</v>
      </c>
      <c r="AY396" s="19" t="s">
        <v>2817</v>
      </c>
      <c r="AZ396" s="19" t="s">
        <v>2122</v>
      </c>
      <c r="BA396" s="19" t="s">
        <v>2818</v>
      </c>
      <c r="BB396" s="19" t="s">
        <v>2489</v>
      </c>
      <c r="BC396" s="19" t="s">
        <v>8990</v>
      </c>
      <c r="BD396" s="19" t="s">
        <v>8991</v>
      </c>
      <c r="BE396" s="19" t="s">
        <v>8992</v>
      </c>
      <c r="BF396" s="19">
        <v>1.1949482628E10</v>
      </c>
      <c r="BG396" s="19" t="s">
        <v>2127</v>
      </c>
      <c r="BH396" s="19" t="s">
        <v>2128</v>
      </c>
      <c r="BI396" s="19"/>
      <c r="BJ396" s="19" t="s">
        <v>2427</v>
      </c>
      <c r="BK396" s="19" t="s">
        <v>17</v>
      </c>
      <c r="BL396" s="19"/>
      <c r="BM396" s="19" t="s">
        <v>5411</v>
      </c>
      <c r="BN396" s="19" t="s">
        <v>2131</v>
      </c>
      <c r="BO396" s="19" t="s">
        <v>2132</v>
      </c>
      <c r="BP396" s="19" t="s">
        <v>8993</v>
      </c>
      <c r="BQ396" s="19" t="s">
        <v>2133</v>
      </c>
      <c r="BR396" s="19" t="s">
        <v>2133</v>
      </c>
      <c r="BS396" s="19" t="s">
        <v>2134</v>
      </c>
      <c r="BT396" s="19" t="s">
        <v>38</v>
      </c>
      <c r="BU396" s="19" t="s">
        <v>8994</v>
      </c>
      <c r="BV396" s="19"/>
      <c r="BW396" s="19" t="s">
        <v>2113</v>
      </c>
      <c r="BX396" s="19"/>
      <c r="BY396" s="19"/>
      <c r="BZ396" s="19"/>
      <c r="CA396" s="19"/>
      <c r="CB396" s="19" t="s">
        <v>2113</v>
      </c>
      <c r="CC396" s="19"/>
      <c r="CD396" s="19" t="s">
        <v>2137</v>
      </c>
      <c r="CE396" s="19" t="s">
        <v>16</v>
      </c>
      <c r="CF396" s="19"/>
      <c r="CG396" s="19"/>
      <c r="CH396" s="19" t="s">
        <v>16</v>
      </c>
      <c r="CI396" s="21">
        <v>0.0</v>
      </c>
      <c r="CJ396" s="19" t="s">
        <v>16</v>
      </c>
      <c r="CK396" s="19"/>
      <c r="CL396" s="19"/>
      <c r="CM396" s="19" t="s">
        <v>2138</v>
      </c>
      <c r="CN396" s="19" t="s">
        <v>2294</v>
      </c>
      <c r="CO396" s="19"/>
      <c r="CP396" s="19" t="s">
        <v>2140</v>
      </c>
      <c r="CQ396" s="19"/>
      <c r="CR396" s="19"/>
      <c r="CS396" s="19"/>
      <c r="CT396" s="19" t="s">
        <v>2113</v>
      </c>
      <c r="CU396" s="19" t="s">
        <v>2113</v>
      </c>
      <c r="CV396" s="19" t="s">
        <v>2141</v>
      </c>
      <c r="CW396" s="19"/>
      <c r="CX396" s="19"/>
      <c r="CY396" s="19" t="s">
        <v>2113</v>
      </c>
      <c r="CZ396" s="19" t="s">
        <v>2113</v>
      </c>
      <c r="DA396" s="19" t="s">
        <v>16</v>
      </c>
      <c r="DB396" s="19" t="s">
        <v>16</v>
      </c>
      <c r="DC396" s="19" t="s">
        <v>2146</v>
      </c>
      <c r="DD396" s="19" t="s">
        <v>2113</v>
      </c>
      <c r="DE396" s="19" t="s">
        <v>2113</v>
      </c>
      <c r="DF396" s="19" t="s">
        <v>2433</v>
      </c>
      <c r="DG396" s="19" t="s">
        <v>2826</v>
      </c>
      <c r="DH396" s="19" t="s">
        <v>2144</v>
      </c>
      <c r="DI396" s="24">
        <v>45524.0</v>
      </c>
      <c r="DJ396" s="19" t="s">
        <v>2133</v>
      </c>
      <c r="DK396" s="19" t="s">
        <v>2271</v>
      </c>
      <c r="DL396" s="19" t="s">
        <v>2146</v>
      </c>
      <c r="DM396" s="19" t="s">
        <v>2628</v>
      </c>
      <c r="DN396" s="19">
        <v>8.0</v>
      </c>
      <c r="DO396" s="19">
        <v>8.0</v>
      </c>
      <c r="DP396" s="19" t="s">
        <v>8995</v>
      </c>
      <c r="DQ396" s="19" t="s">
        <v>8996</v>
      </c>
      <c r="DR396" s="19" t="s">
        <v>8997</v>
      </c>
      <c r="DS396" s="19" t="s">
        <v>2185</v>
      </c>
      <c r="DT396" s="19" t="s">
        <v>2229</v>
      </c>
      <c r="DU396" s="19"/>
      <c r="DV396" s="19"/>
      <c r="DW396" s="19" t="s">
        <v>2479</v>
      </c>
      <c r="DX396" s="19">
        <v>6.0</v>
      </c>
      <c r="DY396" s="19">
        <v>10.0</v>
      </c>
      <c r="DZ396" s="19">
        <v>0.0</v>
      </c>
      <c r="EA396" s="19">
        <v>10.0</v>
      </c>
      <c r="EB396" s="19">
        <v>0.0</v>
      </c>
      <c r="EC396" s="19">
        <v>0.0</v>
      </c>
      <c r="ED396" s="19" t="s">
        <v>2133</v>
      </c>
      <c r="EE396" s="24">
        <v>45524.0</v>
      </c>
      <c r="EF396" s="19" t="s">
        <v>2133</v>
      </c>
      <c r="EG396" s="19" t="s">
        <v>2271</v>
      </c>
      <c r="EH396" s="19" t="s">
        <v>2146</v>
      </c>
      <c r="EI396" s="22">
        <v>14.625</v>
      </c>
      <c r="EJ396" s="19">
        <v>38.0</v>
      </c>
      <c r="EK396" s="19"/>
      <c r="EL396" s="19" t="s">
        <v>2282</v>
      </c>
      <c r="EM396" s="19" t="s">
        <v>2815</v>
      </c>
      <c r="EN396" s="19" t="s">
        <v>1175</v>
      </c>
      <c r="EO396" s="19" t="s">
        <v>2817</v>
      </c>
      <c r="EP396" s="19" t="s">
        <v>2122</v>
      </c>
      <c r="EQ396" s="19" t="s">
        <v>2294</v>
      </c>
      <c r="ER396" s="19"/>
      <c r="ES396" s="19" t="s">
        <v>1175</v>
      </c>
      <c r="ET396" s="19" t="s">
        <v>1175</v>
      </c>
      <c r="EU396" s="19" t="s">
        <v>8988</v>
      </c>
      <c r="EV396" s="19">
        <v>8757.0</v>
      </c>
      <c r="EW396" s="19" t="s">
        <v>16</v>
      </c>
      <c r="EX396" s="19">
        <v>5.0</v>
      </c>
      <c r="EY396" s="25" t="s">
        <v>1174</v>
      </c>
      <c r="EZ396" s="19" t="s">
        <v>2154</v>
      </c>
      <c r="FA396" s="5" t="s">
        <v>8998</v>
      </c>
      <c r="FB396" s="26" t="s">
        <v>2156</v>
      </c>
      <c r="FC396" s="26"/>
    </row>
    <row r="397">
      <c r="A397" s="19"/>
      <c r="B397" s="19"/>
      <c r="C397" s="19" t="s">
        <v>2113</v>
      </c>
      <c r="D397" s="19" t="s">
        <v>1176</v>
      </c>
      <c r="E397" s="19" t="s">
        <v>8999</v>
      </c>
      <c r="F397" s="19" t="s">
        <v>1176</v>
      </c>
      <c r="G397" s="19"/>
      <c r="H397" s="19" t="s">
        <v>1176</v>
      </c>
      <c r="I397" s="19" t="s">
        <v>1178</v>
      </c>
      <c r="J397" s="19" t="s">
        <v>9000</v>
      </c>
      <c r="K397" s="19" t="s">
        <v>9001</v>
      </c>
      <c r="L397" s="20">
        <v>45446.0</v>
      </c>
      <c r="M397" s="20">
        <v>45447.0</v>
      </c>
      <c r="N397" s="20">
        <v>45447.0</v>
      </c>
      <c r="O397" s="19" t="s">
        <v>1177</v>
      </c>
      <c r="P397" s="19">
        <v>0.0</v>
      </c>
      <c r="Q397" s="19">
        <v>19.0</v>
      </c>
      <c r="R397" s="19">
        <v>7136.0</v>
      </c>
      <c r="S397" s="20" t="s">
        <v>9002</v>
      </c>
      <c r="T397" s="20">
        <v>45461.0</v>
      </c>
      <c r="U397" s="19" t="s">
        <v>1176</v>
      </c>
      <c r="V397" s="19"/>
      <c r="W397" s="19"/>
      <c r="X397" s="21">
        <v>0.0</v>
      </c>
      <c r="Y397" s="21">
        <v>10.0</v>
      </c>
      <c r="Z397" s="21">
        <v>2.0</v>
      </c>
      <c r="AA397" s="21">
        <v>0.0</v>
      </c>
      <c r="AB397" s="5">
        <v>12.0</v>
      </c>
      <c r="AC397" s="19">
        <v>5.0</v>
      </c>
      <c r="AD397" s="19">
        <v>4.0</v>
      </c>
      <c r="AE397" s="19">
        <v>5.0</v>
      </c>
      <c r="AF397" s="19">
        <v>4.0</v>
      </c>
      <c r="AG397" s="19">
        <v>4.5</v>
      </c>
      <c r="AH397" s="19">
        <v>4.5</v>
      </c>
      <c r="AI397" s="22">
        <v>13.59375</v>
      </c>
      <c r="AJ397" s="19">
        <v>15.0</v>
      </c>
      <c r="AK397" s="19">
        <v>13.0</v>
      </c>
      <c r="AL397" s="19">
        <v>14.0</v>
      </c>
      <c r="AM397" s="19">
        <v>42.0</v>
      </c>
      <c r="AN397" s="19">
        <v>55.6</v>
      </c>
      <c r="AO397" s="19">
        <v>67.6</v>
      </c>
      <c r="AP397" s="19">
        <v>887.0</v>
      </c>
      <c r="AQ397" s="23">
        <v>390.0</v>
      </c>
      <c r="AR397" s="23">
        <v>30.0</v>
      </c>
      <c r="AS397" s="22"/>
      <c r="AT397" s="19" t="s">
        <v>2117</v>
      </c>
      <c r="AU397" s="19" t="s">
        <v>5222</v>
      </c>
      <c r="AV397" s="19" t="s">
        <v>9003</v>
      </c>
      <c r="AW397" s="19"/>
      <c r="AX397" s="20">
        <v>38325.0</v>
      </c>
      <c r="AY397" s="19" t="s">
        <v>4978</v>
      </c>
      <c r="AZ397" s="19" t="s">
        <v>2310</v>
      </c>
      <c r="BA397" s="19" t="s">
        <v>9004</v>
      </c>
      <c r="BB397" s="19" t="s">
        <v>9005</v>
      </c>
      <c r="BC397" s="19" t="s">
        <v>9006</v>
      </c>
      <c r="BD397" s="19" t="s">
        <v>9007</v>
      </c>
      <c r="BE397" s="19" t="s">
        <v>9008</v>
      </c>
      <c r="BF397" s="19" t="s">
        <v>9009</v>
      </c>
      <c r="BG397" s="19" t="s">
        <v>2127</v>
      </c>
      <c r="BH397" s="19" t="s">
        <v>2128</v>
      </c>
      <c r="BI397" s="19"/>
      <c r="BJ397" s="19"/>
      <c r="BK397" s="19" t="s">
        <v>16</v>
      </c>
      <c r="BL397" s="19"/>
      <c r="BM397" s="19" t="s">
        <v>5411</v>
      </c>
      <c r="BN397" s="19" t="s">
        <v>2451</v>
      </c>
      <c r="BO397" s="19" t="s">
        <v>3199</v>
      </c>
      <c r="BP397" s="19" t="s">
        <v>9010</v>
      </c>
      <c r="BQ397" s="19" t="s">
        <v>2318</v>
      </c>
      <c r="BR397" s="19" t="s">
        <v>2318</v>
      </c>
      <c r="BS397" s="19" t="s">
        <v>2243</v>
      </c>
      <c r="BT397" s="19" t="s">
        <v>42</v>
      </c>
      <c r="BU397" s="19" t="s">
        <v>2452</v>
      </c>
      <c r="BV397" s="19"/>
      <c r="BW397" s="19"/>
      <c r="BX397" s="19" t="s">
        <v>2113</v>
      </c>
      <c r="BY397" s="19" t="s">
        <v>2113</v>
      </c>
      <c r="BZ397" s="19"/>
      <c r="CA397" s="19"/>
      <c r="CB397" s="19" t="s">
        <v>2113</v>
      </c>
      <c r="CC397" s="19"/>
      <c r="CD397" s="19" t="s">
        <v>2137</v>
      </c>
      <c r="CE397" s="19" t="s">
        <v>16</v>
      </c>
      <c r="CF397" s="19"/>
      <c r="CG397" s="19"/>
      <c r="CH397" s="19" t="s">
        <v>16</v>
      </c>
      <c r="CI397" s="21">
        <v>0.0</v>
      </c>
      <c r="CJ397" s="19" t="s">
        <v>17</v>
      </c>
      <c r="CK397" s="19"/>
      <c r="CL397" s="19"/>
      <c r="CM397" s="19"/>
      <c r="CN397" s="19" t="s">
        <v>4985</v>
      </c>
      <c r="CO397" s="19"/>
      <c r="CP397" s="19"/>
      <c r="CQ397" s="19"/>
      <c r="CR397" s="19"/>
      <c r="CS397" s="19"/>
      <c r="CT397" s="19"/>
      <c r="CU397" s="19"/>
      <c r="CV397" s="19" t="s">
        <v>2141</v>
      </c>
      <c r="CW397" s="19" t="s">
        <v>2113</v>
      </c>
      <c r="CX397" s="19" t="s">
        <v>2113</v>
      </c>
      <c r="CY397" s="19" t="s">
        <v>2113</v>
      </c>
      <c r="CZ397" s="19" t="s">
        <v>2113</v>
      </c>
      <c r="DA397" s="19" t="s">
        <v>16</v>
      </c>
      <c r="DB397" s="19" t="s">
        <v>17</v>
      </c>
      <c r="DC397" s="19" t="s">
        <v>2712</v>
      </c>
      <c r="DD397" s="19" t="s">
        <v>2113</v>
      </c>
      <c r="DE397" s="19" t="s">
        <v>2113</v>
      </c>
      <c r="DF397" s="19" t="s">
        <v>2983</v>
      </c>
      <c r="DG397" s="19" t="s">
        <v>3280</v>
      </c>
      <c r="DH397" s="19" t="s">
        <v>2144</v>
      </c>
      <c r="DI397" s="24">
        <v>45518.0</v>
      </c>
      <c r="DJ397" s="19" t="s">
        <v>2325</v>
      </c>
      <c r="DK397" s="19" t="s">
        <v>2271</v>
      </c>
      <c r="DL397" s="19" t="s">
        <v>2326</v>
      </c>
      <c r="DM397" s="19"/>
      <c r="DN397" s="19">
        <v>4.0</v>
      </c>
      <c r="DO397" s="19">
        <v>4.0</v>
      </c>
      <c r="DP397" s="19" t="s">
        <v>9011</v>
      </c>
      <c r="DQ397" s="19" t="s">
        <v>9012</v>
      </c>
      <c r="DR397" s="19" t="s">
        <v>9013</v>
      </c>
      <c r="DS397" s="19" t="s">
        <v>2185</v>
      </c>
      <c r="DT397" s="19" t="s">
        <v>2209</v>
      </c>
      <c r="DU397" s="19"/>
      <c r="DV397" s="19"/>
      <c r="DW397" s="19" t="s">
        <v>2188</v>
      </c>
      <c r="DX397" s="19">
        <v>5.0</v>
      </c>
      <c r="DY397" s="19">
        <v>10.0</v>
      </c>
      <c r="DZ397" s="19">
        <v>0.0</v>
      </c>
      <c r="EA397" s="19">
        <v>10.0</v>
      </c>
      <c r="EB397" s="19">
        <v>0.0</v>
      </c>
      <c r="EC397" s="19">
        <v>0.0</v>
      </c>
      <c r="ED397" s="19" t="s">
        <v>2325</v>
      </c>
      <c r="EE397" s="24">
        <v>45518.0</v>
      </c>
      <c r="EF397" s="19" t="s">
        <v>2325</v>
      </c>
      <c r="EG397" s="19" t="s">
        <v>2271</v>
      </c>
      <c r="EH397" s="19" t="s">
        <v>2326</v>
      </c>
      <c r="EI397" s="22">
        <v>13.59375</v>
      </c>
      <c r="EJ397" s="19">
        <v>42.0</v>
      </c>
      <c r="EK397" s="19" t="s">
        <v>2113</v>
      </c>
      <c r="EL397" s="19" t="s">
        <v>2117</v>
      </c>
      <c r="EM397" s="19" t="s">
        <v>5222</v>
      </c>
      <c r="EN397" s="19" t="s">
        <v>1178</v>
      </c>
      <c r="EO397" s="19" t="s">
        <v>4978</v>
      </c>
      <c r="EP397" s="19" t="s">
        <v>2310</v>
      </c>
      <c r="EQ397" s="19" t="s">
        <v>4985</v>
      </c>
      <c r="ER397" s="19"/>
      <c r="ES397" s="19" t="s">
        <v>1178</v>
      </c>
      <c r="ET397" s="19" t="s">
        <v>1178</v>
      </c>
      <c r="EU397" s="19" t="s">
        <v>9001</v>
      </c>
      <c r="EV397" s="19">
        <v>7136.0</v>
      </c>
      <c r="EW397" s="19" t="s">
        <v>16</v>
      </c>
      <c r="EX397" s="19">
        <v>2.0</v>
      </c>
      <c r="EY397" s="25" t="s">
        <v>1177</v>
      </c>
      <c r="EZ397" s="19" t="s">
        <v>2154</v>
      </c>
      <c r="FA397" s="5" t="s">
        <v>9014</v>
      </c>
      <c r="FB397" s="26" t="s">
        <v>2156</v>
      </c>
      <c r="FC397" s="26"/>
    </row>
    <row r="398">
      <c r="A398" s="19" t="s">
        <v>2156</v>
      </c>
      <c r="B398" s="19"/>
      <c r="C398" s="19" t="s">
        <v>2113</v>
      </c>
      <c r="D398" s="19" t="s">
        <v>1179</v>
      </c>
      <c r="E398" s="19" t="s">
        <v>9015</v>
      </c>
      <c r="F398" s="19" t="s">
        <v>1179</v>
      </c>
      <c r="G398" s="19"/>
      <c r="H398" s="19" t="s">
        <v>1179</v>
      </c>
      <c r="I398" s="19" t="s">
        <v>1181</v>
      </c>
      <c r="J398" s="19" t="s">
        <v>9016</v>
      </c>
      <c r="K398" s="19" t="s">
        <v>9017</v>
      </c>
      <c r="L398" s="20">
        <v>45397.0</v>
      </c>
      <c r="M398" s="20">
        <v>45411.0</v>
      </c>
      <c r="N398" s="20">
        <v>45411.0</v>
      </c>
      <c r="O398" s="19" t="s">
        <v>1180</v>
      </c>
      <c r="P398" s="19">
        <v>0.0</v>
      </c>
      <c r="Q398" s="19">
        <v>26.0</v>
      </c>
      <c r="R398" s="19">
        <v>9712.0</v>
      </c>
      <c r="S398" s="20" t="s">
        <v>9018</v>
      </c>
      <c r="T398" s="20">
        <v>45461.0</v>
      </c>
      <c r="U398" s="19" t="s">
        <v>1179</v>
      </c>
      <c r="V398" s="19"/>
      <c r="W398" s="19"/>
      <c r="X398" s="21">
        <v>0.0</v>
      </c>
      <c r="Y398" s="21">
        <v>10.0</v>
      </c>
      <c r="Z398" s="21">
        <v>1.0</v>
      </c>
      <c r="AA398" s="21">
        <v>0.0</v>
      </c>
      <c r="AB398" s="5">
        <v>11.0</v>
      </c>
      <c r="AC398" s="19">
        <v>4.5</v>
      </c>
      <c r="AD398" s="19">
        <v>4.5</v>
      </c>
      <c r="AE398" s="19">
        <v>4.0</v>
      </c>
      <c r="AF398" s="19">
        <v>3.0</v>
      </c>
      <c r="AG398" s="19">
        <v>3.0</v>
      </c>
      <c r="AH398" s="19">
        <v>3.5</v>
      </c>
      <c r="AI398" s="22">
        <v>11.625</v>
      </c>
      <c r="AJ398" s="19">
        <v>15.0</v>
      </c>
      <c r="AK398" s="19">
        <v>15.0</v>
      </c>
      <c r="AL398" s="19">
        <v>15.0</v>
      </c>
      <c r="AM398" s="19">
        <v>45.0</v>
      </c>
      <c r="AN398" s="19">
        <v>56.6</v>
      </c>
      <c r="AO398" s="19">
        <v>67.6</v>
      </c>
      <c r="AP398" s="19">
        <v>919.0</v>
      </c>
      <c r="AQ398" s="23">
        <v>391.0</v>
      </c>
      <c r="AR398" s="23">
        <v>32.0</v>
      </c>
      <c r="AS398" s="22"/>
      <c r="AT398" s="19" t="s">
        <v>5281</v>
      </c>
      <c r="AU398" s="19" t="s">
        <v>9019</v>
      </c>
      <c r="AV398" s="19" t="s">
        <v>9020</v>
      </c>
      <c r="AW398" s="19"/>
      <c r="AX398" s="20">
        <v>35749.0</v>
      </c>
      <c r="AY398" s="19" t="s">
        <v>9021</v>
      </c>
      <c r="AZ398" s="19" t="s">
        <v>2310</v>
      </c>
      <c r="BA398" s="19" t="s">
        <v>9022</v>
      </c>
      <c r="BB398" s="19" t="s">
        <v>8961</v>
      </c>
      <c r="BC398" s="19" t="s">
        <v>9023</v>
      </c>
      <c r="BD398" s="19" t="s">
        <v>9024</v>
      </c>
      <c r="BE398" s="19" t="s">
        <v>9025</v>
      </c>
      <c r="BF398" s="19" t="s">
        <v>9026</v>
      </c>
      <c r="BG398" s="19" t="s">
        <v>2127</v>
      </c>
      <c r="BH398" s="19" t="s">
        <v>2128</v>
      </c>
      <c r="BI398" s="19"/>
      <c r="BJ398" s="19" t="s">
        <v>2128</v>
      </c>
      <c r="BK398" s="19" t="s">
        <v>17</v>
      </c>
      <c r="BL398" s="19"/>
      <c r="BM398" s="19" t="s">
        <v>5411</v>
      </c>
      <c r="BN398" s="19" t="s">
        <v>17</v>
      </c>
      <c r="BO398" s="19" t="s">
        <v>3082</v>
      </c>
      <c r="BP398" s="19"/>
      <c r="BQ398" s="19" t="s">
        <v>2325</v>
      </c>
      <c r="BR398" s="19" t="s">
        <v>2325</v>
      </c>
      <c r="BS398" s="19" t="s">
        <v>2134</v>
      </c>
      <c r="BT398" s="19" t="s">
        <v>118</v>
      </c>
      <c r="BU398" s="19" t="s">
        <v>9027</v>
      </c>
      <c r="BV398" s="19"/>
      <c r="BW398" s="19" t="s">
        <v>2113</v>
      </c>
      <c r="BX398" s="19"/>
      <c r="BY398" s="19"/>
      <c r="BZ398" s="19"/>
      <c r="CA398" s="19"/>
      <c r="CB398" s="19"/>
      <c r="CC398" s="19"/>
      <c r="CD398" s="19" t="s">
        <v>2137</v>
      </c>
      <c r="CE398" s="19" t="s">
        <v>16</v>
      </c>
      <c r="CF398" s="19"/>
      <c r="CG398" s="19"/>
      <c r="CH398" s="19" t="s">
        <v>16</v>
      </c>
      <c r="CI398" s="21">
        <v>0.0</v>
      </c>
      <c r="CJ398" s="19" t="s">
        <v>17</v>
      </c>
      <c r="CK398" s="19"/>
      <c r="CL398" s="19"/>
      <c r="CM398" s="19" t="s">
        <v>2138</v>
      </c>
      <c r="CN398" s="19" t="s">
        <v>3503</v>
      </c>
      <c r="CO398" s="19"/>
      <c r="CP398" s="19" t="s">
        <v>2140</v>
      </c>
      <c r="CQ398" s="19"/>
      <c r="CR398" s="19"/>
      <c r="CS398" s="19"/>
      <c r="CT398" s="19" t="s">
        <v>2113</v>
      </c>
      <c r="CU398" s="19" t="s">
        <v>2113</v>
      </c>
      <c r="CV398" s="19" t="s">
        <v>2141</v>
      </c>
      <c r="CW398" s="19"/>
      <c r="CX398" s="19"/>
      <c r="CY398" s="19"/>
      <c r="CZ398" s="19"/>
      <c r="DA398" s="19" t="s">
        <v>16</v>
      </c>
      <c r="DB398" s="19" t="s">
        <v>17</v>
      </c>
      <c r="DC398" s="19" t="s">
        <v>4652</v>
      </c>
      <c r="DD398" s="19"/>
      <c r="DE398" s="19"/>
      <c r="DF398" s="19" t="s">
        <v>3933</v>
      </c>
      <c r="DG398" s="19" t="s">
        <v>2248</v>
      </c>
      <c r="DH398" s="19" t="s">
        <v>2144</v>
      </c>
      <c r="DI398" s="24">
        <v>45518.0</v>
      </c>
      <c r="DJ398" s="19" t="s">
        <v>2325</v>
      </c>
      <c r="DK398" s="19" t="s">
        <v>2145</v>
      </c>
      <c r="DL398" s="19" t="s">
        <v>2326</v>
      </c>
      <c r="DM398" s="19"/>
      <c r="DN398" s="19">
        <v>3.0</v>
      </c>
      <c r="DO398" s="19">
        <v>3.0</v>
      </c>
      <c r="DP398" s="19" t="s">
        <v>9028</v>
      </c>
      <c r="DQ398" s="19" t="s">
        <v>9029</v>
      </c>
      <c r="DR398" s="19" t="s">
        <v>9030</v>
      </c>
      <c r="DS398" s="19" t="s">
        <v>2185</v>
      </c>
      <c r="DT398" s="19" t="s">
        <v>2301</v>
      </c>
      <c r="DU398" s="19"/>
      <c r="DV398" s="19"/>
      <c r="DW398" s="19" t="s">
        <v>2153</v>
      </c>
      <c r="DX398" s="19">
        <v>3.0</v>
      </c>
      <c r="DY398" s="19">
        <v>10.0</v>
      </c>
      <c r="DZ398" s="19">
        <v>0.0</v>
      </c>
      <c r="EA398" s="19">
        <v>10.0</v>
      </c>
      <c r="EB398" s="19">
        <v>0.0</v>
      </c>
      <c r="EC398" s="19">
        <v>0.0</v>
      </c>
      <c r="ED398" s="19" t="s">
        <v>2325</v>
      </c>
      <c r="EE398" s="24">
        <v>45518.0</v>
      </c>
      <c r="EF398" s="19" t="s">
        <v>2325</v>
      </c>
      <c r="EG398" s="19" t="s">
        <v>2145</v>
      </c>
      <c r="EH398" s="19" t="s">
        <v>2326</v>
      </c>
      <c r="EI398" s="22">
        <v>11.625</v>
      </c>
      <c r="EJ398" s="19">
        <v>45.0</v>
      </c>
      <c r="EK398" s="19" t="s">
        <v>2113</v>
      </c>
      <c r="EL398" s="19" t="s">
        <v>5281</v>
      </c>
      <c r="EM398" s="19" t="s">
        <v>9019</v>
      </c>
      <c r="EN398" s="19" t="s">
        <v>1181</v>
      </c>
      <c r="EO398" s="19" t="s">
        <v>9021</v>
      </c>
      <c r="EP398" s="19" t="s">
        <v>2310</v>
      </c>
      <c r="EQ398" s="19" t="s">
        <v>3503</v>
      </c>
      <c r="ER398" s="19"/>
      <c r="ES398" s="19" t="s">
        <v>1181</v>
      </c>
      <c r="ET398" s="19" t="s">
        <v>1181</v>
      </c>
      <c r="EU398" s="19" t="s">
        <v>9017</v>
      </c>
      <c r="EV398" s="19">
        <v>9712.0</v>
      </c>
      <c r="EW398" s="19" t="s">
        <v>16</v>
      </c>
      <c r="EX398" s="19">
        <v>1.0</v>
      </c>
      <c r="EY398" s="25" t="s">
        <v>1180</v>
      </c>
      <c r="EZ398" s="19" t="s">
        <v>2154</v>
      </c>
      <c r="FA398" s="5" t="s">
        <v>9031</v>
      </c>
      <c r="FB398" s="26" t="s">
        <v>2156</v>
      </c>
      <c r="FC398" s="26"/>
    </row>
    <row r="399">
      <c r="A399" s="19" t="s">
        <v>2156</v>
      </c>
      <c r="B399" s="19"/>
      <c r="C399" s="19" t="s">
        <v>2113</v>
      </c>
      <c r="D399" s="19" t="s">
        <v>1182</v>
      </c>
      <c r="E399" s="19" t="s">
        <v>9032</v>
      </c>
      <c r="F399" s="19" t="s">
        <v>1182</v>
      </c>
      <c r="G399" s="19" t="s">
        <v>9033</v>
      </c>
      <c r="H399" s="19" t="s">
        <v>1182</v>
      </c>
      <c r="I399" s="19" t="s">
        <v>1184</v>
      </c>
      <c r="J399" s="19" t="s">
        <v>9034</v>
      </c>
      <c r="K399" s="19" t="s">
        <v>9035</v>
      </c>
      <c r="L399" s="20">
        <v>45446.0</v>
      </c>
      <c r="M399" s="20">
        <v>45447.0</v>
      </c>
      <c r="N399" s="20">
        <v>45447.0</v>
      </c>
      <c r="O399" s="19" t="s">
        <v>1183</v>
      </c>
      <c r="P399" s="19">
        <v>0.0</v>
      </c>
      <c r="Q399" s="19">
        <v>28.0</v>
      </c>
      <c r="R399" s="19">
        <v>10505.0</v>
      </c>
      <c r="S399" s="20" t="s">
        <v>9036</v>
      </c>
      <c r="T399" s="20">
        <v>45461.0</v>
      </c>
      <c r="U399" s="19" t="s">
        <v>9037</v>
      </c>
      <c r="V399" s="19"/>
      <c r="W399" s="19"/>
      <c r="X399" s="21">
        <v>0.0</v>
      </c>
      <c r="Y399" s="21">
        <v>10.0</v>
      </c>
      <c r="Z399" s="21">
        <v>2.0</v>
      </c>
      <c r="AA399" s="21">
        <v>0.0</v>
      </c>
      <c r="AB399" s="5">
        <v>12.0</v>
      </c>
      <c r="AC399" s="19">
        <v>4.333333333333333</v>
      </c>
      <c r="AD399" s="19">
        <v>4.333333333333333</v>
      </c>
      <c r="AE399" s="19">
        <v>5.0</v>
      </c>
      <c r="AF399" s="19">
        <v>4.333333333333333</v>
      </c>
      <c r="AG399" s="19">
        <v>4.0</v>
      </c>
      <c r="AH399" s="19">
        <v>4.666666666666667</v>
      </c>
      <c r="AI399" s="22">
        <v>13.5</v>
      </c>
      <c r="AJ399" s="19">
        <v>12.0</v>
      </c>
      <c r="AK399" s="19">
        <v>15.0</v>
      </c>
      <c r="AL399" s="19">
        <v>15.0</v>
      </c>
      <c r="AM399" s="19">
        <v>42.0</v>
      </c>
      <c r="AN399" s="19">
        <v>55.5</v>
      </c>
      <c r="AO399" s="19">
        <v>67.5</v>
      </c>
      <c r="AP399" s="19">
        <v>831.0</v>
      </c>
      <c r="AQ399" s="23">
        <v>392.0</v>
      </c>
      <c r="AR399" s="23">
        <v>13.0</v>
      </c>
      <c r="AS399" s="22"/>
      <c r="AT399" s="19" t="s">
        <v>2117</v>
      </c>
      <c r="AU399" s="19" t="s">
        <v>3590</v>
      </c>
      <c r="AV399" s="19" t="s">
        <v>3591</v>
      </c>
      <c r="AW399" s="19" t="s">
        <v>9038</v>
      </c>
      <c r="AX399" s="20">
        <v>34956.0</v>
      </c>
      <c r="AY399" s="19" t="s">
        <v>3593</v>
      </c>
      <c r="AZ399" s="19" t="s">
        <v>2310</v>
      </c>
      <c r="BA399" s="19" t="s">
        <v>3594</v>
      </c>
      <c r="BB399" s="19" t="s">
        <v>4220</v>
      </c>
      <c r="BC399" s="19" t="s">
        <v>9039</v>
      </c>
      <c r="BD399" s="19" t="s">
        <v>9040</v>
      </c>
      <c r="BE399" s="19" t="s">
        <v>9034</v>
      </c>
      <c r="BF399" s="19">
        <v>1.1959723654E10</v>
      </c>
      <c r="BG399" s="19" t="s">
        <v>2127</v>
      </c>
      <c r="BH399" s="19" t="s">
        <v>2128</v>
      </c>
      <c r="BI399" s="19"/>
      <c r="BJ399" s="19" t="s">
        <v>2128</v>
      </c>
      <c r="BK399" s="19" t="s">
        <v>17</v>
      </c>
      <c r="BL399" s="19" t="s">
        <v>2113</v>
      </c>
      <c r="BM399" s="19" t="s">
        <v>5411</v>
      </c>
      <c r="BN399" s="19" t="s">
        <v>17</v>
      </c>
      <c r="BO399" s="19" t="s">
        <v>3199</v>
      </c>
      <c r="BP399" s="19" t="s">
        <v>9041</v>
      </c>
      <c r="BQ399" s="19" t="s">
        <v>3251</v>
      </c>
      <c r="BR399" s="19" t="s">
        <v>3251</v>
      </c>
      <c r="BS399" s="19" t="s">
        <v>2243</v>
      </c>
      <c r="BT399" s="19" t="s">
        <v>177</v>
      </c>
      <c r="BU399" s="19" t="s">
        <v>9042</v>
      </c>
      <c r="BV399" s="19"/>
      <c r="BW399" s="19"/>
      <c r="BX399" s="19"/>
      <c r="BY399" s="19"/>
      <c r="BZ399" s="19"/>
      <c r="CA399" s="19"/>
      <c r="CB399" s="19" t="s">
        <v>2113</v>
      </c>
      <c r="CC399" s="19"/>
      <c r="CD399" s="19" t="s">
        <v>2137</v>
      </c>
      <c r="CE399" s="19" t="s">
        <v>16</v>
      </c>
      <c r="CF399" s="19"/>
      <c r="CG399" s="19"/>
      <c r="CH399" s="19" t="s">
        <v>16</v>
      </c>
      <c r="CI399" s="21">
        <v>0.0</v>
      </c>
      <c r="CJ399" s="19" t="s">
        <v>17</v>
      </c>
      <c r="CK399" s="19"/>
      <c r="CL399" s="19"/>
      <c r="CM399" s="19" t="s">
        <v>2344</v>
      </c>
      <c r="CN399" s="19" t="s">
        <v>3253</v>
      </c>
      <c r="CO399" s="19"/>
      <c r="CP399" s="19" t="s">
        <v>2178</v>
      </c>
      <c r="CQ399" s="19"/>
      <c r="CR399" s="19"/>
      <c r="CS399" s="19"/>
      <c r="CT399" s="19"/>
      <c r="CU399" s="19"/>
      <c r="CV399" s="19" t="s">
        <v>2141</v>
      </c>
      <c r="CW399" s="19" t="s">
        <v>2113</v>
      </c>
      <c r="CX399" s="19" t="s">
        <v>2113</v>
      </c>
      <c r="CY399" s="19" t="s">
        <v>2113</v>
      </c>
      <c r="CZ399" s="19" t="s">
        <v>2113</v>
      </c>
      <c r="DA399" s="19" t="s">
        <v>16</v>
      </c>
      <c r="DB399" s="19" t="s">
        <v>17</v>
      </c>
      <c r="DC399" s="19" t="s">
        <v>2207</v>
      </c>
      <c r="DD399" s="19" t="s">
        <v>2113</v>
      </c>
      <c r="DE399" s="19" t="s">
        <v>2113</v>
      </c>
      <c r="DF399" s="19" t="s">
        <v>2602</v>
      </c>
      <c r="DG399" s="19" t="s">
        <v>3163</v>
      </c>
      <c r="DH399" s="19" t="s">
        <v>2144</v>
      </c>
      <c r="DI399" s="24">
        <v>45525.0</v>
      </c>
      <c r="DJ399" s="19" t="s">
        <v>3257</v>
      </c>
      <c r="DK399" s="19" t="s">
        <v>2271</v>
      </c>
      <c r="DL399" s="19" t="s">
        <v>2207</v>
      </c>
      <c r="DM399" s="22" t="s">
        <v>9043</v>
      </c>
      <c r="DN399" s="19">
        <v>4.0</v>
      </c>
      <c r="DO399" s="19">
        <v>4.0</v>
      </c>
      <c r="DP399" s="19" t="s">
        <v>9044</v>
      </c>
      <c r="DQ399" s="19" t="s">
        <v>9045</v>
      </c>
      <c r="DR399" s="19" t="s">
        <v>9046</v>
      </c>
      <c r="DS399" s="19" t="s">
        <v>2151</v>
      </c>
      <c r="DT399" s="19" t="s">
        <v>2152</v>
      </c>
      <c r="DU399" s="19"/>
      <c r="DV399" s="19"/>
      <c r="DW399" s="19" t="s">
        <v>2479</v>
      </c>
      <c r="DX399" s="19">
        <v>16.0</v>
      </c>
      <c r="DY399" s="19">
        <v>10.0</v>
      </c>
      <c r="DZ399" s="19">
        <v>0.0</v>
      </c>
      <c r="EA399" s="19">
        <v>10.0</v>
      </c>
      <c r="EB399" s="19">
        <v>0.0</v>
      </c>
      <c r="EC399" s="19">
        <v>0.0</v>
      </c>
      <c r="ED399" s="19" t="s">
        <v>3257</v>
      </c>
      <c r="EE399" s="24">
        <v>45525.0</v>
      </c>
      <c r="EF399" s="19" t="s">
        <v>3257</v>
      </c>
      <c r="EG399" s="19" t="s">
        <v>2271</v>
      </c>
      <c r="EH399" s="19" t="s">
        <v>2207</v>
      </c>
      <c r="EI399" s="22">
        <v>13.5</v>
      </c>
      <c r="EJ399" s="19">
        <v>42.0</v>
      </c>
      <c r="EK399" s="19" t="s">
        <v>2113</v>
      </c>
      <c r="EL399" s="19" t="s">
        <v>2117</v>
      </c>
      <c r="EM399" s="19" t="s">
        <v>3590</v>
      </c>
      <c r="EN399" s="19" t="s">
        <v>1184</v>
      </c>
      <c r="EO399" s="19" t="s">
        <v>3593</v>
      </c>
      <c r="EP399" s="19" t="s">
        <v>2310</v>
      </c>
      <c r="EQ399" s="19" t="s">
        <v>3253</v>
      </c>
      <c r="ER399" s="19"/>
      <c r="ES399" s="19" t="s">
        <v>1184</v>
      </c>
      <c r="ET399" s="19" t="s">
        <v>1184</v>
      </c>
      <c r="EU399" s="19" t="s">
        <v>9035</v>
      </c>
      <c r="EV399" s="19">
        <v>10505.0</v>
      </c>
      <c r="EW399" s="19" t="s">
        <v>16</v>
      </c>
      <c r="EX399" s="19">
        <v>2.0</v>
      </c>
      <c r="EY399" s="25" t="s">
        <v>1183</v>
      </c>
      <c r="EZ399" s="19" t="s">
        <v>2154</v>
      </c>
      <c r="FA399" s="5" t="s">
        <v>9047</v>
      </c>
      <c r="FB399" s="26" t="s">
        <v>2156</v>
      </c>
      <c r="FC399" s="26"/>
    </row>
    <row r="400">
      <c r="A400" s="19" t="s">
        <v>2112</v>
      </c>
      <c r="B400" s="19"/>
      <c r="C400" s="19" t="s">
        <v>2113</v>
      </c>
      <c r="D400" s="19" t="s">
        <v>1185</v>
      </c>
      <c r="E400" s="19" t="s">
        <v>9048</v>
      </c>
      <c r="F400" s="19" t="s">
        <v>1185</v>
      </c>
      <c r="G400" s="19"/>
      <c r="H400" s="19" t="s">
        <v>1185</v>
      </c>
      <c r="I400" s="19" t="s">
        <v>1187</v>
      </c>
      <c r="J400" s="19" t="s">
        <v>9049</v>
      </c>
      <c r="K400" s="19" t="s">
        <v>9050</v>
      </c>
      <c r="L400" s="20">
        <v>45426.0</v>
      </c>
      <c r="M400" s="20">
        <v>45428.0</v>
      </c>
      <c r="N400" s="20">
        <v>45428.0</v>
      </c>
      <c r="O400" s="19" t="s">
        <v>1186</v>
      </c>
      <c r="P400" s="19">
        <v>0.0</v>
      </c>
      <c r="Q400" s="19">
        <v>20.0</v>
      </c>
      <c r="R400" s="19">
        <v>7563.0</v>
      </c>
      <c r="S400" s="20" t="s">
        <v>9051</v>
      </c>
      <c r="T400" s="20">
        <v>45461.0</v>
      </c>
      <c r="U400" s="19" t="s">
        <v>1185</v>
      </c>
      <c r="V400" s="19"/>
      <c r="W400" s="19"/>
      <c r="X400" s="21">
        <v>0.0</v>
      </c>
      <c r="Y400" s="21">
        <v>10.0</v>
      </c>
      <c r="Z400" s="21">
        <v>5.0</v>
      </c>
      <c r="AA400" s="21">
        <v>0.0</v>
      </c>
      <c r="AB400" s="5">
        <v>15.0</v>
      </c>
      <c r="AC400" s="19">
        <v>4.2</v>
      </c>
      <c r="AD400" s="19">
        <v>3.8</v>
      </c>
      <c r="AE400" s="19">
        <v>4.2</v>
      </c>
      <c r="AF400" s="19">
        <v>4.4</v>
      </c>
      <c r="AG400" s="19">
        <v>3.6</v>
      </c>
      <c r="AH400" s="19">
        <v>4.8</v>
      </c>
      <c r="AI400" s="22">
        <v>12.412499999999998</v>
      </c>
      <c r="AJ400" s="19">
        <v>15.0</v>
      </c>
      <c r="AK400" s="19">
        <v>10.0</v>
      </c>
      <c r="AL400" s="19">
        <v>15.0</v>
      </c>
      <c r="AM400" s="19">
        <v>40.0</v>
      </c>
      <c r="AN400" s="19">
        <v>52.4</v>
      </c>
      <c r="AO400" s="19">
        <v>67.4</v>
      </c>
      <c r="AP400" s="19">
        <v>497.0</v>
      </c>
      <c r="AQ400" s="23">
        <v>393.0</v>
      </c>
      <c r="AR400" s="23">
        <v>28.0</v>
      </c>
      <c r="AS400" s="22"/>
      <c r="AT400" s="19" t="s">
        <v>2282</v>
      </c>
      <c r="AU400" s="19" t="s">
        <v>9052</v>
      </c>
      <c r="AV400" s="19" t="s">
        <v>9053</v>
      </c>
      <c r="AW400" s="19"/>
      <c r="AX400" s="20">
        <v>37898.0</v>
      </c>
      <c r="AY400" s="19" t="s">
        <v>4681</v>
      </c>
      <c r="AZ400" s="19" t="s">
        <v>2122</v>
      </c>
      <c r="BA400" s="19" t="s">
        <v>9054</v>
      </c>
      <c r="BB400" s="19" t="s">
        <v>2764</v>
      </c>
      <c r="BC400" s="19" t="s">
        <v>9055</v>
      </c>
      <c r="BD400" s="19" t="s">
        <v>9056</v>
      </c>
      <c r="BE400" s="19"/>
      <c r="BF400" s="19"/>
      <c r="BG400" s="19" t="s">
        <v>2127</v>
      </c>
      <c r="BH400" s="19" t="s">
        <v>4080</v>
      </c>
      <c r="BI400" s="19"/>
      <c r="BJ400" s="19"/>
      <c r="BK400" s="19" t="s">
        <v>16</v>
      </c>
      <c r="BL400" s="19"/>
      <c r="BM400" s="19" t="s">
        <v>5411</v>
      </c>
      <c r="BN400" s="19" t="s">
        <v>2172</v>
      </c>
      <c r="BO400" s="19" t="s">
        <v>2132</v>
      </c>
      <c r="BP400" s="19" t="s">
        <v>9057</v>
      </c>
      <c r="BQ400" s="19" t="s">
        <v>2174</v>
      </c>
      <c r="BR400" s="19" t="s">
        <v>2174</v>
      </c>
      <c r="BS400" s="19" t="s">
        <v>2134</v>
      </c>
      <c r="BT400" s="19" t="s">
        <v>75</v>
      </c>
      <c r="BU400" s="19"/>
      <c r="BV400" s="19"/>
      <c r="BW400" s="19" t="s">
        <v>2113</v>
      </c>
      <c r="BX400" s="19"/>
      <c r="BY400" s="19"/>
      <c r="BZ400" s="19"/>
      <c r="CA400" s="19"/>
      <c r="CB400" s="19"/>
      <c r="CC400" s="19"/>
      <c r="CD400" s="19" t="s">
        <v>2137</v>
      </c>
      <c r="CE400" s="19" t="s">
        <v>16</v>
      </c>
      <c r="CF400" s="19"/>
      <c r="CG400" s="19"/>
      <c r="CH400" s="19" t="s">
        <v>16</v>
      </c>
      <c r="CI400" s="21">
        <v>0.0</v>
      </c>
      <c r="CJ400" s="19" t="s">
        <v>16</v>
      </c>
      <c r="CK400" s="19"/>
      <c r="CL400" s="19"/>
      <c r="CM400" s="19" t="s">
        <v>2138</v>
      </c>
      <c r="CN400" s="19" t="s">
        <v>2537</v>
      </c>
      <c r="CO400" s="19" t="s">
        <v>2177</v>
      </c>
      <c r="CP400" s="19"/>
      <c r="CQ400" s="19"/>
      <c r="CR400" s="19"/>
      <c r="CS400" s="19"/>
      <c r="CT400" s="19" t="s">
        <v>2113</v>
      </c>
      <c r="CU400" s="19" t="s">
        <v>2113</v>
      </c>
      <c r="CV400" s="19" t="s">
        <v>2141</v>
      </c>
      <c r="CW400" s="19" t="s">
        <v>2113</v>
      </c>
      <c r="CX400" s="19" t="s">
        <v>2113</v>
      </c>
      <c r="CY400" s="19" t="s">
        <v>2113</v>
      </c>
      <c r="CZ400" s="19" t="s">
        <v>2113</v>
      </c>
      <c r="DA400" s="19" t="s">
        <v>16</v>
      </c>
      <c r="DB400" s="19" t="s">
        <v>16</v>
      </c>
      <c r="DC400" s="19" t="s">
        <v>2247</v>
      </c>
      <c r="DD400" s="19" t="s">
        <v>2113</v>
      </c>
      <c r="DE400" s="19" t="s">
        <v>2113</v>
      </c>
      <c r="DF400" s="19" t="s">
        <v>2345</v>
      </c>
      <c r="DG400" s="19" t="s">
        <v>2769</v>
      </c>
      <c r="DH400" s="19" t="s">
        <v>2144</v>
      </c>
      <c r="DI400" s="24">
        <v>45517.0</v>
      </c>
      <c r="DJ400" s="19" t="s">
        <v>2174</v>
      </c>
      <c r="DK400" s="19" t="s">
        <v>2145</v>
      </c>
      <c r="DL400" s="19" t="s">
        <v>2183</v>
      </c>
      <c r="DM400" s="19" t="s">
        <v>2184</v>
      </c>
      <c r="DN400" s="19">
        <v>1.0</v>
      </c>
      <c r="DO400" s="19">
        <v>1.0</v>
      </c>
      <c r="DP400" s="19" t="s">
        <v>9058</v>
      </c>
      <c r="DQ400" s="19" t="s">
        <v>9059</v>
      </c>
      <c r="DR400" s="19" t="s">
        <v>9060</v>
      </c>
      <c r="DS400" s="19" t="s">
        <v>2185</v>
      </c>
      <c r="DT400" s="19" t="s">
        <v>2366</v>
      </c>
      <c r="DU400" s="19"/>
      <c r="DV400" s="19"/>
      <c r="DW400" s="19" t="s">
        <v>2153</v>
      </c>
      <c r="DX400" s="19">
        <v>2.0</v>
      </c>
      <c r="DY400" s="19">
        <v>10.0</v>
      </c>
      <c r="DZ400" s="19">
        <v>0.0</v>
      </c>
      <c r="EA400" s="19">
        <v>10.0</v>
      </c>
      <c r="EB400" s="19">
        <v>0.0</v>
      </c>
      <c r="EC400" s="19">
        <v>0.0</v>
      </c>
      <c r="ED400" s="19" t="s">
        <v>2174</v>
      </c>
      <c r="EE400" s="24">
        <v>45517.0</v>
      </c>
      <c r="EF400" s="19" t="s">
        <v>2174</v>
      </c>
      <c r="EG400" s="19" t="s">
        <v>2145</v>
      </c>
      <c r="EH400" s="19" t="s">
        <v>2183</v>
      </c>
      <c r="EI400" s="22">
        <v>12.412499999999998</v>
      </c>
      <c r="EJ400" s="19">
        <v>40.0</v>
      </c>
      <c r="EK400" s="19"/>
      <c r="EL400" s="19" t="s">
        <v>2282</v>
      </c>
      <c r="EM400" s="19" t="s">
        <v>9052</v>
      </c>
      <c r="EN400" s="19" t="s">
        <v>1187</v>
      </c>
      <c r="EO400" s="19" t="s">
        <v>4681</v>
      </c>
      <c r="EP400" s="19" t="s">
        <v>2122</v>
      </c>
      <c r="EQ400" s="19" t="s">
        <v>2537</v>
      </c>
      <c r="ER400" s="19" t="s">
        <v>2177</v>
      </c>
      <c r="ES400" s="19" t="s">
        <v>1187</v>
      </c>
      <c r="ET400" s="19" t="s">
        <v>1187</v>
      </c>
      <c r="EU400" s="19" t="s">
        <v>9050</v>
      </c>
      <c r="EV400" s="19">
        <v>7563.0</v>
      </c>
      <c r="EW400" s="19" t="s">
        <v>16</v>
      </c>
      <c r="EX400" s="19">
        <v>5.0</v>
      </c>
      <c r="EY400" s="25" t="s">
        <v>1186</v>
      </c>
      <c r="EZ400" s="19" t="s">
        <v>2154</v>
      </c>
      <c r="FA400" s="5" t="s">
        <v>9061</v>
      </c>
      <c r="FB400" s="26" t="s">
        <v>2156</v>
      </c>
      <c r="FC400" s="26"/>
    </row>
    <row r="401">
      <c r="A401" s="19" t="s">
        <v>2112</v>
      </c>
      <c r="B401" s="19"/>
      <c r="C401" s="19" t="s">
        <v>2113</v>
      </c>
      <c r="D401" s="19" t="s">
        <v>9062</v>
      </c>
      <c r="E401" s="19" t="s">
        <v>9062</v>
      </c>
      <c r="F401" s="19" t="s">
        <v>1188</v>
      </c>
      <c r="G401" s="19"/>
      <c r="H401" s="19" t="s">
        <v>1188</v>
      </c>
      <c r="I401" s="19" t="s">
        <v>1190</v>
      </c>
      <c r="J401" s="19" t="s">
        <v>9063</v>
      </c>
      <c r="K401" s="19" t="s">
        <v>9064</v>
      </c>
      <c r="L401" s="20">
        <v>45442.0</v>
      </c>
      <c r="M401" s="20">
        <v>45446.0</v>
      </c>
      <c r="N401" s="20">
        <v>45446.0</v>
      </c>
      <c r="O401" s="19" t="s">
        <v>1189</v>
      </c>
      <c r="P401" s="19">
        <v>0.0</v>
      </c>
      <c r="Q401" s="19">
        <v>22.0</v>
      </c>
      <c r="R401" s="19">
        <v>8269.0</v>
      </c>
      <c r="S401" s="20" t="s">
        <v>9065</v>
      </c>
      <c r="T401" s="20">
        <v>45461.0</v>
      </c>
      <c r="U401" s="19" t="s">
        <v>1188</v>
      </c>
      <c r="V401" s="19"/>
      <c r="W401" s="19"/>
      <c r="X401" s="21">
        <v>0.0</v>
      </c>
      <c r="Y401" s="21">
        <v>10.0</v>
      </c>
      <c r="Z401" s="21">
        <v>3.0</v>
      </c>
      <c r="AA401" s="21">
        <v>0.0</v>
      </c>
      <c r="AB401" s="5">
        <v>13.0</v>
      </c>
      <c r="AC401" s="19">
        <v>3.0</v>
      </c>
      <c r="AD401" s="19">
        <v>4.0</v>
      </c>
      <c r="AE401" s="19">
        <v>3.0</v>
      </c>
      <c r="AF401" s="19">
        <v>3.0</v>
      </c>
      <c r="AG401" s="19">
        <v>3.0</v>
      </c>
      <c r="AH401" s="19">
        <v>5.0</v>
      </c>
      <c r="AI401" s="22">
        <v>10.40625</v>
      </c>
      <c r="AJ401" s="19">
        <v>14.0</v>
      </c>
      <c r="AK401" s="19">
        <v>15.0</v>
      </c>
      <c r="AL401" s="19">
        <v>15.0</v>
      </c>
      <c r="AM401" s="19">
        <v>44.0</v>
      </c>
      <c r="AN401" s="19">
        <v>54.4</v>
      </c>
      <c r="AO401" s="19">
        <v>67.4</v>
      </c>
      <c r="AP401" s="19">
        <v>726.0</v>
      </c>
      <c r="AQ401" s="23">
        <v>394.0</v>
      </c>
      <c r="AR401" s="23">
        <v>51.0</v>
      </c>
      <c r="AS401" s="19"/>
      <c r="AT401" s="19" t="s">
        <v>2117</v>
      </c>
      <c r="AU401" s="19" t="s">
        <v>3095</v>
      </c>
      <c r="AV401" s="19" t="s">
        <v>9066</v>
      </c>
      <c r="AW401" s="19" t="s">
        <v>9067</v>
      </c>
      <c r="AX401" s="20">
        <v>37192.0</v>
      </c>
      <c r="AY401" s="19" t="s">
        <v>2467</v>
      </c>
      <c r="AZ401" s="19" t="s">
        <v>2122</v>
      </c>
      <c r="BA401" s="19" t="s">
        <v>9068</v>
      </c>
      <c r="BB401" s="19" t="s">
        <v>9069</v>
      </c>
      <c r="BC401" s="19" t="s">
        <v>9070</v>
      </c>
      <c r="BD401" s="19" t="s">
        <v>9071</v>
      </c>
      <c r="BE401" s="19" t="s">
        <v>9072</v>
      </c>
      <c r="BF401" s="19">
        <v>1.196548262E10</v>
      </c>
      <c r="BG401" s="19" t="s">
        <v>2127</v>
      </c>
      <c r="BH401" s="19" t="s">
        <v>2128</v>
      </c>
      <c r="BI401" s="19"/>
      <c r="BJ401" s="19" t="s">
        <v>2128</v>
      </c>
      <c r="BK401" s="19" t="s">
        <v>16</v>
      </c>
      <c r="BL401" s="19"/>
      <c r="BM401" s="19" t="s">
        <v>5411</v>
      </c>
      <c r="BN401" s="19" t="s">
        <v>17</v>
      </c>
      <c r="BO401" s="19" t="s">
        <v>2473</v>
      </c>
      <c r="BP401" s="19" t="s">
        <v>9073</v>
      </c>
      <c r="BQ401" s="19" t="s">
        <v>2133</v>
      </c>
      <c r="BR401" s="19" t="s">
        <v>2133</v>
      </c>
      <c r="BS401" s="19" t="s">
        <v>2243</v>
      </c>
      <c r="BT401" s="19" t="s">
        <v>38</v>
      </c>
      <c r="BU401" s="19" t="s">
        <v>9074</v>
      </c>
      <c r="BV401" s="19"/>
      <c r="BW401" s="19" t="s">
        <v>2113</v>
      </c>
      <c r="BX401" s="19"/>
      <c r="BY401" s="19"/>
      <c r="BZ401" s="19"/>
      <c r="CA401" s="19"/>
      <c r="CB401" s="19"/>
      <c r="CC401" s="19"/>
      <c r="CD401" s="19" t="s">
        <v>2137</v>
      </c>
      <c r="CE401" s="19" t="s">
        <v>16</v>
      </c>
      <c r="CF401" s="19"/>
      <c r="CG401" s="19"/>
      <c r="CH401" s="19" t="s">
        <v>16</v>
      </c>
      <c r="CI401" s="21">
        <v>0.0</v>
      </c>
      <c r="CJ401" s="19" t="s">
        <v>17</v>
      </c>
      <c r="CK401" s="19"/>
      <c r="CL401" s="19"/>
      <c r="CM401" s="19" t="s">
        <v>2344</v>
      </c>
      <c r="CN401" s="19" t="s">
        <v>2475</v>
      </c>
      <c r="CO401" s="19"/>
      <c r="CP401" s="19" t="s">
        <v>2267</v>
      </c>
      <c r="CQ401" s="19"/>
      <c r="CR401" s="19"/>
      <c r="CS401" s="19"/>
      <c r="CT401" s="19" t="s">
        <v>2113</v>
      </c>
      <c r="CU401" s="19" t="s">
        <v>2113</v>
      </c>
      <c r="CV401" s="19" t="s">
        <v>2141</v>
      </c>
      <c r="CW401" s="19" t="s">
        <v>2113</v>
      </c>
      <c r="CX401" s="19" t="s">
        <v>2113</v>
      </c>
      <c r="CY401" s="19" t="s">
        <v>2113</v>
      </c>
      <c r="CZ401" s="19" t="s">
        <v>2113</v>
      </c>
      <c r="DA401" s="19" t="s">
        <v>16</v>
      </c>
      <c r="DB401" s="19" t="s">
        <v>17</v>
      </c>
      <c r="DC401" s="19" t="s">
        <v>3874</v>
      </c>
      <c r="DD401" s="19" t="s">
        <v>2113</v>
      </c>
      <c r="DE401" s="19" t="s">
        <v>2113</v>
      </c>
      <c r="DF401" s="19" t="s">
        <v>4424</v>
      </c>
      <c r="DG401" s="19" t="s">
        <v>8396</v>
      </c>
      <c r="DH401" s="19" t="s">
        <v>2144</v>
      </c>
      <c r="DI401" s="24">
        <v>45534.0</v>
      </c>
      <c r="DJ401" s="19" t="s">
        <v>2133</v>
      </c>
      <c r="DK401" s="19" t="s">
        <v>2145</v>
      </c>
      <c r="DL401" s="19" t="s">
        <v>2207</v>
      </c>
      <c r="DM401" s="22" t="s">
        <v>5829</v>
      </c>
      <c r="DN401" s="19">
        <v>18.0</v>
      </c>
      <c r="DO401" s="19">
        <v>18.0</v>
      </c>
      <c r="DP401" s="19" t="s">
        <v>9075</v>
      </c>
      <c r="DQ401" s="19" t="s">
        <v>9076</v>
      </c>
      <c r="DR401" s="19" t="s">
        <v>9077</v>
      </c>
      <c r="DS401" s="19" t="s">
        <v>2151</v>
      </c>
      <c r="DT401" s="19" t="s">
        <v>2186</v>
      </c>
      <c r="DU401" s="19"/>
      <c r="DV401" s="19" t="s">
        <v>9078</v>
      </c>
      <c r="DW401" s="19" t="s">
        <v>2153</v>
      </c>
      <c r="DX401" s="19">
        <v>12.0</v>
      </c>
      <c r="DY401" s="19">
        <v>10.0</v>
      </c>
      <c r="DZ401" s="19">
        <v>0.0</v>
      </c>
      <c r="EA401" s="19">
        <v>10.0</v>
      </c>
      <c r="EB401" s="19">
        <v>0.0</v>
      </c>
      <c r="EC401" s="19">
        <v>0.0</v>
      </c>
      <c r="ED401" s="19" t="s">
        <v>2133</v>
      </c>
      <c r="EE401" s="24">
        <v>45534.0</v>
      </c>
      <c r="EF401" s="19" t="s">
        <v>2133</v>
      </c>
      <c r="EG401" s="19" t="s">
        <v>2145</v>
      </c>
      <c r="EH401" s="19" t="s">
        <v>2207</v>
      </c>
      <c r="EI401" s="22">
        <v>10.40625</v>
      </c>
      <c r="EJ401" s="19">
        <v>44.0</v>
      </c>
      <c r="EK401" s="19" t="s">
        <v>2113</v>
      </c>
      <c r="EL401" s="19" t="s">
        <v>2117</v>
      </c>
      <c r="EM401" s="19" t="s">
        <v>3095</v>
      </c>
      <c r="EN401" s="19" t="s">
        <v>1190</v>
      </c>
      <c r="EO401" s="19" t="s">
        <v>2467</v>
      </c>
      <c r="EP401" s="19" t="s">
        <v>2122</v>
      </c>
      <c r="EQ401" s="19" t="s">
        <v>2475</v>
      </c>
      <c r="ER401" s="19"/>
      <c r="ES401" s="19" t="s">
        <v>1190</v>
      </c>
      <c r="ET401" s="19" t="s">
        <v>1190</v>
      </c>
      <c r="EU401" s="19" t="s">
        <v>9064</v>
      </c>
      <c r="EV401" s="19">
        <v>8269.0</v>
      </c>
      <c r="EW401" s="19" t="s">
        <v>16</v>
      </c>
      <c r="EX401" s="19">
        <v>3.0</v>
      </c>
      <c r="EY401" s="25" t="s">
        <v>1189</v>
      </c>
      <c r="EZ401" s="19" t="s">
        <v>2154</v>
      </c>
      <c r="FA401" s="5" t="s">
        <v>9079</v>
      </c>
      <c r="FB401" s="26" t="s">
        <v>2156</v>
      </c>
      <c r="FC401" s="26"/>
    </row>
    <row r="402">
      <c r="A402" s="19" t="s">
        <v>2112</v>
      </c>
      <c r="B402" s="19"/>
      <c r="C402" s="19" t="s">
        <v>2113</v>
      </c>
      <c r="D402" s="19" t="s">
        <v>1191</v>
      </c>
      <c r="E402" s="19" t="s">
        <v>9080</v>
      </c>
      <c r="F402" s="19" t="s">
        <v>1191</v>
      </c>
      <c r="G402" s="19"/>
      <c r="H402" s="19" t="s">
        <v>1191</v>
      </c>
      <c r="I402" s="19" t="s">
        <v>1193</v>
      </c>
      <c r="J402" s="19" t="s">
        <v>9081</v>
      </c>
      <c r="K402" s="19" t="s">
        <v>9082</v>
      </c>
      <c r="L402" s="20">
        <v>45446.0</v>
      </c>
      <c r="M402" s="20">
        <v>45447.0</v>
      </c>
      <c r="N402" s="20">
        <v>45447.0</v>
      </c>
      <c r="O402" s="19" t="s">
        <v>1192</v>
      </c>
      <c r="P402" s="19">
        <v>0.0</v>
      </c>
      <c r="Q402" s="19">
        <v>24.0</v>
      </c>
      <c r="R402" s="19">
        <v>9115.0</v>
      </c>
      <c r="S402" s="20" t="s">
        <v>9083</v>
      </c>
      <c r="T402" s="20">
        <v>45461.0</v>
      </c>
      <c r="U402" s="19" t="s">
        <v>1191</v>
      </c>
      <c r="V402" s="19"/>
      <c r="W402" s="19"/>
      <c r="X402" s="21">
        <v>0.0</v>
      </c>
      <c r="Y402" s="21">
        <v>5.0</v>
      </c>
      <c r="Z402" s="21">
        <v>4.0</v>
      </c>
      <c r="AA402" s="21">
        <v>0.0</v>
      </c>
      <c r="AB402" s="5">
        <v>9.0</v>
      </c>
      <c r="AC402" s="19">
        <v>4.4</v>
      </c>
      <c r="AD402" s="19">
        <v>4.4</v>
      </c>
      <c r="AE402" s="19">
        <v>4.6</v>
      </c>
      <c r="AF402" s="19">
        <v>4.6</v>
      </c>
      <c r="AG402" s="19">
        <v>4.0</v>
      </c>
      <c r="AH402" s="19">
        <v>4.6</v>
      </c>
      <c r="AI402" s="22">
        <v>13.35</v>
      </c>
      <c r="AJ402" s="19">
        <v>15.0</v>
      </c>
      <c r="AK402" s="19">
        <v>15.0</v>
      </c>
      <c r="AL402" s="19">
        <v>15.0</v>
      </c>
      <c r="AM402" s="19">
        <v>45.0</v>
      </c>
      <c r="AN402" s="19">
        <v>58.4</v>
      </c>
      <c r="AO402" s="19">
        <v>67.4</v>
      </c>
      <c r="AP402" s="19">
        <v>974.0</v>
      </c>
      <c r="AQ402" s="23">
        <v>395.0</v>
      </c>
      <c r="AR402" s="23">
        <v>29.0</v>
      </c>
      <c r="AS402" s="22"/>
      <c r="AT402" s="19" t="s">
        <v>2163</v>
      </c>
      <c r="AU402" s="19" t="s">
        <v>8117</v>
      </c>
      <c r="AV402" s="19" t="s">
        <v>9084</v>
      </c>
      <c r="AW402" s="19" t="s">
        <v>4438</v>
      </c>
      <c r="AX402" s="20">
        <v>36346.0</v>
      </c>
      <c r="AY402" s="19" t="s">
        <v>4876</v>
      </c>
      <c r="AZ402" s="19" t="s">
        <v>2122</v>
      </c>
      <c r="BA402" s="19" t="s">
        <v>9085</v>
      </c>
      <c r="BB402" s="19" t="s">
        <v>4980</v>
      </c>
      <c r="BC402" s="19" t="s">
        <v>9086</v>
      </c>
      <c r="BD402" s="19" t="s">
        <v>9087</v>
      </c>
      <c r="BE402" s="19" t="s">
        <v>9081</v>
      </c>
      <c r="BF402" s="19">
        <v>1.1993962391E10</v>
      </c>
      <c r="BG402" s="19" t="s">
        <v>3518</v>
      </c>
      <c r="BH402" s="19" t="s">
        <v>2128</v>
      </c>
      <c r="BI402" s="19"/>
      <c r="BJ402" s="19" t="s">
        <v>2427</v>
      </c>
      <c r="BK402" s="19" t="s">
        <v>17</v>
      </c>
      <c r="BL402" s="19"/>
      <c r="BM402" s="19" t="s">
        <v>5411</v>
      </c>
      <c r="BN402" s="19" t="s">
        <v>17</v>
      </c>
      <c r="BO402" s="19" t="s">
        <v>2317</v>
      </c>
      <c r="BP402" s="19"/>
      <c r="BQ402" s="19" t="s">
        <v>2174</v>
      </c>
      <c r="BR402" s="19" t="s">
        <v>2174</v>
      </c>
      <c r="BS402" s="19" t="s">
        <v>3521</v>
      </c>
      <c r="BT402" s="19" t="s">
        <v>75</v>
      </c>
      <c r="BU402" s="19" t="s">
        <v>9088</v>
      </c>
      <c r="BV402" s="19"/>
      <c r="BW402" s="19"/>
      <c r="BX402" s="19"/>
      <c r="BY402" s="19"/>
      <c r="BZ402" s="19"/>
      <c r="CA402" s="19"/>
      <c r="CB402" s="19"/>
      <c r="CC402" s="19"/>
      <c r="CD402" s="19" t="s">
        <v>2137</v>
      </c>
      <c r="CE402" s="19" t="s">
        <v>16</v>
      </c>
      <c r="CF402" s="19"/>
      <c r="CG402" s="19"/>
      <c r="CH402" s="19" t="s">
        <v>16</v>
      </c>
      <c r="CI402" s="21">
        <v>0.0</v>
      </c>
      <c r="CJ402" s="19" t="s">
        <v>17</v>
      </c>
      <c r="CK402" s="19"/>
      <c r="CL402" s="19"/>
      <c r="CM402" s="19" t="s">
        <v>2138</v>
      </c>
      <c r="CN402" s="19" t="s">
        <v>4884</v>
      </c>
      <c r="CO402" s="19"/>
      <c r="CP402" s="19" t="s">
        <v>2246</v>
      </c>
      <c r="CQ402" s="19"/>
      <c r="CR402" s="19" t="s">
        <v>2113</v>
      </c>
      <c r="CS402" s="19" t="s">
        <v>2113</v>
      </c>
      <c r="CT402" s="19"/>
      <c r="CU402" s="19"/>
      <c r="CV402" s="19" t="s">
        <v>2141</v>
      </c>
      <c r="CW402" s="19" t="s">
        <v>2113</v>
      </c>
      <c r="CX402" s="19" t="s">
        <v>2113</v>
      </c>
      <c r="CY402" s="19"/>
      <c r="CZ402" s="19"/>
      <c r="DA402" s="19" t="s">
        <v>16</v>
      </c>
      <c r="DB402" s="19" t="s">
        <v>17</v>
      </c>
      <c r="DC402" s="19" t="s">
        <v>2345</v>
      </c>
      <c r="DD402" s="19" t="s">
        <v>2113</v>
      </c>
      <c r="DE402" s="19" t="s">
        <v>2113</v>
      </c>
      <c r="DF402" s="19" t="s">
        <v>2227</v>
      </c>
      <c r="DG402" s="19" t="s">
        <v>5213</v>
      </c>
      <c r="DH402" s="19" t="s">
        <v>2144</v>
      </c>
      <c r="DI402" s="24">
        <v>45519.0</v>
      </c>
      <c r="DJ402" s="19" t="s">
        <v>2174</v>
      </c>
      <c r="DK402" s="19" t="s">
        <v>2271</v>
      </c>
      <c r="DL402" s="19" t="s">
        <v>2183</v>
      </c>
      <c r="DM402" s="19" t="s">
        <v>2272</v>
      </c>
      <c r="DN402" s="19">
        <v>6.0</v>
      </c>
      <c r="DO402" s="19">
        <v>6.0</v>
      </c>
      <c r="DP402" s="19" t="s">
        <v>9089</v>
      </c>
      <c r="DQ402" s="19" t="s">
        <v>9090</v>
      </c>
      <c r="DR402" s="19" t="s">
        <v>9091</v>
      </c>
      <c r="DS402" s="19" t="s">
        <v>2151</v>
      </c>
      <c r="DT402" s="19" t="s">
        <v>2350</v>
      </c>
      <c r="DU402" s="19"/>
      <c r="DV402" s="19"/>
      <c r="DW402" s="19" t="s">
        <v>2153</v>
      </c>
      <c r="DX402" s="19">
        <v>14.0</v>
      </c>
      <c r="DY402" s="19">
        <v>5.0</v>
      </c>
      <c r="DZ402" s="19">
        <v>0.0</v>
      </c>
      <c r="EA402" s="19">
        <v>5.0</v>
      </c>
      <c r="EB402" s="19">
        <v>0.0</v>
      </c>
      <c r="EC402" s="19">
        <v>0.0</v>
      </c>
      <c r="ED402" s="19" t="s">
        <v>2174</v>
      </c>
      <c r="EE402" s="24">
        <v>45519.0</v>
      </c>
      <c r="EF402" s="19" t="s">
        <v>2174</v>
      </c>
      <c r="EG402" s="19" t="s">
        <v>2271</v>
      </c>
      <c r="EH402" s="19" t="s">
        <v>2183</v>
      </c>
      <c r="EI402" s="22">
        <v>13.35</v>
      </c>
      <c r="EJ402" s="19">
        <v>45.0</v>
      </c>
      <c r="EK402" s="19" t="s">
        <v>2113</v>
      </c>
      <c r="EL402" s="19" t="s">
        <v>2163</v>
      </c>
      <c r="EM402" s="19" t="s">
        <v>8117</v>
      </c>
      <c r="EN402" s="19" t="s">
        <v>1193</v>
      </c>
      <c r="EO402" s="19" t="s">
        <v>4876</v>
      </c>
      <c r="EP402" s="19" t="s">
        <v>2122</v>
      </c>
      <c r="EQ402" s="19" t="s">
        <v>4884</v>
      </c>
      <c r="ER402" s="19"/>
      <c r="ES402" s="19" t="s">
        <v>1193</v>
      </c>
      <c r="ET402" s="19" t="s">
        <v>1193</v>
      </c>
      <c r="EU402" s="19" t="s">
        <v>9082</v>
      </c>
      <c r="EV402" s="19">
        <v>9115.0</v>
      </c>
      <c r="EW402" s="19" t="s">
        <v>16</v>
      </c>
      <c r="EX402" s="19">
        <v>4.0</v>
      </c>
      <c r="EY402" s="25" t="s">
        <v>1192</v>
      </c>
      <c r="EZ402" s="19" t="s">
        <v>2154</v>
      </c>
      <c r="FA402" s="5" t="s">
        <v>9092</v>
      </c>
      <c r="FB402" s="26" t="s">
        <v>2156</v>
      </c>
      <c r="FC402" s="26"/>
    </row>
    <row r="403">
      <c r="A403" s="19" t="s">
        <v>2112</v>
      </c>
      <c r="B403" s="19"/>
      <c r="C403" s="19" t="s">
        <v>2113</v>
      </c>
      <c r="D403" s="19" t="s">
        <v>1194</v>
      </c>
      <c r="E403" s="19" t="s">
        <v>9093</v>
      </c>
      <c r="F403" s="19" t="s">
        <v>9094</v>
      </c>
      <c r="G403" s="19" t="s">
        <v>9095</v>
      </c>
      <c r="H403" s="19" t="s">
        <v>1194</v>
      </c>
      <c r="I403" s="19" t="s">
        <v>1196</v>
      </c>
      <c r="J403" s="19" t="s">
        <v>9096</v>
      </c>
      <c r="K403" s="19" t="s">
        <v>9097</v>
      </c>
      <c r="L403" s="20">
        <v>45458.0</v>
      </c>
      <c r="M403" s="20">
        <v>45460.0</v>
      </c>
      <c r="N403" s="20">
        <v>45460.0</v>
      </c>
      <c r="O403" s="19" t="s">
        <v>1195</v>
      </c>
      <c r="P403" s="19">
        <v>0.0</v>
      </c>
      <c r="Q403" s="19">
        <v>23.0</v>
      </c>
      <c r="R403" s="19">
        <v>8560.0</v>
      </c>
      <c r="S403" s="20" t="s">
        <v>9098</v>
      </c>
      <c r="T403" s="20">
        <v>45461.0</v>
      </c>
      <c r="U403" s="19" t="s">
        <v>9099</v>
      </c>
      <c r="V403" s="19"/>
      <c r="W403" s="19" t="s">
        <v>2131</v>
      </c>
      <c r="X403" s="21">
        <v>0.0</v>
      </c>
      <c r="Y403" s="21">
        <v>10.0</v>
      </c>
      <c r="Z403" s="21">
        <v>4.0</v>
      </c>
      <c r="AA403" s="21">
        <v>3.0</v>
      </c>
      <c r="AB403" s="5">
        <v>17.0</v>
      </c>
      <c r="AC403" s="19">
        <v>3.0</v>
      </c>
      <c r="AD403" s="19">
        <v>3.5</v>
      </c>
      <c r="AE403" s="19">
        <v>3.5</v>
      </c>
      <c r="AF403" s="19">
        <v>3.5</v>
      </c>
      <c r="AG403" s="19">
        <v>3.5</v>
      </c>
      <c r="AH403" s="19">
        <v>3.5</v>
      </c>
      <c r="AI403" s="22">
        <v>10.265625</v>
      </c>
      <c r="AJ403" s="19">
        <v>13.0</v>
      </c>
      <c r="AK403" s="19">
        <v>14.0</v>
      </c>
      <c r="AL403" s="19">
        <v>13.0</v>
      </c>
      <c r="AM403" s="19">
        <v>40.0</v>
      </c>
      <c r="AN403" s="19">
        <v>50.3</v>
      </c>
      <c r="AO403" s="19">
        <v>67.3</v>
      </c>
      <c r="AP403" s="19">
        <v>378.0</v>
      </c>
      <c r="AQ403" s="23">
        <v>396.0</v>
      </c>
      <c r="AR403" s="23">
        <v>31.0</v>
      </c>
      <c r="AS403" s="19"/>
      <c r="AT403" s="19" t="s">
        <v>2163</v>
      </c>
      <c r="AU403" s="19" t="s">
        <v>2307</v>
      </c>
      <c r="AV403" s="19" t="s">
        <v>9100</v>
      </c>
      <c r="AW403" s="19"/>
      <c r="AX403" s="20">
        <v>36901.0</v>
      </c>
      <c r="AY403" s="19" t="s">
        <v>2309</v>
      </c>
      <c r="AZ403" s="19" t="s">
        <v>2310</v>
      </c>
      <c r="BA403" s="19" t="s">
        <v>9101</v>
      </c>
      <c r="BB403" s="19" t="s">
        <v>4480</v>
      </c>
      <c r="BC403" s="19" t="s">
        <v>9102</v>
      </c>
      <c r="BD403" s="19" t="s">
        <v>9103</v>
      </c>
      <c r="BE403" s="19" t="s">
        <v>9104</v>
      </c>
      <c r="BF403" s="19">
        <v>1.196720262E10</v>
      </c>
      <c r="BG403" s="19" t="s">
        <v>2127</v>
      </c>
      <c r="BH403" s="19" t="s">
        <v>2128</v>
      </c>
      <c r="BI403" s="19"/>
      <c r="BJ403" s="19" t="s">
        <v>2129</v>
      </c>
      <c r="BK403" s="19" t="s">
        <v>17</v>
      </c>
      <c r="BL403" s="19"/>
      <c r="BM403" s="19" t="s">
        <v>5411</v>
      </c>
      <c r="BN403" s="19" t="s">
        <v>17</v>
      </c>
      <c r="BO403" s="19" t="s">
        <v>2317</v>
      </c>
      <c r="BP403" s="19"/>
      <c r="BQ403" s="19" t="s">
        <v>2318</v>
      </c>
      <c r="BR403" s="19" t="s">
        <v>2318</v>
      </c>
      <c r="BS403" s="19" t="s">
        <v>2134</v>
      </c>
      <c r="BT403" s="19" t="s">
        <v>42</v>
      </c>
      <c r="BU403" s="19" t="s">
        <v>9105</v>
      </c>
      <c r="BV403" s="19"/>
      <c r="BW403" s="19" t="s">
        <v>2113</v>
      </c>
      <c r="BX403" s="19"/>
      <c r="BY403" s="19"/>
      <c r="BZ403" s="19"/>
      <c r="CA403" s="19"/>
      <c r="CB403" s="19" t="s">
        <v>2113</v>
      </c>
      <c r="CC403" s="19"/>
      <c r="CD403" s="19" t="s">
        <v>2137</v>
      </c>
      <c r="CE403" s="19" t="s">
        <v>16</v>
      </c>
      <c r="CF403" s="19"/>
      <c r="CG403" s="19"/>
      <c r="CH403" s="19" t="s">
        <v>17</v>
      </c>
      <c r="CI403" s="21">
        <v>3.0</v>
      </c>
      <c r="CJ403" s="19" t="s">
        <v>17</v>
      </c>
      <c r="CK403" s="19"/>
      <c r="CL403" s="19"/>
      <c r="CM403" s="19" t="s">
        <v>2344</v>
      </c>
      <c r="CN403" s="19" t="s">
        <v>2321</v>
      </c>
      <c r="CO403" s="19"/>
      <c r="CP403" s="19" t="s">
        <v>2225</v>
      </c>
      <c r="CQ403" s="19"/>
      <c r="CR403" s="19" t="s">
        <v>2113</v>
      </c>
      <c r="CS403" s="19" t="s">
        <v>2113</v>
      </c>
      <c r="CT403" s="19" t="s">
        <v>2113</v>
      </c>
      <c r="CU403" s="19" t="s">
        <v>2113</v>
      </c>
      <c r="CV403" s="19" t="s">
        <v>2141</v>
      </c>
      <c r="CW403" s="19"/>
      <c r="CX403" s="19"/>
      <c r="CY403" s="19"/>
      <c r="CZ403" s="19"/>
      <c r="DA403" s="19" t="s">
        <v>16</v>
      </c>
      <c r="DB403" s="19" t="s">
        <v>17</v>
      </c>
      <c r="DC403" s="19" t="s">
        <v>4504</v>
      </c>
      <c r="DD403" s="19" t="s">
        <v>2113</v>
      </c>
      <c r="DE403" s="19" t="s">
        <v>2113</v>
      </c>
      <c r="DF403" s="19" t="s">
        <v>2433</v>
      </c>
      <c r="DG403" s="19" t="s">
        <v>4966</v>
      </c>
      <c r="DH403" s="19" t="s">
        <v>2144</v>
      </c>
      <c r="DI403" s="24">
        <v>45533.0</v>
      </c>
      <c r="DJ403" s="19" t="s">
        <v>2325</v>
      </c>
      <c r="DK403" s="19" t="s">
        <v>2271</v>
      </c>
      <c r="DL403" s="19" t="s">
        <v>2207</v>
      </c>
      <c r="DM403" s="19" t="s">
        <v>6057</v>
      </c>
      <c r="DN403" s="19">
        <v>3.0</v>
      </c>
      <c r="DO403" s="19">
        <v>3.0</v>
      </c>
      <c r="DP403" s="19" t="s">
        <v>9106</v>
      </c>
      <c r="DQ403" s="19" t="s">
        <v>9107</v>
      </c>
      <c r="DR403" s="19" t="s">
        <v>9108</v>
      </c>
      <c r="DS403" s="19" t="s">
        <v>2185</v>
      </c>
      <c r="DT403" s="19" t="s">
        <v>2301</v>
      </c>
      <c r="DU403" s="19"/>
      <c r="DV403" s="19" t="s">
        <v>9109</v>
      </c>
      <c r="DW403" s="19" t="s">
        <v>2188</v>
      </c>
      <c r="DX403" s="19">
        <v>5.0</v>
      </c>
      <c r="DY403" s="19">
        <v>10.0</v>
      </c>
      <c r="DZ403" s="19">
        <v>0.0</v>
      </c>
      <c r="EA403" s="19">
        <v>10.0</v>
      </c>
      <c r="EB403" s="19">
        <v>3.0</v>
      </c>
      <c r="EC403" s="19">
        <v>0.0</v>
      </c>
      <c r="ED403" s="19" t="s">
        <v>2325</v>
      </c>
      <c r="EE403" s="24">
        <v>45533.0</v>
      </c>
      <c r="EF403" s="19" t="s">
        <v>2325</v>
      </c>
      <c r="EG403" s="19" t="s">
        <v>2271</v>
      </c>
      <c r="EH403" s="19" t="s">
        <v>2207</v>
      </c>
      <c r="EI403" s="22">
        <v>10.265625</v>
      </c>
      <c r="EJ403" s="19">
        <v>40.0</v>
      </c>
      <c r="EK403" s="19" t="s">
        <v>2113</v>
      </c>
      <c r="EL403" s="19" t="s">
        <v>2163</v>
      </c>
      <c r="EM403" s="19" t="s">
        <v>2307</v>
      </c>
      <c r="EN403" s="19" t="s">
        <v>1196</v>
      </c>
      <c r="EO403" s="19" t="s">
        <v>2309</v>
      </c>
      <c r="EP403" s="19" t="s">
        <v>2310</v>
      </c>
      <c r="EQ403" s="19" t="s">
        <v>2321</v>
      </c>
      <c r="ER403" s="19"/>
      <c r="ES403" s="19" t="s">
        <v>1196</v>
      </c>
      <c r="ET403" s="19" t="s">
        <v>1196</v>
      </c>
      <c r="EU403" s="19" t="s">
        <v>9097</v>
      </c>
      <c r="EV403" s="19">
        <v>8560.0</v>
      </c>
      <c r="EW403" s="19" t="s">
        <v>16</v>
      </c>
      <c r="EX403" s="19">
        <v>4.0</v>
      </c>
      <c r="EY403" s="25" t="s">
        <v>1195</v>
      </c>
      <c r="EZ403" s="19" t="s">
        <v>2154</v>
      </c>
      <c r="FA403" s="5" t="s">
        <v>9110</v>
      </c>
      <c r="FB403" s="26" t="s">
        <v>2156</v>
      </c>
      <c r="FC403" s="26"/>
    </row>
    <row r="404">
      <c r="A404" s="19" t="s">
        <v>2112</v>
      </c>
      <c r="B404" s="19"/>
      <c r="C404" s="19" t="s">
        <v>2113</v>
      </c>
      <c r="D404" s="19" t="s">
        <v>9111</v>
      </c>
      <c r="E404" s="19" t="s">
        <v>9112</v>
      </c>
      <c r="F404" s="19" t="s">
        <v>9113</v>
      </c>
      <c r="G404" s="19" t="s">
        <v>9114</v>
      </c>
      <c r="H404" s="19" t="s">
        <v>1197</v>
      </c>
      <c r="I404" s="19" t="s">
        <v>1199</v>
      </c>
      <c r="J404" s="19" t="s">
        <v>9115</v>
      </c>
      <c r="K404" s="19" t="s">
        <v>9116</v>
      </c>
      <c r="L404" s="20">
        <v>45428.0</v>
      </c>
      <c r="M404" s="20">
        <v>45429.0</v>
      </c>
      <c r="N404" s="20">
        <v>45429.0</v>
      </c>
      <c r="O404" s="19" t="s">
        <v>1198</v>
      </c>
      <c r="P404" s="19">
        <v>0.0</v>
      </c>
      <c r="Q404" s="19">
        <v>25.0</v>
      </c>
      <c r="R404" s="19">
        <v>9274.0</v>
      </c>
      <c r="S404" s="20" t="s">
        <v>4268</v>
      </c>
      <c r="T404" s="20">
        <v>45461.0</v>
      </c>
      <c r="U404" s="19" t="s">
        <v>9113</v>
      </c>
      <c r="V404" s="19"/>
      <c r="W404" s="19"/>
      <c r="X404" s="21">
        <v>0.0</v>
      </c>
      <c r="Y404" s="21">
        <v>10.0</v>
      </c>
      <c r="Z404" s="21">
        <v>3.0</v>
      </c>
      <c r="AA404" s="21">
        <v>0.0</v>
      </c>
      <c r="AB404" s="5">
        <v>13.0</v>
      </c>
      <c r="AC404" s="19">
        <v>4.0</v>
      </c>
      <c r="AD404" s="19">
        <v>4.0</v>
      </c>
      <c r="AE404" s="19">
        <v>3.0</v>
      </c>
      <c r="AF404" s="19">
        <v>4.0</v>
      </c>
      <c r="AG404" s="19">
        <v>4.0</v>
      </c>
      <c r="AH404" s="19">
        <v>4.0</v>
      </c>
      <c r="AI404" s="22">
        <v>11.25</v>
      </c>
      <c r="AJ404" s="19">
        <v>13.0</v>
      </c>
      <c r="AK404" s="19">
        <v>15.0</v>
      </c>
      <c r="AL404" s="19">
        <v>15.0</v>
      </c>
      <c r="AM404" s="19">
        <v>43.0</v>
      </c>
      <c r="AN404" s="19">
        <v>54.3</v>
      </c>
      <c r="AO404" s="19">
        <v>67.3</v>
      </c>
      <c r="AP404" s="19">
        <v>694.0</v>
      </c>
      <c r="AQ404" s="23">
        <v>397.0</v>
      </c>
      <c r="AR404" s="23">
        <v>52.0</v>
      </c>
      <c r="AS404" s="22"/>
      <c r="AT404" s="19" t="s">
        <v>2117</v>
      </c>
      <c r="AU404" s="19" t="s">
        <v>9117</v>
      </c>
      <c r="AV404" s="19" t="s">
        <v>9118</v>
      </c>
      <c r="AW404" s="19" t="s">
        <v>2166</v>
      </c>
      <c r="AX404" s="20">
        <v>36187.0</v>
      </c>
      <c r="AY404" s="19" t="s">
        <v>2467</v>
      </c>
      <c r="AZ404" s="19" t="s">
        <v>2310</v>
      </c>
      <c r="BA404" s="19" t="s">
        <v>9119</v>
      </c>
      <c r="BB404" s="19" t="s">
        <v>9120</v>
      </c>
      <c r="BC404" s="19" t="s">
        <v>9121</v>
      </c>
      <c r="BD404" s="19" t="s">
        <v>9122</v>
      </c>
      <c r="BE404" s="19" t="s">
        <v>9123</v>
      </c>
      <c r="BF404" s="19">
        <v>1.1963636548E10</v>
      </c>
      <c r="BG404" s="19" t="s">
        <v>2127</v>
      </c>
      <c r="BH404" s="19" t="s">
        <v>2128</v>
      </c>
      <c r="BI404" s="19"/>
      <c r="BJ404" s="19"/>
      <c r="BK404" s="19" t="s">
        <v>16</v>
      </c>
      <c r="BL404" s="19"/>
      <c r="BM404" s="19" t="s">
        <v>5411</v>
      </c>
      <c r="BN404" s="19" t="s">
        <v>2172</v>
      </c>
      <c r="BO404" s="19" t="s">
        <v>2473</v>
      </c>
      <c r="BP404" s="19" t="s">
        <v>9124</v>
      </c>
      <c r="BQ404" s="19" t="s">
        <v>2133</v>
      </c>
      <c r="BR404" s="19" t="s">
        <v>2133</v>
      </c>
      <c r="BS404" s="19" t="s">
        <v>2134</v>
      </c>
      <c r="BT404" s="19" t="s">
        <v>38</v>
      </c>
      <c r="BU404" s="19" t="s">
        <v>2177</v>
      </c>
      <c r="BV404" s="19"/>
      <c r="BW404" s="19"/>
      <c r="BX404" s="19"/>
      <c r="BY404" s="19" t="s">
        <v>2113</v>
      </c>
      <c r="BZ404" s="19" t="s">
        <v>2113</v>
      </c>
      <c r="CA404" s="19" t="s">
        <v>2113</v>
      </c>
      <c r="CB404" s="19" t="s">
        <v>2113</v>
      </c>
      <c r="CC404" s="19"/>
      <c r="CD404" s="19" t="s">
        <v>2137</v>
      </c>
      <c r="CE404" s="19" t="s">
        <v>16</v>
      </c>
      <c r="CF404" s="19"/>
      <c r="CG404" s="19"/>
      <c r="CH404" s="19" t="s">
        <v>16</v>
      </c>
      <c r="CI404" s="21">
        <v>0.0</v>
      </c>
      <c r="CJ404" s="19" t="s">
        <v>16</v>
      </c>
      <c r="CK404" s="19"/>
      <c r="CL404" s="19"/>
      <c r="CM404" s="19" t="s">
        <v>2138</v>
      </c>
      <c r="CN404" s="19" t="s">
        <v>2475</v>
      </c>
      <c r="CO404" s="19"/>
      <c r="CP404" s="19"/>
      <c r="CQ404" s="19"/>
      <c r="CR404" s="19" t="s">
        <v>2113</v>
      </c>
      <c r="CS404" s="19" t="s">
        <v>2113</v>
      </c>
      <c r="CT404" s="19" t="s">
        <v>2113</v>
      </c>
      <c r="CU404" s="19" t="s">
        <v>2113</v>
      </c>
      <c r="CV404" s="19" t="s">
        <v>2141</v>
      </c>
      <c r="CW404" s="19" t="s">
        <v>2113</v>
      </c>
      <c r="CX404" s="19" t="s">
        <v>2113</v>
      </c>
      <c r="CY404" s="19" t="s">
        <v>2113</v>
      </c>
      <c r="CZ404" s="19" t="s">
        <v>2113</v>
      </c>
      <c r="DA404" s="19" t="s">
        <v>16</v>
      </c>
      <c r="DB404" s="19" t="s">
        <v>16</v>
      </c>
      <c r="DC404" s="19" t="s">
        <v>2142</v>
      </c>
      <c r="DD404" s="19" t="s">
        <v>2113</v>
      </c>
      <c r="DE404" s="19" t="s">
        <v>2113</v>
      </c>
      <c r="DF404" s="19" t="s">
        <v>2477</v>
      </c>
      <c r="DG404" s="19" t="s">
        <v>2476</v>
      </c>
      <c r="DH404" s="19" t="s">
        <v>2144</v>
      </c>
      <c r="DI404" s="24">
        <v>45526.0</v>
      </c>
      <c r="DJ404" s="19" t="s">
        <v>2133</v>
      </c>
      <c r="DK404" s="19" t="s">
        <v>2271</v>
      </c>
      <c r="DL404" s="19" t="s">
        <v>2146</v>
      </c>
      <c r="DM404" s="19" t="s">
        <v>2805</v>
      </c>
      <c r="DN404" s="19">
        <v>12.0</v>
      </c>
      <c r="DO404" s="19">
        <v>12.0</v>
      </c>
      <c r="DP404" s="19" t="s">
        <v>9125</v>
      </c>
      <c r="DQ404" s="19" t="s">
        <v>9126</v>
      </c>
      <c r="DR404" s="19" t="s">
        <v>9127</v>
      </c>
      <c r="DS404" s="19" t="s">
        <v>2365</v>
      </c>
      <c r="DT404" s="19" t="s">
        <v>2350</v>
      </c>
      <c r="DU404" s="19"/>
      <c r="DV404" s="19"/>
      <c r="DW404" s="19" t="s">
        <v>2153</v>
      </c>
      <c r="DX404" s="19">
        <v>8.0</v>
      </c>
      <c r="DY404" s="19">
        <v>10.0</v>
      </c>
      <c r="DZ404" s="19">
        <v>0.0</v>
      </c>
      <c r="EA404" s="19">
        <v>10.0</v>
      </c>
      <c r="EB404" s="19">
        <v>0.0</v>
      </c>
      <c r="EC404" s="19">
        <v>0.0</v>
      </c>
      <c r="ED404" s="19" t="s">
        <v>2133</v>
      </c>
      <c r="EE404" s="24">
        <v>45526.0</v>
      </c>
      <c r="EF404" s="19" t="s">
        <v>2133</v>
      </c>
      <c r="EG404" s="19" t="s">
        <v>2271</v>
      </c>
      <c r="EH404" s="19" t="s">
        <v>2146</v>
      </c>
      <c r="EI404" s="22">
        <v>11.25</v>
      </c>
      <c r="EJ404" s="19">
        <v>43.0</v>
      </c>
      <c r="EK404" s="19"/>
      <c r="EL404" s="19" t="s">
        <v>2117</v>
      </c>
      <c r="EM404" s="19" t="s">
        <v>9117</v>
      </c>
      <c r="EN404" s="19" t="s">
        <v>1199</v>
      </c>
      <c r="EO404" s="19" t="s">
        <v>2467</v>
      </c>
      <c r="EP404" s="19" t="s">
        <v>2310</v>
      </c>
      <c r="EQ404" s="19" t="s">
        <v>2475</v>
      </c>
      <c r="ER404" s="19"/>
      <c r="ES404" s="19" t="s">
        <v>1199</v>
      </c>
      <c r="ET404" s="19" t="s">
        <v>1199</v>
      </c>
      <c r="EU404" s="19" t="s">
        <v>9116</v>
      </c>
      <c r="EV404" s="19">
        <v>9274.0</v>
      </c>
      <c r="EW404" s="19" t="s">
        <v>16</v>
      </c>
      <c r="EX404" s="19">
        <v>3.0</v>
      </c>
      <c r="EY404" s="25" t="s">
        <v>1198</v>
      </c>
      <c r="EZ404" s="19" t="s">
        <v>2154</v>
      </c>
      <c r="FA404" s="5" t="s">
        <v>9128</v>
      </c>
      <c r="FB404" s="26" t="s">
        <v>2156</v>
      </c>
      <c r="FC404" s="26"/>
    </row>
    <row r="405">
      <c r="A405" s="19" t="s">
        <v>2112</v>
      </c>
      <c r="B405" s="19"/>
      <c r="C405" s="19" t="s">
        <v>2113</v>
      </c>
      <c r="D405" s="19" t="s">
        <v>1200</v>
      </c>
      <c r="E405" s="19" t="s">
        <v>9129</v>
      </c>
      <c r="F405" s="19" t="s">
        <v>1200</v>
      </c>
      <c r="G405" s="19"/>
      <c r="H405" s="19" t="s">
        <v>1200</v>
      </c>
      <c r="I405" s="19" t="s">
        <v>1202</v>
      </c>
      <c r="J405" s="19" t="s">
        <v>9130</v>
      </c>
      <c r="K405" s="19" t="s">
        <v>9131</v>
      </c>
      <c r="L405" s="20">
        <v>45394.0</v>
      </c>
      <c r="M405" s="20">
        <v>45404.0</v>
      </c>
      <c r="N405" s="20">
        <v>45404.0</v>
      </c>
      <c r="O405" s="19" t="s">
        <v>1201</v>
      </c>
      <c r="P405" s="19">
        <v>0.0</v>
      </c>
      <c r="Q405" s="19">
        <v>22.0</v>
      </c>
      <c r="R405" s="19">
        <v>8144.0</v>
      </c>
      <c r="S405" s="20" t="s">
        <v>9132</v>
      </c>
      <c r="T405" s="20">
        <v>45461.0</v>
      </c>
      <c r="U405" s="19" t="s">
        <v>1200</v>
      </c>
      <c r="V405" s="19"/>
      <c r="W405" s="19" t="s">
        <v>9133</v>
      </c>
      <c r="X405" s="21">
        <v>0.0</v>
      </c>
      <c r="Y405" s="21">
        <v>10.0</v>
      </c>
      <c r="Z405" s="21">
        <v>3.0</v>
      </c>
      <c r="AA405" s="21">
        <v>0.0</v>
      </c>
      <c r="AB405" s="5">
        <v>13.0</v>
      </c>
      <c r="AC405" s="19">
        <v>5.0</v>
      </c>
      <c r="AD405" s="19">
        <v>4.0</v>
      </c>
      <c r="AE405" s="19">
        <v>4.0</v>
      </c>
      <c r="AF405" s="19">
        <v>4.0</v>
      </c>
      <c r="AG405" s="19">
        <v>4.0</v>
      </c>
      <c r="AH405" s="19">
        <v>5.0</v>
      </c>
      <c r="AI405" s="22">
        <v>12.84375</v>
      </c>
      <c r="AJ405" s="19">
        <v>15.0</v>
      </c>
      <c r="AK405" s="19">
        <v>12.5</v>
      </c>
      <c r="AL405" s="19">
        <v>14.0</v>
      </c>
      <c r="AM405" s="19">
        <v>41.5</v>
      </c>
      <c r="AN405" s="19">
        <v>54.3</v>
      </c>
      <c r="AO405" s="19">
        <v>67.3</v>
      </c>
      <c r="AP405" s="19">
        <v>731.0</v>
      </c>
      <c r="AQ405" s="23">
        <v>398.0</v>
      </c>
      <c r="AR405" s="23">
        <v>53.0</v>
      </c>
      <c r="AS405" s="22"/>
      <c r="AT405" s="19" t="s">
        <v>2163</v>
      </c>
      <c r="AU405" s="19" t="s">
        <v>3711</v>
      </c>
      <c r="AV405" s="19" t="s">
        <v>9134</v>
      </c>
      <c r="AW405" s="19" t="s">
        <v>9135</v>
      </c>
      <c r="AX405" s="20">
        <v>37317.0</v>
      </c>
      <c r="AY405" s="19" t="s">
        <v>2467</v>
      </c>
      <c r="AZ405" s="19" t="s">
        <v>2122</v>
      </c>
      <c r="BA405" s="19" t="s">
        <v>9136</v>
      </c>
      <c r="BB405" s="19" t="s">
        <v>2764</v>
      </c>
      <c r="BC405" s="19" t="s">
        <v>9137</v>
      </c>
      <c r="BD405" s="19" t="s">
        <v>9138</v>
      </c>
      <c r="BE405" s="19" t="s">
        <v>9139</v>
      </c>
      <c r="BF405" s="19">
        <v>1.1989861458E10</v>
      </c>
      <c r="BG405" s="19" t="s">
        <v>2127</v>
      </c>
      <c r="BH405" s="19" t="s">
        <v>2128</v>
      </c>
      <c r="BI405" s="19"/>
      <c r="BJ405" s="19"/>
      <c r="BK405" s="19" t="s">
        <v>16</v>
      </c>
      <c r="BL405" s="19" t="s">
        <v>2113</v>
      </c>
      <c r="BM405" s="19" t="s">
        <v>5411</v>
      </c>
      <c r="BN405" s="19" t="s">
        <v>3951</v>
      </c>
      <c r="BO405" s="19" t="s">
        <v>2473</v>
      </c>
      <c r="BP405" s="19"/>
      <c r="BQ405" s="19" t="s">
        <v>2133</v>
      </c>
      <c r="BR405" s="19" t="s">
        <v>2133</v>
      </c>
      <c r="BS405" s="19" t="s">
        <v>2134</v>
      </c>
      <c r="BT405" s="19" t="s">
        <v>38</v>
      </c>
      <c r="BU405" s="19" t="s">
        <v>9140</v>
      </c>
      <c r="BV405" s="19"/>
      <c r="BW405" s="19"/>
      <c r="BX405" s="19"/>
      <c r="BY405" s="19"/>
      <c r="BZ405" s="19"/>
      <c r="CA405" s="19"/>
      <c r="CB405" s="19" t="s">
        <v>2113</v>
      </c>
      <c r="CC405" s="19"/>
      <c r="CD405" s="19" t="s">
        <v>2137</v>
      </c>
      <c r="CE405" s="19" t="s">
        <v>16</v>
      </c>
      <c r="CF405" s="19"/>
      <c r="CG405" s="19"/>
      <c r="CH405" s="19" t="s">
        <v>16</v>
      </c>
      <c r="CI405" s="21">
        <v>0.0</v>
      </c>
      <c r="CJ405" s="19" t="s">
        <v>17</v>
      </c>
      <c r="CK405" s="19"/>
      <c r="CL405" s="19"/>
      <c r="CM405" s="19" t="s">
        <v>2138</v>
      </c>
      <c r="CN405" s="19" t="s">
        <v>2475</v>
      </c>
      <c r="CO405" s="19"/>
      <c r="CP405" s="19"/>
      <c r="CQ405" s="19"/>
      <c r="CR405" s="19"/>
      <c r="CS405" s="19"/>
      <c r="CT405" s="19" t="s">
        <v>2113</v>
      </c>
      <c r="CU405" s="19" t="s">
        <v>2113</v>
      </c>
      <c r="CV405" s="19" t="s">
        <v>2141</v>
      </c>
      <c r="CW405" s="19" t="s">
        <v>2113</v>
      </c>
      <c r="CX405" s="19" t="s">
        <v>2113</v>
      </c>
      <c r="CY405" s="19"/>
      <c r="CZ405" s="19"/>
      <c r="DA405" s="19" t="s">
        <v>16</v>
      </c>
      <c r="DB405" s="19" t="s">
        <v>17</v>
      </c>
      <c r="DC405" s="19" t="s">
        <v>2477</v>
      </c>
      <c r="DD405" s="19" t="s">
        <v>2113</v>
      </c>
      <c r="DE405" s="19" t="s">
        <v>2113</v>
      </c>
      <c r="DF405" s="19" t="s">
        <v>2843</v>
      </c>
      <c r="DG405" s="19" t="s">
        <v>2476</v>
      </c>
      <c r="DH405" s="19" t="s">
        <v>2144</v>
      </c>
      <c r="DI405" s="24">
        <v>45524.0</v>
      </c>
      <c r="DJ405" s="19" t="s">
        <v>2133</v>
      </c>
      <c r="DK405" s="19" t="s">
        <v>2145</v>
      </c>
      <c r="DL405" s="19" t="s">
        <v>2146</v>
      </c>
      <c r="DM405" s="19" t="s">
        <v>3302</v>
      </c>
      <c r="DN405" s="19">
        <v>7.0</v>
      </c>
      <c r="DO405" s="19">
        <v>7.0</v>
      </c>
      <c r="DP405" s="19" t="s">
        <v>9141</v>
      </c>
      <c r="DQ405" s="19" t="s">
        <v>9142</v>
      </c>
      <c r="DR405" s="19" t="s">
        <v>9143</v>
      </c>
      <c r="DS405" s="19" t="s">
        <v>2185</v>
      </c>
      <c r="DT405" s="19" t="s">
        <v>2152</v>
      </c>
      <c r="DU405" s="19"/>
      <c r="DV405" s="19"/>
      <c r="DW405" s="19" t="s">
        <v>3306</v>
      </c>
      <c r="DX405" s="19">
        <v>4.0</v>
      </c>
      <c r="DY405" s="19">
        <v>10.0</v>
      </c>
      <c r="DZ405" s="19">
        <v>0.0</v>
      </c>
      <c r="EA405" s="19">
        <v>10.0</v>
      </c>
      <c r="EB405" s="19">
        <v>0.0</v>
      </c>
      <c r="EC405" s="19">
        <v>0.0</v>
      </c>
      <c r="ED405" s="19" t="s">
        <v>2133</v>
      </c>
      <c r="EE405" s="24">
        <v>45524.0</v>
      </c>
      <c r="EF405" s="19" t="s">
        <v>2133</v>
      </c>
      <c r="EG405" s="19" t="s">
        <v>2145</v>
      </c>
      <c r="EH405" s="19" t="s">
        <v>2146</v>
      </c>
      <c r="EI405" s="22">
        <v>12.84375</v>
      </c>
      <c r="EJ405" s="19">
        <v>41.5</v>
      </c>
      <c r="EK405" s="19" t="s">
        <v>2113</v>
      </c>
      <c r="EL405" s="19" t="s">
        <v>2163</v>
      </c>
      <c r="EM405" s="19" t="s">
        <v>3711</v>
      </c>
      <c r="EN405" s="19" t="s">
        <v>1202</v>
      </c>
      <c r="EO405" s="19" t="s">
        <v>2467</v>
      </c>
      <c r="EP405" s="19" t="s">
        <v>2122</v>
      </c>
      <c r="EQ405" s="19" t="s">
        <v>2475</v>
      </c>
      <c r="ER405" s="19"/>
      <c r="ES405" s="19" t="s">
        <v>1202</v>
      </c>
      <c r="ET405" s="19" t="s">
        <v>1202</v>
      </c>
      <c r="EU405" s="19" t="s">
        <v>9131</v>
      </c>
      <c r="EV405" s="19">
        <v>8144.0</v>
      </c>
      <c r="EW405" s="19" t="s">
        <v>16</v>
      </c>
      <c r="EX405" s="19">
        <v>3.0</v>
      </c>
      <c r="EY405" s="25" t="s">
        <v>1201</v>
      </c>
      <c r="EZ405" s="19" t="s">
        <v>2154</v>
      </c>
      <c r="FA405" s="5" t="s">
        <v>9144</v>
      </c>
      <c r="FB405" s="26" t="s">
        <v>2156</v>
      </c>
      <c r="FC405" s="26"/>
    </row>
    <row r="406">
      <c r="A406" s="19" t="s">
        <v>2112</v>
      </c>
      <c r="B406" s="19"/>
      <c r="C406" s="19" t="s">
        <v>2113</v>
      </c>
      <c r="D406" s="19" t="s">
        <v>9145</v>
      </c>
      <c r="E406" s="19" t="s">
        <v>9146</v>
      </c>
      <c r="F406" s="19" t="s">
        <v>1203</v>
      </c>
      <c r="G406" s="19" t="s">
        <v>9147</v>
      </c>
      <c r="H406" s="19" t="s">
        <v>1203</v>
      </c>
      <c r="I406" s="19" t="s">
        <v>1205</v>
      </c>
      <c r="J406" s="19" t="s">
        <v>9148</v>
      </c>
      <c r="K406" s="19" t="s">
        <v>9149</v>
      </c>
      <c r="L406" s="20">
        <v>45443.0</v>
      </c>
      <c r="M406" s="20">
        <v>45446.0</v>
      </c>
      <c r="N406" s="20">
        <v>45446.0</v>
      </c>
      <c r="O406" s="19" t="s">
        <v>1204</v>
      </c>
      <c r="P406" s="19">
        <v>0.0</v>
      </c>
      <c r="Q406" s="19">
        <v>21.0</v>
      </c>
      <c r="R406" s="19">
        <v>7907.0</v>
      </c>
      <c r="S406" s="20" t="s">
        <v>9150</v>
      </c>
      <c r="T406" s="20">
        <v>45461.0</v>
      </c>
      <c r="U406" s="19" t="s">
        <v>1203</v>
      </c>
      <c r="V406" s="19"/>
      <c r="W406" s="19" t="s">
        <v>9151</v>
      </c>
      <c r="X406" s="21">
        <v>0.0</v>
      </c>
      <c r="Y406" s="21">
        <v>10.0</v>
      </c>
      <c r="Z406" s="21">
        <v>3.0</v>
      </c>
      <c r="AA406" s="21">
        <v>0.0</v>
      </c>
      <c r="AB406" s="5">
        <v>13.0</v>
      </c>
      <c r="AC406" s="19">
        <v>5.0</v>
      </c>
      <c r="AD406" s="19">
        <v>5.0</v>
      </c>
      <c r="AE406" s="19">
        <v>5.0</v>
      </c>
      <c r="AF406" s="19">
        <v>4.0</v>
      </c>
      <c r="AG406" s="19">
        <v>5.0</v>
      </c>
      <c r="AH406" s="19">
        <v>4.0</v>
      </c>
      <c r="AI406" s="22">
        <v>14.25</v>
      </c>
      <c r="AJ406" s="19">
        <v>10.0</v>
      </c>
      <c r="AK406" s="19">
        <v>15.0</v>
      </c>
      <c r="AL406" s="19">
        <v>15.0</v>
      </c>
      <c r="AM406" s="19">
        <v>40.0</v>
      </c>
      <c r="AN406" s="19">
        <v>54.3</v>
      </c>
      <c r="AO406" s="19">
        <v>67.3</v>
      </c>
      <c r="AP406" s="19">
        <v>751.0</v>
      </c>
      <c r="AQ406" s="23">
        <v>399.0</v>
      </c>
      <c r="AR406" s="23">
        <v>30.0</v>
      </c>
      <c r="AS406" s="22"/>
      <c r="AT406" s="19" t="s">
        <v>2282</v>
      </c>
      <c r="AU406" s="19" t="s">
        <v>2283</v>
      </c>
      <c r="AV406" s="19" t="s">
        <v>9152</v>
      </c>
      <c r="AW406" s="19" t="s">
        <v>9153</v>
      </c>
      <c r="AX406" s="20">
        <v>37554.0</v>
      </c>
      <c r="AY406" s="19" t="s">
        <v>3905</v>
      </c>
      <c r="AZ406" s="19" t="s">
        <v>2445</v>
      </c>
      <c r="BA406" s="19" t="s">
        <v>9154</v>
      </c>
      <c r="BB406" s="19" t="s">
        <v>9155</v>
      </c>
      <c r="BC406" s="19" t="s">
        <v>9156</v>
      </c>
      <c r="BD406" s="19" t="s">
        <v>9157</v>
      </c>
      <c r="BE406" s="19" t="s">
        <v>9158</v>
      </c>
      <c r="BF406" s="19">
        <v>1.1977462122E10</v>
      </c>
      <c r="BG406" s="19" t="s">
        <v>2127</v>
      </c>
      <c r="BH406" s="19" t="s">
        <v>2128</v>
      </c>
      <c r="BI406" s="19"/>
      <c r="BJ406" s="19" t="s">
        <v>2128</v>
      </c>
      <c r="BK406" s="19" t="s">
        <v>17</v>
      </c>
      <c r="BL406" s="19" t="s">
        <v>2113</v>
      </c>
      <c r="BM406" s="19" t="s">
        <v>5411</v>
      </c>
      <c r="BN406" s="19" t="s">
        <v>2401</v>
      </c>
      <c r="BO406" s="19" t="s">
        <v>2473</v>
      </c>
      <c r="BP406" s="19" t="s">
        <v>9159</v>
      </c>
      <c r="BQ406" s="19" t="s">
        <v>2133</v>
      </c>
      <c r="BR406" s="19" t="s">
        <v>2133</v>
      </c>
      <c r="BS406" s="19" t="s">
        <v>2243</v>
      </c>
      <c r="BT406" s="19" t="s">
        <v>222</v>
      </c>
      <c r="BU406" s="19" t="s">
        <v>9160</v>
      </c>
      <c r="BV406" s="19"/>
      <c r="BW406" s="19"/>
      <c r="BX406" s="19"/>
      <c r="BY406" s="19" t="s">
        <v>2113</v>
      </c>
      <c r="BZ406" s="19" t="s">
        <v>2113</v>
      </c>
      <c r="CA406" s="19"/>
      <c r="CB406" s="19" t="s">
        <v>2113</v>
      </c>
      <c r="CC406" s="19"/>
      <c r="CD406" s="19" t="s">
        <v>2137</v>
      </c>
      <c r="CE406" s="19" t="s">
        <v>17</v>
      </c>
      <c r="CF406" s="19"/>
      <c r="CG406" s="19"/>
      <c r="CH406" s="19" t="s">
        <v>16</v>
      </c>
      <c r="CI406" s="21">
        <v>0.0</v>
      </c>
      <c r="CJ406" s="19" t="s">
        <v>16</v>
      </c>
      <c r="CK406" s="19"/>
      <c r="CL406" s="19"/>
      <c r="CM406" s="19" t="s">
        <v>2344</v>
      </c>
      <c r="CN406" s="19" t="s">
        <v>3544</v>
      </c>
      <c r="CO406" s="19" t="s">
        <v>3932</v>
      </c>
      <c r="CP406" s="19" t="s">
        <v>2178</v>
      </c>
      <c r="CQ406" s="19"/>
      <c r="CR406" s="19" t="s">
        <v>2113</v>
      </c>
      <c r="CS406" s="19" t="s">
        <v>2113</v>
      </c>
      <c r="CT406" s="19" t="s">
        <v>2113</v>
      </c>
      <c r="CU406" s="19" t="s">
        <v>2113</v>
      </c>
      <c r="CV406" s="19" t="s">
        <v>2179</v>
      </c>
      <c r="CW406" s="19"/>
      <c r="CX406" s="19"/>
      <c r="CY406" s="19" t="s">
        <v>2113</v>
      </c>
      <c r="CZ406" s="19" t="s">
        <v>2113</v>
      </c>
      <c r="DA406" s="19" t="s">
        <v>17</v>
      </c>
      <c r="DB406" s="19" t="s">
        <v>16</v>
      </c>
      <c r="DC406" s="19" t="s">
        <v>2578</v>
      </c>
      <c r="DD406" s="19" t="s">
        <v>2113</v>
      </c>
      <c r="DE406" s="19" t="s">
        <v>2113</v>
      </c>
      <c r="DF406" s="19" t="s">
        <v>2146</v>
      </c>
      <c r="DG406" s="19" t="s">
        <v>2671</v>
      </c>
      <c r="DH406" s="19" t="s">
        <v>2144</v>
      </c>
      <c r="DI406" s="24">
        <v>45525.0</v>
      </c>
      <c r="DJ406" s="19" t="s">
        <v>2133</v>
      </c>
      <c r="DK406" s="19" t="s">
        <v>2271</v>
      </c>
      <c r="DL406" s="19" t="s">
        <v>2146</v>
      </c>
      <c r="DM406" s="19" t="s">
        <v>2408</v>
      </c>
      <c r="DN406" s="19">
        <v>10.0</v>
      </c>
      <c r="DO406" s="19">
        <v>10.0</v>
      </c>
      <c r="DP406" s="19"/>
      <c r="DQ406" s="19"/>
      <c r="DR406" s="19"/>
      <c r="DS406" s="19" t="s">
        <v>2365</v>
      </c>
      <c r="DT406" s="19" t="s">
        <v>2229</v>
      </c>
      <c r="DU406" s="19" t="s">
        <v>9161</v>
      </c>
      <c r="DV406" s="19"/>
      <c r="DW406" s="19" t="s">
        <v>2153</v>
      </c>
      <c r="DX406" s="19">
        <v>8.0</v>
      </c>
      <c r="DY406" s="19">
        <v>10.0</v>
      </c>
      <c r="DZ406" s="19">
        <v>0.0</v>
      </c>
      <c r="EA406" s="19">
        <v>10.0</v>
      </c>
      <c r="EB406" s="19">
        <v>0.0</v>
      </c>
      <c r="EC406" s="19">
        <v>0.0</v>
      </c>
      <c r="ED406" s="19" t="s">
        <v>2133</v>
      </c>
      <c r="EE406" s="24">
        <v>45525.0</v>
      </c>
      <c r="EF406" s="19" t="s">
        <v>2133</v>
      </c>
      <c r="EG406" s="19" t="s">
        <v>2271</v>
      </c>
      <c r="EH406" s="19" t="s">
        <v>2146</v>
      </c>
      <c r="EI406" s="22">
        <v>14.25</v>
      </c>
      <c r="EJ406" s="19">
        <v>40.0</v>
      </c>
      <c r="EK406" s="19"/>
      <c r="EL406" s="19" t="s">
        <v>2282</v>
      </c>
      <c r="EM406" s="19" t="s">
        <v>2283</v>
      </c>
      <c r="EN406" s="19" t="s">
        <v>1205</v>
      </c>
      <c r="EO406" s="19" t="s">
        <v>3905</v>
      </c>
      <c r="EP406" s="19" t="s">
        <v>2445</v>
      </c>
      <c r="EQ406" s="19" t="s">
        <v>3544</v>
      </c>
      <c r="ER406" s="19" t="s">
        <v>3932</v>
      </c>
      <c r="ES406" s="19" t="s">
        <v>1205</v>
      </c>
      <c r="ET406" s="19" t="s">
        <v>1205</v>
      </c>
      <c r="EU406" s="19" t="s">
        <v>9149</v>
      </c>
      <c r="EV406" s="19">
        <v>7907.0</v>
      </c>
      <c r="EW406" s="19" t="s">
        <v>17</v>
      </c>
      <c r="EX406" s="19">
        <v>3.0</v>
      </c>
      <c r="EY406" s="25" t="s">
        <v>1204</v>
      </c>
      <c r="EZ406" s="19" t="s">
        <v>9162</v>
      </c>
      <c r="FA406" s="5" t="s">
        <v>9163</v>
      </c>
      <c r="FB406" s="26" t="s">
        <v>2156</v>
      </c>
      <c r="FC406" s="26"/>
    </row>
    <row r="407">
      <c r="A407" s="19" t="s">
        <v>2156</v>
      </c>
      <c r="B407" s="19"/>
      <c r="C407" s="19" t="s">
        <v>2113</v>
      </c>
      <c r="D407" s="19" t="s">
        <v>1206</v>
      </c>
      <c r="E407" s="19" t="s">
        <v>9164</v>
      </c>
      <c r="F407" s="19" t="s">
        <v>1206</v>
      </c>
      <c r="G407" s="19"/>
      <c r="H407" s="19" t="s">
        <v>1206</v>
      </c>
      <c r="I407" s="19" t="s">
        <v>1208</v>
      </c>
      <c r="J407" s="19" t="s">
        <v>9165</v>
      </c>
      <c r="K407" s="19" t="s">
        <v>9166</v>
      </c>
      <c r="L407" s="20">
        <v>45446.0</v>
      </c>
      <c r="M407" s="20">
        <v>45447.0</v>
      </c>
      <c r="N407" s="20">
        <v>45447.0</v>
      </c>
      <c r="O407" s="19" t="s">
        <v>1207</v>
      </c>
      <c r="P407" s="19">
        <v>0.0</v>
      </c>
      <c r="Q407" s="19">
        <v>19.0</v>
      </c>
      <c r="R407" s="19">
        <v>7200.0</v>
      </c>
      <c r="S407" s="20" t="s">
        <v>9167</v>
      </c>
      <c r="T407" s="20">
        <v>45461.0</v>
      </c>
      <c r="U407" s="19" t="s">
        <v>1206</v>
      </c>
      <c r="V407" s="19"/>
      <c r="W407" s="19"/>
      <c r="X407" s="21">
        <v>0.0</v>
      </c>
      <c r="Y407" s="21">
        <v>10.0</v>
      </c>
      <c r="Z407" s="21">
        <v>2.0</v>
      </c>
      <c r="AA407" s="21">
        <v>0.0</v>
      </c>
      <c r="AB407" s="5">
        <v>12.0</v>
      </c>
      <c r="AC407" s="19">
        <v>5.0</v>
      </c>
      <c r="AD407" s="19">
        <v>3.0</v>
      </c>
      <c r="AE407" s="19">
        <v>3.5</v>
      </c>
      <c r="AF407" s="19">
        <v>3.5</v>
      </c>
      <c r="AG407" s="19">
        <v>2.0</v>
      </c>
      <c r="AH407" s="19">
        <v>3.5</v>
      </c>
      <c r="AI407" s="22">
        <v>10.3125</v>
      </c>
      <c r="AJ407" s="19">
        <v>15.0</v>
      </c>
      <c r="AK407" s="19">
        <v>15.0</v>
      </c>
      <c r="AL407" s="19">
        <v>15.0</v>
      </c>
      <c r="AM407" s="19">
        <v>45.0</v>
      </c>
      <c r="AN407" s="19">
        <v>55.3</v>
      </c>
      <c r="AO407" s="19">
        <v>67.3</v>
      </c>
      <c r="AP407" s="19">
        <v>885.0</v>
      </c>
      <c r="AQ407" s="23">
        <v>400.0</v>
      </c>
      <c r="AR407" s="23">
        <v>33.0</v>
      </c>
      <c r="AS407" s="22"/>
      <c r="AT407" s="19" t="s">
        <v>2282</v>
      </c>
      <c r="AU407" s="19" t="s">
        <v>9168</v>
      </c>
      <c r="AV407" s="19" t="s">
        <v>9169</v>
      </c>
      <c r="AW407" s="19" t="s">
        <v>3269</v>
      </c>
      <c r="AX407" s="20">
        <v>38261.0</v>
      </c>
      <c r="AY407" s="19" t="s">
        <v>4564</v>
      </c>
      <c r="AZ407" s="19" t="s">
        <v>2445</v>
      </c>
      <c r="BA407" s="19" t="s">
        <v>9170</v>
      </c>
      <c r="BB407" s="19" t="s">
        <v>9171</v>
      </c>
      <c r="BC407" s="19" t="s">
        <v>9172</v>
      </c>
      <c r="BD407" s="19" t="s">
        <v>9173</v>
      </c>
      <c r="BE407" s="19" t="s">
        <v>9165</v>
      </c>
      <c r="BF407" s="19" t="s">
        <v>9174</v>
      </c>
      <c r="BG407" s="19" t="s">
        <v>2127</v>
      </c>
      <c r="BH407" s="19" t="s">
        <v>2128</v>
      </c>
      <c r="BI407" s="19"/>
      <c r="BJ407" s="19"/>
      <c r="BK407" s="19" t="s">
        <v>16</v>
      </c>
      <c r="BL407" s="19"/>
      <c r="BM407" s="19" t="s">
        <v>5411</v>
      </c>
      <c r="BN407" s="19" t="s">
        <v>17</v>
      </c>
      <c r="BO407" s="19" t="s">
        <v>3199</v>
      </c>
      <c r="BP407" s="19"/>
      <c r="BQ407" s="19" t="s">
        <v>2325</v>
      </c>
      <c r="BR407" s="19" t="s">
        <v>2325</v>
      </c>
      <c r="BS407" s="19" t="s">
        <v>2134</v>
      </c>
      <c r="BT407" s="19" t="s">
        <v>118</v>
      </c>
      <c r="BU407" s="19" t="s">
        <v>8080</v>
      </c>
      <c r="BV407" s="19"/>
      <c r="BW407" s="19" t="s">
        <v>2113</v>
      </c>
      <c r="BX407" s="19"/>
      <c r="BY407" s="19"/>
      <c r="BZ407" s="19"/>
      <c r="CA407" s="19"/>
      <c r="CB407" s="19" t="s">
        <v>2113</v>
      </c>
      <c r="CC407" s="19"/>
      <c r="CD407" s="19" t="s">
        <v>2137</v>
      </c>
      <c r="CE407" s="19" t="s">
        <v>16</v>
      </c>
      <c r="CF407" s="19"/>
      <c r="CG407" s="19"/>
      <c r="CH407" s="19" t="s">
        <v>16</v>
      </c>
      <c r="CI407" s="21">
        <v>0.0</v>
      </c>
      <c r="CJ407" s="19" t="s">
        <v>16</v>
      </c>
      <c r="CK407" s="19"/>
      <c r="CL407" s="19"/>
      <c r="CM407" s="19" t="s">
        <v>2344</v>
      </c>
      <c r="CN407" s="19" t="s">
        <v>3220</v>
      </c>
      <c r="CO407" s="19"/>
      <c r="CP407" s="19"/>
      <c r="CQ407" s="19"/>
      <c r="CR407" s="19" t="s">
        <v>2113</v>
      </c>
      <c r="CS407" s="19" t="s">
        <v>2113</v>
      </c>
      <c r="CT407" s="19"/>
      <c r="CU407" s="19"/>
      <c r="CV407" s="19" t="s">
        <v>2141</v>
      </c>
      <c r="CW407" s="19"/>
      <c r="CX407" s="19"/>
      <c r="CY407" s="19"/>
      <c r="CZ407" s="19"/>
      <c r="DA407" s="19" t="s">
        <v>16</v>
      </c>
      <c r="DB407" s="19" t="s">
        <v>16</v>
      </c>
      <c r="DC407" s="19" t="s">
        <v>2432</v>
      </c>
      <c r="DD407" s="19" t="s">
        <v>2113</v>
      </c>
      <c r="DE407" s="19" t="s">
        <v>2113</v>
      </c>
      <c r="DF407" s="19" t="s">
        <v>2323</v>
      </c>
      <c r="DG407" s="19" t="s">
        <v>7621</v>
      </c>
      <c r="DH407" s="19" t="s">
        <v>2144</v>
      </c>
      <c r="DI407" s="24">
        <v>45519.0</v>
      </c>
      <c r="DJ407" s="19" t="s">
        <v>2325</v>
      </c>
      <c r="DK407" s="19" t="s">
        <v>2145</v>
      </c>
      <c r="DL407" s="19" t="s">
        <v>2326</v>
      </c>
      <c r="DM407" s="19"/>
      <c r="DN407" s="19">
        <v>5.0</v>
      </c>
      <c r="DO407" s="19">
        <v>5.0</v>
      </c>
      <c r="DP407" s="19" t="s">
        <v>9175</v>
      </c>
      <c r="DQ407" s="19" t="s">
        <v>9176</v>
      </c>
      <c r="DR407" s="19" t="s">
        <v>9177</v>
      </c>
      <c r="DS407" s="19" t="s">
        <v>2185</v>
      </c>
      <c r="DT407" s="19" t="s">
        <v>2186</v>
      </c>
      <c r="DU407" s="19"/>
      <c r="DV407" s="19"/>
      <c r="DW407" s="19" t="s">
        <v>3306</v>
      </c>
      <c r="DX407" s="19">
        <v>4.0</v>
      </c>
      <c r="DY407" s="19">
        <v>10.0</v>
      </c>
      <c r="DZ407" s="19">
        <v>0.0</v>
      </c>
      <c r="EA407" s="19">
        <v>10.0</v>
      </c>
      <c r="EB407" s="19">
        <v>0.0</v>
      </c>
      <c r="EC407" s="19">
        <v>0.0</v>
      </c>
      <c r="ED407" s="19" t="s">
        <v>2325</v>
      </c>
      <c r="EE407" s="24">
        <v>45519.0</v>
      </c>
      <c r="EF407" s="19" t="s">
        <v>2325</v>
      </c>
      <c r="EG407" s="19" t="s">
        <v>2145</v>
      </c>
      <c r="EH407" s="19" t="s">
        <v>2326</v>
      </c>
      <c r="EI407" s="22">
        <v>10.3125</v>
      </c>
      <c r="EJ407" s="19">
        <v>45.0</v>
      </c>
      <c r="EK407" s="19"/>
      <c r="EL407" s="19" t="s">
        <v>2282</v>
      </c>
      <c r="EM407" s="19" t="s">
        <v>9168</v>
      </c>
      <c r="EN407" s="19" t="s">
        <v>1208</v>
      </c>
      <c r="EO407" s="19" t="s">
        <v>4564</v>
      </c>
      <c r="EP407" s="19" t="s">
        <v>2445</v>
      </c>
      <c r="EQ407" s="19" t="s">
        <v>3220</v>
      </c>
      <c r="ER407" s="19"/>
      <c r="ES407" s="19" t="s">
        <v>1208</v>
      </c>
      <c r="ET407" s="19" t="s">
        <v>1208</v>
      </c>
      <c r="EU407" s="19" t="s">
        <v>9166</v>
      </c>
      <c r="EV407" s="19">
        <v>7200.0</v>
      </c>
      <c r="EW407" s="19" t="s">
        <v>16</v>
      </c>
      <c r="EX407" s="19">
        <v>2.0</v>
      </c>
      <c r="EY407" s="25" t="s">
        <v>1207</v>
      </c>
      <c r="EZ407" s="19" t="s">
        <v>2154</v>
      </c>
      <c r="FA407" s="5" t="s">
        <v>9178</v>
      </c>
      <c r="FB407" s="26" t="s">
        <v>2156</v>
      </c>
      <c r="FC407" s="26"/>
    </row>
    <row r="408">
      <c r="A408" s="19" t="s">
        <v>2112</v>
      </c>
      <c r="B408" s="19"/>
      <c r="C408" s="19" t="s">
        <v>2113</v>
      </c>
      <c r="D408" s="19" t="s">
        <v>9179</v>
      </c>
      <c r="E408" s="19" t="s">
        <v>9180</v>
      </c>
      <c r="F408" s="19" t="s">
        <v>9179</v>
      </c>
      <c r="G408" s="19"/>
      <c r="H408" s="19" t="s">
        <v>1209</v>
      </c>
      <c r="I408" s="19" t="s">
        <v>1211</v>
      </c>
      <c r="J408" s="19" t="s">
        <v>9181</v>
      </c>
      <c r="K408" s="19" t="s">
        <v>9182</v>
      </c>
      <c r="L408" s="20">
        <v>45456.0</v>
      </c>
      <c r="M408" s="20">
        <v>45457.0</v>
      </c>
      <c r="N408" s="20">
        <v>45457.0</v>
      </c>
      <c r="O408" s="19" t="s">
        <v>1210</v>
      </c>
      <c r="P408" s="19">
        <v>0.0</v>
      </c>
      <c r="Q408" s="19">
        <v>25.0</v>
      </c>
      <c r="R408" s="19">
        <v>9207.0</v>
      </c>
      <c r="S408" s="20" t="s">
        <v>9183</v>
      </c>
      <c r="T408" s="20">
        <v>45461.0</v>
      </c>
      <c r="U408" s="19" t="s">
        <v>9179</v>
      </c>
      <c r="V408" s="19"/>
      <c r="W408" s="19" t="s">
        <v>7755</v>
      </c>
      <c r="X408" s="21">
        <v>0.0</v>
      </c>
      <c r="Y408" s="21">
        <v>10.0</v>
      </c>
      <c r="Z408" s="21">
        <v>5.0</v>
      </c>
      <c r="AA408" s="21">
        <v>2.0</v>
      </c>
      <c r="AB408" s="5">
        <v>17.0</v>
      </c>
      <c r="AC408" s="19">
        <v>3.4</v>
      </c>
      <c r="AD408" s="19">
        <v>3.4</v>
      </c>
      <c r="AE408" s="19">
        <v>3.4</v>
      </c>
      <c r="AF408" s="19">
        <v>3.4</v>
      </c>
      <c r="AG408" s="19">
        <v>3.4</v>
      </c>
      <c r="AH408" s="19">
        <v>3.4</v>
      </c>
      <c r="AI408" s="22">
        <v>10.2</v>
      </c>
      <c r="AJ408" s="19">
        <v>15.0</v>
      </c>
      <c r="AK408" s="19">
        <v>13.0</v>
      </c>
      <c r="AL408" s="19">
        <v>12.0</v>
      </c>
      <c r="AM408" s="19">
        <v>40.0</v>
      </c>
      <c r="AN408" s="19">
        <v>50.2</v>
      </c>
      <c r="AO408" s="19">
        <v>67.2</v>
      </c>
      <c r="AP408" s="19">
        <v>361.0</v>
      </c>
      <c r="AQ408" s="23">
        <v>401.0</v>
      </c>
      <c r="AR408" s="23">
        <v>30.0</v>
      </c>
      <c r="AS408" s="22"/>
      <c r="AT408" s="19" t="s">
        <v>2117</v>
      </c>
      <c r="AU408" s="19" t="s">
        <v>9184</v>
      </c>
      <c r="AV408" s="19" t="s">
        <v>9185</v>
      </c>
      <c r="AW408" s="19" t="s">
        <v>2166</v>
      </c>
      <c r="AX408" s="20">
        <v>36254.0</v>
      </c>
      <c r="AY408" s="19" t="s">
        <v>2529</v>
      </c>
      <c r="AZ408" s="19" t="s">
        <v>2554</v>
      </c>
      <c r="BA408" s="19" t="s">
        <v>9186</v>
      </c>
      <c r="BB408" s="19" t="s">
        <v>3199</v>
      </c>
      <c r="BC408" s="19" t="s">
        <v>9187</v>
      </c>
      <c r="BD408" s="19" t="s">
        <v>9188</v>
      </c>
      <c r="BE408" s="19" t="s">
        <v>9181</v>
      </c>
      <c r="BF408" s="19">
        <v>1.1986191172E10</v>
      </c>
      <c r="BG408" s="19" t="s">
        <v>2127</v>
      </c>
      <c r="BH408" s="19" t="s">
        <v>2128</v>
      </c>
      <c r="BI408" s="19"/>
      <c r="BJ408" s="19"/>
      <c r="BK408" s="19" t="s">
        <v>16</v>
      </c>
      <c r="BL408" s="19"/>
      <c r="BM408" s="19" t="s">
        <v>5411</v>
      </c>
      <c r="BN408" s="19" t="s">
        <v>17</v>
      </c>
      <c r="BO408" s="19" t="s">
        <v>2132</v>
      </c>
      <c r="BP408" s="19" t="s">
        <v>9189</v>
      </c>
      <c r="BQ408" s="19" t="s">
        <v>2174</v>
      </c>
      <c r="BR408" s="19" t="s">
        <v>2174</v>
      </c>
      <c r="BS408" s="19" t="s">
        <v>2134</v>
      </c>
      <c r="BT408" s="19" t="s">
        <v>75</v>
      </c>
      <c r="BU408" s="19" t="s">
        <v>4422</v>
      </c>
      <c r="BV408" s="19"/>
      <c r="BW408" s="19" t="s">
        <v>2113</v>
      </c>
      <c r="BX408" s="19"/>
      <c r="BY408" s="19"/>
      <c r="BZ408" s="19"/>
      <c r="CA408" s="19"/>
      <c r="CB408" s="19"/>
      <c r="CC408" s="19"/>
      <c r="CD408" s="19" t="s">
        <v>2137</v>
      </c>
      <c r="CE408" s="19" t="s">
        <v>16</v>
      </c>
      <c r="CF408" s="19"/>
      <c r="CG408" s="19"/>
      <c r="CH408" s="19" t="s">
        <v>16</v>
      </c>
      <c r="CI408" s="21">
        <v>0.0</v>
      </c>
      <c r="CJ408" s="19" t="s">
        <v>17</v>
      </c>
      <c r="CK408" s="19"/>
      <c r="CL408" s="19"/>
      <c r="CM408" s="19"/>
      <c r="CN408" s="19" t="s">
        <v>2537</v>
      </c>
      <c r="CO408" s="19"/>
      <c r="CP408" s="19"/>
      <c r="CQ408" s="19"/>
      <c r="CR408" s="19" t="s">
        <v>2113</v>
      </c>
      <c r="CS408" s="19" t="s">
        <v>2113</v>
      </c>
      <c r="CT408" s="19" t="s">
        <v>2113</v>
      </c>
      <c r="CU408" s="19" t="s">
        <v>2113</v>
      </c>
      <c r="CV408" s="19" t="s">
        <v>2179</v>
      </c>
      <c r="CW408" s="19"/>
      <c r="CX408" s="19"/>
      <c r="CY408" s="19"/>
      <c r="CZ408" s="19"/>
      <c r="DA408" s="19" t="s">
        <v>16</v>
      </c>
      <c r="DB408" s="19" t="s">
        <v>17</v>
      </c>
      <c r="DC408" s="19" t="s">
        <v>3856</v>
      </c>
      <c r="DD408" s="19"/>
      <c r="DE408" s="19"/>
      <c r="DF408" s="19" t="s">
        <v>3562</v>
      </c>
      <c r="DG408" s="19" t="s">
        <v>8672</v>
      </c>
      <c r="DH408" s="19" t="s">
        <v>2144</v>
      </c>
      <c r="DI408" s="24">
        <v>45519.0</v>
      </c>
      <c r="DJ408" s="19" t="s">
        <v>2174</v>
      </c>
      <c r="DK408" s="19" t="s">
        <v>2271</v>
      </c>
      <c r="DL408" s="19" t="s">
        <v>2183</v>
      </c>
      <c r="DM408" s="19" t="s">
        <v>2272</v>
      </c>
      <c r="DN408" s="19">
        <v>6.0</v>
      </c>
      <c r="DO408" s="19">
        <v>6.0</v>
      </c>
      <c r="DP408" s="19"/>
      <c r="DQ408" s="19"/>
      <c r="DR408" s="19"/>
      <c r="DS408" s="19" t="s">
        <v>2151</v>
      </c>
      <c r="DT408" s="19" t="s">
        <v>2301</v>
      </c>
      <c r="DU408" s="19" t="s">
        <v>9190</v>
      </c>
      <c r="DV408" s="19"/>
      <c r="DW408" s="19" t="s">
        <v>2188</v>
      </c>
      <c r="DX408" s="19">
        <v>15.0</v>
      </c>
      <c r="DY408" s="19">
        <v>10.0</v>
      </c>
      <c r="DZ408" s="19">
        <v>2.0</v>
      </c>
      <c r="EA408" s="19">
        <v>10.0</v>
      </c>
      <c r="EB408" s="19">
        <v>0.0</v>
      </c>
      <c r="EC408" s="19">
        <v>0.0</v>
      </c>
      <c r="ED408" s="19" t="s">
        <v>2174</v>
      </c>
      <c r="EE408" s="24">
        <v>45519.0</v>
      </c>
      <c r="EF408" s="19" t="s">
        <v>2174</v>
      </c>
      <c r="EG408" s="19" t="s">
        <v>2271</v>
      </c>
      <c r="EH408" s="19" t="s">
        <v>2183</v>
      </c>
      <c r="EI408" s="22">
        <v>10.2</v>
      </c>
      <c r="EJ408" s="19">
        <v>40.0</v>
      </c>
      <c r="EK408" s="19" t="s">
        <v>2113</v>
      </c>
      <c r="EL408" s="19" t="s">
        <v>2117</v>
      </c>
      <c r="EM408" s="19" t="s">
        <v>9184</v>
      </c>
      <c r="EN408" s="19" t="s">
        <v>1211</v>
      </c>
      <c r="EO408" s="19" t="s">
        <v>2529</v>
      </c>
      <c r="EP408" s="19" t="s">
        <v>2554</v>
      </c>
      <c r="EQ408" s="19" t="s">
        <v>2537</v>
      </c>
      <c r="ER408" s="19"/>
      <c r="ES408" s="19" t="s">
        <v>1211</v>
      </c>
      <c r="ET408" s="19" t="s">
        <v>1211</v>
      </c>
      <c r="EU408" s="19" t="s">
        <v>9182</v>
      </c>
      <c r="EV408" s="19">
        <v>9207.0</v>
      </c>
      <c r="EW408" s="19" t="s">
        <v>16</v>
      </c>
      <c r="EX408" s="19">
        <v>5.0</v>
      </c>
      <c r="EY408" s="25" t="s">
        <v>1210</v>
      </c>
      <c r="EZ408" s="19" t="s">
        <v>2154</v>
      </c>
      <c r="FA408" s="5" t="s">
        <v>9191</v>
      </c>
      <c r="FB408" s="26" t="s">
        <v>2156</v>
      </c>
      <c r="FC408" s="26"/>
    </row>
    <row r="409">
      <c r="A409" s="19" t="s">
        <v>2156</v>
      </c>
      <c r="B409" s="19"/>
      <c r="C409" s="19" t="s">
        <v>2113</v>
      </c>
      <c r="D409" s="19" t="s">
        <v>1212</v>
      </c>
      <c r="E409" s="19" t="s">
        <v>9192</v>
      </c>
      <c r="F409" s="19" t="s">
        <v>1212</v>
      </c>
      <c r="G409" s="19"/>
      <c r="H409" s="19" t="s">
        <v>1212</v>
      </c>
      <c r="I409" s="19" t="s">
        <v>745</v>
      </c>
      <c r="J409" s="19" t="s">
        <v>9193</v>
      </c>
      <c r="K409" s="19" t="s">
        <v>9194</v>
      </c>
      <c r="L409" s="20">
        <v>45460.0</v>
      </c>
      <c r="M409" s="20">
        <v>45462.0</v>
      </c>
      <c r="N409" s="20">
        <v>45462.0</v>
      </c>
      <c r="O409" s="19" t="s">
        <v>1213</v>
      </c>
      <c r="P409" s="19">
        <v>0.0</v>
      </c>
      <c r="Q409" s="19">
        <v>24.0</v>
      </c>
      <c r="R409" s="19">
        <v>8806.0</v>
      </c>
      <c r="S409" s="20" t="s">
        <v>9195</v>
      </c>
      <c r="T409" s="20">
        <v>45461.0</v>
      </c>
      <c r="U409" s="19" t="s">
        <v>1212</v>
      </c>
      <c r="V409" s="19"/>
      <c r="W409" s="19"/>
      <c r="X409" s="21">
        <v>0.0</v>
      </c>
      <c r="Y409" s="21">
        <v>10.0</v>
      </c>
      <c r="Z409" s="21">
        <v>3.0</v>
      </c>
      <c r="AA409" s="21">
        <v>3.0</v>
      </c>
      <c r="AB409" s="5">
        <v>16.0</v>
      </c>
      <c r="AC409" s="19">
        <v>4.5</v>
      </c>
      <c r="AD409" s="19">
        <v>4.0</v>
      </c>
      <c r="AE409" s="19">
        <v>4.0</v>
      </c>
      <c r="AF409" s="19">
        <v>3.5</v>
      </c>
      <c r="AG409" s="19">
        <v>4.5</v>
      </c>
      <c r="AH409" s="19">
        <v>4.0</v>
      </c>
      <c r="AI409" s="22">
        <v>12.234375</v>
      </c>
      <c r="AJ409" s="19">
        <v>13.0</v>
      </c>
      <c r="AK409" s="19">
        <v>13.0</v>
      </c>
      <c r="AL409" s="19">
        <v>13.0</v>
      </c>
      <c r="AM409" s="19">
        <v>39.0</v>
      </c>
      <c r="AN409" s="19">
        <v>51.2</v>
      </c>
      <c r="AO409" s="19">
        <v>67.2</v>
      </c>
      <c r="AP409" s="19">
        <v>388.0</v>
      </c>
      <c r="AQ409" s="23">
        <v>402.0</v>
      </c>
      <c r="AR409" s="23">
        <v>35.0</v>
      </c>
      <c r="AS409" s="22"/>
      <c r="AT409" s="19" t="s">
        <v>2117</v>
      </c>
      <c r="AU409" s="19" t="s">
        <v>9196</v>
      </c>
      <c r="AV409" s="19" t="s">
        <v>9197</v>
      </c>
      <c r="AW409" s="19" t="s">
        <v>2701</v>
      </c>
      <c r="AX409" s="20">
        <v>36655.0</v>
      </c>
      <c r="AY409" s="19" t="s">
        <v>3053</v>
      </c>
      <c r="AZ409" s="19" t="s">
        <v>2122</v>
      </c>
      <c r="BA409" s="19" t="s">
        <v>9198</v>
      </c>
      <c r="BB409" s="19" t="s">
        <v>9199</v>
      </c>
      <c r="BC409" s="19" t="s">
        <v>9200</v>
      </c>
      <c r="BD409" s="19" t="s">
        <v>9201</v>
      </c>
      <c r="BE409" s="19"/>
      <c r="BF409" s="19"/>
      <c r="BG409" s="19" t="s">
        <v>2127</v>
      </c>
      <c r="BH409" s="19" t="s">
        <v>2128</v>
      </c>
      <c r="BI409" s="19"/>
      <c r="BJ409" s="19"/>
      <c r="BK409" s="19" t="s">
        <v>16</v>
      </c>
      <c r="BL409" s="19"/>
      <c r="BM409" s="19" t="s">
        <v>5411</v>
      </c>
      <c r="BN409" s="19" t="s">
        <v>2172</v>
      </c>
      <c r="BO409" s="19" t="s">
        <v>2473</v>
      </c>
      <c r="BP409" s="19" t="s">
        <v>9202</v>
      </c>
      <c r="BQ409" s="19" t="s">
        <v>2325</v>
      </c>
      <c r="BR409" s="19" t="s">
        <v>2325</v>
      </c>
      <c r="BS409" s="19" t="s">
        <v>2134</v>
      </c>
      <c r="BT409" s="19" t="s">
        <v>59</v>
      </c>
      <c r="BU409" s="19" t="s">
        <v>2651</v>
      </c>
      <c r="BV409" s="19"/>
      <c r="BW409" s="19" t="s">
        <v>2113</v>
      </c>
      <c r="BX409" s="19"/>
      <c r="BY409" s="19"/>
      <c r="BZ409" s="19"/>
      <c r="CA409" s="19"/>
      <c r="CB409" s="19"/>
      <c r="CC409" s="19"/>
      <c r="CD409" s="19" t="s">
        <v>2137</v>
      </c>
      <c r="CE409" s="19" t="s">
        <v>16</v>
      </c>
      <c r="CF409" s="19"/>
      <c r="CG409" s="19"/>
      <c r="CH409" s="19" t="s">
        <v>17</v>
      </c>
      <c r="CI409" s="21">
        <v>3.0</v>
      </c>
      <c r="CJ409" s="19" t="s">
        <v>17</v>
      </c>
      <c r="CK409" s="19"/>
      <c r="CL409" s="19"/>
      <c r="CM409" s="19" t="s">
        <v>2138</v>
      </c>
      <c r="CN409" s="19" t="s">
        <v>3064</v>
      </c>
      <c r="CO409" s="19"/>
      <c r="CP409" s="19"/>
      <c r="CQ409" s="19"/>
      <c r="CR409" s="19"/>
      <c r="CS409" s="19"/>
      <c r="CT409" s="19" t="s">
        <v>2113</v>
      </c>
      <c r="CU409" s="19" t="s">
        <v>2113</v>
      </c>
      <c r="CV409" s="19" t="s">
        <v>2141</v>
      </c>
      <c r="CW409" s="19" t="s">
        <v>2113</v>
      </c>
      <c r="CX409" s="19" t="s">
        <v>2113</v>
      </c>
      <c r="CY409" s="19" t="s">
        <v>2113</v>
      </c>
      <c r="CZ409" s="19" t="s">
        <v>2113</v>
      </c>
      <c r="DA409" s="19" t="s">
        <v>16</v>
      </c>
      <c r="DB409" s="19" t="s">
        <v>17</v>
      </c>
      <c r="DC409" s="19" t="s">
        <v>2562</v>
      </c>
      <c r="DD409" s="19" t="s">
        <v>2113</v>
      </c>
      <c r="DE409" s="19" t="s">
        <v>2113</v>
      </c>
      <c r="DF409" s="19" t="s">
        <v>4904</v>
      </c>
      <c r="DG409" s="19" t="s">
        <v>2432</v>
      </c>
      <c r="DH409" s="19" t="s">
        <v>2144</v>
      </c>
      <c r="DI409" s="24">
        <v>45517.0</v>
      </c>
      <c r="DJ409" s="19" t="s">
        <v>2325</v>
      </c>
      <c r="DK409" s="19" t="s">
        <v>2271</v>
      </c>
      <c r="DL409" s="19" t="s">
        <v>2326</v>
      </c>
      <c r="DM409" s="19"/>
      <c r="DN409" s="19">
        <v>2.0</v>
      </c>
      <c r="DO409" s="19">
        <v>2.0</v>
      </c>
      <c r="DP409" s="19" t="s">
        <v>9203</v>
      </c>
      <c r="DQ409" s="19" t="s">
        <v>9204</v>
      </c>
      <c r="DR409" s="19" t="s">
        <v>9205</v>
      </c>
      <c r="DS409" s="19" t="s">
        <v>2185</v>
      </c>
      <c r="DT409" s="19" t="s">
        <v>2186</v>
      </c>
      <c r="DU409" s="19"/>
      <c r="DV409" s="19"/>
      <c r="DW409" s="19" t="s">
        <v>2153</v>
      </c>
      <c r="DX409" s="19">
        <v>3.0</v>
      </c>
      <c r="DY409" s="19">
        <v>10.0</v>
      </c>
      <c r="DZ409" s="19">
        <v>0.0</v>
      </c>
      <c r="EA409" s="19">
        <v>10.0</v>
      </c>
      <c r="EB409" s="19">
        <v>3.0</v>
      </c>
      <c r="EC409" s="19">
        <v>0.0</v>
      </c>
      <c r="ED409" s="19" t="s">
        <v>2325</v>
      </c>
      <c r="EE409" s="24">
        <v>45517.0</v>
      </c>
      <c r="EF409" s="19" t="s">
        <v>2325</v>
      </c>
      <c r="EG409" s="19" t="s">
        <v>2271</v>
      </c>
      <c r="EH409" s="19" t="s">
        <v>2326</v>
      </c>
      <c r="EI409" s="22">
        <v>12.234375</v>
      </c>
      <c r="EJ409" s="19">
        <v>39.0</v>
      </c>
      <c r="EK409" s="19" t="s">
        <v>2113</v>
      </c>
      <c r="EL409" s="19" t="s">
        <v>2117</v>
      </c>
      <c r="EM409" s="19" t="s">
        <v>9196</v>
      </c>
      <c r="EN409" s="19" t="s">
        <v>745</v>
      </c>
      <c r="EO409" s="19" t="s">
        <v>3053</v>
      </c>
      <c r="EP409" s="19" t="s">
        <v>2122</v>
      </c>
      <c r="EQ409" s="19" t="s">
        <v>3064</v>
      </c>
      <c r="ER409" s="19"/>
      <c r="ES409" s="19" t="s">
        <v>745</v>
      </c>
      <c r="ET409" s="19" t="s">
        <v>745</v>
      </c>
      <c r="EU409" s="19" t="s">
        <v>9194</v>
      </c>
      <c r="EV409" s="19">
        <v>8806.0</v>
      </c>
      <c r="EW409" s="19" t="s">
        <v>16</v>
      </c>
      <c r="EX409" s="19">
        <v>3.0</v>
      </c>
      <c r="EY409" s="25" t="s">
        <v>1213</v>
      </c>
      <c r="EZ409" s="19" t="s">
        <v>2154</v>
      </c>
      <c r="FA409" s="5" t="s">
        <v>9206</v>
      </c>
      <c r="FB409" s="26" t="s">
        <v>2156</v>
      </c>
      <c r="FC409" s="26"/>
    </row>
    <row r="410">
      <c r="A410" s="19" t="s">
        <v>2156</v>
      </c>
      <c r="B410" s="19"/>
      <c r="C410" s="19" t="s">
        <v>2113</v>
      </c>
      <c r="D410" s="19" t="s">
        <v>1214</v>
      </c>
      <c r="E410" s="19" t="s">
        <v>9207</v>
      </c>
      <c r="F410" s="19" t="s">
        <v>1214</v>
      </c>
      <c r="G410" s="19"/>
      <c r="H410" s="19" t="s">
        <v>1214</v>
      </c>
      <c r="I410" s="19" t="s">
        <v>1216</v>
      </c>
      <c r="J410" s="19" t="s">
        <v>9208</v>
      </c>
      <c r="K410" s="19" t="s">
        <v>9209</v>
      </c>
      <c r="L410" s="20">
        <v>45404.0</v>
      </c>
      <c r="M410" s="20">
        <v>45411.0</v>
      </c>
      <c r="N410" s="20">
        <v>45411.0</v>
      </c>
      <c r="O410" s="19" t="s">
        <v>1215</v>
      </c>
      <c r="P410" s="19">
        <v>0.0</v>
      </c>
      <c r="Q410" s="19">
        <v>20.0</v>
      </c>
      <c r="R410" s="19">
        <v>7385.0</v>
      </c>
      <c r="S410" s="20" t="s">
        <v>9210</v>
      </c>
      <c r="T410" s="20">
        <v>45461.0</v>
      </c>
      <c r="U410" s="19" t="s">
        <v>1214</v>
      </c>
      <c r="V410" s="19"/>
      <c r="W410" s="19" t="s">
        <v>9211</v>
      </c>
      <c r="X410" s="21">
        <v>0.0</v>
      </c>
      <c r="Y410" s="21">
        <v>10.0</v>
      </c>
      <c r="Z410" s="21">
        <v>2.0</v>
      </c>
      <c r="AA410" s="21">
        <v>0.0</v>
      </c>
      <c r="AB410" s="5">
        <v>12.0</v>
      </c>
      <c r="AC410" s="19">
        <v>4.0</v>
      </c>
      <c r="AD410" s="19">
        <v>4.0</v>
      </c>
      <c r="AE410" s="19">
        <v>5.0</v>
      </c>
      <c r="AF410" s="19">
        <v>4.0</v>
      </c>
      <c r="AG410" s="19">
        <v>4.0</v>
      </c>
      <c r="AH410" s="19">
        <v>5.0</v>
      </c>
      <c r="AI410" s="22">
        <v>13.125</v>
      </c>
      <c r="AJ410" s="19">
        <v>14.0</v>
      </c>
      <c r="AK410" s="19">
        <v>14.0</v>
      </c>
      <c r="AL410" s="19">
        <v>14.0</v>
      </c>
      <c r="AM410" s="19">
        <v>42.0</v>
      </c>
      <c r="AN410" s="19">
        <v>55.1</v>
      </c>
      <c r="AO410" s="19">
        <v>67.1</v>
      </c>
      <c r="AP410" s="19">
        <v>880.0</v>
      </c>
      <c r="AQ410" s="23">
        <v>403.0</v>
      </c>
      <c r="AR410" s="23">
        <v>43.0</v>
      </c>
      <c r="AS410" s="22"/>
      <c r="AT410" s="19" t="s">
        <v>2282</v>
      </c>
      <c r="AU410" s="19" t="s">
        <v>9212</v>
      </c>
      <c r="AV410" s="19" t="s">
        <v>9213</v>
      </c>
      <c r="AW410" s="19" t="s">
        <v>2701</v>
      </c>
      <c r="AX410" s="20">
        <v>38076.0</v>
      </c>
      <c r="AY410" s="19" t="s">
        <v>9214</v>
      </c>
      <c r="AZ410" s="19" t="s">
        <v>2122</v>
      </c>
      <c r="BA410" s="19" t="s">
        <v>9215</v>
      </c>
      <c r="BB410" s="19" t="s">
        <v>6784</v>
      </c>
      <c r="BC410" s="19" t="s">
        <v>9216</v>
      </c>
      <c r="BD410" s="19" t="s">
        <v>9217</v>
      </c>
      <c r="BE410" s="19" t="s">
        <v>9208</v>
      </c>
      <c r="BF410" s="19">
        <v>1.1952499381E10</v>
      </c>
      <c r="BG410" s="19" t="s">
        <v>2127</v>
      </c>
      <c r="BH410" s="19" t="s">
        <v>2128</v>
      </c>
      <c r="BI410" s="19"/>
      <c r="BJ410" s="19" t="s">
        <v>2128</v>
      </c>
      <c r="BK410" s="19" t="s">
        <v>17</v>
      </c>
      <c r="BL410" s="19" t="s">
        <v>2113</v>
      </c>
      <c r="BM410" s="19" t="s">
        <v>5411</v>
      </c>
      <c r="BN410" s="19" t="s">
        <v>2291</v>
      </c>
      <c r="BO410" s="19" t="s">
        <v>3199</v>
      </c>
      <c r="BP410" s="19"/>
      <c r="BQ410" s="19" t="s">
        <v>2133</v>
      </c>
      <c r="BR410" s="19" t="s">
        <v>2133</v>
      </c>
      <c r="BS410" s="19" t="s">
        <v>2134</v>
      </c>
      <c r="BT410" s="19" t="s">
        <v>15</v>
      </c>
      <c r="BU410" s="19" t="s">
        <v>9218</v>
      </c>
      <c r="BV410" s="19"/>
      <c r="BW410" s="19"/>
      <c r="BX410" s="19"/>
      <c r="BY410" s="19"/>
      <c r="BZ410" s="19"/>
      <c r="CA410" s="19"/>
      <c r="CB410" s="19" t="s">
        <v>2113</v>
      </c>
      <c r="CC410" s="19"/>
      <c r="CD410" s="19" t="s">
        <v>2137</v>
      </c>
      <c r="CE410" s="19" t="s">
        <v>16</v>
      </c>
      <c r="CF410" s="19"/>
      <c r="CG410" s="19"/>
      <c r="CH410" s="19" t="s">
        <v>16</v>
      </c>
      <c r="CI410" s="21">
        <v>0.0</v>
      </c>
      <c r="CJ410" s="19" t="s">
        <v>16</v>
      </c>
      <c r="CK410" s="19"/>
      <c r="CL410" s="19"/>
      <c r="CM410" s="19" t="s">
        <v>2344</v>
      </c>
      <c r="CN410" s="19" t="s">
        <v>5128</v>
      </c>
      <c r="CO410" s="19"/>
      <c r="CP410" s="19" t="s">
        <v>2267</v>
      </c>
      <c r="CQ410" s="19"/>
      <c r="CR410" s="19" t="s">
        <v>2113</v>
      </c>
      <c r="CS410" s="19" t="s">
        <v>2113</v>
      </c>
      <c r="CT410" s="19" t="s">
        <v>2113</v>
      </c>
      <c r="CU410" s="19" t="s">
        <v>2113</v>
      </c>
      <c r="CV410" s="19" t="s">
        <v>2141</v>
      </c>
      <c r="CW410" s="19" t="s">
        <v>2113</v>
      </c>
      <c r="CX410" s="19" t="s">
        <v>2113</v>
      </c>
      <c r="CY410" s="19" t="s">
        <v>2113</v>
      </c>
      <c r="CZ410" s="19" t="s">
        <v>2113</v>
      </c>
      <c r="DA410" s="19" t="s">
        <v>16</v>
      </c>
      <c r="DB410" s="19" t="s">
        <v>16</v>
      </c>
      <c r="DC410" s="19" t="s">
        <v>2671</v>
      </c>
      <c r="DD410" s="19" t="s">
        <v>2113</v>
      </c>
      <c r="DE410" s="19" t="s">
        <v>2113</v>
      </c>
      <c r="DF410" s="19" t="s">
        <v>2433</v>
      </c>
      <c r="DG410" s="19" t="s">
        <v>2248</v>
      </c>
      <c r="DH410" s="19" t="s">
        <v>2144</v>
      </c>
      <c r="DI410" s="24">
        <v>45519.0</v>
      </c>
      <c r="DJ410" s="19" t="s">
        <v>2133</v>
      </c>
      <c r="DK410" s="19" t="s">
        <v>2271</v>
      </c>
      <c r="DL410" s="19" t="s">
        <v>2146</v>
      </c>
      <c r="DM410" s="19" t="s">
        <v>2751</v>
      </c>
      <c r="DN410" s="19">
        <v>6.0</v>
      </c>
      <c r="DO410" s="19">
        <v>6.0</v>
      </c>
      <c r="DP410" s="19" t="s">
        <v>9219</v>
      </c>
      <c r="DQ410" s="19" t="s">
        <v>9220</v>
      </c>
      <c r="DR410" s="19" t="s">
        <v>9221</v>
      </c>
      <c r="DS410" s="19" t="s">
        <v>2365</v>
      </c>
      <c r="DT410" s="19" t="s">
        <v>2301</v>
      </c>
      <c r="DU410" s="19"/>
      <c r="DV410" s="19"/>
      <c r="DW410" s="19" t="s">
        <v>2153</v>
      </c>
      <c r="DX410" s="19">
        <v>7.0</v>
      </c>
      <c r="DY410" s="19">
        <v>10.0</v>
      </c>
      <c r="DZ410" s="19">
        <v>0.0</v>
      </c>
      <c r="EA410" s="19">
        <v>10.0</v>
      </c>
      <c r="EB410" s="19">
        <v>0.0</v>
      </c>
      <c r="EC410" s="19">
        <v>0.0</v>
      </c>
      <c r="ED410" s="19" t="s">
        <v>2133</v>
      </c>
      <c r="EE410" s="24">
        <v>45519.0</v>
      </c>
      <c r="EF410" s="19" t="s">
        <v>2133</v>
      </c>
      <c r="EG410" s="19" t="s">
        <v>2271</v>
      </c>
      <c r="EH410" s="19" t="s">
        <v>2146</v>
      </c>
      <c r="EI410" s="22">
        <v>13.125</v>
      </c>
      <c r="EJ410" s="19">
        <v>42.0</v>
      </c>
      <c r="EK410" s="19"/>
      <c r="EL410" s="19" t="s">
        <v>2282</v>
      </c>
      <c r="EM410" s="19" t="s">
        <v>9212</v>
      </c>
      <c r="EN410" s="19" t="s">
        <v>1216</v>
      </c>
      <c r="EO410" s="19" t="s">
        <v>9214</v>
      </c>
      <c r="EP410" s="19" t="s">
        <v>2122</v>
      </c>
      <c r="EQ410" s="19" t="s">
        <v>5128</v>
      </c>
      <c r="ER410" s="19"/>
      <c r="ES410" s="19" t="s">
        <v>1216</v>
      </c>
      <c r="ET410" s="19" t="s">
        <v>1216</v>
      </c>
      <c r="EU410" s="19" t="s">
        <v>9209</v>
      </c>
      <c r="EV410" s="19">
        <v>7385.0</v>
      </c>
      <c r="EW410" s="19" t="s">
        <v>16</v>
      </c>
      <c r="EX410" s="19">
        <v>2.0</v>
      </c>
      <c r="EY410" s="25" t="s">
        <v>1215</v>
      </c>
      <c r="EZ410" s="19" t="s">
        <v>2154</v>
      </c>
      <c r="FA410" s="5" t="s">
        <v>9222</v>
      </c>
      <c r="FB410" s="26" t="s">
        <v>2156</v>
      </c>
      <c r="FC410" s="26"/>
    </row>
    <row r="411" hidden="1">
      <c r="A411" s="19" t="s">
        <v>2112</v>
      </c>
      <c r="B411" s="19" t="s">
        <v>2113</v>
      </c>
      <c r="C411" s="19" t="s">
        <v>2113</v>
      </c>
      <c r="D411" s="27" t="s">
        <v>9223</v>
      </c>
      <c r="E411" s="19" t="s">
        <v>9224</v>
      </c>
      <c r="F411" s="19" t="s">
        <v>9223</v>
      </c>
      <c r="G411" s="19"/>
      <c r="H411" s="27" t="s">
        <v>9223</v>
      </c>
      <c r="I411" s="19" t="s">
        <v>9225</v>
      </c>
      <c r="J411" s="19" t="s">
        <v>9226</v>
      </c>
      <c r="K411" s="19" t="s">
        <v>9227</v>
      </c>
      <c r="L411" s="20">
        <v>45395.0</v>
      </c>
      <c r="M411" s="20">
        <v>45404.0</v>
      </c>
      <c r="N411" s="20">
        <v>45404.0</v>
      </c>
      <c r="O411" s="19" t="s">
        <v>9228</v>
      </c>
      <c r="P411" s="19">
        <v>0.0</v>
      </c>
      <c r="Q411" s="19">
        <v>23.0</v>
      </c>
      <c r="R411" s="19">
        <v>8605.0</v>
      </c>
      <c r="S411" s="20" t="s">
        <v>9229</v>
      </c>
      <c r="T411" s="20">
        <v>45461.0</v>
      </c>
      <c r="U411" s="19" t="s">
        <v>9223</v>
      </c>
      <c r="V411" s="19"/>
      <c r="W411" s="19"/>
      <c r="X411" s="21">
        <v>20.0</v>
      </c>
      <c r="Y411" s="21">
        <v>10.0</v>
      </c>
      <c r="Z411" s="21">
        <v>2.0</v>
      </c>
      <c r="AA411" s="21">
        <v>2.0</v>
      </c>
      <c r="AB411" s="5">
        <v>34.0</v>
      </c>
      <c r="AC411" s="19">
        <v>5.0</v>
      </c>
      <c r="AD411" s="19">
        <v>4.0</v>
      </c>
      <c r="AE411" s="19">
        <v>5.0</v>
      </c>
      <c r="AF411" s="19">
        <v>5.0</v>
      </c>
      <c r="AG411" s="19">
        <v>4.0</v>
      </c>
      <c r="AH411" s="19">
        <v>5.0</v>
      </c>
      <c r="AI411" s="22">
        <v>13.96875</v>
      </c>
      <c r="AJ411" s="19">
        <v>8.0</v>
      </c>
      <c r="AK411" s="19">
        <v>5.0</v>
      </c>
      <c r="AL411" s="19">
        <v>6.0</v>
      </c>
      <c r="AM411" s="19">
        <v>19.0</v>
      </c>
      <c r="AN411" s="19">
        <v>33.0</v>
      </c>
      <c r="AO411" s="19">
        <v>67.0</v>
      </c>
      <c r="AP411" s="19">
        <v>137.0</v>
      </c>
      <c r="AQ411" s="19">
        <v>410.0</v>
      </c>
      <c r="AR411" s="19">
        <v>15.0</v>
      </c>
      <c r="AS411" s="22"/>
      <c r="AT411" s="19" t="s">
        <v>2163</v>
      </c>
      <c r="AU411" s="19" t="s">
        <v>9168</v>
      </c>
      <c r="AV411" s="19" t="s">
        <v>9230</v>
      </c>
      <c r="AW411" s="19" t="s">
        <v>9231</v>
      </c>
      <c r="AX411" s="20">
        <v>36856.0</v>
      </c>
      <c r="AY411" s="19" t="s">
        <v>3593</v>
      </c>
      <c r="AZ411" s="19" t="s">
        <v>3849</v>
      </c>
      <c r="BA411" s="19" t="s">
        <v>9232</v>
      </c>
      <c r="BB411" s="19" t="s">
        <v>2646</v>
      </c>
      <c r="BC411" s="19" t="s">
        <v>9233</v>
      </c>
      <c r="BD411" s="19" t="s">
        <v>9234</v>
      </c>
      <c r="BE411" s="19" t="s">
        <v>9235</v>
      </c>
      <c r="BF411" s="19">
        <v>1.1992868425E10</v>
      </c>
      <c r="BG411" s="19" t="s">
        <v>2127</v>
      </c>
      <c r="BH411" s="19" t="s">
        <v>2128</v>
      </c>
      <c r="BI411" s="19"/>
      <c r="BJ411" s="19" t="s">
        <v>2128</v>
      </c>
      <c r="BK411" s="19" t="s">
        <v>16</v>
      </c>
      <c r="BL411" s="19"/>
      <c r="BM411" s="19" t="s">
        <v>2130</v>
      </c>
      <c r="BN411" s="19" t="s">
        <v>17</v>
      </c>
      <c r="BO411" s="19" t="s">
        <v>3199</v>
      </c>
      <c r="BP411" s="19" t="s">
        <v>9236</v>
      </c>
      <c r="BQ411" s="19" t="s">
        <v>3251</v>
      </c>
      <c r="BR411" s="19" t="s">
        <v>3251</v>
      </c>
      <c r="BS411" s="19" t="s">
        <v>2243</v>
      </c>
      <c r="BT411" s="19" t="s">
        <v>177</v>
      </c>
      <c r="BU411" s="19" t="s">
        <v>9237</v>
      </c>
      <c r="BV411" s="19" t="s">
        <v>9238</v>
      </c>
      <c r="BW411" s="19" t="s">
        <v>2113</v>
      </c>
      <c r="BX411" s="19"/>
      <c r="BY411" s="19"/>
      <c r="BZ411" s="19"/>
      <c r="CA411" s="19"/>
      <c r="CB411" s="19"/>
      <c r="CC411" s="19"/>
      <c r="CD411" s="19" t="s">
        <v>2137</v>
      </c>
      <c r="CE411" s="19" t="s">
        <v>17</v>
      </c>
      <c r="CF411" s="19"/>
      <c r="CG411" s="19"/>
      <c r="CH411" s="19" t="s">
        <v>16</v>
      </c>
      <c r="CI411" s="21">
        <v>0.0</v>
      </c>
      <c r="CJ411" s="19" t="s">
        <v>17</v>
      </c>
      <c r="CK411" s="19"/>
      <c r="CL411" s="19"/>
      <c r="CM411" s="19" t="s">
        <v>3102</v>
      </c>
      <c r="CN411" s="19" t="s">
        <v>3253</v>
      </c>
      <c r="CO411" s="19" t="s">
        <v>4986</v>
      </c>
      <c r="CP411" s="19" t="s">
        <v>2246</v>
      </c>
      <c r="CQ411" s="19"/>
      <c r="CR411" s="19" t="s">
        <v>2113</v>
      </c>
      <c r="CS411" s="19" t="s">
        <v>2113</v>
      </c>
      <c r="CT411" s="19" t="s">
        <v>2113</v>
      </c>
      <c r="CU411" s="19" t="s">
        <v>2113</v>
      </c>
      <c r="CV411" s="19" t="s">
        <v>2179</v>
      </c>
      <c r="CW411" s="19"/>
      <c r="CX411" s="19"/>
      <c r="CY411" s="19" t="s">
        <v>2113</v>
      </c>
      <c r="CZ411" s="19" t="s">
        <v>2113</v>
      </c>
      <c r="DA411" s="19" t="s">
        <v>17</v>
      </c>
      <c r="DB411" s="19" t="s">
        <v>17</v>
      </c>
      <c r="DC411" s="19" t="s">
        <v>3103</v>
      </c>
      <c r="DD411" s="19" t="s">
        <v>2113</v>
      </c>
      <c r="DE411" s="19" t="s">
        <v>2113</v>
      </c>
      <c r="DF411" s="19" t="s">
        <v>3955</v>
      </c>
      <c r="DG411" s="19" t="s">
        <v>4466</v>
      </c>
      <c r="DH411" s="19" t="s">
        <v>2144</v>
      </c>
      <c r="DI411" s="24">
        <v>45533.0</v>
      </c>
      <c r="DJ411" s="19" t="s">
        <v>3257</v>
      </c>
      <c r="DK411" s="19" t="s">
        <v>2145</v>
      </c>
      <c r="DL411" s="19" t="s">
        <v>2207</v>
      </c>
      <c r="DM411" s="22" t="s">
        <v>5829</v>
      </c>
      <c r="DN411" s="19">
        <v>1.0</v>
      </c>
      <c r="DO411" s="19">
        <v>1.0</v>
      </c>
      <c r="DP411" s="19"/>
      <c r="DQ411" s="19"/>
      <c r="DR411" s="19"/>
      <c r="DS411" s="19" t="s">
        <v>2185</v>
      </c>
      <c r="DT411" s="19" t="s">
        <v>2209</v>
      </c>
      <c r="DU411" s="19" t="s">
        <v>9239</v>
      </c>
      <c r="DV411" s="19" t="s">
        <v>9240</v>
      </c>
      <c r="DW411" s="19" t="s">
        <v>2153</v>
      </c>
      <c r="DX411" s="19">
        <v>1.0</v>
      </c>
      <c r="DY411" s="19">
        <v>10.0</v>
      </c>
      <c r="DZ411" s="19">
        <v>2.0</v>
      </c>
      <c r="EA411" s="19">
        <v>10.0</v>
      </c>
      <c r="EB411" s="19">
        <v>0.0</v>
      </c>
      <c r="EC411" s="19">
        <v>20.0</v>
      </c>
      <c r="ED411" s="19" t="s">
        <v>3257</v>
      </c>
      <c r="EE411" s="24">
        <v>45533.0</v>
      </c>
      <c r="EF411" s="19" t="s">
        <v>3257</v>
      </c>
      <c r="EG411" s="19" t="s">
        <v>2145</v>
      </c>
      <c r="EH411" s="19" t="s">
        <v>2207</v>
      </c>
      <c r="EI411" s="22">
        <v>13.96875</v>
      </c>
      <c r="EJ411" s="19">
        <v>19.0</v>
      </c>
      <c r="EK411" s="19" t="s">
        <v>2113</v>
      </c>
      <c r="EL411" s="19" t="s">
        <v>2163</v>
      </c>
      <c r="EM411" s="19" t="s">
        <v>9168</v>
      </c>
      <c r="EN411" s="19" t="s">
        <v>9225</v>
      </c>
      <c r="EO411" s="19" t="s">
        <v>3593</v>
      </c>
      <c r="EP411" s="19" t="s">
        <v>3849</v>
      </c>
      <c r="EQ411" s="19" t="s">
        <v>3253</v>
      </c>
      <c r="ER411" s="19" t="s">
        <v>4986</v>
      </c>
      <c r="ES411" s="19" t="s">
        <v>9225</v>
      </c>
      <c r="ET411" s="19" t="s">
        <v>9225</v>
      </c>
      <c r="EU411" s="19" t="s">
        <v>9227</v>
      </c>
      <c r="EV411" s="19">
        <v>8605.0</v>
      </c>
      <c r="EW411" s="19" t="s">
        <v>17</v>
      </c>
      <c r="EX411" s="19">
        <v>2.0</v>
      </c>
      <c r="EY411" s="25" t="s">
        <v>9228</v>
      </c>
      <c r="EZ411" s="19" t="s">
        <v>9241</v>
      </c>
      <c r="FA411" s="5" t="s">
        <v>9242</v>
      </c>
      <c r="FB411" s="26" t="s">
        <v>2633</v>
      </c>
      <c r="FC411" s="26" t="s">
        <v>2634</v>
      </c>
    </row>
    <row r="412">
      <c r="A412" s="19" t="s">
        <v>2156</v>
      </c>
      <c r="B412" s="19"/>
      <c r="C412" s="19" t="s">
        <v>2113</v>
      </c>
      <c r="D412" s="19" t="s">
        <v>1217</v>
      </c>
      <c r="E412" s="19" t="s">
        <v>9243</v>
      </c>
      <c r="F412" s="19" t="s">
        <v>1217</v>
      </c>
      <c r="G412" s="19"/>
      <c r="H412" s="19" t="s">
        <v>1217</v>
      </c>
      <c r="I412" s="19" t="s">
        <v>1219</v>
      </c>
      <c r="J412" s="19" t="s">
        <v>9244</v>
      </c>
      <c r="K412" s="19" t="s">
        <v>9245</v>
      </c>
      <c r="L412" s="20">
        <v>45458.0</v>
      </c>
      <c r="M412" s="20">
        <v>45460.0</v>
      </c>
      <c r="N412" s="20">
        <v>45460.0</v>
      </c>
      <c r="O412" s="19" t="s">
        <v>1218</v>
      </c>
      <c r="P412" s="19">
        <v>0.0</v>
      </c>
      <c r="Q412" s="19">
        <v>26.0</v>
      </c>
      <c r="R412" s="19">
        <v>9820.0</v>
      </c>
      <c r="S412" s="20" t="s">
        <v>9246</v>
      </c>
      <c r="T412" s="20">
        <v>45461.0</v>
      </c>
      <c r="U412" s="19" t="s">
        <v>1217</v>
      </c>
      <c r="V412" s="19"/>
      <c r="W412" s="19" t="s">
        <v>9247</v>
      </c>
      <c r="X412" s="21">
        <v>0.0</v>
      </c>
      <c r="Y412" s="21">
        <v>10.0</v>
      </c>
      <c r="Z412" s="21">
        <v>5.0</v>
      </c>
      <c r="AA412" s="21">
        <v>0.0</v>
      </c>
      <c r="AB412" s="5">
        <v>15.0</v>
      </c>
      <c r="AC412" s="19">
        <v>5.0</v>
      </c>
      <c r="AD412" s="19">
        <v>5.0</v>
      </c>
      <c r="AE412" s="19">
        <v>5.0</v>
      </c>
      <c r="AF412" s="19">
        <v>5.0</v>
      </c>
      <c r="AG412" s="19">
        <v>5.0</v>
      </c>
      <c r="AH412" s="19">
        <v>5.0</v>
      </c>
      <c r="AI412" s="22">
        <v>15.0</v>
      </c>
      <c r="AJ412" s="19">
        <v>12.0</v>
      </c>
      <c r="AK412" s="19">
        <v>15.0</v>
      </c>
      <c r="AL412" s="19">
        <v>10.0</v>
      </c>
      <c r="AM412" s="19">
        <v>37.0</v>
      </c>
      <c r="AN412" s="19">
        <v>52.0</v>
      </c>
      <c r="AO412" s="19">
        <v>67.0</v>
      </c>
      <c r="AP412" s="19">
        <v>407.0</v>
      </c>
      <c r="AQ412" s="23">
        <v>404.0</v>
      </c>
      <c r="AR412" s="23">
        <v>54.0</v>
      </c>
      <c r="AS412" s="22"/>
      <c r="AT412" s="19" t="s">
        <v>2117</v>
      </c>
      <c r="AU412" s="19" t="s">
        <v>2993</v>
      </c>
      <c r="AV412" s="19" t="s">
        <v>9248</v>
      </c>
      <c r="AW412" s="19" t="s">
        <v>4438</v>
      </c>
      <c r="AX412" s="20">
        <v>35641.0</v>
      </c>
      <c r="AY412" s="19" t="s">
        <v>2286</v>
      </c>
      <c r="AZ412" s="19" t="s">
        <v>2122</v>
      </c>
      <c r="BA412" s="19" t="s">
        <v>9249</v>
      </c>
      <c r="BB412" s="19" t="s">
        <v>8025</v>
      </c>
      <c r="BC412" s="19" t="s">
        <v>9250</v>
      </c>
      <c r="BD412" s="19" t="s">
        <v>9251</v>
      </c>
      <c r="BE412" s="19" t="s">
        <v>9252</v>
      </c>
      <c r="BF412" s="19">
        <v>1.1990230701E10</v>
      </c>
      <c r="BG412" s="19" t="s">
        <v>2127</v>
      </c>
      <c r="BH412" s="19" t="s">
        <v>2128</v>
      </c>
      <c r="BI412" s="19"/>
      <c r="BJ412" s="19" t="s">
        <v>2128</v>
      </c>
      <c r="BK412" s="19" t="s">
        <v>17</v>
      </c>
      <c r="BL412" s="19"/>
      <c r="BM412" s="19" t="s">
        <v>5411</v>
      </c>
      <c r="BN412" s="19" t="s">
        <v>2291</v>
      </c>
      <c r="BO412" s="19" t="s">
        <v>2132</v>
      </c>
      <c r="BP412" s="19" t="s">
        <v>9253</v>
      </c>
      <c r="BQ412" s="19" t="s">
        <v>2133</v>
      </c>
      <c r="BR412" s="19" t="s">
        <v>2133</v>
      </c>
      <c r="BS412" s="19" t="s">
        <v>2134</v>
      </c>
      <c r="BT412" s="19" t="s">
        <v>38</v>
      </c>
      <c r="BU412" s="19" t="s">
        <v>9254</v>
      </c>
      <c r="BV412" s="19"/>
      <c r="BW412" s="19"/>
      <c r="BX412" s="19"/>
      <c r="BY412" s="19" t="s">
        <v>2113</v>
      </c>
      <c r="BZ412" s="19" t="s">
        <v>2113</v>
      </c>
      <c r="CA412" s="19" t="s">
        <v>2113</v>
      </c>
      <c r="CB412" s="19"/>
      <c r="CC412" s="19"/>
      <c r="CD412" s="19" t="s">
        <v>2137</v>
      </c>
      <c r="CE412" s="19" t="s">
        <v>16</v>
      </c>
      <c r="CF412" s="19"/>
      <c r="CG412" s="19"/>
      <c r="CH412" s="19" t="s">
        <v>16</v>
      </c>
      <c r="CI412" s="21">
        <v>0.0</v>
      </c>
      <c r="CJ412" s="19" t="s">
        <v>17</v>
      </c>
      <c r="CK412" s="19"/>
      <c r="CL412" s="19"/>
      <c r="CM412" s="19" t="s">
        <v>2138</v>
      </c>
      <c r="CN412" s="19" t="s">
        <v>2294</v>
      </c>
      <c r="CO412" s="19"/>
      <c r="CP412" s="19" t="s">
        <v>2225</v>
      </c>
      <c r="CQ412" s="19"/>
      <c r="CR412" s="19" t="s">
        <v>2113</v>
      </c>
      <c r="CS412" s="19" t="s">
        <v>2113</v>
      </c>
      <c r="CT412" s="19" t="s">
        <v>2113</v>
      </c>
      <c r="CU412" s="19" t="s">
        <v>2113</v>
      </c>
      <c r="CV412" s="19" t="s">
        <v>2141</v>
      </c>
      <c r="CW412" s="19" t="s">
        <v>2113</v>
      </c>
      <c r="CX412" s="19" t="s">
        <v>2113</v>
      </c>
      <c r="CY412" s="19"/>
      <c r="CZ412" s="19"/>
      <c r="DA412" s="19" t="s">
        <v>16</v>
      </c>
      <c r="DB412" s="19" t="s">
        <v>17</v>
      </c>
      <c r="DC412" s="19" t="s">
        <v>2407</v>
      </c>
      <c r="DD412" s="19" t="s">
        <v>2113</v>
      </c>
      <c r="DE412" s="19" t="s">
        <v>2113</v>
      </c>
      <c r="DF412" s="19" t="s">
        <v>3223</v>
      </c>
      <c r="DG412" s="19" t="s">
        <v>4466</v>
      </c>
      <c r="DH412" s="19" t="s">
        <v>2144</v>
      </c>
      <c r="DI412" s="24">
        <v>45519.0</v>
      </c>
      <c r="DJ412" s="19" t="s">
        <v>2133</v>
      </c>
      <c r="DK412" s="19" t="s">
        <v>2271</v>
      </c>
      <c r="DL412" s="19" t="s">
        <v>2146</v>
      </c>
      <c r="DM412" s="19" t="s">
        <v>2751</v>
      </c>
      <c r="DN412" s="19">
        <v>6.0</v>
      </c>
      <c r="DO412" s="19">
        <v>6.0</v>
      </c>
      <c r="DP412" s="19" t="s">
        <v>9255</v>
      </c>
      <c r="DQ412" s="19" t="s">
        <v>9256</v>
      </c>
      <c r="DR412" s="19" t="s">
        <v>9257</v>
      </c>
      <c r="DS412" s="19" t="s">
        <v>2185</v>
      </c>
      <c r="DT412" s="19" t="s">
        <v>2152</v>
      </c>
      <c r="DU412" s="19"/>
      <c r="DV412" s="19"/>
      <c r="DW412" s="19" t="s">
        <v>2153</v>
      </c>
      <c r="DX412" s="19">
        <v>1.0</v>
      </c>
      <c r="DY412" s="19">
        <v>10.0</v>
      </c>
      <c r="DZ412" s="19">
        <v>0.0</v>
      </c>
      <c r="EA412" s="19">
        <v>10.0</v>
      </c>
      <c r="EB412" s="19">
        <v>0.0</v>
      </c>
      <c r="EC412" s="19">
        <v>0.0</v>
      </c>
      <c r="ED412" s="19" t="s">
        <v>2133</v>
      </c>
      <c r="EE412" s="24">
        <v>45519.0</v>
      </c>
      <c r="EF412" s="19" t="s">
        <v>2133</v>
      </c>
      <c r="EG412" s="19" t="s">
        <v>2271</v>
      </c>
      <c r="EH412" s="19" t="s">
        <v>2146</v>
      </c>
      <c r="EI412" s="22">
        <v>15.0</v>
      </c>
      <c r="EJ412" s="19">
        <v>37.0</v>
      </c>
      <c r="EK412" s="19" t="s">
        <v>2113</v>
      </c>
      <c r="EL412" s="19" t="s">
        <v>2117</v>
      </c>
      <c r="EM412" s="19" t="s">
        <v>2993</v>
      </c>
      <c r="EN412" s="19" t="s">
        <v>1219</v>
      </c>
      <c r="EO412" s="19" t="s">
        <v>2286</v>
      </c>
      <c r="EP412" s="19" t="s">
        <v>2122</v>
      </c>
      <c r="EQ412" s="19" t="s">
        <v>2294</v>
      </c>
      <c r="ER412" s="19"/>
      <c r="ES412" s="19" t="s">
        <v>1219</v>
      </c>
      <c r="ET412" s="19" t="s">
        <v>1219</v>
      </c>
      <c r="EU412" s="19" t="s">
        <v>9245</v>
      </c>
      <c r="EV412" s="19">
        <v>9820.0</v>
      </c>
      <c r="EW412" s="19" t="s">
        <v>16</v>
      </c>
      <c r="EX412" s="19">
        <v>5.0</v>
      </c>
      <c r="EY412" s="25" t="s">
        <v>1218</v>
      </c>
      <c r="EZ412" s="19" t="s">
        <v>2154</v>
      </c>
      <c r="FA412" s="5" t="s">
        <v>9258</v>
      </c>
      <c r="FB412" s="26" t="s">
        <v>2156</v>
      </c>
      <c r="FC412" s="26"/>
    </row>
    <row r="413">
      <c r="A413" s="19" t="s">
        <v>17</v>
      </c>
      <c r="B413" s="19"/>
      <c r="C413" s="19" t="s">
        <v>2113</v>
      </c>
      <c r="D413" s="19" t="s">
        <v>1220</v>
      </c>
      <c r="E413" s="19" t="s">
        <v>9259</v>
      </c>
      <c r="F413" s="19" t="s">
        <v>1220</v>
      </c>
      <c r="G413" s="19"/>
      <c r="H413" s="19" t="s">
        <v>1220</v>
      </c>
      <c r="I413" s="19" t="s">
        <v>1222</v>
      </c>
      <c r="J413" s="19" t="s">
        <v>9260</v>
      </c>
      <c r="K413" s="19" t="s">
        <v>9261</v>
      </c>
      <c r="L413" s="20">
        <v>45432.0</v>
      </c>
      <c r="M413" s="20">
        <v>45433.0</v>
      </c>
      <c r="N413" s="20">
        <v>45433.0</v>
      </c>
      <c r="O413" s="19" t="s">
        <v>1221</v>
      </c>
      <c r="P413" s="19">
        <v>0.0</v>
      </c>
      <c r="Q413" s="19">
        <v>28.0</v>
      </c>
      <c r="R413" s="19">
        <v>10504.0</v>
      </c>
      <c r="S413" s="20" t="s">
        <v>5328</v>
      </c>
      <c r="T413" s="20">
        <v>45461.0</v>
      </c>
      <c r="U413" s="19" t="s">
        <v>1220</v>
      </c>
      <c r="V413" s="19"/>
      <c r="W413" s="19"/>
      <c r="X413" s="21">
        <v>0.0</v>
      </c>
      <c r="Y413" s="21">
        <v>5.0</v>
      </c>
      <c r="Z413" s="21">
        <v>4.0</v>
      </c>
      <c r="AA413" s="21">
        <v>0.0</v>
      </c>
      <c r="AB413" s="5">
        <v>9.0</v>
      </c>
      <c r="AC413" s="19">
        <v>5.0</v>
      </c>
      <c r="AD413" s="19">
        <v>5.0</v>
      </c>
      <c r="AE413" s="19">
        <v>5.0</v>
      </c>
      <c r="AF413" s="19">
        <v>5.0</v>
      </c>
      <c r="AG413" s="19">
        <v>5.0</v>
      </c>
      <c r="AH413" s="19">
        <v>5.0</v>
      </c>
      <c r="AI413" s="22">
        <v>15.0</v>
      </c>
      <c r="AJ413" s="19">
        <v>14.0</v>
      </c>
      <c r="AK413" s="19">
        <v>15.0</v>
      </c>
      <c r="AL413" s="19">
        <v>14.0</v>
      </c>
      <c r="AM413" s="19">
        <v>43.0</v>
      </c>
      <c r="AN413" s="19">
        <v>58.0</v>
      </c>
      <c r="AO413" s="19">
        <v>67.0</v>
      </c>
      <c r="AP413" s="19">
        <v>972.0</v>
      </c>
      <c r="AQ413" s="23">
        <v>405.0</v>
      </c>
      <c r="AR413" s="23">
        <v>31.0</v>
      </c>
      <c r="AS413" s="22"/>
      <c r="AT413" s="19" t="s">
        <v>2117</v>
      </c>
      <c r="AU413" s="19" t="s">
        <v>9262</v>
      </c>
      <c r="AV413" s="19" t="s">
        <v>9263</v>
      </c>
      <c r="AW413" s="19" t="s">
        <v>3269</v>
      </c>
      <c r="AX413" s="20">
        <v>34957.0</v>
      </c>
      <c r="AY413" s="19" t="s">
        <v>2375</v>
      </c>
      <c r="AZ413" s="19" t="s">
        <v>2122</v>
      </c>
      <c r="BA413" s="19" t="s">
        <v>9264</v>
      </c>
      <c r="BB413" s="19" t="s">
        <v>2317</v>
      </c>
      <c r="BC413" s="19" t="s">
        <v>9265</v>
      </c>
      <c r="BD413" s="19" t="s">
        <v>9266</v>
      </c>
      <c r="BE413" s="19" t="s">
        <v>9260</v>
      </c>
      <c r="BF413" s="19">
        <v>1.1987783455E10</v>
      </c>
      <c r="BG413" s="19" t="s">
        <v>3518</v>
      </c>
      <c r="BH413" s="19" t="s">
        <v>2128</v>
      </c>
      <c r="BI413" s="19"/>
      <c r="BJ413" s="19" t="s">
        <v>2427</v>
      </c>
      <c r="BK413" s="19" t="s">
        <v>17</v>
      </c>
      <c r="BL413" s="19"/>
      <c r="BM413" s="19" t="s">
        <v>5411</v>
      </c>
      <c r="BN413" s="19" t="s">
        <v>6850</v>
      </c>
      <c r="BO413" s="19" t="s">
        <v>2317</v>
      </c>
      <c r="BP413" s="19"/>
      <c r="BQ413" s="19" t="s">
        <v>2133</v>
      </c>
      <c r="BR413" s="19" t="s">
        <v>2133</v>
      </c>
      <c r="BS413" s="19" t="s">
        <v>2134</v>
      </c>
      <c r="BT413" s="19" t="s">
        <v>52</v>
      </c>
      <c r="BU413" s="19" t="s">
        <v>9267</v>
      </c>
      <c r="BV413" s="19"/>
      <c r="BW413" s="19"/>
      <c r="BX413" s="19"/>
      <c r="BY413" s="19"/>
      <c r="BZ413" s="19"/>
      <c r="CA413" s="19"/>
      <c r="CB413" s="19" t="s">
        <v>2113</v>
      </c>
      <c r="CC413" s="19" t="s">
        <v>2113</v>
      </c>
      <c r="CD413" s="19" t="s">
        <v>2137</v>
      </c>
      <c r="CE413" s="19" t="s">
        <v>16</v>
      </c>
      <c r="CF413" s="19"/>
      <c r="CG413" s="19"/>
      <c r="CH413" s="19" t="s">
        <v>16</v>
      </c>
      <c r="CI413" s="21">
        <v>0.0</v>
      </c>
      <c r="CJ413" s="19" t="s">
        <v>17</v>
      </c>
      <c r="CK413" s="19"/>
      <c r="CL413" s="19"/>
      <c r="CM413" s="19" t="s">
        <v>2138</v>
      </c>
      <c r="CN413" s="19" t="s">
        <v>2382</v>
      </c>
      <c r="CO413" s="19"/>
      <c r="CP413" s="19" t="s">
        <v>2246</v>
      </c>
      <c r="CQ413" s="19"/>
      <c r="CR413" s="19" t="s">
        <v>2113</v>
      </c>
      <c r="CS413" s="19" t="s">
        <v>2113</v>
      </c>
      <c r="CT413" s="19" t="s">
        <v>2113</v>
      </c>
      <c r="CU413" s="19" t="s">
        <v>2113</v>
      </c>
      <c r="CV413" s="19" t="s">
        <v>2141</v>
      </c>
      <c r="CW413" s="19" t="s">
        <v>2113</v>
      </c>
      <c r="CX413" s="19" t="s">
        <v>2113</v>
      </c>
      <c r="CY413" s="19" t="s">
        <v>2113</v>
      </c>
      <c r="CZ413" s="19" t="s">
        <v>2113</v>
      </c>
      <c r="DA413" s="19" t="s">
        <v>16</v>
      </c>
      <c r="DB413" s="19" t="s">
        <v>17</v>
      </c>
      <c r="DC413" s="19" t="s">
        <v>6005</v>
      </c>
      <c r="DD413" s="19" t="s">
        <v>2113</v>
      </c>
      <c r="DE413" s="19" t="s">
        <v>2113</v>
      </c>
      <c r="DF413" s="19" t="s">
        <v>2296</v>
      </c>
      <c r="DG413" s="19" t="s">
        <v>2601</v>
      </c>
      <c r="DH413" s="19" t="s">
        <v>2144</v>
      </c>
      <c r="DI413" s="24">
        <v>45518.0</v>
      </c>
      <c r="DJ413" s="19" t="s">
        <v>2133</v>
      </c>
      <c r="DK413" s="19" t="s">
        <v>2145</v>
      </c>
      <c r="DL413" s="19" t="s">
        <v>2146</v>
      </c>
      <c r="DM413" s="19" t="s">
        <v>2672</v>
      </c>
      <c r="DN413" s="19">
        <v>3.0</v>
      </c>
      <c r="DO413" s="19">
        <v>3.0</v>
      </c>
      <c r="DP413" s="19" t="s">
        <v>9268</v>
      </c>
      <c r="DQ413" s="19" t="s">
        <v>9269</v>
      </c>
      <c r="DR413" s="19" t="s">
        <v>9270</v>
      </c>
      <c r="DS413" s="19" t="s">
        <v>2365</v>
      </c>
      <c r="DT413" s="19" t="s">
        <v>2350</v>
      </c>
      <c r="DU413" s="19"/>
      <c r="DV413" s="19"/>
      <c r="DW413" s="19" t="s">
        <v>2153</v>
      </c>
      <c r="DX413" s="19">
        <v>7.0</v>
      </c>
      <c r="DY413" s="19">
        <v>5.0</v>
      </c>
      <c r="DZ413" s="19">
        <v>0.0</v>
      </c>
      <c r="EA413" s="19">
        <v>5.0</v>
      </c>
      <c r="EB413" s="19">
        <v>0.0</v>
      </c>
      <c r="EC413" s="19">
        <v>0.0</v>
      </c>
      <c r="ED413" s="19" t="s">
        <v>2133</v>
      </c>
      <c r="EE413" s="24">
        <v>45518.0</v>
      </c>
      <c r="EF413" s="19" t="s">
        <v>2133</v>
      </c>
      <c r="EG413" s="19" t="s">
        <v>2145</v>
      </c>
      <c r="EH413" s="19" t="s">
        <v>2146</v>
      </c>
      <c r="EI413" s="22">
        <v>15.0</v>
      </c>
      <c r="EJ413" s="19">
        <v>43.0</v>
      </c>
      <c r="EK413" s="19" t="s">
        <v>2113</v>
      </c>
      <c r="EL413" s="19" t="s">
        <v>2117</v>
      </c>
      <c r="EM413" s="19" t="s">
        <v>9262</v>
      </c>
      <c r="EN413" s="19" t="s">
        <v>1222</v>
      </c>
      <c r="EO413" s="19" t="s">
        <v>2375</v>
      </c>
      <c r="EP413" s="19" t="s">
        <v>2122</v>
      </c>
      <c r="EQ413" s="19" t="s">
        <v>2382</v>
      </c>
      <c r="ER413" s="19"/>
      <c r="ES413" s="19" t="s">
        <v>1222</v>
      </c>
      <c r="ET413" s="19" t="s">
        <v>1222</v>
      </c>
      <c r="EU413" s="19" t="s">
        <v>9261</v>
      </c>
      <c r="EV413" s="19">
        <v>10504.0</v>
      </c>
      <c r="EW413" s="19" t="s">
        <v>16</v>
      </c>
      <c r="EX413" s="19">
        <v>4.0</v>
      </c>
      <c r="EY413" s="25" t="s">
        <v>1221</v>
      </c>
      <c r="EZ413" s="19" t="s">
        <v>2154</v>
      </c>
      <c r="FA413" s="5" t="s">
        <v>9271</v>
      </c>
      <c r="FB413" s="26" t="s">
        <v>2156</v>
      </c>
      <c r="FC413" s="26"/>
    </row>
    <row r="414">
      <c r="A414" s="19" t="s">
        <v>2112</v>
      </c>
      <c r="B414" s="19"/>
      <c r="C414" s="19" t="s">
        <v>2113</v>
      </c>
      <c r="D414" s="19" t="s">
        <v>1223</v>
      </c>
      <c r="E414" s="19" t="s">
        <v>9272</v>
      </c>
      <c r="F414" s="19" t="s">
        <v>1223</v>
      </c>
      <c r="G414" s="19"/>
      <c r="H414" s="19" t="s">
        <v>1223</v>
      </c>
      <c r="I414" s="19" t="s">
        <v>1225</v>
      </c>
      <c r="J414" s="19" t="s">
        <v>9273</v>
      </c>
      <c r="K414" s="19" t="s">
        <v>9274</v>
      </c>
      <c r="L414" s="20">
        <v>45446.0</v>
      </c>
      <c r="M414" s="20">
        <v>45447.0</v>
      </c>
      <c r="N414" s="20">
        <v>45447.0</v>
      </c>
      <c r="O414" s="19" t="s">
        <v>1224</v>
      </c>
      <c r="P414" s="19">
        <v>0.0</v>
      </c>
      <c r="Q414" s="19">
        <v>23.0</v>
      </c>
      <c r="R414" s="19">
        <v>8593.0</v>
      </c>
      <c r="S414" s="20" t="s">
        <v>9275</v>
      </c>
      <c r="T414" s="20">
        <v>45461.0</v>
      </c>
      <c r="U414" s="19" t="s">
        <v>1223</v>
      </c>
      <c r="V414" s="19"/>
      <c r="W414" s="19"/>
      <c r="X414" s="21">
        <v>0.0</v>
      </c>
      <c r="Y414" s="21">
        <v>5.0</v>
      </c>
      <c r="Z414" s="21">
        <v>2.0</v>
      </c>
      <c r="AA414" s="21">
        <v>0.0</v>
      </c>
      <c r="AB414" s="5">
        <v>7.0</v>
      </c>
      <c r="AC414" s="19">
        <v>5.0</v>
      </c>
      <c r="AD414" s="19">
        <v>5.0</v>
      </c>
      <c r="AE414" s="19">
        <v>5.0</v>
      </c>
      <c r="AF414" s="19">
        <v>5.0</v>
      </c>
      <c r="AG414" s="19">
        <v>5.0</v>
      </c>
      <c r="AH414" s="19">
        <v>5.0</v>
      </c>
      <c r="AI414" s="22">
        <v>15.0</v>
      </c>
      <c r="AJ414" s="19">
        <v>15.0</v>
      </c>
      <c r="AK414" s="19">
        <v>15.0</v>
      </c>
      <c r="AL414" s="19">
        <v>15.0</v>
      </c>
      <c r="AM414" s="19">
        <v>45.0</v>
      </c>
      <c r="AN414" s="19">
        <v>60.0</v>
      </c>
      <c r="AO414" s="19">
        <v>67.0</v>
      </c>
      <c r="AP414" s="19">
        <v>1001.0</v>
      </c>
      <c r="AQ414" s="23">
        <v>406.0</v>
      </c>
      <c r="AR414" s="23">
        <v>44.0</v>
      </c>
      <c r="AS414" s="22"/>
      <c r="AT414" s="19" t="s">
        <v>2282</v>
      </c>
      <c r="AU414" s="19" t="s">
        <v>9276</v>
      </c>
      <c r="AV414" s="19" t="s">
        <v>9277</v>
      </c>
      <c r="AW414" s="19"/>
      <c r="AX414" s="20">
        <v>36868.0</v>
      </c>
      <c r="AY414" s="19" t="s">
        <v>3193</v>
      </c>
      <c r="AZ414" s="19" t="s">
        <v>2122</v>
      </c>
      <c r="BA414" s="19" t="s">
        <v>9278</v>
      </c>
      <c r="BB414" s="19" t="s">
        <v>9279</v>
      </c>
      <c r="BC414" s="19" t="s">
        <v>9280</v>
      </c>
      <c r="BD414" s="19" t="s">
        <v>9281</v>
      </c>
      <c r="BE414" s="19" t="s">
        <v>9282</v>
      </c>
      <c r="BF414" s="19">
        <v>1.1993016483E10</v>
      </c>
      <c r="BG414" s="19" t="s">
        <v>3518</v>
      </c>
      <c r="BH414" s="19" t="s">
        <v>2128</v>
      </c>
      <c r="BI414" s="19"/>
      <c r="BJ414" s="19" t="s">
        <v>2427</v>
      </c>
      <c r="BK414" s="19" t="s">
        <v>17</v>
      </c>
      <c r="BL414" s="19" t="s">
        <v>2113</v>
      </c>
      <c r="BM414" s="19" t="s">
        <v>5411</v>
      </c>
      <c r="BN414" s="19" t="s">
        <v>3951</v>
      </c>
      <c r="BO414" s="19" t="s">
        <v>3199</v>
      </c>
      <c r="BP414" s="19"/>
      <c r="BQ414" s="19" t="s">
        <v>2133</v>
      </c>
      <c r="BR414" s="19" t="s">
        <v>2133</v>
      </c>
      <c r="BS414" s="19" t="s">
        <v>2134</v>
      </c>
      <c r="BT414" s="19" t="s">
        <v>15</v>
      </c>
      <c r="BU414" s="19" t="s">
        <v>3001</v>
      </c>
      <c r="BV414" s="19"/>
      <c r="BW414" s="19"/>
      <c r="BX414" s="19"/>
      <c r="BY414" s="19" t="s">
        <v>2113</v>
      </c>
      <c r="BZ414" s="19" t="s">
        <v>2113</v>
      </c>
      <c r="CA414" s="19" t="s">
        <v>2113</v>
      </c>
      <c r="CB414" s="19" t="s">
        <v>2113</v>
      </c>
      <c r="CC414" s="19"/>
      <c r="CD414" s="19" t="s">
        <v>2137</v>
      </c>
      <c r="CE414" s="19" t="s">
        <v>16</v>
      </c>
      <c r="CF414" s="19"/>
      <c r="CG414" s="19"/>
      <c r="CH414" s="19" t="s">
        <v>16</v>
      </c>
      <c r="CI414" s="21">
        <v>0.0</v>
      </c>
      <c r="CJ414" s="19" t="s">
        <v>16</v>
      </c>
      <c r="CK414" s="19"/>
      <c r="CL414" s="19"/>
      <c r="CM414" s="19" t="s">
        <v>2138</v>
      </c>
      <c r="CN414" s="19" t="s">
        <v>3202</v>
      </c>
      <c r="CO414" s="19"/>
      <c r="CP414" s="19" t="s">
        <v>2246</v>
      </c>
      <c r="CQ414" s="19"/>
      <c r="CR414" s="19"/>
      <c r="CS414" s="19"/>
      <c r="CT414" s="19"/>
      <c r="CU414" s="19"/>
      <c r="CV414" s="19" t="s">
        <v>2141</v>
      </c>
      <c r="CW414" s="19" t="s">
        <v>2113</v>
      </c>
      <c r="CX414" s="19" t="s">
        <v>2113</v>
      </c>
      <c r="CY414" s="19" t="s">
        <v>2113</v>
      </c>
      <c r="CZ414" s="19" t="s">
        <v>2113</v>
      </c>
      <c r="DA414" s="19" t="s">
        <v>16</v>
      </c>
      <c r="DB414" s="19" t="s">
        <v>16</v>
      </c>
      <c r="DC414" s="19" t="s">
        <v>2826</v>
      </c>
      <c r="DD414" s="19" t="s">
        <v>2113</v>
      </c>
      <c r="DE414" s="19" t="s">
        <v>2113</v>
      </c>
      <c r="DF414" s="19" t="s">
        <v>2407</v>
      </c>
      <c r="DG414" s="19" t="s">
        <v>3337</v>
      </c>
      <c r="DH414" s="19" t="s">
        <v>2144</v>
      </c>
      <c r="DI414" s="24">
        <v>45532.0</v>
      </c>
      <c r="DJ414" s="19" t="s">
        <v>2133</v>
      </c>
      <c r="DK414" s="19" t="s">
        <v>2145</v>
      </c>
      <c r="DL414" s="19" t="s">
        <v>2146</v>
      </c>
      <c r="DM414" s="19" t="s">
        <v>4101</v>
      </c>
      <c r="DN414" s="19">
        <v>15.0</v>
      </c>
      <c r="DO414" s="19">
        <v>15.0</v>
      </c>
      <c r="DP414" s="19" t="s">
        <v>9283</v>
      </c>
      <c r="DQ414" s="19" t="s">
        <v>9284</v>
      </c>
      <c r="DR414" s="19" t="s">
        <v>9285</v>
      </c>
      <c r="DS414" s="19" t="s">
        <v>2365</v>
      </c>
      <c r="DT414" s="19" t="s">
        <v>2152</v>
      </c>
      <c r="DU414" s="19"/>
      <c r="DV414" s="19"/>
      <c r="DW414" s="19" t="s">
        <v>2479</v>
      </c>
      <c r="DX414" s="19">
        <v>11.0</v>
      </c>
      <c r="DY414" s="19">
        <v>5.0</v>
      </c>
      <c r="DZ414" s="19">
        <v>0.0</v>
      </c>
      <c r="EA414" s="19">
        <v>5.0</v>
      </c>
      <c r="EB414" s="19">
        <v>0.0</v>
      </c>
      <c r="EC414" s="19">
        <v>0.0</v>
      </c>
      <c r="ED414" s="19" t="s">
        <v>2133</v>
      </c>
      <c r="EE414" s="24">
        <v>45532.0</v>
      </c>
      <c r="EF414" s="19" t="s">
        <v>2133</v>
      </c>
      <c r="EG414" s="19" t="s">
        <v>2145</v>
      </c>
      <c r="EH414" s="19" t="s">
        <v>2146</v>
      </c>
      <c r="EI414" s="22">
        <v>15.0</v>
      </c>
      <c r="EJ414" s="19">
        <v>45.0</v>
      </c>
      <c r="EK414" s="19"/>
      <c r="EL414" s="19" t="s">
        <v>2282</v>
      </c>
      <c r="EM414" s="19" t="s">
        <v>9276</v>
      </c>
      <c r="EN414" s="19" t="s">
        <v>1225</v>
      </c>
      <c r="EO414" s="19" t="s">
        <v>3193</v>
      </c>
      <c r="EP414" s="19" t="s">
        <v>2122</v>
      </c>
      <c r="EQ414" s="19" t="s">
        <v>3202</v>
      </c>
      <c r="ER414" s="19"/>
      <c r="ES414" s="19" t="s">
        <v>1225</v>
      </c>
      <c r="ET414" s="19" t="s">
        <v>1225</v>
      </c>
      <c r="EU414" s="19" t="s">
        <v>9274</v>
      </c>
      <c r="EV414" s="19">
        <v>8593.0</v>
      </c>
      <c r="EW414" s="19" t="s">
        <v>16</v>
      </c>
      <c r="EX414" s="19">
        <v>2.0</v>
      </c>
      <c r="EY414" s="25" t="s">
        <v>1224</v>
      </c>
      <c r="EZ414" s="19" t="s">
        <v>2154</v>
      </c>
      <c r="FA414" s="5" t="s">
        <v>9286</v>
      </c>
      <c r="FB414" s="26" t="s">
        <v>2156</v>
      </c>
      <c r="FC414" s="26"/>
    </row>
    <row r="415">
      <c r="A415" s="19" t="s">
        <v>2112</v>
      </c>
      <c r="B415" s="19"/>
      <c r="C415" s="19" t="s">
        <v>2113</v>
      </c>
      <c r="D415" s="19" t="s">
        <v>1226</v>
      </c>
      <c r="E415" s="19" t="s">
        <v>9287</v>
      </c>
      <c r="F415" s="19" t="s">
        <v>1226</v>
      </c>
      <c r="G415" s="19"/>
      <c r="H415" s="19" t="s">
        <v>1226</v>
      </c>
      <c r="I415" s="19" t="s">
        <v>1228</v>
      </c>
      <c r="J415" s="19" t="s">
        <v>9288</v>
      </c>
      <c r="K415" s="19" t="s">
        <v>9289</v>
      </c>
      <c r="L415" s="20">
        <v>45457.0</v>
      </c>
      <c r="M415" s="20">
        <v>45460.0</v>
      </c>
      <c r="N415" s="20">
        <v>45460.0</v>
      </c>
      <c r="O415" s="19" t="s">
        <v>1227</v>
      </c>
      <c r="P415" s="19">
        <v>0.0</v>
      </c>
      <c r="Q415" s="19">
        <v>23.0</v>
      </c>
      <c r="R415" s="19">
        <v>8561.0</v>
      </c>
      <c r="S415" s="20" t="s">
        <v>9290</v>
      </c>
      <c r="T415" s="20">
        <v>45461.0</v>
      </c>
      <c r="U415" s="19" t="s">
        <v>1226</v>
      </c>
      <c r="V415" s="19"/>
      <c r="W415" s="19"/>
      <c r="X415" s="21">
        <v>0.0</v>
      </c>
      <c r="Y415" s="21">
        <v>10.0</v>
      </c>
      <c r="Z415" s="21">
        <v>3.0</v>
      </c>
      <c r="AA415" s="21">
        <v>0.0</v>
      </c>
      <c r="AB415" s="5">
        <v>13.0</v>
      </c>
      <c r="AC415" s="19">
        <v>4.8</v>
      </c>
      <c r="AD415" s="19">
        <v>4.6</v>
      </c>
      <c r="AE415" s="19">
        <v>4.6</v>
      </c>
      <c r="AF415" s="19">
        <v>4.4</v>
      </c>
      <c r="AG415" s="19">
        <v>4.8</v>
      </c>
      <c r="AH415" s="19">
        <v>4.6</v>
      </c>
      <c r="AI415" s="22">
        <v>13.893750000000002</v>
      </c>
      <c r="AJ415" s="19">
        <v>15.0</v>
      </c>
      <c r="AK415" s="19">
        <v>10.0</v>
      </c>
      <c r="AL415" s="19">
        <v>15.0</v>
      </c>
      <c r="AM415" s="19">
        <v>40.0</v>
      </c>
      <c r="AN415" s="19">
        <v>53.9</v>
      </c>
      <c r="AO415" s="19">
        <v>66.9</v>
      </c>
      <c r="AP415" s="19">
        <v>715.0</v>
      </c>
      <c r="AQ415" s="23">
        <v>407.0</v>
      </c>
      <c r="AR415" s="23">
        <v>35.0</v>
      </c>
      <c r="AS415" s="22"/>
      <c r="AT415" s="19" t="s">
        <v>2282</v>
      </c>
      <c r="AU415" s="19" t="s">
        <v>9291</v>
      </c>
      <c r="AV415" s="19" t="s">
        <v>9292</v>
      </c>
      <c r="AW415" s="19"/>
      <c r="AX415" s="20">
        <v>36900.0</v>
      </c>
      <c r="AY415" s="19" t="s">
        <v>5573</v>
      </c>
      <c r="AZ415" s="19" t="s">
        <v>2122</v>
      </c>
      <c r="BA415" s="19" t="s">
        <v>9293</v>
      </c>
      <c r="BB415" s="19" t="s">
        <v>9294</v>
      </c>
      <c r="BC415" s="19" t="s">
        <v>9295</v>
      </c>
      <c r="BD415" s="19" t="s">
        <v>9296</v>
      </c>
      <c r="BE415" s="19" t="s">
        <v>9297</v>
      </c>
      <c r="BF415" s="19">
        <v>1.1988121162E10</v>
      </c>
      <c r="BG415" s="19" t="s">
        <v>2127</v>
      </c>
      <c r="BH415" s="19" t="s">
        <v>2128</v>
      </c>
      <c r="BI415" s="19"/>
      <c r="BJ415" s="19"/>
      <c r="BK415" s="19" t="s">
        <v>16</v>
      </c>
      <c r="BL415" s="19" t="s">
        <v>2113</v>
      </c>
      <c r="BM415" s="19" t="s">
        <v>5411</v>
      </c>
      <c r="BN415" s="19" t="s">
        <v>17</v>
      </c>
      <c r="BO415" s="19" t="s">
        <v>2473</v>
      </c>
      <c r="BP415" s="19" t="s">
        <v>9298</v>
      </c>
      <c r="BQ415" s="19" t="s">
        <v>2174</v>
      </c>
      <c r="BR415" s="19" t="s">
        <v>2174</v>
      </c>
      <c r="BS415" s="19" t="s">
        <v>2243</v>
      </c>
      <c r="BT415" s="19" t="s">
        <v>34</v>
      </c>
      <c r="BU415" s="19" t="s">
        <v>9299</v>
      </c>
      <c r="BV415" s="19"/>
      <c r="BW415" s="19"/>
      <c r="BX415" s="19"/>
      <c r="BY415" s="19" t="s">
        <v>2113</v>
      </c>
      <c r="BZ415" s="19"/>
      <c r="CA415" s="19"/>
      <c r="CB415" s="19" t="s">
        <v>2113</v>
      </c>
      <c r="CC415" s="19"/>
      <c r="CD415" s="19" t="s">
        <v>2137</v>
      </c>
      <c r="CE415" s="19" t="s">
        <v>16</v>
      </c>
      <c r="CF415" s="19"/>
      <c r="CG415" s="19"/>
      <c r="CH415" s="19" t="s">
        <v>16</v>
      </c>
      <c r="CI415" s="21">
        <v>0.0</v>
      </c>
      <c r="CJ415" s="19" t="s">
        <v>16</v>
      </c>
      <c r="CK415" s="19"/>
      <c r="CL415" s="19" t="s">
        <v>2113</v>
      </c>
      <c r="CM415" s="19" t="s">
        <v>2138</v>
      </c>
      <c r="CN415" s="19" t="s">
        <v>3041</v>
      </c>
      <c r="CO415" s="19"/>
      <c r="CP415" s="19"/>
      <c r="CQ415" s="19"/>
      <c r="CR415" s="19"/>
      <c r="CS415" s="19"/>
      <c r="CT415" s="19" t="s">
        <v>2113</v>
      </c>
      <c r="CU415" s="19" t="s">
        <v>2113</v>
      </c>
      <c r="CV415" s="19" t="s">
        <v>2141</v>
      </c>
      <c r="CW415" s="19"/>
      <c r="CX415" s="19"/>
      <c r="CY415" s="19" t="s">
        <v>2113</v>
      </c>
      <c r="CZ415" s="19" t="s">
        <v>2113</v>
      </c>
      <c r="DA415" s="19" t="s">
        <v>16</v>
      </c>
      <c r="DB415" s="19" t="s">
        <v>16</v>
      </c>
      <c r="DC415" s="19" t="s">
        <v>3042</v>
      </c>
      <c r="DD415" s="19" t="s">
        <v>2113</v>
      </c>
      <c r="DE415" s="19" t="s">
        <v>2113</v>
      </c>
      <c r="DF415" s="19" t="s">
        <v>2433</v>
      </c>
      <c r="DG415" s="19" t="s">
        <v>3163</v>
      </c>
      <c r="DH415" s="19" t="s">
        <v>2144</v>
      </c>
      <c r="DI415" s="24">
        <v>45518.0</v>
      </c>
      <c r="DJ415" s="19" t="s">
        <v>2174</v>
      </c>
      <c r="DK415" s="19" t="s">
        <v>2145</v>
      </c>
      <c r="DL415" s="19" t="s">
        <v>2183</v>
      </c>
      <c r="DM415" s="19" t="s">
        <v>2228</v>
      </c>
      <c r="DN415" s="19">
        <v>3.0</v>
      </c>
      <c r="DO415" s="19">
        <v>3.0</v>
      </c>
      <c r="DP415" s="19" t="s">
        <v>9300</v>
      </c>
      <c r="DQ415" s="19" t="s">
        <v>9301</v>
      </c>
      <c r="DR415" s="19" t="s">
        <v>9302</v>
      </c>
      <c r="DS415" s="19" t="s">
        <v>2365</v>
      </c>
      <c r="DT415" s="19" t="s">
        <v>2366</v>
      </c>
      <c r="DU415" s="19"/>
      <c r="DV415" s="19"/>
      <c r="DW415" s="19" t="s">
        <v>2153</v>
      </c>
      <c r="DX415" s="19">
        <v>9.0</v>
      </c>
      <c r="DY415" s="19">
        <v>10.0</v>
      </c>
      <c r="DZ415" s="19">
        <v>0.0</v>
      </c>
      <c r="EA415" s="19">
        <v>10.0</v>
      </c>
      <c r="EB415" s="19">
        <v>0.0</v>
      </c>
      <c r="EC415" s="19">
        <v>0.0</v>
      </c>
      <c r="ED415" s="19" t="s">
        <v>2174</v>
      </c>
      <c r="EE415" s="24">
        <v>45518.0</v>
      </c>
      <c r="EF415" s="19" t="s">
        <v>2174</v>
      </c>
      <c r="EG415" s="19" t="s">
        <v>2145</v>
      </c>
      <c r="EH415" s="19" t="s">
        <v>2183</v>
      </c>
      <c r="EI415" s="22">
        <v>13.893750000000002</v>
      </c>
      <c r="EJ415" s="19">
        <v>40.0</v>
      </c>
      <c r="EK415" s="19"/>
      <c r="EL415" s="19" t="s">
        <v>2282</v>
      </c>
      <c r="EM415" s="19" t="s">
        <v>9291</v>
      </c>
      <c r="EN415" s="19" t="s">
        <v>1228</v>
      </c>
      <c r="EO415" s="19" t="s">
        <v>5573</v>
      </c>
      <c r="EP415" s="19" t="s">
        <v>2122</v>
      </c>
      <c r="EQ415" s="19" t="s">
        <v>3041</v>
      </c>
      <c r="ER415" s="19"/>
      <c r="ES415" s="19" t="s">
        <v>1228</v>
      </c>
      <c r="ET415" s="19" t="s">
        <v>1228</v>
      </c>
      <c r="EU415" s="19" t="s">
        <v>9289</v>
      </c>
      <c r="EV415" s="19">
        <v>8561.0</v>
      </c>
      <c r="EW415" s="19" t="s">
        <v>16</v>
      </c>
      <c r="EX415" s="19">
        <v>3.0</v>
      </c>
      <c r="EY415" s="25" t="s">
        <v>1227</v>
      </c>
      <c r="EZ415" s="19" t="s">
        <v>2154</v>
      </c>
      <c r="FA415" s="5" t="s">
        <v>9303</v>
      </c>
      <c r="FB415" s="26" t="s">
        <v>2156</v>
      </c>
      <c r="FC415" s="26"/>
    </row>
    <row r="416">
      <c r="A416" s="19" t="s">
        <v>17</v>
      </c>
      <c r="B416" s="19"/>
      <c r="C416" s="19" t="s">
        <v>2113</v>
      </c>
      <c r="D416" s="19" t="s">
        <v>9304</v>
      </c>
      <c r="E416" s="19" t="s">
        <v>9305</v>
      </c>
      <c r="F416" s="19" t="s">
        <v>1229</v>
      </c>
      <c r="G416" s="19" t="s">
        <v>9306</v>
      </c>
      <c r="H416" s="19" t="s">
        <v>1229</v>
      </c>
      <c r="I416" s="19" t="s">
        <v>1231</v>
      </c>
      <c r="J416" s="19" t="s">
        <v>9307</v>
      </c>
      <c r="K416" s="19" t="s">
        <v>9308</v>
      </c>
      <c r="L416" s="20">
        <v>45406.0</v>
      </c>
      <c r="M416" s="20">
        <v>45411.0</v>
      </c>
      <c r="N416" s="20">
        <v>45411.0</v>
      </c>
      <c r="O416" s="19" t="s">
        <v>1230</v>
      </c>
      <c r="P416" s="19">
        <v>0.0</v>
      </c>
      <c r="Q416" s="19">
        <v>27.0</v>
      </c>
      <c r="R416" s="19">
        <v>9919.0</v>
      </c>
      <c r="S416" s="20" t="s">
        <v>9309</v>
      </c>
      <c r="T416" s="20">
        <v>45461.0</v>
      </c>
      <c r="U416" s="19" t="s">
        <v>1229</v>
      </c>
      <c r="V416" s="19"/>
      <c r="W416" s="19"/>
      <c r="X416" s="21">
        <v>0.0</v>
      </c>
      <c r="Y416" s="21">
        <v>10.0</v>
      </c>
      <c r="Z416" s="21">
        <v>1.0</v>
      </c>
      <c r="AA416" s="21">
        <v>0.0</v>
      </c>
      <c r="AB416" s="5">
        <v>11.0</v>
      </c>
      <c r="AC416" s="19">
        <v>4.5</v>
      </c>
      <c r="AD416" s="19">
        <v>5.0</v>
      </c>
      <c r="AE416" s="19">
        <v>4.0</v>
      </c>
      <c r="AF416" s="19">
        <v>4.5</v>
      </c>
      <c r="AG416" s="19">
        <v>4.0</v>
      </c>
      <c r="AH416" s="19">
        <v>3.5</v>
      </c>
      <c r="AI416" s="22">
        <v>12.890625</v>
      </c>
      <c r="AJ416" s="19">
        <v>15.0</v>
      </c>
      <c r="AK416" s="19">
        <v>15.0</v>
      </c>
      <c r="AL416" s="19">
        <v>13.0</v>
      </c>
      <c r="AM416" s="19">
        <v>43.0</v>
      </c>
      <c r="AN416" s="19">
        <v>55.9</v>
      </c>
      <c r="AO416" s="19">
        <v>66.9</v>
      </c>
      <c r="AP416" s="19">
        <v>918.0</v>
      </c>
      <c r="AQ416" s="23">
        <v>408.0</v>
      </c>
      <c r="AR416" s="23">
        <v>22.0</v>
      </c>
      <c r="AS416" s="22" t="s">
        <v>4071</v>
      </c>
      <c r="AT416" s="19" t="s">
        <v>2117</v>
      </c>
      <c r="AU416" s="19" t="s">
        <v>9310</v>
      </c>
      <c r="AV416" s="19" t="s">
        <v>9311</v>
      </c>
      <c r="AW416" s="19" t="s">
        <v>9310</v>
      </c>
      <c r="AX416" s="20">
        <v>35542.0</v>
      </c>
      <c r="AY416" s="19" t="s">
        <v>7458</v>
      </c>
      <c r="AZ416" s="19" t="s">
        <v>2445</v>
      </c>
      <c r="BA416" s="19" t="s">
        <v>9312</v>
      </c>
      <c r="BB416" s="19" t="s">
        <v>9313</v>
      </c>
      <c r="BC416" s="19" t="s">
        <v>9314</v>
      </c>
      <c r="BD416" s="19" t="s">
        <v>9315</v>
      </c>
      <c r="BE416" s="19" t="s">
        <v>9307</v>
      </c>
      <c r="BF416" s="19">
        <v>1.1948172109E10</v>
      </c>
      <c r="BG416" s="19" t="s">
        <v>2127</v>
      </c>
      <c r="BH416" s="19" t="s">
        <v>2649</v>
      </c>
      <c r="BI416" s="19"/>
      <c r="BJ416" s="19"/>
      <c r="BK416" s="19" t="s">
        <v>16</v>
      </c>
      <c r="BL416" s="19"/>
      <c r="BM416" s="19" t="s">
        <v>5796</v>
      </c>
      <c r="BN416" s="19" t="s">
        <v>3445</v>
      </c>
      <c r="BO416" s="19" t="s">
        <v>3082</v>
      </c>
      <c r="BP416" s="19"/>
      <c r="BQ416" s="19" t="s">
        <v>3832</v>
      </c>
      <c r="BR416" s="19" t="s">
        <v>3832</v>
      </c>
      <c r="BS416" s="19" t="s">
        <v>2243</v>
      </c>
      <c r="BT416" s="19" t="s">
        <v>268</v>
      </c>
      <c r="BU416" s="19" t="s">
        <v>3019</v>
      </c>
      <c r="BV416" s="19"/>
      <c r="BW416" s="19" t="s">
        <v>2113</v>
      </c>
      <c r="BX416" s="19"/>
      <c r="BY416" s="19"/>
      <c r="BZ416" s="19"/>
      <c r="CA416" s="19"/>
      <c r="CB416" s="19"/>
      <c r="CC416" s="19"/>
      <c r="CD416" s="19" t="s">
        <v>2137</v>
      </c>
      <c r="CE416" s="19" t="s">
        <v>16</v>
      </c>
      <c r="CF416" s="19"/>
      <c r="CG416" s="19"/>
      <c r="CH416" s="19" t="s">
        <v>16</v>
      </c>
      <c r="CI416" s="21">
        <v>0.0</v>
      </c>
      <c r="CJ416" s="19" t="s">
        <v>17</v>
      </c>
      <c r="CK416" s="19"/>
      <c r="CL416" s="19"/>
      <c r="CM416" s="19" t="s">
        <v>2138</v>
      </c>
      <c r="CN416" s="19" t="s">
        <v>9316</v>
      </c>
      <c r="CO416" s="19"/>
      <c r="CP416" s="19" t="s">
        <v>2267</v>
      </c>
      <c r="CQ416" s="19"/>
      <c r="CR416" s="19" t="s">
        <v>2113</v>
      </c>
      <c r="CS416" s="19" t="s">
        <v>2113</v>
      </c>
      <c r="CT416" s="19" t="s">
        <v>2113</v>
      </c>
      <c r="CU416" s="19" t="s">
        <v>2113</v>
      </c>
      <c r="CV416" s="19" t="s">
        <v>2141</v>
      </c>
      <c r="CW416" s="19" t="s">
        <v>2113</v>
      </c>
      <c r="CX416" s="19" t="s">
        <v>2113</v>
      </c>
      <c r="CY416" s="19"/>
      <c r="CZ416" s="19"/>
      <c r="DA416" s="19" t="s">
        <v>16</v>
      </c>
      <c r="DB416" s="19" t="s">
        <v>17</v>
      </c>
      <c r="DC416" s="19" t="s">
        <v>3990</v>
      </c>
      <c r="DD416" s="19" t="s">
        <v>2113</v>
      </c>
      <c r="DE416" s="19" t="s">
        <v>2113</v>
      </c>
      <c r="DF416" s="19" t="s">
        <v>3163</v>
      </c>
      <c r="DG416" s="19" t="s">
        <v>2602</v>
      </c>
      <c r="DH416" s="19" t="s">
        <v>2144</v>
      </c>
      <c r="DI416" s="24">
        <v>45519.0</v>
      </c>
      <c r="DJ416" s="19" t="s">
        <v>3257</v>
      </c>
      <c r="DK416" s="19" t="s">
        <v>2145</v>
      </c>
      <c r="DL416" s="19" t="s">
        <v>2207</v>
      </c>
      <c r="DM416" s="19" t="s">
        <v>9317</v>
      </c>
      <c r="DN416" s="19">
        <v>2.0</v>
      </c>
      <c r="DO416" s="19">
        <v>2.0</v>
      </c>
      <c r="DP416" s="19" t="s">
        <v>9318</v>
      </c>
      <c r="DQ416" s="19" t="s">
        <v>9319</v>
      </c>
      <c r="DR416" s="19" t="s">
        <v>9320</v>
      </c>
      <c r="DS416" s="19" t="s">
        <v>2185</v>
      </c>
      <c r="DT416" s="19" t="s">
        <v>2229</v>
      </c>
      <c r="DU416" s="19"/>
      <c r="DV416" s="19"/>
      <c r="DW416" s="19" t="s">
        <v>2153</v>
      </c>
      <c r="DX416" s="19">
        <v>2.0</v>
      </c>
      <c r="DY416" s="19">
        <v>10.0</v>
      </c>
      <c r="DZ416" s="19">
        <v>0.0</v>
      </c>
      <c r="EA416" s="19">
        <v>10.0</v>
      </c>
      <c r="EB416" s="19">
        <v>0.0</v>
      </c>
      <c r="EC416" s="19">
        <v>0.0</v>
      </c>
      <c r="ED416" s="19" t="s">
        <v>3257</v>
      </c>
      <c r="EE416" s="24">
        <v>45519.0</v>
      </c>
      <c r="EF416" s="19" t="s">
        <v>3257</v>
      </c>
      <c r="EG416" s="19" t="s">
        <v>2145</v>
      </c>
      <c r="EH416" s="19" t="s">
        <v>2207</v>
      </c>
      <c r="EI416" s="22">
        <v>12.890625</v>
      </c>
      <c r="EJ416" s="19">
        <v>43.0</v>
      </c>
      <c r="EK416" s="19" t="s">
        <v>2113</v>
      </c>
      <c r="EL416" s="19" t="s">
        <v>2117</v>
      </c>
      <c r="EM416" s="19" t="s">
        <v>9310</v>
      </c>
      <c r="EN416" s="19" t="s">
        <v>1231</v>
      </c>
      <c r="EO416" s="19" t="s">
        <v>7458</v>
      </c>
      <c r="EP416" s="19" t="s">
        <v>2445</v>
      </c>
      <c r="EQ416" s="19" t="s">
        <v>9316</v>
      </c>
      <c r="ER416" s="19"/>
      <c r="ES416" s="19" t="s">
        <v>1231</v>
      </c>
      <c r="ET416" s="19" t="s">
        <v>1231</v>
      </c>
      <c r="EU416" s="19" t="s">
        <v>9308</v>
      </c>
      <c r="EV416" s="19">
        <v>9919.0</v>
      </c>
      <c r="EW416" s="19" t="s">
        <v>16</v>
      </c>
      <c r="EX416" s="19">
        <v>1.0</v>
      </c>
      <c r="EY416" s="25" t="s">
        <v>1230</v>
      </c>
      <c r="EZ416" s="19" t="s">
        <v>2154</v>
      </c>
      <c r="FA416" s="5" t="s">
        <v>9321</v>
      </c>
      <c r="FB416" s="26" t="s">
        <v>2156</v>
      </c>
      <c r="FC416" s="26"/>
    </row>
    <row r="417">
      <c r="A417" s="19" t="s">
        <v>2112</v>
      </c>
      <c r="B417" s="19"/>
      <c r="C417" s="19" t="s">
        <v>2113</v>
      </c>
      <c r="D417" s="19" t="s">
        <v>1232</v>
      </c>
      <c r="E417" s="19" t="s">
        <v>9322</v>
      </c>
      <c r="F417" s="19" t="s">
        <v>1232</v>
      </c>
      <c r="G417" s="19"/>
      <c r="H417" s="19" t="s">
        <v>1232</v>
      </c>
      <c r="I417" s="19" t="s">
        <v>1234</v>
      </c>
      <c r="J417" s="19" t="s">
        <v>9323</v>
      </c>
      <c r="K417" s="19" t="s">
        <v>9324</v>
      </c>
      <c r="L417" s="20">
        <v>45398.0</v>
      </c>
      <c r="M417" s="20">
        <v>45411.0</v>
      </c>
      <c r="N417" s="20">
        <v>45411.0</v>
      </c>
      <c r="O417" s="19" t="s">
        <v>1233</v>
      </c>
      <c r="P417" s="19">
        <v>0.0</v>
      </c>
      <c r="Q417" s="19">
        <v>18.0</v>
      </c>
      <c r="R417" s="19">
        <v>6919.0</v>
      </c>
      <c r="S417" s="20" t="s">
        <v>9325</v>
      </c>
      <c r="T417" s="20">
        <v>45461.0</v>
      </c>
      <c r="U417" s="19" t="s">
        <v>1232</v>
      </c>
      <c r="V417" s="19"/>
      <c r="W417" s="19"/>
      <c r="X417" s="21">
        <v>0.0</v>
      </c>
      <c r="Y417" s="21">
        <v>10.0</v>
      </c>
      <c r="Z417" s="21">
        <v>5.0</v>
      </c>
      <c r="AA417" s="21">
        <v>0.0</v>
      </c>
      <c r="AB417" s="5">
        <v>15.0</v>
      </c>
      <c r="AC417" s="19">
        <v>4.0</v>
      </c>
      <c r="AD417" s="19">
        <v>4.0</v>
      </c>
      <c r="AE417" s="19">
        <v>3.0</v>
      </c>
      <c r="AF417" s="19">
        <v>4.3</v>
      </c>
      <c r="AG417" s="19">
        <v>3.0</v>
      </c>
      <c r="AH417" s="19">
        <v>3.6</v>
      </c>
      <c r="AI417" s="22">
        <v>10.8375</v>
      </c>
      <c r="AJ417" s="19">
        <v>15.0</v>
      </c>
      <c r="AK417" s="19">
        <v>14.0</v>
      </c>
      <c r="AL417" s="19">
        <v>12.0</v>
      </c>
      <c r="AM417" s="19">
        <v>41.0</v>
      </c>
      <c r="AN417" s="19">
        <v>51.8</v>
      </c>
      <c r="AO417" s="19">
        <v>66.8</v>
      </c>
      <c r="AP417" s="19">
        <v>539.0</v>
      </c>
      <c r="AQ417" s="23">
        <v>409.0</v>
      </c>
      <c r="AR417" s="23">
        <v>31.0</v>
      </c>
      <c r="AS417" s="22"/>
      <c r="AT417" s="19" t="s">
        <v>2163</v>
      </c>
      <c r="AU417" s="19" t="s">
        <v>8317</v>
      </c>
      <c r="AV417" s="19" t="s">
        <v>9326</v>
      </c>
      <c r="AW417" s="19" t="s">
        <v>2166</v>
      </c>
      <c r="AX417" s="20">
        <v>38542.0</v>
      </c>
      <c r="AY417" s="19" t="s">
        <v>2529</v>
      </c>
      <c r="AZ417" s="19" t="s">
        <v>2310</v>
      </c>
      <c r="BA417" s="19" t="s">
        <v>9327</v>
      </c>
      <c r="BB417" s="19" t="s">
        <v>9328</v>
      </c>
      <c r="BC417" s="19" t="s">
        <v>9329</v>
      </c>
      <c r="BD417" s="19" t="s">
        <v>9330</v>
      </c>
      <c r="BE417" s="19" t="s">
        <v>9323</v>
      </c>
      <c r="BF417" s="19">
        <v>1.1981171774E10</v>
      </c>
      <c r="BG417" s="19" t="s">
        <v>2127</v>
      </c>
      <c r="BH417" s="19" t="s">
        <v>2128</v>
      </c>
      <c r="BI417" s="19"/>
      <c r="BJ417" s="19"/>
      <c r="BK417" s="19" t="s">
        <v>16</v>
      </c>
      <c r="BL417" s="19"/>
      <c r="BM417" s="19" t="s">
        <v>5411</v>
      </c>
      <c r="BN417" s="19" t="s">
        <v>2172</v>
      </c>
      <c r="BO417" s="19" t="s">
        <v>2132</v>
      </c>
      <c r="BP417" s="19" t="s">
        <v>9331</v>
      </c>
      <c r="BQ417" s="19" t="s">
        <v>2174</v>
      </c>
      <c r="BR417" s="19" t="s">
        <v>2174</v>
      </c>
      <c r="BS417" s="19" t="s">
        <v>2134</v>
      </c>
      <c r="BT417" s="19" t="s">
        <v>75</v>
      </c>
      <c r="BU417" s="19"/>
      <c r="BV417" s="19"/>
      <c r="BW417" s="19"/>
      <c r="BX417" s="19"/>
      <c r="BY417" s="19"/>
      <c r="BZ417" s="19" t="s">
        <v>2113</v>
      </c>
      <c r="CA417" s="19"/>
      <c r="CB417" s="19"/>
      <c r="CC417" s="19" t="s">
        <v>2113</v>
      </c>
      <c r="CD417" s="19" t="s">
        <v>2137</v>
      </c>
      <c r="CE417" s="19" t="s">
        <v>16</v>
      </c>
      <c r="CF417" s="19"/>
      <c r="CG417" s="19"/>
      <c r="CH417" s="19" t="s">
        <v>16</v>
      </c>
      <c r="CI417" s="21">
        <v>0.0</v>
      </c>
      <c r="CJ417" s="19" t="s">
        <v>17</v>
      </c>
      <c r="CK417" s="19"/>
      <c r="CL417" s="19"/>
      <c r="CM417" s="19" t="s">
        <v>2926</v>
      </c>
      <c r="CN417" s="19" t="s">
        <v>2537</v>
      </c>
      <c r="CO417" s="19"/>
      <c r="CP417" s="19"/>
      <c r="CQ417" s="19"/>
      <c r="CR417" s="19"/>
      <c r="CS417" s="19"/>
      <c r="CT417" s="19" t="s">
        <v>2113</v>
      </c>
      <c r="CU417" s="19" t="s">
        <v>2113</v>
      </c>
      <c r="CV417" s="19" t="s">
        <v>2141</v>
      </c>
      <c r="CW417" s="19" t="s">
        <v>2113</v>
      </c>
      <c r="CX417" s="19" t="s">
        <v>2113</v>
      </c>
      <c r="CY417" s="19" t="s">
        <v>2113</v>
      </c>
      <c r="CZ417" s="19" t="s">
        <v>2113</v>
      </c>
      <c r="DA417" s="19" t="s">
        <v>16</v>
      </c>
      <c r="DB417" s="19" t="s">
        <v>17</v>
      </c>
      <c r="DC417" s="19" t="s">
        <v>2538</v>
      </c>
      <c r="DD417" s="19" t="s">
        <v>2113</v>
      </c>
      <c r="DE417" s="19" t="s">
        <v>2113</v>
      </c>
      <c r="DF417" s="19" t="s">
        <v>2539</v>
      </c>
      <c r="DG417" s="19" t="s">
        <v>2181</v>
      </c>
      <c r="DH417" s="19" t="s">
        <v>2144</v>
      </c>
      <c r="DI417" s="24">
        <v>45531.0</v>
      </c>
      <c r="DJ417" s="19" t="s">
        <v>2174</v>
      </c>
      <c r="DK417" s="19" t="s">
        <v>2145</v>
      </c>
      <c r="DL417" s="19" t="s">
        <v>2183</v>
      </c>
      <c r="DM417" s="19"/>
      <c r="DN417" s="19">
        <v>7.0</v>
      </c>
      <c r="DO417" s="19">
        <v>7.0</v>
      </c>
      <c r="DP417" s="19" t="s">
        <v>9332</v>
      </c>
      <c r="DQ417" s="19" t="s">
        <v>9333</v>
      </c>
      <c r="DR417" s="19" t="s">
        <v>9334</v>
      </c>
      <c r="DS417" s="19" t="s">
        <v>2151</v>
      </c>
      <c r="DT417" s="19" t="s">
        <v>2301</v>
      </c>
      <c r="DU417" s="19"/>
      <c r="DV417" s="19"/>
      <c r="DW417" s="19" t="s">
        <v>2188</v>
      </c>
      <c r="DX417" s="19">
        <v>15.0</v>
      </c>
      <c r="DY417" s="19">
        <v>10.0</v>
      </c>
      <c r="DZ417" s="19">
        <v>0.0</v>
      </c>
      <c r="EA417" s="19">
        <v>10.0</v>
      </c>
      <c r="EB417" s="19">
        <v>0.0</v>
      </c>
      <c r="EC417" s="19">
        <v>0.0</v>
      </c>
      <c r="ED417" s="19" t="s">
        <v>2174</v>
      </c>
      <c r="EE417" s="24">
        <v>45531.0</v>
      </c>
      <c r="EF417" s="19" t="s">
        <v>2174</v>
      </c>
      <c r="EG417" s="19" t="s">
        <v>2145</v>
      </c>
      <c r="EH417" s="19" t="s">
        <v>2183</v>
      </c>
      <c r="EI417" s="22">
        <v>10.8375</v>
      </c>
      <c r="EJ417" s="19">
        <v>41.0</v>
      </c>
      <c r="EK417" s="19" t="s">
        <v>2113</v>
      </c>
      <c r="EL417" s="19" t="s">
        <v>2163</v>
      </c>
      <c r="EM417" s="19" t="s">
        <v>8317</v>
      </c>
      <c r="EN417" s="19" t="s">
        <v>1234</v>
      </c>
      <c r="EO417" s="19" t="s">
        <v>2529</v>
      </c>
      <c r="EP417" s="19" t="s">
        <v>2310</v>
      </c>
      <c r="EQ417" s="19" t="s">
        <v>2537</v>
      </c>
      <c r="ER417" s="19"/>
      <c r="ES417" s="19" t="s">
        <v>1234</v>
      </c>
      <c r="ET417" s="19" t="s">
        <v>1234</v>
      </c>
      <c r="EU417" s="19" t="s">
        <v>9324</v>
      </c>
      <c r="EV417" s="19">
        <v>6919.0</v>
      </c>
      <c r="EW417" s="19" t="s">
        <v>16</v>
      </c>
      <c r="EX417" s="19">
        <v>5.0</v>
      </c>
      <c r="EY417" s="25" t="s">
        <v>1233</v>
      </c>
      <c r="EZ417" s="19" t="s">
        <v>2154</v>
      </c>
      <c r="FA417" s="5" t="s">
        <v>9335</v>
      </c>
      <c r="FB417" s="26" t="s">
        <v>2156</v>
      </c>
      <c r="FC417" s="26"/>
    </row>
    <row r="418">
      <c r="A418" s="19" t="s">
        <v>2156</v>
      </c>
      <c r="B418" s="19"/>
      <c r="C418" s="19" t="s">
        <v>2113</v>
      </c>
      <c r="D418" s="19" t="s">
        <v>1235</v>
      </c>
      <c r="E418" s="19" t="s">
        <v>9336</v>
      </c>
      <c r="F418" s="19" t="s">
        <v>1235</v>
      </c>
      <c r="G418" s="19"/>
      <c r="H418" s="19" t="s">
        <v>1235</v>
      </c>
      <c r="I418" s="19" t="s">
        <v>1237</v>
      </c>
      <c r="J418" s="19" t="s">
        <v>9337</v>
      </c>
      <c r="K418" s="19" t="s">
        <v>9338</v>
      </c>
      <c r="L418" s="20">
        <v>45415.0</v>
      </c>
      <c r="M418" s="20">
        <v>45428.0</v>
      </c>
      <c r="N418" s="20">
        <v>45428.0</v>
      </c>
      <c r="O418" s="19" t="s">
        <v>1236</v>
      </c>
      <c r="P418" s="19">
        <v>0.0</v>
      </c>
      <c r="Q418" s="19">
        <v>20.0</v>
      </c>
      <c r="R418" s="19">
        <v>7618.0</v>
      </c>
      <c r="S418" s="20" t="s">
        <v>9339</v>
      </c>
      <c r="T418" s="20">
        <v>45461.0</v>
      </c>
      <c r="U418" s="19" t="s">
        <v>1235</v>
      </c>
      <c r="V418" s="19"/>
      <c r="W418" s="19"/>
      <c r="X418" s="21">
        <v>0.0</v>
      </c>
      <c r="Y418" s="21">
        <v>5.0</v>
      </c>
      <c r="Z418" s="21">
        <v>4.0</v>
      </c>
      <c r="AA418" s="21">
        <v>0.0</v>
      </c>
      <c r="AB418" s="5">
        <v>9.0</v>
      </c>
      <c r="AC418" s="19">
        <v>4.0</v>
      </c>
      <c r="AD418" s="19">
        <v>5.0</v>
      </c>
      <c r="AE418" s="19">
        <v>5.0</v>
      </c>
      <c r="AF418" s="19">
        <v>5.0</v>
      </c>
      <c r="AG418" s="19">
        <v>4.0</v>
      </c>
      <c r="AH418" s="19">
        <v>4.0</v>
      </c>
      <c r="AI418" s="22">
        <v>13.78125</v>
      </c>
      <c r="AJ418" s="19">
        <v>15.0</v>
      </c>
      <c r="AK418" s="19">
        <v>15.0</v>
      </c>
      <c r="AL418" s="19">
        <v>14.0</v>
      </c>
      <c r="AM418" s="19">
        <v>44.0</v>
      </c>
      <c r="AN418" s="19">
        <v>57.8</v>
      </c>
      <c r="AO418" s="19">
        <v>66.8</v>
      </c>
      <c r="AP418" s="19">
        <v>980.0</v>
      </c>
      <c r="AQ418" s="23">
        <v>410.0</v>
      </c>
      <c r="AR418" s="23">
        <v>32.0</v>
      </c>
      <c r="AS418" s="22"/>
      <c r="AT418" s="19" t="s">
        <v>2163</v>
      </c>
      <c r="AU418" s="19" t="s">
        <v>9340</v>
      </c>
      <c r="AV418" s="19" t="s">
        <v>9341</v>
      </c>
      <c r="AW418" s="19" t="s">
        <v>2166</v>
      </c>
      <c r="AX418" s="20">
        <v>37843.0</v>
      </c>
      <c r="AY418" s="19" t="s">
        <v>2375</v>
      </c>
      <c r="AZ418" s="19" t="s">
        <v>2122</v>
      </c>
      <c r="BA418" s="19" t="s">
        <v>9342</v>
      </c>
      <c r="BB418" s="19" t="s">
        <v>9343</v>
      </c>
      <c r="BC418" s="19" t="s">
        <v>9344</v>
      </c>
      <c r="BD418" s="19" t="s">
        <v>9345</v>
      </c>
      <c r="BE418" s="19" t="s">
        <v>9337</v>
      </c>
      <c r="BF418" s="19">
        <v>1.1975501679E10</v>
      </c>
      <c r="BG418" s="19" t="s">
        <v>3518</v>
      </c>
      <c r="BH418" s="19" t="s">
        <v>2128</v>
      </c>
      <c r="BI418" s="19"/>
      <c r="BJ418" s="19" t="s">
        <v>2427</v>
      </c>
      <c r="BK418" s="19" t="s">
        <v>17</v>
      </c>
      <c r="BL418" s="19"/>
      <c r="BM418" s="19" t="s">
        <v>5563</v>
      </c>
      <c r="BN418" s="19" t="s">
        <v>8063</v>
      </c>
      <c r="BO418" s="19" t="s">
        <v>2317</v>
      </c>
      <c r="BP418" s="19"/>
      <c r="BQ418" s="19" t="s">
        <v>2133</v>
      </c>
      <c r="BR418" s="19" t="s">
        <v>2133</v>
      </c>
      <c r="BS418" s="19" t="s">
        <v>2134</v>
      </c>
      <c r="BT418" s="19" t="s">
        <v>52</v>
      </c>
      <c r="BU418" s="19" t="s">
        <v>4740</v>
      </c>
      <c r="BV418" s="19"/>
      <c r="BW418" s="19" t="s">
        <v>2113</v>
      </c>
      <c r="BX418" s="19"/>
      <c r="BY418" s="19"/>
      <c r="BZ418" s="19"/>
      <c r="CA418" s="19"/>
      <c r="CB418" s="19" t="s">
        <v>2113</v>
      </c>
      <c r="CC418" s="19"/>
      <c r="CD418" s="19" t="s">
        <v>2137</v>
      </c>
      <c r="CE418" s="19" t="s">
        <v>16</v>
      </c>
      <c r="CF418" s="19"/>
      <c r="CG418" s="19"/>
      <c r="CH418" s="19" t="s">
        <v>16</v>
      </c>
      <c r="CI418" s="21">
        <v>0.0</v>
      </c>
      <c r="CJ418" s="19" t="s">
        <v>17</v>
      </c>
      <c r="CK418" s="19"/>
      <c r="CL418" s="19"/>
      <c r="CM418" s="19" t="s">
        <v>2138</v>
      </c>
      <c r="CN418" s="19" t="s">
        <v>2382</v>
      </c>
      <c r="CO418" s="19"/>
      <c r="CP418" s="19" t="s">
        <v>2246</v>
      </c>
      <c r="CQ418" s="19"/>
      <c r="CR418" s="19"/>
      <c r="CS418" s="19"/>
      <c r="CT418" s="19" t="s">
        <v>2113</v>
      </c>
      <c r="CU418" s="19" t="s">
        <v>2113</v>
      </c>
      <c r="CV418" s="19" t="s">
        <v>2141</v>
      </c>
      <c r="CW418" s="19"/>
      <c r="CX418" s="19"/>
      <c r="CY418" s="19" t="s">
        <v>2113</v>
      </c>
      <c r="CZ418" s="19" t="s">
        <v>2113</v>
      </c>
      <c r="DA418" s="19" t="s">
        <v>16</v>
      </c>
      <c r="DB418" s="19" t="s">
        <v>17</v>
      </c>
      <c r="DC418" s="19" t="s">
        <v>2146</v>
      </c>
      <c r="DD418" s="19" t="s">
        <v>2113</v>
      </c>
      <c r="DE418" s="19" t="s">
        <v>2113</v>
      </c>
      <c r="DF418" s="19" t="s">
        <v>2433</v>
      </c>
      <c r="DG418" s="19" t="s">
        <v>2248</v>
      </c>
      <c r="DH418" s="19" t="s">
        <v>2144</v>
      </c>
      <c r="DI418" s="24">
        <v>45519.0</v>
      </c>
      <c r="DJ418" s="19" t="s">
        <v>2133</v>
      </c>
      <c r="DK418" s="19" t="s">
        <v>2145</v>
      </c>
      <c r="DL418" s="19" t="s">
        <v>2146</v>
      </c>
      <c r="DM418" s="19"/>
      <c r="DN418" s="19">
        <v>5.0</v>
      </c>
      <c r="DO418" s="19">
        <v>5.0</v>
      </c>
      <c r="DP418" s="19" t="s">
        <v>9346</v>
      </c>
      <c r="DQ418" s="19" t="s">
        <v>9347</v>
      </c>
      <c r="DR418" s="19" t="s">
        <v>9348</v>
      </c>
      <c r="DS418" s="19" t="s">
        <v>2365</v>
      </c>
      <c r="DT418" s="19" t="s">
        <v>2229</v>
      </c>
      <c r="DU418" s="19"/>
      <c r="DV418" s="19"/>
      <c r="DW418" s="19" t="s">
        <v>2153</v>
      </c>
      <c r="DX418" s="19">
        <v>9.0</v>
      </c>
      <c r="DY418" s="19">
        <v>5.0</v>
      </c>
      <c r="DZ418" s="19">
        <v>0.0</v>
      </c>
      <c r="EA418" s="19">
        <v>5.0</v>
      </c>
      <c r="EB418" s="19">
        <v>0.0</v>
      </c>
      <c r="EC418" s="19">
        <v>0.0</v>
      </c>
      <c r="ED418" s="19" t="s">
        <v>2133</v>
      </c>
      <c r="EE418" s="24">
        <v>45519.0</v>
      </c>
      <c r="EF418" s="19" t="s">
        <v>2133</v>
      </c>
      <c r="EG418" s="19" t="s">
        <v>2145</v>
      </c>
      <c r="EH418" s="19" t="s">
        <v>2146</v>
      </c>
      <c r="EI418" s="22">
        <v>13.78125</v>
      </c>
      <c r="EJ418" s="19">
        <v>44.0</v>
      </c>
      <c r="EK418" s="19" t="s">
        <v>2113</v>
      </c>
      <c r="EL418" s="19" t="s">
        <v>2163</v>
      </c>
      <c r="EM418" s="19" t="s">
        <v>9340</v>
      </c>
      <c r="EN418" s="19" t="s">
        <v>1237</v>
      </c>
      <c r="EO418" s="19" t="s">
        <v>2375</v>
      </c>
      <c r="EP418" s="19" t="s">
        <v>2122</v>
      </c>
      <c r="EQ418" s="19" t="s">
        <v>2382</v>
      </c>
      <c r="ER418" s="19"/>
      <c r="ES418" s="19" t="s">
        <v>1237</v>
      </c>
      <c r="ET418" s="19" t="s">
        <v>1237</v>
      </c>
      <c r="EU418" s="19" t="s">
        <v>9338</v>
      </c>
      <c r="EV418" s="19">
        <v>7618.0</v>
      </c>
      <c r="EW418" s="19" t="s">
        <v>16</v>
      </c>
      <c r="EX418" s="19">
        <v>4.0</v>
      </c>
      <c r="EY418" s="25" t="s">
        <v>1236</v>
      </c>
      <c r="EZ418" s="19" t="s">
        <v>2154</v>
      </c>
      <c r="FA418" s="5" t="s">
        <v>9349</v>
      </c>
      <c r="FB418" s="26" t="s">
        <v>2156</v>
      </c>
      <c r="FC418" s="26"/>
    </row>
    <row r="419">
      <c r="A419" s="19" t="s">
        <v>17</v>
      </c>
      <c r="B419" s="19"/>
      <c r="C419" s="19" t="s">
        <v>2113</v>
      </c>
      <c r="D419" s="19" t="s">
        <v>9350</v>
      </c>
      <c r="E419" s="19" t="s">
        <v>9351</v>
      </c>
      <c r="F419" s="19" t="s">
        <v>1238</v>
      </c>
      <c r="G419" s="19" t="s">
        <v>9352</v>
      </c>
      <c r="H419" s="19" t="s">
        <v>1238</v>
      </c>
      <c r="I419" s="19" t="s">
        <v>1240</v>
      </c>
      <c r="J419" s="19" t="s">
        <v>9353</v>
      </c>
      <c r="K419" s="19" t="s">
        <v>9354</v>
      </c>
      <c r="L419" s="20">
        <v>45428.0</v>
      </c>
      <c r="M419" s="20">
        <v>45428.0</v>
      </c>
      <c r="N419" s="20">
        <v>45428.0</v>
      </c>
      <c r="O419" s="19" t="s">
        <v>1239</v>
      </c>
      <c r="P419" s="19">
        <v>0.0</v>
      </c>
      <c r="Q419" s="19">
        <v>19.0</v>
      </c>
      <c r="R419" s="19">
        <v>7242.0</v>
      </c>
      <c r="S419" s="20" t="s">
        <v>9355</v>
      </c>
      <c r="T419" s="20">
        <v>45461.0</v>
      </c>
      <c r="U419" s="19" t="s">
        <v>1238</v>
      </c>
      <c r="V419" s="19"/>
      <c r="W419" s="19"/>
      <c r="X419" s="21">
        <v>0.0</v>
      </c>
      <c r="Y419" s="21">
        <v>10.0</v>
      </c>
      <c r="Z419" s="21">
        <v>2.0</v>
      </c>
      <c r="AA419" s="21">
        <v>0.0</v>
      </c>
      <c r="AB419" s="5">
        <v>12.0</v>
      </c>
      <c r="AC419" s="19">
        <v>4.0</v>
      </c>
      <c r="AD419" s="19">
        <v>4.0</v>
      </c>
      <c r="AE419" s="19">
        <v>4.0</v>
      </c>
      <c r="AF419" s="19">
        <v>3.0</v>
      </c>
      <c r="AG419" s="19">
        <v>3.5</v>
      </c>
      <c r="AH419" s="19">
        <v>2.0</v>
      </c>
      <c r="AI419" s="22">
        <v>10.6875</v>
      </c>
      <c r="AJ419" s="19">
        <v>14.0</v>
      </c>
      <c r="AK419" s="19">
        <v>15.0</v>
      </c>
      <c r="AL419" s="19">
        <v>15.0</v>
      </c>
      <c r="AM419" s="19">
        <v>44.0</v>
      </c>
      <c r="AN419" s="19">
        <v>54.7</v>
      </c>
      <c r="AO419" s="19">
        <v>66.7</v>
      </c>
      <c r="AP419" s="19">
        <v>884.0</v>
      </c>
      <c r="AQ419" s="23">
        <v>411.0</v>
      </c>
      <c r="AR419" s="23">
        <v>14.0</v>
      </c>
      <c r="AS419" s="22"/>
      <c r="AT419" s="19" t="s">
        <v>2117</v>
      </c>
      <c r="AU419" s="19" t="s">
        <v>3590</v>
      </c>
      <c r="AV419" s="19" t="s">
        <v>9356</v>
      </c>
      <c r="AW419" s="19" t="s">
        <v>9357</v>
      </c>
      <c r="AX419" s="20">
        <v>38219.0</v>
      </c>
      <c r="AY419" s="19" t="s">
        <v>3734</v>
      </c>
      <c r="AZ419" s="19" t="s">
        <v>2445</v>
      </c>
      <c r="BA419" s="19" t="s">
        <v>9358</v>
      </c>
      <c r="BB419" s="19" t="s">
        <v>9359</v>
      </c>
      <c r="BC419" s="19" t="s">
        <v>9360</v>
      </c>
      <c r="BD419" s="19" t="s">
        <v>9361</v>
      </c>
      <c r="BE419" s="19" t="s">
        <v>9353</v>
      </c>
      <c r="BF419" s="19">
        <v>1.1940042079E10</v>
      </c>
      <c r="BG419" s="19" t="s">
        <v>2127</v>
      </c>
      <c r="BH419" s="19" t="s">
        <v>2128</v>
      </c>
      <c r="BI419" s="19"/>
      <c r="BJ419" s="19" t="s">
        <v>2128</v>
      </c>
      <c r="BK419" s="19" t="s">
        <v>17</v>
      </c>
      <c r="BL419" s="19"/>
      <c r="BM419" s="19" t="s">
        <v>5411</v>
      </c>
      <c r="BN419" s="19" t="s">
        <v>3445</v>
      </c>
      <c r="BO419" s="19" t="s">
        <v>3199</v>
      </c>
      <c r="BP419" s="19" t="s">
        <v>9362</v>
      </c>
      <c r="BQ419" s="19" t="s">
        <v>3251</v>
      </c>
      <c r="BR419" s="19" t="s">
        <v>3251</v>
      </c>
      <c r="BS419" s="19" t="s">
        <v>2243</v>
      </c>
      <c r="BT419" s="19" t="s">
        <v>177</v>
      </c>
      <c r="BU419" s="19" t="s">
        <v>9363</v>
      </c>
      <c r="BV419" s="19"/>
      <c r="BW419" s="19"/>
      <c r="BX419" s="19"/>
      <c r="BY419" s="19"/>
      <c r="BZ419" s="19" t="s">
        <v>2113</v>
      </c>
      <c r="CA419" s="19"/>
      <c r="CB419" s="19" t="s">
        <v>2113</v>
      </c>
      <c r="CC419" s="19"/>
      <c r="CD419" s="19" t="s">
        <v>2137</v>
      </c>
      <c r="CE419" s="19" t="s">
        <v>16</v>
      </c>
      <c r="CF419" s="19"/>
      <c r="CG419" s="19"/>
      <c r="CH419" s="19" t="s">
        <v>16</v>
      </c>
      <c r="CI419" s="21">
        <v>0.0</v>
      </c>
      <c r="CJ419" s="19" t="s">
        <v>17</v>
      </c>
      <c r="CK419" s="19"/>
      <c r="CL419" s="19"/>
      <c r="CM419" s="19" t="s">
        <v>2138</v>
      </c>
      <c r="CN419" s="19" t="s">
        <v>3253</v>
      </c>
      <c r="CO419" s="19"/>
      <c r="CP419" s="19" t="s">
        <v>2178</v>
      </c>
      <c r="CQ419" s="19"/>
      <c r="CR419" s="19"/>
      <c r="CS419" s="19"/>
      <c r="CT419" s="19"/>
      <c r="CU419" s="19"/>
      <c r="CV419" s="19" t="s">
        <v>2179</v>
      </c>
      <c r="CW419" s="19" t="s">
        <v>2113</v>
      </c>
      <c r="CX419" s="19" t="s">
        <v>2113</v>
      </c>
      <c r="CY419" s="19"/>
      <c r="CZ419" s="19"/>
      <c r="DA419" s="19" t="s">
        <v>16</v>
      </c>
      <c r="DB419" s="19" t="s">
        <v>17</v>
      </c>
      <c r="DC419" s="19" t="s">
        <v>2602</v>
      </c>
      <c r="DD419" s="19" t="s">
        <v>2113</v>
      </c>
      <c r="DE419" s="19" t="s">
        <v>2113</v>
      </c>
      <c r="DF419" s="19" t="s">
        <v>2433</v>
      </c>
      <c r="DG419" s="19" t="s">
        <v>3484</v>
      </c>
      <c r="DH419" s="19" t="s">
        <v>2144</v>
      </c>
      <c r="DI419" s="24">
        <v>45519.0</v>
      </c>
      <c r="DJ419" s="19" t="s">
        <v>3257</v>
      </c>
      <c r="DK419" s="19" t="s">
        <v>2271</v>
      </c>
      <c r="DL419" s="19" t="s">
        <v>2207</v>
      </c>
      <c r="DM419" s="22" t="s">
        <v>3258</v>
      </c>
      <c r="DN419" s="19">
        <v>3.0</v>
      </c>
      <c r="DO419" s="19">
        <v>3.0</v>
      </c>
      <c r="DP419" s="19"/>
      <c r="DQ419" s="19"/>
      <c r="DR419" s="19"/>
      <c r="DS419" s="19" t="s">
        <v>2365</v>
      </c>
      <c r="DT419" s="19" t="s">
        <v>2350</v>
      </c>
      <c r="DU419" s="19" t="s">
        <v>9364</v>
      </c>
      <c r="DV419" s="19"/>
      <c r="DW419" s="19" t="s">
        <v>2479</v>
      </c>
      <c r="DX419" s="19">
        <v>11.0</v>
      </c>
      <c r="DY419" s="19">
        <v>10.0</v>
      </c>
      <c r="DZ419" s="19">
        <v>0.0</v>
      </c>
      <c r="EA419" s="19">
        <v>10.0</v>
      </c>
      <c r="EB419" s="19">
        <v>0.0</v>
      </c>
      <c r="EC419" s="19">
        <v>0.0</v>
      </c>
      <c r="ED419" s="19" t="s">
        <v>3257</v>
      </c>
      <c r="EE419" s="24">
        <v>45519.0</v>
      </c>
      <c r="EF419" s="19" t="s">
        <v>3257</v>
      </c>
      <c r="EG419" s="19" t="s">
        <v>2271</v>
      </c>
      <c r="EH419" s="19" t="s">
        <v>2207</v>
      </c>
      <c r="EI419" s="22">
        <v>10.6875</v>
      </c>
      <c r="EJ419" s="19">
        <v>44.0</v>
      </c>
      <c r="EK419" s="19" t="s">
        <v>2113</v>
      </c>
      <c r="EL419" s="19" t="s">
        <v>2117</v>
      </c>
      <c r="EM419" s="19" t="s">
        <v>3590</v>
      </c>
      <c r="EN419" s="19" t="s">
        <v>1240</v>
      </c>
      <c r="EO419" s="19" t="s">
        <v>3734</v>
      </c>
      <c r="EP419" s="19" t="s">
        <v>2445</v>
      </c>
      <c r="EQ419" s="19" t="s">
        <v>3253</v>
      </c>
      <c r="ER419" s="19"/>
      <c r="ES419" s="19" t="s">
        <v>1240</v>
      </c>
      <c r="ET419" s="19" t="s">
        <v>1240</v>
      </c>
      <c r="EU419" s="19" t="s">
        <v>9354</v>
      </c>
      <c r="EV419" s="19">
        <v>7242.0</v>
      </c>
      <c r="EW419" s="19" t="s">
        <v>16</v>
      </c>
      <c r="EX419" s="19">
        <v>2.0</v>
      </c>
      <c r="EY419" s="25" t="s">
        <v>1239</v>
      </c>
      <c r="EZ419" s="19" t="s">
        <v>2154</v>
      </c>
      <c r="FA419" s="5" t="s">
        <v>9365</v>
      </c>
      <c r="FB419" s="26" t="s">
        <v>2156</v>
      </c>
      <c r="FC419" s="26"/>
    </row>
    <row r="420">
      <c r="A420" s="19" t="s">
        <v>2112</v>
      </c>
      <c r="B420" s="19"/>
      <c r="C420" s="19" t="s">
        <v>2113</v>
      </c>
      <c r="D420" s="19" t="s">
        <v>1241</v>
      </c>
      <c r="E420" s="19" t="s">
        <v>9366</v>
      </c>
      <c r="F420" s="19" t="s">
        <v>1241</v>
      </c>
      <c r="G420" s="19"/>
      <c r="H420" s="19" t="s">
        <v>1241</v>
      </c>
      <c r="I420" s="19" t="s">
        <v>1243</v>
      </c>
      <c r="J420" s="19" t="s">
        <v>9367</v>
      </c>
      <c r="K420" s="19" t="s">
        <v>9368</v>
      </c>
      <c r="L420" s="20">
        <v>45405.0</v>
      </c>
      <c r="M420" s="20">
        <v>45411.0</v>
      </c>
      <c r="N420" s="20">
        <v>45411.0</v>
      </c>
      <c r="O420" s="19" t="s">
        <v>1242</v>
      </c>
      <c r="P420" s="19">
        <v>0.0</v>
      </c>
      <c r="Q420" s="19">
        <v>18.0</v>
      </c>
      <c r="R420" s="19">
        <v>6637.0</v>
      </c>
      <c r="S420" s="20" t="s">
        <v>9369</v>
      </c>
      <c r="T420" s="20">
        <v>45461.0</v>
      </c>
      <c r="U420" s="19" t="s">
        <v>1241</v>
      </c>
      <c r="V420" s="19"/>
      <c r="W420" s="19"/>
      <c r="X420" s="21">
        <v>0.0</v>
      </c>
      <c r="Y420" s="21">
        <v>10.0</v>
      </c>
      <c r="Z420" s="21">
        <v>4.0</v>
      </c>
      <c r="AA420" s="21">
        <v>0.0</v>
      </c>
      <c r="AB420" s="5">
        <v>14.0</v>
      </c>
      <c r="AC420" s="19">
        <v>4.6</v>
      </c>
      <c r="AD420" s="19">
        <v>4.0</v>
      </c>
      <c r="AE420" s="19">
        <v>3.8</v>
      </c>
      <c r="AF420" s="19">
        <v>4.4</v>
      </c>
      <c r="AG420" s="19">
        <v>4.4</v>
      </c>
      <c r="AH420" s="19">
        <v>4.4</v>
      </c>
      <c r="AI420" s="22">
        <v>12.581249999999999</v>
      </c>
      <c r="AJ420" s="19">
        <v>15.0</v>
      </c>
      <c r="AK420" s="19">
        <v>15.0</v>
      </c>
      <c r="AL420" s="19">
        <v>10.0</v>
      </c>
      <c r="AM420" s="19">
        <v>40.0</v>
      </c>
      <c r="AN420" s="19">
        <v>52.6</v>
      </c>
      <c r="AO420" s="19">
        <v>66.6</v>
      </c>
      <c r="AP420" s="19">
        <v>650.0</v>
      </c>
      <c r="AQ420" s="23">
        <v>412.0</v>
      </c>
      <c r="AR420" s="23">
        <v>32.0</v>
      </c>
      <c r="AS420" s="22"/>
      <c r="AT420" s="19" t="s">
        <v>2282</v>
      </c>
      <c r="AU420" s="19" t="s">
        <v>4874</v>
      </c>
      <c r="AV420" s="19" t="s">
        <v>9370</v>
      </c>
      <c r="AW420" s="19" t="s">
        <v>9371</v>
      </c>
      <c r="AX420" s="20">
        <v>38824.0</v>
      </c>
      <c r="AY420" s="19" t="s">
        <v>4876</v>
      </c>
      <c r="AZ420" s="19" t="s">
        <v>2122</v>
      </c>
      <c r="BA420" s="19" t="s">
        <v>9372</v>
      </c>
      <c r="BB420" s="19" t="s">
        <v>9373</v>
      </c>
      <c r="BC420" s="19" t="s">
        <v>9374</v>
      </c>
      <c r="BD420" s="19" t="s">
        <v>9375</v>
      </c>
      <c r="BE420" s="19"/>
      <c r="BF420" s="19"/>
      <c r="BG420" s="19" t="s">
        <v>2127</v>
      </c>
      <c r="BH420" s="19" t="s">
        <v>2128</v>
      </c>
      <c r="BI420" s="19"/>
      <c r="BJ420" s="19" t="s">
        <v>2128</v>
      </c>
      <c r="BK420" s="19" t="s">
        <v>17</v>
      </c>
      <c r="BL420" s="19"/>
      <c r="BM420" s="19" t="s">
        <v>5411</v>
      </c>
      <c r="BN420" s="19" t="s">
        <v>2172</v>
      </c>
      <c r="BO420" s="19" t="s">
        <v>2317</v>
      </c>
      <c r="BP420" s="19"/>
      <c r="BQ420" s="19" t="s">
        <v>2174</v>
      </c>
      <c r="BR420" s="19" t="s">
        <v>2174</v>
      </c>
      <c r="BS420" s="19" t="s">
        <v>4723</v>
      </c>
      <c r="BT420" s="19" t="s">
        <v>75</v>
      </c>
      <c r="BU420" s="19"/>
      <c r="BV420" s="19"/>
      <c r="BW420" s="19" t="s">
        <v>2113</v>
      </c>
      <c r="BX420" s="19"/>
      <c r="BY420" s="19"/>
      <c r="BZ420" s="19"/>
      <c r="CA420" s="19"/>
      <c r="CB420" s="19" t="s">
        <v>2113</v>
      </c>
      <c r="CC420" s="19"/>
      <c r="CD420" s="19" t="s">
        <v>2137</v>
      </c>
      <c r="CE420" s="19" t="s">
        <v>16</v>
      </c>
      <c r="CF420" s="19"/>
      <c r="CG420" s="19"/>
      <c r="CH420" s="19" t="s">
        <v>16</v>
      </c>
      <c r="CI420" s="21">
        <v>0.0</v>
      </c>
      <c r="CJ420" s="19" t="s">
        <v>16</v>
      </c>
      <c r="CK420" s="19"/>
      <c r="CL420" s="19"/>
      <c r="CM420" s="19" t="s">
        <v>2926</v>
      </c>
      <c r="CN420" s="19" t="s">
        <v>4884</v>
      </c>
      <c r="CO420" s="19" t="s">
        <v>2177</v>
      </c>
      <c r="CP420" s="19" t="s">
        <v>2134</v>
      </c>
      <c r="CQ420" s="19"/>
      <c r="CR420" s="19" t="s">
        <v>2113</v>
      </c>
      <c r="CS420" s="19" t="s">
        <v>2113</v>
      </c>
      <c r="CT420" s="19" t="s">
        <v>2113</v>
      </c>
      <c r="CU420" s="19" t="s">
        <v>2113</v>
      </c>
      <c r="CV420" s="19" t="s">
        <v>2141</v>
      </c>
      <c r="CW420" s="19" t="s">
        <v>2113</v>
      </c>
      <c r="CX420" s="19" t="s">
        <v>2113</v>
      </c>
      <c r="CY420" s="19" t="s">
        <v>2113</v>
      </c>
      <c r="CZ420" s="19" t="s">
        <v>2113</v>
      </c>
      <c r="DA420" s="19" t="s">
        <v>16</v>
      </c>
      <c r="DB420" s="19" t="s">
        <v>16</v>
      </c>
      <c r="DC420" s="19" t="s">
        <v>4791</v>
      </c>
      <c r="DD420" s="19" t="s">
        <v>2113</v>
      </c>
      <c r="DE420" s="19" t="s">
        <v>2113</v>
      </c>
      <c r="DF420" s="19" t="s">
        <v>4043</v>
      </c>
      <c r="DG420" s="19" t="s">
        <v>4042</v>
      </c>
      <c r="DH420" s="19" t="s">
        <v>2144</v>
      </c>
      <c r="DI420" s="24">
        <v>45517.0</v>
      </c>
      <c r="DJ420" s="19" t="s">
        <v>2174</v>
      </c>
      <c r="DK420" s="19" t="s">
        <v>2145</v>
      </c>
      <c r="DL420" s="19" t="s">
        <v>2183</v>
      </c>
      <c r="DM420" s="19" t="s">
        <v>2184</v>
      </c>
      <c r="DN420" s="19">
        <v>1.0</v>
      </c>
      <c r="DO420" s="19">
        <v>1.0</v>
      </c>
      <c r="DP420" s="19" t="s">
        <v>9376</v>
      </c>
      <c r="DQ420" s="19" t="s">
        <v>9377</v>
      </c>
      <c r="DR420" s="19" t="s">
        <v>9378</v>
      </c>
      <c r="DS420" s="19" t="s">
        <v>2185</v>
      </c>
      <c r="DT420" s="19" t="s">
        <v>2366</v>
      </c>
      <c r="DU420" s="19"/>
      <c r="DV420" s="19"/>
      <c r="DW420" s="19" t="s">
        <v>2153</v>
      </c>
      <c r="DX420" s="19">
        <v>2.0</v>
      </c>
      <c r="DY420" s="19">
        <v>10.0</v>
      </c>
      <c r="DZ420" s="19">
        <v>0.0</v>
      </c>
      <c r="EA420" s="19">
        <v>10.0</v>
      </c>
      <c r="EB420" s="19">
        <v>0.0</v>
      </c>
      <c r="EC420" s="19">
        <v>0.0</v>
      </c>
      <c r="ED420" s="19" t="s">
        <v>2174</v>
      </c>
      <c r="EE420" s="24">
        <v>45517.0</v>
      </c>
      <c r="EF420" s="19" t="s">
        <v>2174</v>
      </c>
      <c r="EG420" s="19" t="s">
        <v>2145</v>
      </c>
      <c r="EH420" s="19" t="s">
        <v>2183</v>
      </c>
      <c r="EI420" s="22">
        <v>12.581249999999999</v>
      </c>
      <c r="EJ420" s="19">
        <v>40.0</v>
      </c>
      <c r="EK420" s="19"/>
      <c r="EL420" s="19" t="s">
        <v>2282</v>
      </c>
      <c r="EM420" s="19" t="s">
        <v>4874</v>
      </c>
      <c r="EN420" s="19" t="s">
        <v>1243</v>
      </c>
      <c r="EO420" s="19" t="s">
        <v>4876</v>
      </c>
      <c r="EP420" s="19" t="s">
        <v>2122</v>
      </c>
      <c r="EQ420" s="19" t="s">
        <v>4884</v>
      </c>
      <c r="ER420" s="19" t="s">
        <v>2177</v>
      </c>
      <c r="ES420" s="19" t="s">
        <v>1243</v>
      </c>
      <c r="ET420" s="19" t="s">
        <v>1243</v>
      </c>
      <c r="EU420" s="19" t="s">
        <v>9368</v>
      </c>
      <c r="EV420" s="19">
        <v>6637.0</v>
      </c>
      <c r="EW420" s="19" t="s">
        <v>16</v>
      </c>
      <c r="EX420" s="19">
        <v>4.0</v>
      </c>
      <c r="EY420" s="25" t="s">
        <v>1242</v>
      </c>
      <c r="EZ420" s="19" t="s">
        <v>2154</v>
      </c>
      <c r="FA420" s="5" t="s">
        <v>9379</v>
      </c>
      <c r="FB420" s="26" t="s">
        <v>2156</v>
      </c>
      <c r="FC420" s="26"/>
    </row>
    <row r="421">
      <c r="A421" s="19" t="s">
        <v>2156</v>
      </c>
      <c r="B421" s="19"/>
      <c r="C421" s="19" t="s">
        <v>2113</v>
      </c>
      <c r="D421" s="19" t="s">
        <v>1244</v>
      </c>
      <c r="E421" s="19" t="s">
        <v>9380</v>
      </c>
      <c r="F421" s="19" t="s">
        <v>1244</v>
      </c>
      <c r="G421" s="19" t="s">
        <v>9380</v>
      </c>
      <c r="H421" s="19" t="s">
        <v>1244</v>
      </c>
      <c r="I421" s="19" t="s">
        <v>1246</v>
      </c>
      <c r="J421" s="19" t="s">
        <v>9381</v>
      </c>
      <c r="K421" s="19" t="s">
        <v>9382</v>
      </c>
      <c r="L421" s="20">
        <v>45421.0</v>
      </c>
      <c r="M421" s="20">
        <v>45428.0</v>
      </c>
      <c r="N421" s="20">
        <v>45428.0</v>
      </c>
      <c r="O421" s="19" t="s">
        <v>1245</v>
      </c>
      <c r="P421" s="19">
        <v>0.0</v>
      </c>
      <c r="Q421" s="19">
        <v>28.0</v>
      </c>
      <c r="R421" s="19">
        <v>10288.0</v>
      </c>
      <c r="S421" s="20" t="s">
        <v>9383</v>
      </c>
      <c r="T421" s="20">
        <v>45461.0</v>
      </c>
      <c r="U421" s="19" t="s">
        <v>1244</v>
      </c>
      <c r="V421" s="19"/>
      <c r="W421" s="19"/>
      <c r="X421" s="21">
        <v>0.0</v>
      </c>
      <c r="Y421" s="21">
        <v>10.0</v>
      </c>
      <c r="Z421" s="21">
        <v>2.0</v>
      </c>
      <c r="AA421" s="21">
        <v>0.0</v>
      </c>
      <c r="AB421" s="5">
        <v>12.0</v>
      </c>
      <c r="AC421" s="19">
        <v>5.0</v>
      </c>
      <c r="AD421" s="19">
        <v>5.0</v>
      </c>
      <c r="AE421" s="19">
        <v>5.0</v>
      </c>
      <c r="AF421" s="19">
        <v>5.0</v>
      </c>
      <c r="AG421" s="19">
        <v>5.0</v>
      </c>
      <c r="AH421" s="19">
        <v>4.0</v>
      </c>
      <c r="AI421" s="22">
        <v>14.625</v>
      </c>
      <c r="AJ421" s="19">
        <v>15.0</v>
      </c>
      <c r="AK421" s="19">
        <v>15.0</v>
      </c>
      <c r="AL421" s="19">
        <v>10.0</v>
      </c>
      <c r="AM421" s="19">
        <v>40.0</v>
      </c>
      <c r="AN421" s="19">
        <v>54.6</v>
      </c>
      <c r="AO421" s="19">
        <v>66.6</v>
      </c>
      <c r="AP421" s="19">
        <v>835.0</v>
      </c>
      <c r="AQ421" s="23">
        <v>413.0</v>
      </c>
      <c r="AR421" s="23">
        <v>31.0</v>
      </c>
      <c r="AS421" s="22"/>
      <c r="AT421" s="19" t="s">
        <v>2163</v>
      </c>
      <c r="AU421" s="19" t="s">
        <v>9384</v>
      </c>
      <c r="AV421" s="19" t="s">
        <v>9385</v>
      </c>
      <c r="AW421" s="19" t="s">
        <v>2166</v>
      </c>
      <c r="AX421" s="20">
        <v>35173.0</v>
      </c>
      <c r="AY421" s="19" t="s">
        <v>9386</v>
      </c>
      <c r="AZ421" s="19" t="s">
        <v>2122</v>
      </c>
      <c r="BA421" s="19" t="s">
        <v>9387</v>
      </c>
      <c r="BB421" s="19" t="s">
        <v>9388</v>
      </c>
      <c r="BC421" s="19" t="s">
        <v>9389</v>
      </c>
      <c r="BD421" s="19" t="s">
        <v>9390</v>
      </c>
      <c r="BE421" s="19" t="s">
        <v>9381</v>
      </c>
      <c r="BF421" s="19">
        <v>1.1963586813E10</v>
      </c>
      <c r="BG421" s="19" t="s">
        <v>2127</v>
      </c>
      <c r="BH421" s="19" t="s">
        <v>2128</v>
      </c>
      <c r="BI421" s="19"/>
      <c r="BJ421" s="19"/>
      <c r="BK421" s="19" t="s">
        <v>16</v>
      </c>
      <c r="BL421" s="19"/>
      <c r="BM421" s="19" t="s">
        <v>5563</v>
      </c>
      <c r="BN421" s="19" t="s">
        <v>2172</v>
      </c>
      <c r="BO421" s="19" t="s">
        <v>3199</v>
      </c>
      <c r="BP421" s="19" t="s">
        <v>9391</v>
      </c>
      <c r="BQ421" s="19" t="s">
        <v>2133</v>
      </c>
      <c r="BR421" s="19" t="s">
        <v>2133</v>
      </c>
      <c r="BS421" s="19" t="s">
        <v>2134</v>
      </c>
      <c r="BT421" s="19" t="s">
        <v>222</v>
      </c>
      <c r="BU421" s="19" t="s">
        <v>16</v>
      </c>
      <c r="BV421" s="19"/>
      <c r="BW421" s="19"/>
      <c r="BX421" s="19"/>
      <c r="BY421" s="19"/>
      <c r="BZ421" s="19"/>
      <c r="CA421" s="19"/>
      <c r="CB421" s="19"/>
      <c r="CC421" s="19" t="s">
        <v>2113</v>
      </c>
      <c r="CD421" s="19" t="s">
        <v>2137</v>
      </c>
      <c r="CE421" s="19" t="s">
        <v>16</v>
      </c>
      <c r="CF421" s="19"/>
      <c r="CG421" s="19"/>
      <c r="CH421" s="19" t="s">
        <v>16</v>
      </c>
      <c r="CI421" s="21">
        <v>0.0</v>
      </c>
      <c r="CJ421" s="19" t="s">
        <v>17</v>
      </c>
      <c r="CK421" s="19"/>
      <c r="CL421" s="19"/>
      <c r="CM421" s="19" t="s">
        <v>2344</v>
      </c>
      <c r="CN421" s="19" t="s">
        <v>4465</v>
      </c>
      <c r="CO421" s="19"/>
      <c r="CP421" s="19"/>
      <c r="CQ421" s="19"/>
      <c r="CR421" s="19" t="s">
        <v>2113</v>
      </c>
      <c r="CS421" s="19" t="s">
        <v>2113</v>
      </c>
      <c r="CT421" s="19"/>
      <c r="CU421" s="19"/>
      <c r="CV421" s="19" t="s">
        <v>2141</v>
      </c>
      <c r="CW421" s="19" t="s">
        <v>2113</v>
      </c>
      <c r="CX421" s="19" t="s">
        <v>2113</v>
      </c>
      <c r="CY421" s="19" t="s">
        <v>2113</v>
      </c>
      <c r="CZ421" s="19" t="s">
        <v>2113</v>
      </c>
      <c r="DA421" s="19" t="s">
        <v>16</v>
      </c>
      <c r="DB421" s="19" t="s">
        <v>17</v>
      </c>
      <c r="DC421" s="19" t="s">
        <v>9392</v>
      </c>
      <c r="DD421" s="19" t="s">
        <v>2113</v>
      </c>
      <c r="DE421" s="19" t="s">
        <v>2113</v>
      </c>
      <c r="DF421" s="19" t="s">
        <v>2146</v>
      </c>
      <c r="DG421" s="19" t="s">
        <v>2433</v>
      </c>
      <c r="DH421" s="19" t="s">
        <v>2144</v>
      </c>
      <c r="DI421" s="24">
        <v>45519.0</v>
      </c>
      <c r="DJ421" s="19" t="s">
        <v>2133</v>
      </c>
      <c r="DK421" s="19" t="s">
        <v>2145</v>
      </c>
      <c r="DL421" s="19" t="s">
        <v>2146</v>
      </c>
      <c r="DM421" s="19"/>
      <c r="DN421" s="19">
        <v>5.0</v>
      </c>
      <c r="DO421" s="19">
        <v>5.0</v>
      </c>
      <c r="DP421" s="19" t="s">
        <v>9393</v>
      </c>
      <c r="DQ421" s="19" t="s">
        <v>9394</v>
      </c>
      <c r="DR421" s="19" t="s">
        <v>9395</v>
      </c>
      <c r="DS421" s="19" t="s">
        <v>2185</v>
      </c>
      <c r="DT421" s="19" t="s">
        <v>2350</v>
      </c>
      <c r="DU421" s="19"/>
      <c r="DV421" s="19"/>
      <c r="DW421" s="19" t="s">
        <v>2188</v>
      </c>
      <c r="DX421" s="19">
        <v>5.0</v>
      </c>
      <c r="DY421" s="19">
        <v>10.0</v>
      </c>
      <c r="DZ421" s="19">
        <v>0.0</v>
      </c>
      <c r="EA421" s="19">
        <v>10.0</v>
      </c>
      <c r="EB421" s="19">
        <v>0.0</v>
      </c>
      <c r="EC421" s="19">
        <v>0.0</v>
      </c>
      <c r="ED421" s="19" t="s">
        <v>2133</v>
      </c>
      <c r="EE421" s="24">
        <v>45519.0</v>
      </c>
      <c r="EF421" s="19" t="s">
        <v>2133</v>
      </c>
      <c r="EG421" s="19" t="s">
        <v>2145</v>
      </c>
      <c r="EH421" s="19" t="s">
        <v>2146</v>
      </c>
      <c r="EI421" s="22">
        <v>14.625</v>
      </c>
      <c r="EJ421" s="19">
        <v>40.0</v>
      </c>
      <c r="EK421" s="19" t="s">
        <v>2113</v>
      </c>
      <c r="EL421" s="19" t="s">
        <v>2163</v>
      </c>
      <c r="EM421" s="19" t="s">
        <v>9384</v>
      </c>
      <c r="EN421" s="19" t="s">
        <v>1246</v>
      </c>
      <c r="EO421" s="19" t="s">
        <v>9386</v>
      </c>
      <c r="EP421" s="19" t="s">
        <v>2122</v>
      </c>
      <c r="EQ421" s="19" t="s">
        <v>4465</v>
      </c>
      <c r="ER421" s="19"/>
      <c r="ES421" s="19" t="s">
        <v>1246</v>
      </c>
      <c r="ET421" s="19" t="s">
        <v>1246</v>
      </c>
      <c r="EU421" s="19" t="s">
        <v>9382</v>
      </c>
      <c r="EV421" s="19">
        <v>10288.0</v>
      </c>
      <c r="EW421" s="19" t="s">
        <v>16</v>
      </c>
      <c r="EX421" s="19">
        <v>2.0</v>
      </c>
      <c r="EY421" s="25" t="s">
        <v>1245</v>
      </c>
      <c r="EZ421" s="19" t="s">
        <v>2154</v>
      </c>
      <c r="FA421" s="5" t="s">
        <v>9396</v>
      </c>
      <c r="FB421" s="26" t="s">
        <v>2156</v>
      </c>
      <c r="FC421" s="26"/>
    </row>
    <row r="422">
      <c r="A422" s="19" t="s">
        <v>2112</v>
      </c>
      <c r="B422" s="19"/>
      <c r="C422" s="19" t="s">
        <v>2113</v>
      </c>
      <c r="D422" s="19" t="s">
        <v>1247</v>
      </c>
      <c r="E422" s="19" t="s">
        <v>9397</v>
      </c>
      <c r="F422" s="19" t="s">
        <v>9398</v>
      </c>
      <c r="G422" s="19" t="s">
        <v>9399</v>
      </c>
      <c r="H422" s="19" t="s">
        <v>1247</v>
      </c>
      <c r="I422" s="19" t="s">
        <v>1249</v>
      </c>
      <c r="J422" s="19" t="s">
        <v>9400</v>
      </c>
      <c r="K422" s="19" t="s">
        <v>9401</v>
      </c>
      <c r="L422" s="20">
        <v>45446.0</v>
      </c>
      <c r="M422" s="20">
        <v>45446.0</v>
      </c>
      <c r="N422" s="20">
        <v>45446.0</v>
      </c>
      <c r="O422" s="19" t="s">
        <v>1248</v>
      </c>
      <c r="P422" s="19">
        <v>0.0</v>
      </c>
      <c r="Q422" s="19">
        <v>21.0</v>
      </c>
      <c r="R422" s="19">
        <v>7706.0</v>
      </c>
      <c r="S422" s="20" t="s">
        <v>7317</v>
      </c>
      <c r="T422" s="20">
        <v>45461.0</v>
      </c>
      <c r="U422" s="19" t="s">
        <v>9398</v>
      </c>
      <c r="V422" s="19"/>
      <c r="W422" s="19" t="s">
        <v>2131</v>
      </c>
      <c r="X422" s="21">
        <v>0.0</v>
      </c>
      <c r="Y422" s="21">
        <v>5.0</v>
      </c>
      <c r="Z422" s="21">
        <v>5.0</v>
      </c>
      <c r="AA422" s="21">
        <v>0.0</v>
      </c>
      <c r="AB422" s="5">
        <v>10.0</v>
      </c>
      <c r="AC422" s="19">
        <v>4.2</v>
      </c>
      <c r="AD422" s="19">
        <v>3.4</v>
      </c>
      <c r="AE422" s="19">
        <v>3.6</v>
      </c>
      <c r="AF422" s="19">
        <v>4.4</v>
      </c>
      <c r="AG422" s="19">
        <v>3.8</v>
      </c>
      <c r="AH422" s="19">
        <v>4.4</v>
      </c>
      <c r="AI422" s="22">
        <v>11.625</v>
      </c>
      <c r="AJ422" s="19">
        <v>15.0</v>
      </c>
      <c r="AK422" s="19">
        <v>15.0</v>
      </c>
      <c r="AL422" s="19">
        <v>15.0</v>
      </c>
      <c r="AM422" s="19">
        <v>45.0</v>
      </c>
      <c r="AN422" s="19">
        <v>56.6</v>
      </c>
      <c r="AO422" s="19">
        <v>66.6</v>
      </c>
      <c r="AP422" s="19">
        <v>963.0</v>
      </c>
      <c r="AQ422" s="23">
        <v>414.0</v>
      </c>
      <c r="AR422" s="23">
        <v>51.0</v>
      </c>
      <c r="AS422" s="22"/>
      <c r="AT422" s="19" t="s">
        <v>2163</v>
      </c>
      <c r="AU422" s="19" t="s">
        <v>9402</v>
      </c>
      <c r="AV422" s="19" t="s">
        <v>9403</v>
      </c>
      <c r="AW422" s="19"/>
      <c r="AX422" s="20">
        <v>37755.0</v>
      </c>
      <c r="AY422" s="19" t="s">
        <v>2196</v>
      </c>
      <c r="AZ422" s="19" t="s">
        <v>2122</v>
      </c>
      <c r="BA422" s="19" t="s">
        <v>9404</v>
      </c>
      <c r="BB422" s="19" t="s">
        <v>9405</v>
      </c>
      <c r="BC422" s="19" t="s">
        <v>9406</v>
      </c>
      <c r="BD422" s="19" t="s">
        <v>9407</v>
      </c>
      <c r="BE422" s="19" t="s">
        <v>9400</v>
      </c>
      <c r="BF422" s="19">
        <v>1.197566127E10</v>
      </c>
      <c r="BG422" s="19" t="s">
        <v>3518</v>
      </c>
      <c r="BH422" s="19" t="s">
        <v>2128</v>
      </c>
      <c r="BI422" s="19"/>
      <c r="BJ422" s="19" t="s">
        <v>2427</v>
      </c>
      <c r="BK422" s="19" t="s">
        <v>17</v>
      </c>
      <c r="BL422" s="19"/>
      <c r="BM422" s="19" t="s">
        <v>5563</v>
      </c>
      <c r="BN422" s="19" t="s">
        <v>17</v>
      </c>
      <c r="BO422" s="19" t="s">
        <v>2132</v>
      </c>
      <c r="BP422" s="19"/>
      <c r="BQ422" s="19" t="s">
        <v>2174</v>
      </c>
      <c r="BR422" s="19" t="s">
        <v>2174</v>
      </c>
      <c r="BS422" s="19" t="s">
        <v>2134</v>
      </c>
      <c r="BT422" s="19" t="s">
        <v>21</v>
      </c>
      <c r="BU422" s="19" t="s">
        <v>4244</v>
      </c>
      <c r="BV422" s="19"/>
      <c r="BW422" s="19" t="s">
        <v>2113</v>
      </c>
      <c r="BX422" s="19"/>
      <c r="BY422" s="19"/>
      <c r="BZ422" s="19"/>
      <c r="CA422" s="19"/>
      <c r="CB422" s="19" t="s">
        <v>2113</v>
      </c>
      <c r="CC422" s="19"/>
      <c r="CD422" s="19" t="s">
        <v>2137</v>
      </c>
      <c r="CE422" s="19" t="s">
        <v>16</v>
      </c>
      <c r="CF422" s="19"/>
      <c r="CG422" s="19"/>
      <c r="CH422" s="19" t="s">
        <v>16</v>
      </c>
      <c r="CI422" s="21">
        <v>0.0</v>
      </c>
      <c r="CJ422" s="19" t="s">
        <v>17</v>
      </c>
      <c r="CK422" s="19"/>
      <c r="CL422" s="19"/>
      <c r="CM422" s="19" t="s">
        <v>2138</v>
      </c>
      <c r="CN422" s="19" t="s">
        <v>2204</v>
      </c>
      <c r="CO422" s="19"/>
      <c r="CP422" s="19" t="s">
        <v>2246</v>
      </c>
      <c r="CQ422" s="19"/>
      <c r="CR422" s="19" t="s">
        <v>2113</v>
      </c>
      <c r="CS422" s="19" t="s">
        <v>2113</v>
      </c>
      <c r="CT422" s="19" t="s">
        <v>2113</v>
      </c>
      <c r="CU422" s="19" t="s">
        <v>2113</v>
      </c>
      <c r="CV422" s="19" t="s">
        <v>2141</v>
      </c>
      <c r="CW422" s="19"/>
      <c r="CX422" s="19"/>
      <c r="CY422" s="19" t="s">
        <v>2113</v>
      </c>
      <c r="CZ422" s="19" t="s">
        <v>2113</v>
      </c>
      <c r="DA422" s="19" t="s">
        <v>16</v>
      </c>
      <c r="DB422" s="19" t="s">
        <v>17</v>
      </c>
      <c r="DC422" s="19" t="s">
        <v>3856</v>
      </c>
      <c r="DD422" s="19" t="s">
        <v>2113</v>
      </c>
      <c r="DE422" s="19" t="s">
        <v>2113</v>
      </c>
      <c r="DF422" s="19" t="s">
        <v>3223</v>
      </c>
      <c r="DG422" s="19" t="s">
        <v>2247</v>
      </c>
      <c r="DH422" s="19" t="s">
        <v>2144</v>
      </c>
      <c r="DI422" s="24">
        <v>45518.0</v>
      </c>
      <c r="DJ422" s="19" t="s">
        <v>2174</v>
      </c>
      <c r="DK422" s="19" t="s">
        <v>2271</v>
      </c>
      <c r="DL422" s="19" t="s">
        <v>2183</v>
      </c>
      <c r="DM422" s="19" t="s">
        <v>2346</v>
      </c>
      <c r="DN422" s="19">
        <v>4.0</v>
      </c>
      <c r="DO422" s="19">
        <v>4.0</v>
      </c>
      <c r="DP422" s="19" t="s">
        <v>9408</v>
      </c>
      <c r="DQ422" s="19" t="s">
        <v>9409</v>
      </c>
      <c r="DR422" s="19" t="s">
        <v>9410</v>
      </c>
      <c r="DS422" s="19" t="s">
        <v>2151</v>
      </c>
      <c r="DT422" s="19" t="s">
        <v>2350</v>
      </c>
      <c r="DU422" s="19"/>
      <c r="DV422" s="19"/>
      <c r="DW422" s="19" t="s">
        <v>2153</v>
      </c>
      <c r="DX422" s="19">
        <v>13.0</v>
      </c>
      <c r="DY422" s="19">
        <v>5.0</v>
      </c>
      <c r="DZ422" s="19">
        <v>0.0</v>
      </c>
      <c r="EA422" s="19">
        <v>5.0</v>
      </c>
      <c r="EB422" s="19">
        <v>0.0</v>
      </c>
      <c r="EC422" s="19">
        <v>0.0</v>
      </c>
      <c r="ED422" s="19" t="s">
        <v>2174</v>
      </c>
      <c r="EE422" s="24">
        <v>45518.0</v>
      </c>
      <c r="EF422" s="19" t="s">
        <v>2174</v>
      </c>
      <c r="EG422" s="19" t="s">
        <v>2271</v>
      </c>
      <c r="EH422" s="19" t="s">
        <v>2183</v>
      </c>
      <c r="EI422" s="22">
        <v>11.625</v>
      </c>
      <c r="EJ422" s="19">
        <v>45.0</v>
      </c>
      <c r="EK422" s="19" t="s">
        <v>2113</v>
      </c>
      <c r="EL422" s="19" t="s">
        <v>2163</v>
      </c>
      <c r="EM422" s="19" t="s">
        <v>9402</v>
      </c>
      <c r="EN422" s="19" t="s">
        <v>1249</v>
      </c>
      <c r="EO422" s="19" t="s">
        <v>2196</v>
      </c>
      <c r="EP422" s="19" t="s">
        <v>2122</v>
      </c>
      <c r="EQ422" s="19" t="s">
        <v>2204</v>
      </c>
      <c r="ER422" s="19"/>
      <c r="ES422" s="19" t="s">
        <v>1249</v>
      </c>
      <c r="ET422" s="19" t="s">
        <v>1249</v>
      </c>
      <c r="EU422" s="19" t="s">
        <v>9401</v>
      </c>
      <c r="EV422" s="19">
        <v>7706.0</v>
      </c>
      <c r="EW422" s="19" t="s">
        <v>16</v>
      </c>
      <c r="EX422" s="19">
        <v>5.0</v>
      </c>
      <c r="EY422" s="25" t="s">
        <v>1248</v>
      </c>
      <c r="EZ422" s="19" t="s">
        <v>2154</v>
      </c>
      <c r="FA422" s="5" t="s">
        <v>9411</v>
      </c>
      <c r="FB422" s="26" t="s">
        <v>2156</v>
      </c>
      <c r="FC422" s="26"/>
    </row>
    <row r="423">
      <c r="A423" s="19" t="s">
        <v>2156</v>
      </c>
      <c r="B423" s="19" t="s">
        <v>2113</v>
      </c>
      <c r="C423" s="19" t="s">
        <v>2113</v>
      </c>
      <c r="D423" s="19" t="s">
        <v>1250</v>
      </c>
      <c r="E423" s="19" t="s">
        <v>9412</v>
      </c>
      <c r="F423" s="19" t="s">
        <v>1250</v>
      </c>
      <c r="G423" s="19"/>
      <c r="H423" s="19" t="s">
        <v>1250</v>
      </c>
      <c r="I423" s="19" t="s">
        <v>1252</v>
      </c>
      <c r="J423" s="19" t="s">
        <v>9413</v>
      </c>
      <c r="K423" s="19" t="s">
        <v>9414</v>
      </c>
      <c r="L423" s="20">
        <v>45425.0</v>
      </c>
      <c r="M423" s="20">
        <v>45428.0</v>
      </c>
      <c r="N423" s="20">
        <v>45428.0</v>
      </c>
      <c r="O423" s="19" t="s">
        <v>1251</v>
      </c>
      <c r="P423" s="19">
        <v>0.0</v>
      </c>
      <c r="Q423" s="19">
        <v>18.0</v>
      </c>
      <c r="R423" s="19">
        <v>6660.0</v>
      </c>
      <c r="S423" s="20" t="s">
        <v>5204</v>
      </c>
      <c r="T423" s="20">
        <v>45461.0</v>
      </c>
      <c r="U423" s="19" t="s">
        <v>1250</v>
      </c>
      <c r="V423" s="19"/>
      <c r="W423" s="19"/>
      <c r="X423" s="21">
        <v>20.0</v>
      </c>
      <c r="Y423" s="21">
        <v>10.0</v>
      </c>
      <c r="Z423" s="21">
        <v>5.0</v>
      </c>
      <c r="AA423" s="21">
        <v>0.0</v>
      </c>
      <c r="AB423" s="5">
        <v>35.0</v>
      </c>
      <c r="AC423" s="19">
        <v>2.5</v>
      </c>
      <c r="AD423" s="19">
        <v>4.0</v>
      </c>
      <c r="AE423" s="19">
        <v>4.0</v>
      </c>
      <c r="AF423" s="19">
        <v>4.5</v>
      </c>
      <c r="AG423" s="19">
        <v>2.5</v>
      </c>
      <c r="AH423" s="19">
        <v>3.0</v>
      </c>
      <c r="AI423" s="22">
        <v>10.546875</v>
      </c>
      <c r="AJ423" s="19">
        <v>9.0</v>
      </c>
      <c r="AK423" s="19">
        <v>7.0</v>
      </c>
      <c r="AL423" s="19">
        <v>5.0</v>
      </c>
      <c r="AM423" s="19">
        <v>21.0</v>
      </c>
      <c r="AN423" s="19">
        <v>31.5</v>
      </c>
      <c r="AO423" s="19">
        <v>66.5</v>
      </c>
      <c r="AP423" s="19">
        <v>97.0</v>
      </c>
      <c r="AQ423" s="23">
        <v>415.0</v>
      </c>
      <c r="AR423" s="23">
        <v>36.0</v>
      </c>
      <c r="AS423" s="22"/>
      <c r="AT423" s="19" t="s">
        <v>2282</v>
      </c>
      <c r="AU423" s="19" t="s">
        <v>3966</v>
      </c>
      <c r="AV423" s="19" t="s">
        <v>9415</v>
      </c>
      <c r="AW423" s="19" t="s">
        <v>9416</v>
      </c>
      <c r="AX423" s="20">
        <v>38801.0</v>
      </c>
      <c r="AY423" s="19" t="s">
        <v>2421</v>
      </c>
      <c r="AZ423" s="19" t="s">
        <v>2310</v>
      </c>
      <c r="BA423" s="19" t="s">
        <v>9417</v>
      </c>
      <c r="BB423" s="19" t="s">
        <v>7998</v>
      </c>
      <c r="BC423" s="19" t="s">
        <v>9418</v>
      </c>
      <c r="BD423" s="19" t="s">
        <v>9419</v>
      </c>
      <c r="BE423" s="19"/>
      <c r="BF423" s="19"/>
      <c r="BG423" s="19" t="s">
        <v>2127</v>
      </c>
      <c r="BH423" s="19" t="s">
        <v>2128</v>
      </c>
      <c r="BI423" s="19"/>
      <c r="BJ423" s="19"/>
      <c r="BK423" s="19" t="s">
        <v>16</v>
      </c>
      <c r="BL423" s="19" t="s">
        <v>2113</v>
      </c>
      <c r="BM423" s="19" t="s">
        <v>2130</v>
      </c>
      <c r="BN423" s="19" t="s">
        <v>17</v>
      </c>
      <c r="BO423" s="19" t="s">
        <v>2132</v>
      </c>
      <c r="BP423" s="19"/>
      <c r="BQ423" s="19" t="s">
        <v>2325</v>
      </c>
      <c r="BR423" s="19" t="s">
        <v>2325</v>
      </c>
      <c r="BS423" s="19" t="s">
        <v>2243</v>
      </c>
      <c r="BT423" s="19" t="s">
        <v>59</v>
      </c>
      <c r="BU423" s="19" t="s">
        <v>9420</v>
      </c>
      <c r="BV423" s="19" t="s">
        <v>9421</v>
      </c>
      <c r="BW423" s="19"/>
      <c r="BX423" s="19"/>
      <c r="BY423" s="19"/>
      <c r="BZ423" s="19"/>
      <c r="CA423" s="19" t="s">
        <v>2113</v>
      </c>
      <c r="CB423" s="19" t="s">
        <v>2113</v>
      </c>
      <c r="CC423" s="19" t="s">
        <v>2113</v>
      </c>
      <c r="CD423" s="19" t="s">
        <v>2137</v>
      </c>
      <c r="CE423" s="19" t="s">
        <v>16</v>
      </c>
      <c r="CF423" s="19"/>
      <c r="CG423" s="19"/>
      <c r="CH423" s="19" t="s">
        <v>16</v>
      </c>
      <c r="CI423" s="21">
        <v>0.0</v>
      </c>
      <c r="CJ423" s="19" t="s">
        <v>16</v>
      </c>
      <c r="CK423" s="19"/>
      <c r="CL423" s="19"/>
      <c r="CM423" s="19" t="s">
        <v>2926</v>
      </c>
      <c r="CN423" s="19" t="s">
        <v>2431</v>
      </c>
      <c r="CO423" s="19"/>
      <c r="CP423" s="19"/>
      <c r="CQ423" s="19"/>
      <c r="CR423" s="19" t="s">
        <v>2113</v>
      </c>
      <c r="CS423" s="19" t="s">
        <v>2113</v>
      </c>
      <c r="CT423" s="19" t="s">
        <v>2113</v>
      </c>
      <c r="CU423" s="19" t="s">
        <v>2113</v>
      </c>
      <c r="CV423" s="19" t="s">
        <v>2179</v>
      </c>
      <c r="CW423" s="19"/>
      <c r="CX423" s="19"/>
      <c r="CY423" s="19" t="s">
        <v>2113</v>
      </c>
      <c r="CZ423" s="19" t="s">
        <v>2113</v>
      </c>
      <c r="DA423" s="19" t="s">
        <v>16</v>
      </c>
      <c r="DB423" s="19" t="s">
        <v>16</v>
      </c>
      <c r="DC423" s="19" t="s">
        <v>2432</v>
      </c>
      <c r="DD423" s="19" t="s">
        <v>2113</v>
      </c>
      <c r="DE423" s="19" t="s">
        <v>2113</v>
      </c>
      <c r="DF423" s="19" t="s">
        <v>2497</v>
      </c>
      <c r="DG423" s="19" t="s">
        <v>2496</v>
      </c>
      <c r="DH423" s="19" t="s">
        <v>2144</v>
      </c>
      <c r="DI423" s="24">
        <v>45517.0</v>
      </c>
      <c r="DJ423" s="19" t="s">
        <v>2325</v>
      </c>
      <c r="DK423" s="19" t="s">
        <v>2271</v>
      </c>
      <c r="DL423" s="19" t="s">
        <v>2326</v>
      </c>
      <c r="DM423" s="19"/>
      <c r="DN423" s="19">
        <v>2.0</v>
      </c>
      <c r="DO423" s="19">
        <v>2.0</v>
      </c>
      <c r="DP423" s="19"/>
      <c r="DQ423" s="19"/>
      <c r="DR423" s="19"/>
      <c r="DS423" s="19" t="s">
        <v>2185</v>
      </c>
      <c r="DT423" s="19" t="s">
        <v>2186</v>
      </c>
      <c r="DU423" s="19" t="s">
        <v>9422</v>
      </c>
      <c r="DV423" s="19"/>
      <c r="DW423" s="19" t="s">
        <v>2153</v>
      </c>
      <c r="DX423" s="19">
        <v>3.0</v>
      </c>
      <c r="DY423" s="19">
        <v>10.0</v>
      </c>
      <c r="DZ423" s="19">
        <v>0.0</v>
      </c>
      <c r="EA423" s="19">
        <v>10.0</v>
      </c>
      <c r="EB423" s="19">
        <v>0.0</v>
      </c>
      <c r="EC423" s="19">
        <v>20.0</v>
      </c>
      <c r="ED423" s="19" t="s">
        <v>2325</v>
      </c>
      <c r="EE423" s="24">
        <v>45517.0</v>
      </c>
      <c r="EF423" s="19" t="s">
        <v>2325</v>
      </c>
      <c r="EG423" s="19" t="s">
        <v>2271</v>
      </c>
      <c r="EH423" s="19" t="s">
        <v>2326</v>
      </c>
      <c r="EI423" s="22">
        <v>10.546875</v>
      </c>
      <c r="EJ423" s="19">
        <v>21.0</v>
      </c>
      <c r="EK423" s="19"/>
      <c r="EL423" s="19" t="s">
        <v>2282</v>
      </c>
      <c r="EM423" s="19" t="s">
        <v>3966</v>
      </c>
      <c r="EN423" s="19" t="s">
        <v>1252</v>
      </c>
      <c r="EO423" s="19" t="s">
        <v>2421</v>
      </c>
      <c r="EP423" s="19" t="s">
        <v>2310</v>
      </c>
      <c r="EQ423" s="19" t="s">
        <v>2431</v>
      </c>
      <c r="ER423" s="19"/>
      <c r="ES423" s="19" t="s">
        <v>1252</v>
      </c>
      <c r="ET423" s="19" t="s">
        <v>1252</v>
      </c>
      <c r="EU423" s="19" t="s">
        <v>9414</v>
      </c>
      <c r="EV423" s="19">
        <v>6660.0</v>
      </c>
      <c r="EW423" s="19" t="s">
        <v>16</v>
      </c>
      <c r="EX423" s="19">
        <v>5.0</v>
      </c>
      <c r="EY423" s="25" t="s">
        <v>1251</v>
      </c>
      <c r="EZ423" s="19" t="s">
        <v>2154</v>
      </c>
      <c r="FA423" s="5" t="s">
        <v>9423</v>
      </c>
      <c r="FB423" s="26" t="s">
        <v>2156</v>
      </c>
      <c r="FC423" s="26"/>
    </row>
    <row r="424">
      <c r="A424" s="19" t="s">
        <v>2112</v>
      </c>
      <c r="B424" s="19"/>
      <c r="C424" s="19" t="s">
        <v>2113</v>
      </c>
      <c r="D424" s="19" t="s">
        <v>1253</v>
      </c>
      <c r="E424" s="19" t="s">
        <v>9424</v>
      </c>
      <c r="F424" s="19" t="s">
        <v>1253</v>
      </c>
      <c r="G424" s="19" t="s">
        <v>9424</v>
      </c>
      <c r="H424" s="19" t="s">
        <v>1253</v>
      </c>
      <c r="I424" s="19" t="s">
        <v>1255</v>
      </c>
      <c r="J424" s="19" t="s">
        <v>9425</v>
      </c>
      <c r="K424" s="19" t="s">
        <v>9426</v>
      </c>
      <c r="L424" s="20">
        <v>45411.0</v>
      </c>
      <c r="M424" s="20">
        <v>45414.0</v>
      </c>
      <c r="N424" s="20">
        <v>45414.0</v>
      </c>
      <c r="O424" s="19" t="s">
        <v>1254</v>
      </c>
      <c r="P424" s="19">
        <v>0.0</v>
      </c>
      <c r="Q424" s="19">
        <v>19.0</v>
      </c>
      <c r="R424" s="19">
        <v>7068.0</v>
      </c>
      <c r="S424" s="20" t="s">
        <v>9427</v>
      </c>
      <c r="T424" s="20">
        <v>45461.0</v>
      </c>
      <c r="U424" s="19" t="s">
        <v>1253</v>
      </c>
      <c r="V424" s="19"/>
      <c r="W424" s="19"/>
      <c r="X424" s="21">
        <v>0.0</v>
      </c>
      <c r="Y424" s="21">
        <v>10.0</v>
      </c>
      <c r="Z424" s="21">
        <v>3.0</v>
      </c>
      <c r="AA424" s="21">
        <v>2.0</v>
      </c>
      <c r="AB424" s="5">
        <v>15.0</v>
      </c>
      <c r="AC424" s="19">
        <v>3.5</v>
      </c>
      <c r="AD424" s="19">
        <v>4.5</v>
      </c>
      <c r="AE424" s="19">
        <v>4.5</v>
      </c>
      <c r="AF424" s="19">
        <v>3.5</v>
      </c>
      <c r="AG424" s="19">
        <v>4.0</v>
      </c>
      <c r="AH424" s="19">
        <v>4.0</v>
      </c>
      <c r="AI424" s="22">
        <v>12.28125</v>
      </c>
      <c r="AJ424" s="19">
        <v>15.0</v>
      </c>
      <c r="AK424" s="19">
        <v>12.0</v>
      </c>
      <c r="AL424" s="19">
        <v>12.0</v>
      </c>
      <c r="AM424" s="19">
        <v>39.0</v>
      </c>
      <c r="AN424" s="19">
        <v>51.3</v>
      </c>
      <c r="AO424" s="19">
        <v>66.3</v>
      </c>
      <c r="AP424" s="19">
        <v>568.0</v>
      </c>
      <c r="AQ424" s="23">
        <v>416.0</v>
      </c>
      <c r="AR424" s="23">
        <v>23.0</v>
      </c>
      <c r="AS424" s="22"/>
      <c r="AT424" s="19" t="s">
        <v>2282</v>
      </c>
      <c r="AU424" s="19" t="s">
        <v>9428</v>
      </c>
      <c r="AV424" s="19" t="s">
        <v>9429</v>
      </c>
      <c r="AW424" s="19"/>
      <c r="AX424" s="20">
        <v>38393.0</v>
      </c>
      <c r="AY424" s="19" t="s">
        <v>3826</v>
      </c>
      <c r="AZ424" s="19" t="s">
        <v>2554</v>
      </c>
      <c r="BA424" s="19" t="s">
        <v>9430</v>
      </c>
      <c r="BB424" s="19" t="s">
        <v>6240</v>
      </c>
      <c r="BC424" s="19" t="s">
        <v>9431</v>
      </c>
      <c r="BD424" s="19" t="s">
        <v>9432</v>
      </c>
      <c r="BE424" s="19" t="s">
        <v>9433</v>
      </c>
      <c r="BF424" s="19">
        <v>1.1981612658E10</v>
      </c>
      <c r="BG424" s="19" t="s">
        <v>2127</v>
      </c>
      <c r="BH424" s="19" t="s">
        <v>2128</v>
      </c>
      <c r="BI424" s="19"/>
      <c r="BJ424" s="19"/>
      <c r="BK424" s="19" t="s">
        <v>16</v>
      </c>
      <c r="BL424" s="19"/>
      <c r="BM424" s="19" t="s">
        <v>5411</v>
      </c>
      <c r="BN424" s="19" t="s">
        <v>9434</v>
      </c>
      <c r="BO424" s="19" t="s">
        <v>2473</v>
      </c>
      <c r="BP424" s="19" t="s">
        <v>9435</v>
      </c>
      <c r="BQ424" s="19" t="s">
        <v>3832</v>
      </c>
      <c r="BR424" s="19" t="s">
        <v>3832</v>
      </c>
      <c r="BS424" s="19" t="s">
        <v>2134</v>
      </c>
      <c r="BT424" s="19" t="s">
        <v>268</v>
      </c>
      <c r="BU424" s="19"/>
      <c r="BV424" s="19"/>
      <c r="BW424" s="19" t="s">
        <v>2113</v>
      </c>
      <c r="BX424" s="19"/>
      <c r="BY424" s="19"/>
      <c r="BZ424" s="19"/>
      <c r="CA424" s="19"/>
      <c r="CB424" s="19"/>
      <c r="CC424" s="19"/>
      <c r="CD424" s="19" t="s">
        <v>2137</v>
      </c>
      <c r="CE424" s="19" t="s">
        <v>16</v>
      </c>
      <c r="CF424" s="19"/>
      <c r="CG424" s="19"/>
      <c r="CH424" s="19" t="s">
        <v>16</v>
      </c>
      <c r="CI424" s="21">
        <v>0.0</v>
      </c>
      <c r="CJ424" s="19" t="s">
        <v>16</v>
      </c>
      <c r="CK424" s="19"/>
      <c r="CL424" s="19"/>
      <c r="CM424" s="19" t="s">
        <v>2344</v>
      </c>
      <c r="CN424" s="19" t="s">
        <v>3835</v>
      </c>
      <c r="CO424" s="19"/>
      <c r="CP424" s="19"/>
      <c r="CQ424" s="19"/>
      <c r="CR424" s="19"/>
      <c r="CS424" s="19"/>
      <c r="CT424" s="19"/>
      <c r="CU424" s="19"/>
      <c r="CV424" s="19" t="s">
        <v>2141</v>
      </c>
      <c r="CW424" s="19" t="s">
        <v>2113</v>
      </c>
      <c r="CX424" s="19" t="s">
        <v>2113</v>
      </c>
      <c r="CY424" s="19"/>
      <c r="CZ424" s="19"/>
      <c r="DA424" s="19" t="s">
        <v>16</v>
      </c>
      <c r="DB424" s="19" t="s">
        <v>16</v>
      </c>
      <c r="DC424" s="19" t="s">
        <v>9436</v>
      </c>
      <c r="DD424" s="19" t="s">
        <v>2113</v>
      </c>
      <c r="DE424" s="19" t="s">
        <v>2113</v>
      </c>
      <c r="DF424" s="19" t="s">
        <v>9436</v>
      </c>
      <c r="DG424" s="19" t="s">
        <v>9436</v>
      </c>
      <c r="DH424" s="19" t="s">
        <v>2144</v>
      </c>
      <c r="DI424" s="24">
        <v>45518.0</v>
      </c>
      <c r="DJ424" s="19" t="s">
        <v>3257</v>
      </c>
      <c r="DK424" s="19" t="s">
        <v>2271</v>
      </c>
      <c r="DL424" s="19" t="s">
        <v>2207</v>
      </c>
      <c r="DM424" s="22" t="s">
        <v>8588</v>
      </c>
      <c r="DN424" s="19">
        <v>1.0</v>
      </c>
      <c r="DO424" s="19">
        <v>1.0</v>
      </c>
      <c r="DP424" s="19" t="s">
        <v>9437</v>
      </c>
      <c r="DQ424" s="19" t="s">
        <v>9438</v>
      </c>
      <c r="DR424" s="19" t="s">
        <v>9439</v>
      </c>
      <c r="DS424" s="19" t="s">
        <v>2185</v>
      </c>
      <c r="DT424" s="19" t="s">
        <v>2350</v>
      </c>
      <c r="DU424" s="19"/>
      <c r="DV424" s="19"/>
      <c r="DW424" s="19" t="s">
        <v>2153</v>
      </c>
      <c r="DX424" s="19">
        <v>1.0</v>
      </c>
      <c r="DY424" s="19">
        <v>10.0</v>
      </c>
      <c r="DZ424" s="19">
        <v>2.0</v>
      </c>
      <c r="EA424" s="19">
        <v>10.0</v>
      </c>
      <c r="EB424" s="19">
        <v>0.0</v>
      </c>
      <c r="EC424" s="19">
        <v>0.0</v>
      </c>
      <c r="ED424" s="19" t="s">
        <v>3257</v>
      </c>
      <c r="EE424" s="24">
        <v>45518.0</v>
      </c>
      <c r="EF424" s="19" t="s">
        <v>3257</v>
      </c>
      <c r="EG424" s="19" t="s">
        <v>2271</v>
      </c>
      <c r="EH424" s="19" t="s">
        <v>2207</v>
      </c>
      <c r="EI424" s="22">
        <v>12.28125</v>
      </c>
      <c r="EJ424" s="19">
        <v>39.0</v>
      </c>
      <c r="EK424" s="19"/>
      <c r="EL424" s="19" t="s">
        <v>2282</v>
      </c>
      <c r="EM424" s="19" t="s">
        <v>9428</v>
      </c>
      <c r="EN424" s="19" t="s">
        <v>1255</v>
      </c>
      <c r="EO424" s="19" t="s">
        <v>3826</v>
      </c>
      <c r="EP424" s="19" t="s">
        <v>2554</v>
      </c>
      <c r="EQ424" s="19" t="s">
        <v>3835</v>
      </c>
      <c r="ER424" s="19"/>
      <c r="ES424" s="19" t="s">
        <v>1255</v>
      </c>
      <c r="ET424" s="19" t="s">
        <v>1255</v>
      </c>
      <c r="EU424" s="19" t="s">
        <v>9426</v>
      </c>
      <c r="EV424" s="19">
        <v>7068.0</v>
      </c>
      <c r="EW424" s="19" t="s">
        <v>16</v>
      </c>
      <c r="EX424" s="19">
        <v>3.0</v>
      </c>
      <c r="EY424" s="25" t="s">
        <v>1254</v>
      </c>
      <c r="EZ424" s="19" t="s">
        <v>2154</v>
      </c>
      <c r="FA424" s="5" t="s">
        <v>9440</v>
      </c>
      <c r="FB424" s="26" t="s">
        <v>2156</v>
      </c>
      <c r="FC424" s="26"/>
    </row>
    <row r="425">
      <c r="A425" s="19" t="s">
        <v>2112</v>
      </c>
      <c r="B425" s="19"/>
      <c r="C425" s="19" t="s">
        <v>2113</v>
      </c>
      <c r="D425" s="19" t="s">
        <v>1256</v>
      </c>
      <c r="E425" s="19" t="s">
        <v>9441</v>
      </c>
      <c r="F425" s="19" t="s">
        <v>1256</v>
      </c>
      <c r="G425" s="19"/>
      <c r="H425" s="19" t="s">
        <v>1256</v>
      </c>
      <c r="I425" s="19" t="s">
        <v>1258</v>
      </c>
      <c r="J425" s="19" t="s">
        <v>9442</v>
      </c>
      <c r="K425" s="19" t="s">
        <v>9443</v>
      </c>
      <c r="L425" s="20">
        <v>45397.0</v>
      </c>
      <c r="M425" s="20">
        <v>45411.0</v>
      </c>
      <c r="N425" s="20">
        <v>45411.0</v>
      </c>
      <c r="O425" s="19" t="s">
        <v>1257</v>
      </c>
      <c r="P425" s="19">
        <v>0.0</v>
      </c>
      <c r="Q425" s="19">
        <v>18.0</v>
      </c>
      <c r="R425" s="19">
        <v>6885.0</v>
      </c>
      <c r="S425" s="20" t="s">
        <v>9444</v>
      </c>
      <c r="T425" s="20">
        <v>45461.0</v>
      </c>
      <c r="U425" s="19" t="s">
        <v>1256</v>
      </c>
      <c r="V425" s="19"/>
      <c r="W425" s="19"/>
      <c r="X425" s="21">
        <v>0.0</v>
      </c>
      <c r="Y425" s="21">
        <v>10.0</v>
      </c>
      <c r="Z425" s="21">
        <v>3.0</v>
      </c>
      <c r="AA425" s="21">
        <v>0.0</v>
      </c>
      <c r="AB425" s="5">
        <v>13.0</v>
      </c>
      <c r="AC425" s="19">
        <v>2.6</v>
      </c>
      <c r="AD425" s="19">
        <v>3.3</v>
      </c>
      <c r="AE425" s="19">
        <v>2.6</v>
      </c>
      <c r="AF425" s="19">
        <v>2.6</v>
      </c>
      <c r="AG425" s="19">
        <v>2.3</v>
      </c>
      <c r="AH425" s="19">
        <v>3.0</v>
      </c>
      <c r="AI425" s="22">
        <v>8.296875</v>
      </c>
      <c r="AJ425" s="19">
        <v>15.0</v>
      </c>
      <c r="AK425" s="19">
        <v>15.0</v>
      </c>
      <c r="AL425" s="19">
        <v>15.0</v>
      </c>
      <c r="AM425" s="19">
        <v>45.0</v>
      </c>
      <c r="AN425" s="19">
        <v>53.3</v>
      </c>
      <c r="AO425" s="19">
        <v>66.3</v>
      </c>
      <c r="AP425" s="19">
        <v>808.0</v>
      </c>
      <c r="AQ425" s="23">
        <v>417.0</v>
      </c>
      <c r="AR425" s="23">
        <v>36.0</v>
      </c>
      <c r="AS425" s="22"/>
      <c r="AT425" s="19" t="s">
        <v>2282</v>
      </c>
      <c r="AU425" s="19" t="s">
        <v>9445</v>
      </c>
      <c r="AV425" s="19" t="s">
        <v>9446</v>
      </c>
      <c r="AW425" s="19"/>
      <c r="AX425" s="20">
        <v>38576.0</v>
      </c>
      <c r="AY425" s="19" t="s">
        <v>9447</v>
      </c>
      <c r="AZ425" s="19" t="s">
        <v>2310</v>
      </c>
      <c r="BA425" s="19" t="s">
        <v>9448</v>
      </c>
      <c r="BB425" s="19" t="s">
        <v>9449</v>
      </c>
      <c r="BC425" s="19" t="s">
        <v>9450</v>
      </c>
      <c r="BD425" s="19" t="s">
        <v>9451</v>
      </c>
      <c r="BE425" s="19" t="s">
        <v>9442</v>
      </c>
      <c r="BF425" s="19">
        <v>1.1939333487E10</v>
      </c>
      <c r="BG425" s="19" t="s">
        <v>2127</v>
      </c>
      <c r="BH425" s="19" t="s">
        <v>4080</v>
      </c>
      <c r="BI425" s="19"/>
      <c r="BJ425" s="19"/>
      <c r="BK425" s="19" t="s">
        <v>16</v>
      </c>
      <c r="BL425" s="19" t="s">
        <v>2113</v>
      </c>
      <c r="BM425" s="19" t="s">
        <v>5411</v>
      </c>
      <c r="BN425" s="19" t="s">
        <v>2172</v>
      </c>
      <c r="BO425" s="19" t="s">
        <v>2473</v>
      </c>
      <c r="BP425" s="19" t="s">
        <v>9452</v>
      </c>
      <c r="BQ425" s="19" t="s">
        <v>2174</v>
      </c>
      <c r="BR425" s="19" t="s">
        <v>2174</v>
      </c>
      <c r="BS425" s="19" t="s">
        <v>2134</v>
      </c>
      <c r="BT425" s="19" t="s">
        <v>34</v>
      </c>
      <c r="BU425" s="19"/>
      <c r="BV425" s="19"/>
      <c r="BW425" s="19"/>
      <c r="BX425" s="19"/>
      <c r="BY425" s="19" t="s">
        <v>2113</v>
      </c>
      <c r="BZ425" s="19" t="s">
        <v>2113</v>
      </c>
      <c r="CA425" s="19" t="s">
        <v>2113</v>
      </c>
      <c r="CB425" s="19" t="s">
        <v>2113</v>
      </c>
      <c r="CC425" s="19" t="s">
        <v>2113</v>
      </c>
      <c r="CD425" s="19" t="s">
        <v>2137</v>
      </c>
      <c r="CE425" s="19" t="s">
        <v>16</v>
      </c>
      <c r="CF425" s="19"/>
      <c r="CG425" s="19"/>
      <c r="CH425" s="19" t="s">
        <v>16</v>
      </c>
      <c r="CI425" s="21">
        <v>0.0</v>
      </c>
      <c r="CJ425" s="19" t="s">
        <v>16</v>
      </c>
      <c r="CK425" s="19"/>
      <c r="CL425" s="19" t="s">
        <v>2113</v>
      </c>
      <c r="CM425" s="19" t="s">
        <v>2138</v>
      </c>
      <c r="CN425" s="19" t="s">
        <v>3041</v>
      </c>
      <c r="CO425" s="19"/>
      <c r="CP425" s="19" t="s">
        <v>2134</v>
      </c>
      <c r="CQ425" s="19" t="s">
        <v>2113</v>
      </c>
      <c r="CR425" s="19"/>
      <c r="CS425" s="19"/>
      <c r="CT425" s="19"/>
      <c r="CU425" s="19"/>
      <c r="CV425" s="19" t="s">
        <v>2141</v>
      </c>
      <c r="CW425" s="19"/>
      <c r="CX425" s="19"/>
      <c r="CY425" s="19"/>
      <c r="CZ425" s="19"/>
      <c r="DA425" s="19" t="s">
        <v>16</v>
      </c>
      <c r="DB425" s="19" t="s">
        <v>16</v>
      </c>
      <c r="DC425" s="19" t="s">
        <v>3042</v>
      </c>
      <c r="DD425" s="19" t="s">
        <v>2113</v>
      </c>
      <c r="DE425" s="19" t="s">
        <v>2113</v>
      </c>
      <c r="DF425" s="19" t="s">
        <v>2433</v>
      </c>
      <c r="DG425" s="19" t="s">
        <v>2207</v>
      </c>
      <c r="DH425" s="19" t="s">
        <v>2144</v>
      </c>
      <c r="DI425" s="24">
        <v>45525.0</v>
      </c>
      <c r="DJ425" s="19" t="s">
        <v>2174</v>
      </c>
      <c r="DK425" s="19" t="s">
        <v>2145</v>
      </c>
      <c r="DL425" s="19" t="s">
        <v>2183</v>
      </c>
      <c r="DM425" s="19" t="s">
        <v>2249</v>
      </c>
      <c r="DN425" s="19">
        <v>9.0</v>
      </c>
      <c r="DO425" s="19">
        <v>9.0</v>
      </c>
      <c r="DP425" s="19" t="s">
        <v>9453</v>
      </c>
      <c r="DQ425" s="19" t="s">
        <v>9454</v>
      </c>
      <c r="DR425" s="19" t="s">
        <v>9455</v>
      </c>
      <c r="DS425" s="19" t="s">
        <v>2151</v>
      </c>
      <c r="DT425" s="19" t="s">
        <v>2152</v>
      </c>
      <c r="DU425" s="19"/>
      <c r="DV425" s="19"/>
      <c r="DW425" s="19" t="s">
        <v>2153</v>
      </c>
      <c r="DX425" s="19">
        <v>14.0</v>
      </c>
      <c r="DY425" s="19">
        <v>10.0</v>
      </c>
      <c r="DZ425" s="19">
        <v>0.0</v>
      </c>
      <c r="EA425" s="19">
        <v>10.0</v>
      </c>
      <c r="EB425" s="19">
        <v>0.0</v>
      </c>
      <c r="EC425" s="19">
        <v>0.0</v>
      </c>
      <c r="ED425" s="19" t="s">
        <v>2174</v>
      </c>
      <c r="EE425" s="24">
        <v>45525.0</v>
      </c>
      <c r="EF425" s="19" t="s">
        <v>2174</v>
      </c>
      <c r="EG425" s="19" t="s">
        <v>2145</v>
      </c>
      <c r="EH425" s="19" t="s">
        <v>2183</v>
      </c>
      <c r="EI425" s="22">
        <v>8.296875</v>
      </c>
      <c r="EJ425" s="19">
        <v>45.0</v>
      </c>
      <c r="EK425" s="19"/>
      <c r="EL425" s="19" t="s">
        <v>2282</v>
      </c>
      <c r="EM425" s="19" t="s">
        <v>9445</v>
      </c>
      <c r="EN425" s="19" t="s">
        <v>1258</v>
      </c>
      <c r="EO425" s="19" t="s">
        <v>9447</v>
      </c>
      <c r="EP425" s="19" t="s">
        <v>2310</v>
      </c>
      <c r="EQ425" s="19" t="s">
        <v>3041</v>
      </c>
      <c r="ER425" s="19"/>
      <c r="ES425" s="19" t="s">
        <v>1258</v>
      </c>
      <c r="ET425" s="19" t="s">
        <v>1258</v>
      </c>
      <c r="EU425" s="19" t="s">
        <v>9443</v>
      </c>
      <c r="EV425" s="19">
        <v>6885.0</v>
      </c>
      <c r="EW425" s="19" t="s">
        <v>16</v>
      </c>
      <c r="EX425" s="19">
        <v>3.0</v>
      </c>
      <c r="EY425" s="25" t="s">
        <v>1257</v>
      </c>
      <c r="EZ425" s="19" t="s">
        <v>2154</v>
      </c>
      <c r="FA425" s="5" t="s">
        <v>9456</v>
      </c>
      <c r="FB425" s="26" t="s">
        <v>2156</v>
      </c>
      <c r="FC425" s="26"/>
    </row>
    <row r="426">
      <c r="A426" s="19" t="s">
        <v>2112</v>
      </c>
      <c r="B426" s="19"/>
      <c r="C426" s="19" t="s">
        <v>2113</v>
      </c>
      <c r="D426" s="19" t="s">
        <v>9457</v>
      </c>
      <c r="E426" s="19" t="s">
        <v>9458</v>
      </c>
      <c r="F426" s="19" t="s">
        <v>1259</v>
      </c>
      <c r="G426" s="19" t="s">
        <v>9459</v>
      </c>
      <c r="H426" s="19" t="s">
        <v>1259</v>
      </c>
      <c r="I426" s="19" t="s">
        <v>1261</v>
      </c>
      <c r="J426" s="19" t="s">
        <v>9460</v>
      </c>
      <c r="K426" s="19" t="s">
        <v>9461</v>
      </c>
      <c r="L426" s="20">
        <v>45441.0</v>
      </c>
      <c r="M426" s="20">
        <v>45441.0</v>
      </c>
      <c r="N426" s="20">
        <v>45441.0</v>
      </c>
      <c r="O426" s="19" t="s">
        <v>1260</v>
      </c>
      <c r="P426" s="19">
        <v>0.0</v>
      </c>
      <c r="Q426" s="19">
        <v>29.0</v>
      </c>
      <c r="R426" s="19">
        <v>10766.0</v>
      </c>
      <c r="S426" s="20" t="s">
        <v>9462</v>
      </c>
      <c r="T426" s="20">
        <v>45461.0</v>
      </c>
      <c r="U426" s="19" t="s">
        <v>1259</v>
      </c>
      <c r="V426" s="19"/>
      <c r="W426" s="19" t="s">
        <v>2760</v>
      </c>
      <c r="X426" s="21">
        <v>0.0</v>
      </c>
      <c r="Y426" s="21">
        <v>10.0</v>
      </c>
      <c r="Z426" s="21">
        <v>1.0</v>
      </c>
      <c r="AA426" s="21">
        <v>0.0</v>
      </c>
      <c r="AB426" s="5">
        <v>11.0</v>
      </c>
      <c r="AC426" s="19">
        <v>4.5</v>
      </c>
      <c r="AD426" s="19">
        <v>4.25</v>
      </c>
      <c r="AE426" s="19">
        <v>4.0</v>
      </c>
      <c r="AF426" s="19">
        <v>4.5</v>
      </c>
      <c r="AG426" s="19">
        <v>3.5</v>
      </c>
      <c r="AH426" s="19">
        <v>4.5</v>
      </c>
      <c r="AI426" s="22">
        <v>12.5859375</v>
      </c>
      <c r="AJ426" s="19">
        <v>13.8</v>
      </c>
      <c r="AK426" s="19">
        <v>15.0</v>
      </c>
      <c r="AL426" s="19">
        <v>14.0</v>
      </c>
      <c r="AM426" s="19">
        <v>42.8</v>
      </c>
      <c r="AN426" s="19">
        <v>55.4</v>
      </c>
      <c r="AO426" s="19">
        <v>66.3</v>
      </c>
      <c r="AP426" s="19">
        <v>915.0</v>
      </c>
      <c r="AQ426" s="23">
        <v>418.0</v>
      </c>
      <c r="AR426" s="23">
        <v>52.0</v>
      </c>
      <c r="AS426" s="22"/>
      <c r="AT426" s="19" t="s">
        <v>2117</v>
      </c>
      <c r="AU426" s="19" t="s">
        <v>9463</v>
      </c>
      <c r="AV426" s="19" t="s">
        <v>9464</v>
      </c>
      <c r="AW426" s="19" t="s">
        <v>2166</v>
      </c>
      <c r="AX426" s="20">
        <v>34695.0</v>
      </c>
      <c r="AY426" s="19" t="s">
        <v>7740</v>
      </c>
      <c r="AZ426" s="19" t="s">
        <v>2445</v>
      </c>
      <c r="BA426" s="19" t="s">
        <v>9465</v>
      </c>
      <c r="BB426" s="19" t="s">
        <v>2340</v>
      </c>
      <c r="BC426" s="19" t="s">
        <v>9466</v>
      </c>
      <c r="BD426" s="19" t="s">
        <v>9467</v>
      </c>
      <c r="BE426" s="19"/>
      <c r="BF426" s="19"/>
      <c r="BG426" s="19" t="s">
        <v>2127</v>
      </c>
      <c r="BH426" s="19" t="s">
        <v>2128</v>
      </c>
      <c r="BI426" s="19"/>
      <c r="BJ426" s="19" t="s">
        <v>2427</v>
      </c>
      <c r="BK426" s="19" t="s">
        <v>17</v>
      </c>
      <c r="BL426" s="19"/>
      <c r="BM426" s="19" t="s">
        <v>5411</v>
      </c>
      <c r="BN426" s="19" t="s">
        <v>17</v>
      </c>
      <c r="BO426" s="19" t="s">
        <v>3082</v>
      </c>
      <c r="BP426" s="19"/>
      <c r="BQ426" s="19" t="s">
        <v>2174</v>
      </c>
      <c r="BR426" s="19" t="s">
        <v>2174</v>
      </c>
      <c r="BS426" s="19" t="s">
        <v>2243</v>
      </c>
      <c r="BT426" s="19" t="s">
        <v>21</v>
      </c>
      <c r="BU426" s="19" t="s">
        <v>6689</v>
      </c>
      <c r="BV426" s="19"/>
      <c r="BW426" s="19" t="s">
        <v>2113</v>
      </c>
      <c r="BX426" s="19"/>
      <c r="BY426" s="19"/>
      <c r="BZ426" s="19"/>
      <c r="CA426" s="19"/>
      <c r="CB426" s="19" t="s">
        <v>2113</v>
      </c>
      <c r="CC426" s="19"/>
      <c r="CD426" s="19" t="s">
        <v>2137</v>
      </c>
      <c r="CE426" s="19" t="s">
        <v>16</v>
      </c>
      <c r="CF426" s="19"/>
      <c r="CG426" s="19"/>
      <c r="CH426" s="19" t="s">
        <v>16</v>
      </c>
      <c r="CI426" s="21">
        <v>0.0</v>
      </c>
      <c r="CJ426" s="19" t="s">
        <v>17</v>
      </c>
      <c r="CK426" s="19"/>
      <c r="CL426" s="19"/>
      <c r="CM426" s="19" t="s">
        <v>2138</v>
      </c>
      <c r="CN426" s="19" t="s">
        <v>3085</v>
      </c>
      <c r="CO426" s="19" t="s">
        <v>2177</v>
      </c>
      <c r="CP426" s="19" t="s">
        <v>2267</v>
      </c>
      <c r="CQ426" s="19"/>
      <c r="CR426" s="19" t="s">
        <v>2113</v>
      </c>
      <c r="CS426" s="19" t="s">
        <v>2113</v>
      </c>
      <c r="CT426" s="19"/>
      <c r="CU426" s="19"/>
      <c r="CV426" s="19" t="s">
        <v>2141</v>
      </c>
      <c r="CW426" s="19"/>
      <c r="CX426" s="19"/>
      <c r="CY426" s="19"/>
      <c r="CZ426" s="19"/>
      <c r="DA426" s="19" t="s">
        <v>16</v>
      </c>
      <c r="DB426" s="19" t="s">
        <v>17</v>
      </c>
      <c r="DC426" s="19" t="s">
        <v>2539</v>
      </c>
      <c r="DD426" s="19" t="s">
        <v>2113</v>
      </c>
      <c r="DE426" s="19" t="s">
        <v>2113</v>
      </c>
      <c r="DF426" s="19" t="s">
        <v>2433</v>
      </c>
      <c r="DG426" s="19" t="s">
        <v>2270</v>
      </c>
      <c r="DH426" s="19" t="s">
        <v>2144</v>
      </c>
      <c r="DI426" s="24">
        <v>45517.0</v>
      </c>
      <c r="DJ426" s="19" t="s">
        <v>2174</v>
      </c>
      <c r="DK426" s="19" t="s">
        <v>2271</v>
      </c>
      <c r="DL426" s="19" t="s">
        <v>2183</v>
      </c>
      <c r="DM426" s="19" t="s">
        <v>2515</v>
      </c>
      <c r="DN426" s="19">
        <v>2.0</v>
      </c>
      <c r="DO426" s="19">
        <v>2.0</v>
      </c>
      <c r="DP426" s="19" t="s">
        <v>9468</v>
      </c>
      <c r="DQ426" s="19" t="s">
        <v>9469</v>
      </c>
      <c r="DR426" s="19" t="s">
        <v>9470</v>
      </c>
      <c r="DS426" s="19" t="s">
        <v>2151</v>
      </c>
      <c r="DT426" s="19" t="s">
        <v>2366</v>
      </c>
      <c r="DU426" s="19"/>
      <c r="DV426" s="19"/>
      <c r="DW426" s="19" t="s">
        <v>2153</v>
      </c>
      <c r="DX426" s="19">
        <v>13.0</v>
      </c>
      <c r="DY426" s="19">
        <v>10.0</v>
      </c>
      <c r="DZ426" s="19">
        <v>0.0</v>
      </c>
      <c r="EA426" s="19">
        <v>10.0</v>
      </c>
      <c r="EB426" s="19">
        <v>0.0</v>
      </c>
      <c r="EC426" s="19">
        <v>0.0</v>
      </c>
      <c r="ED426" s="19" t="s">
        <v>2174</v>
      </c>
      <c r="EE426" s="24">
        <v>45517.0</v>
      </c>
      <c r="EF426" s="19" t="s">
        <v>2174</v>
      </c>
      <c r="EG426" s="19" t="s">
        <v>2271</v>
      </c>
      <c r="EH426" s="19" t="s">
        <v>2183</v>
      </c>
      <c r="EI426" s="22">
        <v>12.5859375</v>
      </c>
      <c r="EJ426" s="19">
        <v>42.75</v>
      </c>
      <c r="EK426" s="19" t="s">
        <v>2113</v>
      </c>
      <c r="EL426" s="19" t="s">
        <v>2117</v>
      </c>
      <c r="EM426" s="19" t="s">
        <v>9463</v>
      </c>
      <c r="EN426" s="19" t="s">
        <v>1261</v>
      </c>
      <c r="EO426" s="19" t="s">
        <v>7740</v>
      </c>
      <c r="EP426" s="19" t="s">
        <v>2445</v>
      </c>
      <c r="EQ426" s="19" t="s">
        <v>3085</v>
      </c>
      <c r="ER426" s="19" t="s">
        <v>2177</v>
      </c>
      <c r="ES426" s="19" t="s">
        <v>1261</v>
      </c>
      <c r="ET426" s="19" t="s">
        <v>1261</v>
      </c>
      <c r="EU426" s="19" t="s">
        <v>9461</v>
      </c>
      <c r="EV426" s="19">
        <v>10766.0</v>
      </c>
      <c r="EW426" s="19" t="s">
        <v>16</v>
      </c>
      <c r="EX426" s="19">
        <v>1.0</v>
      </c>
      <c r="EY426" s="25" t="s">
        <v>1260</v>
      </c>
      <c r="EZ426" s="19" t="s">
        <v>2154</v>
      </c>
      <c r="FA426" s="5" t="s">
        <v>9471</v>
      </c>
      <c r="FB426" s="26" t="s">
        <v>2156</v>
      </c>
      <c r="FC426" s="26"/>
    </row>
    <row r="427">
      <c r="A427" s="19" t="s">
        <v>2112</v>
      </c>
      <c r="B427" s="19"/>
      <c r="C427" s="19" t="s">
        <v>2113</v>
      </c>
      <c r="D427" s="19" t="s">
        <v>1262</v>
      </c>
      <c r="E427" s="19" t="s">
        <v>9472</v>
      </c>
      <c r="F427" s="19" t="s">
        <v>1262</v>
      </c>
      <c r="G427" s="19" t="s">
        <v>9473</v>
      </c>
      <c r="H427" s="19" t="s">
        <v>1262</v>
      </c>
      <c r="I427" s="19" t="s">
        <v>1264</v>
      </c>
      <c r="J427" s="19" t="s">
        <v>9474</v>
      </c>
      <c r="K427" s="19" t="s">
        <v>9475</v>
      </c>
      <c r="L427" s="20">
        <v>45407.0</v>
      </c>
      <c r="M427" s="20">
        <v>45411.0</v>
      </c>
      <c r="N427" s="20">
        <v>45411.0</v>
      </c>
      <c r="O427" s="19" t="s">
        <v>1263</v>
      </c>
      <c r="P427" s="19">
        <v>0.0</v>
      </c>
      <c r="Q427" s="19">
        <v>21.0</v>
      </c>
      <c r="R427" s="19">
        <v>8019.0</v>
      </c>
      <c r="S427" s="20" t="s">
        <v>6700</v>
      </c>
      <c r="T427" s="20">
        <v>45461.0</v>
      </c>
      <c r="U427" s="19" t="s">
        <v>9476</v>
      </c>
      <c r="V427" s="19"/>
      <c r="W427" s="19"/>
      <c r="X427" s="21">
        <v>0.0</v>
      </c>
      <c r="Y427" s="21">
        <v>10.0</v>
      </c>
      <c r="Z427" s="21">
        <v>3.0</v>
      </c>
      <c r="AA427" s="21">
        <v>0.0</v>
      </c>
      <c r="AB427" s="5">
        <v>13.0</v>
      </c>
      <c r="AC427" s="19">
        <v>2.6666666666666665</v>
      </c>
      <c r="AD427" s="19">
        <v>3.0</v>
      </c>
      <c r="AE427" s="19">
        <v>3.3333333333333335</v>
      </c>
      <c r="AF427" s="19">
        <v>2.6666666666666665</v>
      </c>
      <c r="AG427" s="19">
        <v>2.6666666666666665</v>
      </c>
      <c r="AH427" s="19">
        <v>4.0</v>
      </c>
      <c r="AI427" s="22">
        <v>9.218749999999998</v>
      </c>
      <c r="AJ427" s="19">
        <v>15.0</v>
      </c>
      <c r="AK427" s="19">
        <v>15.0</v>
      </c>
      <c r="AL427" s="19">
        <v>14.0</v>
      </c>
      <c r="AM427" s="19">
        <v>44.0</v>
      </c>
      <c r="AN427" s="19">
        <v>53.2</v>
      </c>
      <c r="AO427" s="19">
        <v>66.2</v>
      </c>
      <c r="AP427" s="19">
        <v>742.0</v>
      </c>
      <c r="AQ427" s="23">
        <v>419.0</v>
      </c>
      <c r="AR427" s="23">
        <v>24.0</v>
      </c>
      <c r="AS427" s="22"/>
      <c r="AT427" s="19" t="s">
        <v>2163</v>
      </c>
      <c r="AU427" s="19" t="s">
        <v>9477</v>
      </c>
      <c r="AV427" s="19" t="s">
        <v>9478</v>
      </c>
      <c r="AW427" s="19" t="s">
        <v>2166</v>
      </c>
      <c r="AX427" s="20">
        <v>37442.0</v>
      </c>
      <c r="AY427" s="19" t="s">
        <v>3826</v>
      </c>
      <c r="AZ427" s="19" t="s">
        <v>2122</v>
      </c>
      <c r="BA427" s="19" t="s">
        <v>9479</v>
      </c>
      <c r="BB427" s="19" t="s">
        <v>6605</v>
      </c>
      <c r="BC427" s="19" t="s">
        <v>9480</v>
      </c>
      <c r="BD427" s="19" t="s">
        <v>9481</v>
      </c>
      <c r="BE427" s="19" t="s">
        <v>9474</v>
      </c>
      <c r="BF427" s="19">
        <v>1.1958810124E10</v>
      </c>
      <c r="BG427" s="19" t="s">
        <v>2127</v>
      </c>
      <c r="BH427" s="19" t="s">
        <v>2128</v>
      </c>
      <c r="BI427" s="19"/>
      <c r="BJ427" s="19"/>
      <c r="BK427" s="19" t="s">
        <v>16</v>
      </c>
      <c r="BL427" s="19"/>
      <c r="BM427" s="19" t="s">
        <v>5411</v>
      </c>
      <c r="BN427" s="19" t="s">
        <v>2172</v>
      </c>
      <c r="BO427" s="19" t="s">
        <v>2473</v>
      </c>
      <c r="BP427" s="19"/>
      <c r="BQ427" s="19" t="s">
        <v>3832</v>
      </c>
      <c r="BR427" s="19" t="s">
        <v>3832</v>
      </c>
      <c r="BS427" s="19" t="s">
        <v>2134</v>
      </c>
      <c r="BT427" s="19" t="s">
        <v>268</v>
      </c>
      <c r="BU427" s="19" t="s">
        <v>2177</v>
      </c>
      <c r="BV427" s="19"/>
      <c r="BW427" s="19"/>
      <c r="BX427" s="19"/>
      <c r="BY427" s="19" t="s">
        <v>2113</v>
      </c>
      <c r="BZ427" s="19" t="s">
        <v>2113</v>
      </c>
      <c r="CA427" s="19" t="s">
        <v>2113</v>
      </c>
      <c r="CB427" s="19" t="s">
        <v>2113</v>
      </c>
      <c r="CC427" s="19"/>
      <c r="CD427" s="19" t="s">
        <v>2137</v>
      </c>
      <c r="CE427" s="19" t="s">
        <v>16</v>
      </c>
      <c r="CF427" s="19"/>
      <c r="CG427" s="19"/>
      <c r="CH427" s="19" t="s">
        <v>16</v>
      </c>
      <c r="CI427" s="21">
        <v>0.0</v>
      </c>
      <c r="CJ427" s="19" t="s">
        <v>17</v>
      </c>
      <c r="CK427" s="19"/>
      <c r="CL427" s="19" t="s">
        <v>2113</v>
      </c>
      <c r="CM427" s="19" t="s">
        <v>2138</v>
      </c>
      <c r="CN427" s="19" t="s">
        <v>3835</v>
      </c>
      <c r="CO427" s="19"/>
      <c r="CP427" s="19" t="s">
        <v>2134</v>
      </c>
      <c r="CQ427" s="19"/>
      <c r="CR427" s="19"/>
      <c r="CS427" s="19"/>
      <c r="CT427" s="19"/>
      <c r="CU427" s="19"/>
      <c r="CV427" s="19" t="s">
        <v>2179</v>
      </c>
      <c r="CW427" s="19" t="s">
        <v>2113</v>
      </c>
      <c r="CX427" s="19" t="s">
        <v>2113</v>
      </c>
      <c r="CY427" s="19" t="s">
        <v>2113</v>
      </c>
      <c r="CZ427" s="19" t="s">
        <v>2113</v>
      </c>
      <c r="DA427" s="19" t="s">
        <v>16</v>
      </c>
      <c r="DB427" s="19" t="s">
        <v>17</v>
      </c>
      <c r="DC427" s="19" t="s">
        <v>4083</v>
      </c>
      <c r="DD427" s="19" t="s">
        <v>2113</v>
      </c>
      <c r="DE427" s="19" t="s">
        <v>2113</v>
      </c>
      <c r="DF427" s="19" t="s">
        <v>3836</v>
      </c>
      <c r="DG427" s="19" t="s">
        <v>2602</v>
      </c>
      <c r="DH427" s="19" t="s">
        <v>2144</v>
      </c>
      <c r="DI427" s="24">
        <v>45525.0</v>
      </c>
      <c r="DJ427" s="19" t="s">
        <v>3257</v>
      </c>
      <c r="DK427" s="19" t="s">
        <v>2271</v>
      </c>
      <c r="DL427" s="19" t="s">
        <v>2207</v>
      </c>
      <c r="DM427" s="22" t="s">
        <v>9043</v>
      </c>
      <c r="DN427" s="19">
        <v>4.0</v>
      </c>
      <c r="DO427" s="19">
        <v>4.0</v>
      </c>
      <c r="DP427" s="19"/>
      <c r="DQ427" s="19"/>
      <c r="DR427" s="19"/>
      <c r="DS427" s="19" t="s">
        <v>2185</v>
      </c>
      <c r="DT427" s="19" t="s">
        <v>2209</v>
      </c>
      <c r="DU427" s="19" t="s">
        <v>9482</v>
      </c>
      <c r="DV427" s="19"/>
      <c r="DW427" s="19" t="s">
        <v>3306</v>
      </c>
      <c r="DX427" s="19">
        <v>4.0</v>
      </c>
      <c r="DY427" s="19">
        <v>10.0</v>
      </c>
      <c r="DZ427" s="19">
        <v>0.0</v>
      </c>
      <c r="EA427" s="19">
        <v>10.0</v>
      </c>
      <c r="EB427" s="19">
        <v>0.0</v>
      </c>
      <c r="EC427" s="19">
        <v>0.0</v>
      </c>
      <c r="ED427" s="19" t="s">
        <v>3257</v>
      </c>
      <c r="EE427" s="24">
        <v>45525.0</v>
      </c>
      <c r="EF427" s="19" t="s">
        <v>3257</v>
      </c>
      <c r="EG427" s="19" t="s">
        <v>2271</v>
      </c>
      <c r="EH427" s="19" t="s">
        <v>2207</v>
      </c>
      <c r="EI427" s="22">
        <v>9.218749999999998</v>
      </c>
      <c r="EJ427" s="19">
        <v>44.0</v>
      </c>
      <c r="EK427" s="19" t="s">
        <v>2113</v>
      </c>
      <c r="EL427" s="19" t="s">
        <v>2163</v>
      </c>
      <c r="EM427" s="19" t="s">
        <v>9477</v>
      </c>
      <c r="EN427" s="19" t="s">
        <v>1264</v>
      </c>
      <c r="EO427" s="19" t="s">
        <v>3826</v>
      </c>
      <c r="EP427" s="19" t="s">
        <v>2122</v>
      </c>
      <c r="EQ427" s="19" t="s">
        <v>3835</v>
      </c>
      <c r="ER427" s="19"/>
      <c r="ES427" s="19" t="s">
        <v>1264</v>
      </c>
      <c r="ET427" s="19" t="s">
        <v>1264</v>
      </c>
      <c r="EU427" s="19" t="s">
        <v>9475</v>
      </c>
      <c r="EV427" s="19">
        <v>8019.0</v>
      </c>
      <c r="EW427" s="19" t="s">
        <v>16</v>
      </c>
      <c r="EX427" s="19">
        <v>3.0</v>
      </c>
      <c r="EY427" s="25" t="s">
        <v>1263</v>
      </c>
      <c r="EZ427" s="19" t="s">
        <v>2154</v>
      </c>
      <c r="FA427" s="5" t="s">
        <v>9483</v>
      </c>
      <c r="FB427" s="26" t="s">
        <v>2156</v>
      </c>
      <c r="FC427" s="26"/>
    </row>
    <row r="428">
      <c r="A428" s="19" t="s">
        <v>2156</v>
      </c>
      <c r="B428" s="19"/>
      <c r="C428" s="19" t="s">
        <v>2113</v>
      </c>
      <c r="D428" s="19" t="s">
        <v>1265</v>
      </c>
      <c r="E428" s="19" t="s">
        <v>9484</v>
      </c>
      <c r="F428" s="19" t="s">
        <v>1265</v>
      </c>
      <c r="G428" s="19"/>
      <c r="H428" s="19" t="s">
        <v>1265</v>
      </c>
      <c r="I428" s="19" t="s">
        <v>1267</v>
      </c>
      <c r="J428" s="19" t="s">
        <v>9485</v>
      </c>
      <c r="K428" s="19" t="s">
        <v>9486</v>
      </c>
      <c r="L428" s="20">
        <v>45443.0</v>
      </c>
      <c r="M428" s="20">
        <v>45446.0</v>
      </c>
      <c r="N428" s="20">
        <v>45446.0</v>
      </c>
      <c r="O428" s="19" t="s">
        <v>1266</v>
      </c>
      <c r="P428" s="19">
        <v>0.0</v>
      </c>
      <c r="Q428" s="19">
        <v>18.0</v>
      </c>
      <c r="R428" s="19">
        <v>6931.0</v>
      </c>
      <c r="S428" s="20" t="s">
        <v>9487</v>
      </c>
      <c r="T428" s="20">
        <v>45461.0</v>
      </c>
      <c r="U428" s="19" t="s">
        <v>1265</v>
      </c>
      <c r="V428" s="19"/>
      <c r="W428" s="19"/>
      <c r="X428" s="21">
        <v>0.0</v>
      </c>
      <c r="Y428" s="21">
        <v>10.0</v>
      </c>
      <c r="Z428" s="21">
        <v>1.0</v>
      </c>
      <c r="AA428" s="21">
        <v>0.0</v>
      </c>
      <c r="AB428" s="5">
        <v>11.0</v>
      </c>
      <c r="AC428" s="19">
        <v>5.0</v>
      </c>
      <c r="AD428" s="19">
        <v>4.5</v>
      </c>
      <c r="AE428" s="19">
        <v>4.0</v>
      </c>
      <c r="AF428" s="19">
        <v>5.0</v>
      </c>
      <c r="AG428" s="19">
        <v>3.5</v>
      </c>
      <c r="AH428" s="19">
        <v>4.5</v>
      </c>
      <c r="AI428" s="22">
        <v>13.171875</v>
      </c>
      <c r="AJ428" s="19">
        <v>14.0</v>
      </c>
      <c r="AK428" s="19">
        <v>14.0</v>
      </c>
      <c r="AL428" s="19">
        <v>14.0</v>
      </c>
      <c r="AM428" s="19">
        <v>42.0</v>
      </c>
      <c r="AN428" s="19">
        <v>55.2</v>
      </c>
      <c r="AO428" s="19">
        <v>66.2</v>
      </c>
      <c r="AP428" s="19">
        <v>943.0</v>
      </c>
      <c r="AQ428" s="23">
        <v>420.0</v>
      </c>
      <c r="AR428" s="23">
        <v>34.0</v>
      </c>
      <c r="AS428" s="22"/>
      <c r="AT428" s="19" t="s">
        <v>2282</v>
      </c>
      <c r="AU428" s="19" t="s">
        <v>3209</v>
      </c>
      <c r="AV428" s="19" t="s">
        <v>9488</v>
      </c>
      <c r="AW428" s="19" t="s">
        <v>9489</v>
      </c>
      <c r="AX428" s="20">
        <v>38530.0</v>
      </c>
      <c r="AY428" s="19" t="s">
        <v>3632</v>
      </c>
      <c r="AZ428" s="19" t="s">
        <v>2310</v>
      </c>
      <c r="BA428" s="19" t="s">
        <v>9490</v>
      </c>
      <c r="BB428" s="19" t="s">
        <v>5922</v>
      </c>
      <c r="BC428" s="19" t="s">
        <v>9491</v>
      </c>
      <c r="BD428" s="19" t="s">
        <v>9492</v>
      </c>
      <c r="BE428" s="19"/>
      <c r="BF428" s="19"/>
      <c r="BG428" s="19" t="s">
        <v>2127</v>
      </c>
      <c r="BH428" s="19" t="s">
        <v>2128</v>
      </c>
      <c r="BI428" s="19"/>
      <c r="BJ428" s="19" t="s">
        <v>2128</v>
      </c>
      <c r="BK428" s="19" t="s">
        <v>17</v>
      </c>
      <c r="BL428" s="19"/>
      <c r="BM428" s="19" t="s">
        <v>5411</v>
      </c>
      <c r="BN428" s="19" t="s">
        <v>5844</v>
      </c>
      <c r="BO428" s="19" t="s">
        <v>3082</v>
      </c>
      <c r="BP428" s="19"/>
      <c r="BQ428" s="19" t="s">
        <v>2325</v>
      </c>
      <c r="BR428" s="19" t="s">
        <v>2325</v>
      </c>
      <c r="BS428" s="19" t="s">
        <v>2134</v>
      </c>
      <c r="BT428" s="19" t="s">
        <v>118</v>
      </c>
      <c r="BU428" s="19" t="s">
        <v>9493</v>
      </c>
      <c r="BV428" s="19"/>
      <c r="BW428" s="19"/>
      <c r="BX428" s="19" t="s">
        <v>2113</v>
      </c>
      <c r="BY428" s="19"/>
      <c r="BZ428" s="19"/>
      <c r="CA428" s="19"/>
      <c r="CB428" s="19" t="s">
        <v>2113</v>
      </c>
      <c r="CC428" s="19"/>
      <c r="CD428" s="19" t="s">
        <v>2137</v>
      </c>
      <c r="CE428" s="19" t="s">
        <v>16</v>
      </c>
      <c r="CF428" s="19" t="s">
        <v>2113</v>
      </c>
      <c r="CG428" s="19"/>
      <c r="CH428" s="19" t="s">
        <v>16</v>
      </c>
      <c r="CI428" s="21">
        <v>0.0</v>
      </c>
      <c r="CJ428" s="19" t="s">
        <v>16</v>
      </c>
      <c r="CK428" s="19"/>
      <c r="CL428" s="19"/>
      <c r="CM428" s="19" t="s">
        <v>2926</v>
      </c>
      <c r="CN428" s="19" t="s">
        <v>3503</v>
      </c>
      <c r="CO428" s="19"/>
      <c r="CP428" s="19" t="s">
        <v>2140</v>
      </c>
      <c r="CQ428" s="19"/>
      <c r="CR428" s="19"/>
      <c r="CS428" s="19"/>
      <c r="CT428" s="19"/>
      <c r="CU428" s="19"/>
      <c r="CV428" s="19" t="s">
        <v>2141</v>
      </c>
      <c r="CW428" s="19" t="s">
        <v>2113</v>
      </c>
      <c r="CX428" s="19" t="s">
        <v>2113</v>
      </c>
      <c r="CY428" s="19" t="s">
        <v>2113</v>
      </c>
      <c r="CZ428" s="19" t="s">
        <v>2113</v>
      </c>
      <c r="DA428" s="19" t="s">
        <v>16</v>
      </c>
      <c r="DB428" s="19" t="s">
        <v>16</v>
      </c>
      <c r="DC428" s="19" t="s">
        <v>3221</v>
      </c>
      <c r="DD428" s="19"/>
      <c r="DE428" s="19"/>
      <c r="DF428" s="19" t="s">
        <v>4209</v>
      </c>
      <c r="DG428" s="19" t="s">
        <v>4903</v>
      </c>
      <c r="DH428" s="19" t="s">
        <v>2144</v>
      </c>
      <c r="DI428" s="24">
        <v>45517.0</v>
      </c>
      <c r="DJ428" s="19" t="s">
        <v>2325</v>
      </c>
      <c r="DK428" s="19" t="s">
        <v>2271</v>
      </c>
      <c r="DL428" s="19" t="s">
        <v>2326</v>
      </c>
      <c r="DM428" s="19"/>
      <c r="DN428" s="19">
        <v>2.0</v>
      </c>
      <c r="DO428" s="19">
        <v>2.0</v>
      </c>
      <c r="DP428" s="19" t="s">
        <v>9494</v>
      </c>
      <c r="DQ428" s="19" t="s">
        <v>9495</v>
      </c>
      <c r="DR428" s="19" t="s">
        <v>9496</v>
      </c>
      <c r="DS428" s="19" t="s">
        <v>2185</v>
      </c>
      <c r="DT428" s="19" t="s">
        <v>2229</v>
      </c>
      <c r="DU428" s="19"/>
      <c r="DV428" s="19"/>
      <c r="DW428" s="19" t="s">
        <v>2153</v>
      </c>
      <c r="DX428" s="19">
        <v>3.0</v>
      </c>
      <c r="DY428" s="19">
        <v>10.0</v>
      </c>
      <c r="DZ428" s="19">
        <v>0.0</v>
      </c>
      <c r="EA428" s="19">
        <v>10.0</v>
      </c>
      <c r="EB428" s="19">
        <v>0.0</v>
      </c>
      <c r="EC428" s="19">
        <v>0.0</v>
      </c>
      <c r="ED428" s="19" t="s">
        <v>2325</v>
      </c>
      <c r="EE428" s="24">
        <v>45517.0</v>
      </c>
      <c r="EF428" s="19" t="s">
        <v>2325</v>
      </c>
      <c r="EG428" s="19" t="s">
        <v>2271</v>
      </c>
      <c r="EH428" s="19" t="s">
        <v>2326</v>
      </c>
      <c r="EI428" s="22">
        <v>13.171875</v>
      </c>
      <c r="EJ428" s="19">
        <v>42.0</v>
      </c>
      <c r="EK428" s="19"/>
      <c r="EL428" s="19" t="s">
        <v>2282</v>
      </c>
      <c r="EM428" s="19" t="s">
        <v>3209</v>
      </c>
      <c r="EN428" s="19" t="s">
        <v>1267</v>
      </c>
      <c r="EO428" s="19" t="s">
        <v>3632</v>
      </c>
      <c r="EP428" s="19" t="s">
        <v>2310</v>
      </c>
      <c r="EQ428" s="19" t="s">
        <v>3503</v>
      </c>
      <c r="ER428" s="19"/>
      <c r="ES428" s="19" t="s">
        <v>1267</v>
      </c>
      <c r="ET428" s="19" t="s">
        <v>1267</v>
      </c>
      <c r="EU428" s="19" t="s">
        <v>9486</v>
      </c>
      <c r="EV428" s="19">
        <v>6931.0</v>
      </c>
      <c r="EW428" s="19" t="s">
        <v>16</v>
      </c>
      <c r="EX428" s="19">
        <v>1.0</v>
      </c>
      <c r="EY428" s="25" t="s">
        <v>1266</v>
      </c>
      <c r="EZ428" s="19" t="s">
        <v>2154</v>
      </c>
      <c r="FA428" s="5" t="s">
        <v>9497</v>
      </c>
      <c r="FB428" s="26" t="s">
        <v>2156</v>
      </c>
      <c r="FC428" s="26"/>
    </row>
    <row r="429">
      <c r="A429" s="19" t="s">
        <v>2112</v>
      </c>
      <c r="B429" s="19"/>
      <c r="C429" s="19" t="s">
        <v>2113</v>
      </c>
      <c r="D429" s="19" t="s">
        <v>1268</v>
      </c>
      <c r="E429" s="19" t="s">
        <v>9498</v>
      </c>
      <c r="F429" s="19" t="s">
        <v>1268</v>
      </c>
      <c r="G429" s="19" t="s">
        <v>9499</v>
      </c>
      <c r="H429" s="19" t="s">
        <v>1268</v>
      </c>
      <c r="I429" s="19" t="s">
        <v>1163</v>
      </c>
      <c r="J429" s="19" t="s">
        <v>9500</v>
      </c>
      <c r="K429" s="19" t="s">
        <v>9501</v>
      </c>
      <c r="L429" s="20">
        <v>45460.0</v>
      </c>
      <c r="M429" s="20">
        <v>45462.0</v>
      </c>
      <c r="N429" s="20">
        <v>45462.0</v>
      </c>
      <c r="O429" s="19" t="s">
        <v>1269</v>
      </c>
      <c r="P429" s="19">
        <v>0.0</v>
      </c>
      <c r="Q429" s="19">
        <v>21.0</v>
      </c>
      <c r="R429" s="19">
        <v>8035.0</v>
      </c>
      <c r="S429" s="20" t="s">
        <v>9502</v>
      </c>
      <c r="T429" s="20">
        <v>45461.0</v>
      </c>
      <c r="U429" s="19" t="s">
        <v>9503</v>
      </c>
      <c r="V429" s="19"/>
      <c r="W429" s="19"/>
      <c r="X429" s="21">
        <v>0.0</v>
      </c>
      <c r="Y429" s="21">
        <v>10.0</v>
      </c>
      <c r="Z429" s="21">
        <v>5.0</v>
      </c>
      <c r="AA429" s="21">
        <v>0.0</v>
      </c>
      <c r="AB429" s="5">
        <v>15.0</v>
      </c>
      <c r="AC429" s="19">
        <v>4.0</v>
      </c>
      <c r="AD429" s="19">
        <v>4.0</v>
      </c>
      <c r="AE429" s="19">
        <v>4.0</v>
      </c>
      <c r="AF429" s="19">
        <v>3.0</v>
      </c>
      <c r="AG429" s="19">
        <v>4.0</v>
      </c>
      <c r="AH429" s="19">
        <v>4.0</v>
      </c>
      <c r="AI429" s="22">
        <v>11.625</v>
      </c>
      <c r="AJ429" s="19">
        <v>13.5</v>
      </c>
      <c r="AK429" s="19">
        <v>14.0</v>
      </c>
      <c r="AL429" s="19">
        <v>12.0</v>
      </c>
      <c r="AM429" s="19">
        <v>39.5</v>
      </c>
      <c r="AN429" s="19">
        <v>51.1</v>
      </c>
      <c r="AO429" s="19">
        <v>66.1</v>
      </c>
      <c r="AP429" s="19">
        <v>470.0</v>
      </c>
      <c r="AQ429" s="23">
        <v>421.0</v>
      </c>
      <c r="AR429" s="23">
        <v>55.0</v>
      </c>
      <c r="AS429" s="22"/>
      <c r="AT429" s="19" t="s">
        <v>2163</v>
      </c>
      <c r="AU429" s="19" t="s">
        <v>7371</v>
      </c>
      <c r="AV429" s="19" t="s">
        <v>7372</v>
      </c>
      <c r="AW429" s="19" t="s">
        <v>9504</v>
      </c>
      <c r="AX429" s="20">
        <v>37426.0</v>
      </c>
      <c r="AY429" s="19" t="s">
        <v>2286</v>
      </c>
      <c r="AZ429" s="19" t="s">
        <v>2445</v>
      </c>
      <c r="BA429" s="19" t="s">
        <v>7374</v>
      </c>
      <c r="BB429" s="19" t="s">
        <v>7375</v>
      </c>
      <c r="BC429" s="19" t="s">
        <v>9505</v>
      </c>
      <c r="BD429" s="19" t="s">
        <v>9506</v>
      </c>
      <c r="BE429" s="19" t="s">
        <v>9500</v>
      </c>
      <c r="BF429" s="19">
        <v>1.9987682086E10</v>
      </c>
      <c r="BG429" s="19" t="s">
        <v>2127</v>
      </c>
      <c r="BH429" s="19" t="s">
        <v>4080</v>
      </c>
      <c r="BI429" s="19"/>
      <c r="BJ429" s="19"/>
      <c r="BK429" s="19"/>
      <c r="BL429" s="19"/>
      <c r="BM429" s="19" t="s">
        <v>5411</v>
      </c>
      <c r="BN429" s="19" t="s">
        <v>17</v>
      </c>
      <c r="BO429" s="19" t="s">
        <v>2132</v>
      </c>
      <c r="BP429" s="19"/>
      <c r="BQ429" s="19" t="s">
        <v>2133</v>
      </c>
      <c r="BR429" s="19" t="s">
        <v>2133</v>
      </c>
      <c r="BS429" s="19" t="s">
        <v>2134</v>
      </c>
      <c r="BT429" s="19" t="s">
        <v>38</v>
      </c>
      <c r="BU429" s="19" t="s">
        <v>5284</v>
      </c>
      <c r="BV429" s="19"/>
      <c r="BW429" s="19" t="s">
        <v>2113</v>
      </c>
      <c r="BX429" s="19"/>
      <c r="BY429" s="19"/>
      <c r="BZ429" s="19"/>
      <c r="CA429" s="19"/>
      <c r="CB429" s="19"/>
      <c r="CC429" s="19"/>
      <c r="CD429" s="19" t="s">
        <v>2137</v>
      </c>
      <c r="CE429" s="19" t="s">
        <v>16</v>
      </c>
      <c r="CF429" s="19"/>
      <c r="CG429" s="19"/>
      <c r="CH429" s="19" t="s">
        <v>16</v>
      </c>
      <c r="CI429" s="21">
        <v>0.0</v>
      </c>
      <c r="CJ429" s="19" t="s">
        <v>17</v>
      </c>
      <c r="CK429" s="19"/>
      <c r="CL429" s="19"/>
      <c r="CM429" s="19"/>
      <c r="CN429" s="19" t="s">
        <v>2294</v>
      </c>
      <c r="CO429" s="19"/>
      <c r="CP429" s="19"/>
      <c r="CQ429" s="19"/>
      <c r="CR429" s="19"/>
      <c r="CS429" s="19"/>
      <c r="CT429" s="19" t="s">
        <v>2113</v>
      </c>
      <c r="CU429" s="19" t="s">
        <v>2113</v>
      </c>
      <c r="CV429" s="19" t="s">
        <v>2179</v>
      </c>
      <c r="CW429" s="19"/>
      <c r="CX429" s="19"/>
      <c r="CY429" s="19"/>
      <c r="CZ429" s="19"/>
      <c r="DA429" s="19" t="s">
        <v>16</v>
      </c>
      <c r="DB429" s="19" t="s">
        <v>17</v>
      </c>
      <c r="DC429" s="19" t="s">
        <v>2671</v>
      </c>
      <c r="DD429" s="19" t="s">
        <v>2113</v>
      </c>
      <c r="DE429" s="19" t="s">
        <v>2113</v>
      </c>
      <c r="DF429" s="19" t="s">
        <v>4466</v>
      </c>
      <c r="DG429" s="19" t="s">
        <v>3255</v>
      </c>
      <c r="DH429" s="19" t="s">
        <v>2144</v>
      </c>
      <c r="DI429" s="24">
        <v>45526.0</v>
      </c>
      <c r="DJ429" s="19" t="s">
        <v>2133</v>
      </c>
      <c r="DK429" s="19" t="s">
        <v>2271</v>
      </c>
      <c r="DL429" s="19" t="s">
        <v>2146</v>
      </c>
      <c r="DM429" s="19" t="s">
        <v>2805</v>
      </c>
      <c r="DN429" s="19">
        <v>12.0</v>
      </c>
      <c r="DO429" s="19">
        <v>12.0</v>
      </c>
      <c r="DP429" s="19"/>
      <c r="DQ429" s="19"/>
      <c r="DR429" s="19"/>
      <c r="DS429" s="19" t="s">
        <v>2185</v>
      </c>
      <c r="DT429" s="19" t="s">
        <v>2152</v>
      </c>
      <c r="DU429" s="19" t="s">
        <v>9507</v>
      </c>
      <c r="DV429" s="19"/>
      <c r="DW429" s="19" t="s">
        <v>2479</v>
      </c>
      <c r="DX429" s="19">
        <v>6.0</v>
      </c>
      <c r="DY429" s="19">
        <v>10.0</v>
      </c>
      <c r="DZ429" s="19">
        <v>0.0</v>
      </c>
      <c r="EA429" s="19">
        <v>10.0</v>
      </c>
      <c r="EB429" s="19">
        <v>0.0</v>
      </c>
      <c r="EC429" s="19">
        <v>0.0</v>
      </c>
      <c r="ED429" s="19" t="s">
        <v>2133</v>
      </c>
      <c r="EE429" s="24">
        <v>45526.0</v>
      </c>
      <c r="EF429" s="19" t="s">
        <v>2133</v>
      </c>
      <c r="EG429" s="19" t="s">
        <v>2271</v>
      </c>
      <c r="EH429" s="19" t="s">
        <v>2146</v>
      </c>
      <c r="EI429" s="22">
        <v>11.625</v>
      </c>
      <c r="EJ429" s="19">
        <v>39.5</v>
      </c>
      <c r="EK429" s="19" t="s">
        <v>2113</v>
      </c>
      <c r="EL429" s="19" t="s">
        <v>2163</v>
      </c>
      <c r="EM429" s="19" t="s">
        <v>7371</v>
      </c>
      <c r="EN429" s="19" t="s">
        <v>1163</v>
      </c>
      <c r="EO429" s="19" t="s">
        <v>2286</v>
      </c>
      <c r="EP429" s="19" t="s">
        <v>2445</v>
      </c>
      <c r="EQ429" s="19" t="s">
        <v>2294</v>
      </c>
      <c r="ER429" s="19"/>
      <c r="ES429" s="19" t="s">
        <v>1163</v>
      </c>
      <c r="ET429" s="19" t="s">
        <v>1163</v>
      </c>
      <c r="EU429" s="19" t="s">
        <v>9501</v>
      </c>
      <c r="EV429" s="19">
        <v>8035.0</v>
      </c>
      <c r="EW429" s="19" t="s">
        <v>16</v>
      </c>
      <c r="EX429" s="19">
        <v>5.0</v>
      </c>
      <c r="EY429" s="25" t="s">
        <v>1269</v>
      </c>
      <c r="EZ429" s="19" t="s">
        <v>2154</v>
      </c>
      <c r="FA429" s="5" t="s">
        <v>9508</v>
      </c>
      <c r="FB429" s="26" t="s">
        <v>2156</v>
      </c>
      <c r="FC429" s="26"/>
    </row>
    <row r="430">
      <c r="A430" s="19" t="s">
        <v>2112</v>
      </c>
      <c r="B430" s="19"/>
      <c r="C430" s="19" t="s">
        <v>2113</v>
      </c>
      <c r="D430" s="19" t="s">
        <v>1270</v>
      </c>
      <c r="E430" s="19" t="s">
        <v>9509</v>
      </c>
      <c r="F430" s="19" t="s">
        <v>1270</v>
      </c>
      <c r="G430" s="19"/>
      <c r="H430" s="19" t="s">
        <v>1270</v>
      </c>
      <c r="I430" s="19" t="s">
        <v>1272</v>
      </c>
      <c r="J430" s="19" t="s">
        <v>9510</v>
      </c>
      <c r="K430" s="19" t="s">
        <v>9511</v>
      </c>
      <c r="L430" s="20">
        <v>45460.0</v>
      </c>
      <c r="M430" s="20">
        <v>45462.0</v>
      </c>
      <c r="N430" s="20">
        <v>45462.0</v>
      </c>
      <c r="O430" s="19" t="s">
        <v>1271</v>
      </c>
      <c r="P430" s="19">
        <v>0.0</v>
      </c>
      <c r="Q430" s="19">
        <v>27.0</v>
      </c>
      <c r="R430" s="19">
        <v>10134.0</v>
      </c>
      <c r="S430" s="20" t="s">
        <v>9512</v>
      </c>
      <c r="T430" s="20">
        <v>45461.0</v>
      </c>
      <c r="U430" s="19" t="s">
        <v>1270</v>
      </c>
      <c r="V430" s="19"/>
      <c r="W430" s="19"/>
      <c r="X430" s="21">
        <v>0.0</v>
      </c>
      <c r="Y430" s="21">
        <v>10.0</v>
      </c>
      <c r="Z430" s="21">
        <v>2.0</v>
      </c>
      <c r="AA430" s="21">
        <v>0.0</v>
      </c>
      <c r="AB430" s="5">
        <v>12.0</v>
      </c>
      <c r="AC430" s="19">
        <v>5.0</v>
      </c>
      <c r="AD430" s="19">
        <v>5.0</v>
      </c>
      <c r="AE430" s="19">
        <v>4.0</v>
      </c>
      <c r="AF430" s="19">
        <v>4.0</v>
      </c>
      <c r="AG430" s="19">
        <v>4.0</v>
      </c>
      <c r="AH430" s="19">
        <v>4.0</v>
      </c>
      <c r="AI430" s="22">
        <v>13.125</v>
      </c>
      <c r="AJ430" s="19">
        <v>13.0</v>
      </c>
      <c r="AK430" s="19">
        <v>13.0</v>
      </c>
      <c r="AL430" s="19">
        <v>15.0</v>
      </c>
      <c r="AM430" s="19">
        <v>41.0</v>
      </c>
      <c r="AN430" s="19">
        <v>54.1</v>
      </c>
      <c r="AO430" s="19">
        <v>66.1</v>
      </c>
      <c r="AP430" s="19">
        <v>839.0</v>
      </c>
      <c r="AQ430" s="23">
        <v>422.0</v>
      </c>
      <c r="AR430" s="23">
        <v>45.0</v>
      </c>
      <c r="AS430" s="22"/>
      <c r="AT430" s="19" t="s">
        <v>2117</v>
      </c>
      <c r="AU430" s="19" t="s">
        <v>9513</v>
      </c>
      <c r="AV430" s="19" t="s">
        <v>9514</v>
      </c>
      <c r="AW430" s="19" t="s">
        <v>9515</v>
      </c>
      <c r="AX430" s="20">
        <v>35327.0</v>
      </c>
      <c r="AY430" s="19" t="s">
        <v>3773</v>
      </c>
      <c r="AZ430" s="19" t="s">
        <v>2122</v>
      </c>
      <c r="BA430" s="19" t="s">
        <v>9516</v>
      </c>
      <c r="BB430" s="19" t="s">
        <v>9517</v>
      </c>
      <c r="BC430" s="19" t="s">
        <v>9518</v>
      </c>
      <c r="BD430" s="19" t="s">
        <v>9519</v>
      </c>
      <c r="BE430" s="19" t="s">
        <v>9510</v>
      </c>
      <c r="BF430" s="19">
        <v>1.1982337259E10</v>
      </c>
      <c r="BG430" s="19" t="s">
        <v>2127</v>
      </c>
      <c r="BH430" s="19" t="s">
        <v>2128</v>
      </c>
      <c r="BI430" s="19"/>
      <c r="BJ430" s="19"/>
      <c r="BK430" s="19" t="s">
        <v>16</v>
      </c>
      <c r="BL430" s="19"/>
      <c r="BM430" s="19" t="s">
        <v>5411</v>
      </c>
      <c r="BN430" s="19" t="s">
        <v>17</v>
      </c>
      <c r="BO430" s="19" t="s">
        <v>3199</v>
      </c>
      <c r="BP430" s="19" t="s">
        <v>9520</v>
      </c>
      <c r="BQ430" s="19" t="s">
        <v>2133</v>
      </c>
      <c r="BR430" s="19" t="s">
        <v>2133</v>
      </c>
      <c r="BS430" s="19" t="s">
        <v>2243</v>
      </c>
      <c r="BT430" s="19" t="s">
        <v>15</v>
      </c>
      <c r="BU430" s="19" t="s">
        <v>9521</v>
      </c>
      <c r="BV430" s="19"/>
      <c r="BW430" s="19" t="s">
        <v>2113</v>
      </c>
      <c r="BX430" s="19"/>
      <c r="BY430" s="19"/>
      <c r="BZ430" s="19"/>
      <c r="CA430" s="19"/>
      <c r="CB430" s="19" t="s">
        <v>2113</v>
      </c>
      <c r="CC430" s="19"/>
      <c r="CD430" s="19" t="s">
        <v>2137</v>
      </c>
      <c r="CE430" s="19" t="s">
        <v>16</v>
      </c>
      <c r="CF430" s="19"/>
      <c r="CG430" s="19"/>
      <c r="CH430" s="19" t="s">
        <v>16</v>
      </c>
      <c r="CI430" s="21">
        <v>0.0</v>
      </c>
      <c r="CJ430" s="19" t="s">
        <v>17</v>
      </c>
      <c r="CK430" s="19"/>
      <c r="CL430" s="19"/>
      <c r="CM430" s="19"/>
      <c r="CN430" s="19" t="s">
        <v>3202</v>
      </c>
      <c r="CO430" s="19"/>
      <c r="CP430" s="19"/>
      <c r="CQ430" s="19"/>
      <c r="CR430" s="19"/>
      <c r="CS430" s="19"/>
      <c r="CT430" s="19"/>
      <c r="CU430" s="19"/>
      <c r="CV430" s="19" t="s">
        <v>2141</v>
      </c>
      <c r="CW430" s="19"/>
      <c r="CX430" s="19"/>
      <c r="CY430" s="19"/>
      <c r="CZ430" s="19"/>
      <c r="DA430" s="19" t="s">
        <v>16</v>
      </c>
      <c r="DB430" s="19" t="s">
        <v>17</v>
      </c>
      <c r="DC430" s="19" t="s">
        <v>3337</v>
      </c>
      <c r="DD430" s="19" t="s">
        <v>2113</v>
      </c>
      <c r="DE430" s="19" t="s">
        <v>2113</v>
      </c>
      <c r="DF430" s="19" t="s">
        <v>2406</v>
      </c>
      <c r="DG430" s="19" t="s">
        <v>2146</v>
      </c>
      <c r="DH430" s="19" t="s">
        <v>2144</v>
      </c>
      <c r="DI430" s="24">
        <v>45526.0</v>
      </c>
      <c r="DJ430" s="19" t="s">
        <v>2133</v>
      </c>
      <c r="DK430" s="19" t="s">
        <v>2271</v>
      </c>
      <c r="DL430" s="19" t="s">
        <v>2146</v>
      </c>
      <c r="DM430" s="19" t="s">
        <v>2805</v>
      </c>
      <c r="DN430" s="19">
        <v>12.0</v>
      </c>
      <c r="DO430" s="19">
        <v>12.0</v>
      </c>
      <c r="DP430" s="19" t="s">
        <v>9522</v>
      </c>
      <c r="DQ430" s="19" t="s">
        <v>9523</v>
      </c>
      <c r="DR430" s="19" t="s">
        <v>9524</v>
      </c>
      <c r="DS430" s="19" t="s">
        <v>2365</v>
      </c>
      <c r="DT430" s="19" t="s">
        <v>2152</v>
      </c>
      <c r="DU430" s="19"/>
      <c r="DV430" s="19"/>
      <c r="DW430" s="19" t="s">
        <v>2153</v>
      </c>
      <c r="DX430" s="19">
        <v>8.0</v>
      </c>
      <c r="DY430" s="19">
        <v>10.0</v>
      </c>
      <c r="DZ430" s="19">
        <v>0.0</v>
      </c>
      <c r="EA430" s="19">
        <v>10.0</v>
      </c>
      <c r="EB430" s="19">
        <v>0.0</v>
      </c>
      <c r="EC430" s="19">
        <v>0.0</v>
      </c>
      <c r="ED430" s="19" t="s">
        <v>2133</v>
      </c>
      <c r="EE430" s="24">
        <v>45526.0</v>
      </c>
      <c r="EF430" s="19" t="s">
        <v>2133</v>
      </c>
      <c r="EG430" s="19" t="s">
        <v>2271</v>
      </c>
      <c r="EH430" s="19" t="s">
        <v>2146</v>
      </c>
      <c r="EI430" s="22">
        <v>13.125</v>
      </c>
      <c r="EJ430" s="19">
        <v>41.0</v>
      </c>
      <c r="EK430" s="19" t="s">
        <v>2113</v>
      </c>
      <c r="EL430" s="19" t="s">
        <v>2117</v>
      </c>
      <c r="EM430" s="19" t="s">
        <v>9513</v>
      </c>
      <c r="EN430" s="19" t="s">
        <v>1272</v>
      </c>
      <c r="EO430" s="19" t="s">
        <v>3773</v>
      </c>
      <c r="EP430" s="19" t="s">
        <v>2122</v>
      </c>
      <c r="EQ430" s="19" t="s">
        <v>3202</v>
      </c>
      <c r="ER430" s="19"/>
      <c r="ES430" s="19" t="s">
        <v>1272</v>
      </c>
      <c r="ET430" s="19" t="s">
        <v>1272</v>
      </c>
      <c r="EU430" s="19" t="s">
        <v>9511</v>
      </c>
      <c r="EV430" s="19">
        <v>10134.0</v>
      </c>
      <c r="EW430" s="19" t="s">
        <v>16</v>
      </c>
      <c r="EX430" s="19">
        <v>2.0</v>
      </c>
      <c r="EY430" s="25" t="s">
        <v>1271</v>
      </c>
      <c r="EZ430" s="19" t="s">
        <v>2154</v>
      </c>
      <c r="FA430" s="5" t="s">
        <v>9525</v>
      </c>
      <c r="FB430" s="26" t="s">
        <v>2156</v>
      </c>
      <c r="FC430" s="26"/>
    </row>
    <row r="431">
      <c r="A431" s="19" t="s">
        <v>2112</v>
      </c>
      <c r="B431" s="19"/>
      <c r="C431" s="19" t="s">
        <v>2113</v>
      </c>
      <c r="D431" s="19" t="s">
        <v>1273</v>
      </c>
      <c r="E431" s="19" t="s">
        <v>9526</v>
      </c>
      <c r="F431" s="19" t="s">
        <v>1273</v>
      </c>
      <c r="G431" s="19"/>
      <c r="H431" s="19" t="s">
        <v>1273</v>
      </c>
      <c r="I431" s="19" t="s">
        <v>1275</v>
      </c>
      <c r="J431" s="19" t="s">
        <v>9527</v>
      </c>
      <c r="K431" s="19" t="s">
        <v>9528</v>
      </c>
      <c r="L431" s="20">
        <v>45396.0</v>
      </c>
      <c r="M431" s="20">
        <v>45411.0</v>
      </c>
      <c r="N431" s="20">
        <v>45411.0</v>
      </c>
      <c r="O431" s="19" t="s">
        <v>1274</v>
      </c>
      <c r="P431" s="19">
        <v>0.0</v>
      </c>
      <c r="Q431" s="19">
        <v>21.0</v>
      </c>
      <c r="R431" s="19">
        <v>7892.0</v>
      </c>
      <c r="S431" s="20" t="s">
        <v>9529</v>
      </c>
      <c r="T431" s="20">
        <v>45461.0</v>
      </c>
      <c r="U431" s="19" t="s">
        <v>1273</v>
      </c>
      <c r="V431" s="19"/>
      <c r="W431" s="19"/>
      <c r="X431" s="21">
        <v>0.0</v>
      </c>
      <c r="Y431" s="21">
        <v>3.0</v>
      </c>
      <c r="Z431" s="21">
        <v>4.0</v>
      </c>
      <c r="AA431" s="21">
        <v>0.0</v>
      </c>
      <c r="AB431" s="5">
        <v>7.0</v>
      </c>
      <c r="AC431" s="19">
        <v>4.6</v>
      </c>
      <c r="AD431" s="19">
        <v>4.8</v>
      </c>
      <c r="AE431" s="19">
        <v>5.0</v>
      </c>
      <c r="AF431" s="19">
        <v>4.3</v>
      </c>
      <c r="AG431" s="19">
        <v>4.4</v>
      </c>
      <c r="AH431" s="19">
        <v>4.8</v>
      </c>
      <c r="AI431" s="22">
        <v>14.118749999999999</v>
      </c>
      <c r="AJ431" s="19">
        <v>15.0</v>
      </c>
      <c r="AK431" s="19">
        <v>15.0</v>
      </c>
      <c r="AL431" s="19">
        <v>15.0</v>
      </c>
      <c r="AM431" s="19">
        <v>45.0</v>
      </c>
      <c r="AN431" s="19">
        <v>59.1</v>
      </c>
      <c r="AO431" s="19">
        <v>66.1</v>
      </c>
      <c r="AP431" s="19">
        <v>1009.0</v>
      </c>
      <c r="AQ431" s="23">
        <v>423.0</v>
      </c>
      <c r="AR431" s="23">
        <v>35.0</v>
      </c>
      <c r="AS431" s="22"/>
      <c r="AT431" s="19" t="s">
        <v>2163</v>
      </c>
      <c r="AU431" s="19" t="s">
        <v>5293</v>
      </c>
      <c r="AV431" s="19" t="s">
        <v>9530</v>
      </c>
      <c r="AW431" s="19"/>
      <c r="AX431" s="20">
        <v>37569.0</v>
      </c>
      <c r="AY431" s="19" t="s">
        <v>3232</v>
      </c>
      <c r="AZ431" s="19" t="s">
        <v>2122</v>
      </c>
      <c r="BA431" s="19" t="s">
        <v>9531</v>
      </c>
      <c r="BB431" s="19" t="s">
        <v>9532</v>
      </c>
      <c r="BC431" s="19" t="s">
        <v>9533</v>
      </c>
      <c r="BD431" s="19" t="s">
        <v>9534</v>
      </c>
      <c r="BE431" s="19" t="s">
        <v>9535</v>
      </c>
      <c r="BF431" s="19">
        <v>1.196089695E9</v>
      </c>
      <c r="BG431" s="19" t="s">
        <v>4005</v>
      </c>
      <c r="BH431" s="19" t="s">
        <v>2128</v>
      </c>
      <c r="BI431" s="19"/>
      <c r="BJ431" s="19" t="s">
        <v>2129</v>
      </c>
      <c r="BK431" s="19" t="s">
        <v>17</v>
      </c>
      <c r="BL431" s="19" t="s">
        <v>2113</v>
      </c>
      <c r="BM431" s="19" t="s">
        <v>5411</v>
      </c>
      <c r="BN431" s="19" t="s">
        <v>3888</v>
      </c>
      <c r="BO431" s="19" t="s">
        <v>2317</v>
      </c>
      <c r="BP431" s="19"/>
      <c r="BQ431" s="19" t="s">
        <v>2325</v>
      </c>
      <c r="BR431" s="19" t="s">
        <v>2325</v>
      </c>
      <c r="BS431" s="19" t="s">
        <v>2243</v>
      </c>
      <c r="BT431" s="19" t="s">
        <v>118</v>
      </c>
      <c r="BU431" s="19" t="s">
        <v>9536</v>
      </c>
      <c r="BV431" s="19"/>
      <c r="BW431" s="19"/>
      <c r="BX431" s="19"/>
      <c r="BY431" s="19"/>
      <c r="BZ431" s="19"/>
      <c r="CA431" s="19"/>
      <c r="CB431" s="19" t="s">
        <v>2113</v>
      </c>
      <c r="CC431" s="19"/>
      <c r="CD431" s="19" t="s">
        <v>2137</v>
      </c>
      <c r="CE431" s="19" t="s">
        <v>16</v>
      </c>
      <c r="CF431" s="19"/>
      <c r="CG431" s="19"/>
      <c r="CH431" s="19" t="s">
        <v>16</v>
      </c>
      <c r="CI431" s="21">
        <v>0.0</v>
      </c>
      <c r="CJ431" s="19" t="s">
        <v>17</v>
      </c>
      <c r="CK431" s="19"/>
      <c r="CL431" s="19"/>
      <c r="CM431" s="19" t="s">
        <v>3102</v>
      </c>
      <c r="CN431" s="19" t="s">
        <v>2868</v>
      </c>
      <c r="CO431" s="19"/>
      <c r="CP431" s="19" t="s">
        <v>2246</v>
      </c>
      <c r="CQ431" s="19"/>
      <c r="CR431" s="19" t="s">
        <v>2113</v>
      </c>
      <c r="CS431" s="19" t="s">
        <v>2113</v>
      </c>
      <c r="CT431" s="19" t="s">
        <v>2113</v>
      </c>
      <c r="CU431" s="19" t="s">
        <v>2113</v>
      </c>
      <c r="CV431" s="19" t="s">
        <v>2141</v>
      </c>
      <c r="CW431" s="19" t="s">
        <v>2113</v>
      </c>
      <c r="CX431" s="19" t="s">
        <v>2113</v>
      </c>
      <c r="CY431" s="19" t="s">
        <v>2113</v>
      </c>
      <c r="CZ431" s="19" t="s">
        <v>2113</v>
      </c>
      <c r="DA431" s="19" t="s">
        <v>16</v>
      </c>
      <c r="DB431" s="19" t="s">
        <v>17</v>
      </c>
      <c r="DC431" s="19" t="s">
        <v>2432</v>
      </c>
      <c r="DD431" s="19" t="s">
        <v>2113</v>
      </c>
      <c r="DE431" s="19" t="s">
        <v>2113</v>
      </c>
      <c r="DF431" s="19" t="s">
        <v>2869</v>
      </c>
      <c r="DG431" s="19" t="s">
        <v>2207</v>
      </c>
      <c r="DH431" s="19" t="s">
        <v>2144</v>
      </c>
      <c r="DI431" s="24">
        <v>45525.0</v>
      </c>
      <c r="DJ431" s="19" t="s">
        <v>2325</v>
      </c>
      <c r="DK431" s="19" t="s">
        <v>2145</v>
      </c>
      <c r="DL431" s="19" t="s">
        <v>2326</v>
      </c>
      <c r="DM431" s="19"/>
      <c r="DN431" s="19">
        <v>9.0</v>
      </c>
      <c r="DO431" s="19">
        <v>9.0</v>
      </c>
      <c r="DP431" s="19" t="s">
        <v>9537</v>
      </c>
      <c r="DQ431" s="19" t="s">
        <v>9538</v>
      </c>
      <c r="DR431" s="19" t="s">
        <v>9539</v>
      </c>
      <c r="DS431" s="19" t="s">
        <v>2365</v>
      </c>
      <c r="DT431" s="19" t="s">
        <v>2366</v>
      </c>
      <c r="DU431" s="19"/>
      <c r="DV431" s="19"/>
      <c r="DW431" s="19" t="s">
        <v>2153</v>
      </c>
      <c r="DX431" s="19">
        <v>8.0</v>
      </c>
      <c r="DY431" s="19">
        <v>3.0</v>
      </c>
      <c r="DZ431" s="19">
        <v>0.0</v>
      </c>
      <c r="EA431" s="19">
        <v>3.0</v>
      </c>
      <c r="EB431" s="19">
        <v>0.0</v>
      </c>
      <c r="EC431" s="19">
        <v>0.0</v>
      </c>
      <c r="ED431" s="19" t="s">
        <v>2325</v>
      </c>
      <c r="EE431" s="24">
        <v>45525.0</v>
      </c>
      <c r="EF431" s="19" t="s">
        <v>2325</v>
      </c>
      <c r="EG431" s="19" t="s">
        <v>2145</v>
      </c>
      <c r="EH431" s="19" t="s">
        <v>2326</v>
      </c>
      <c r="EI431" s="22">
        <v>14.118749999999999</v>
      </c>
      <c r="EJ431" s="19">
        <v>45.0</v>
      </c>
      <c r="EK431" s="19" t="s">
        <v>2113</v>
      </c>
      <c r="EL431" s="19" t="s">
        <v>2163</v>
      </c>
      <c r="EM431" s="19" t="s">
        <v>5293</v>
      </c>
      <c r="EN431" s="19" t="s">
        <v>1275</v>
      </c>
      <c r="EO431" s="19" t="s">
        <v>3232</v>
      </c>
      <c r="EP431" s="19" t="s">
        <v>2122</v>
      </c>
      <c r="EQ431" s="19" t="s">
        <v>2868</v>
      </c>
      <c r="ER431" s="19"/>
      <c r="ES431" s="19" t="s">
        <v>1275</v>
      </c>
      <c r="ET431" s="19" t="s">
        <v>1275</v>
      </c>
      <c r="EU431" s="19" t="s">
        <v>9528</v>
      </c>
      <c r="EV431" s="19">
        <v>7892.0</v>
      </c>
      <c r="EW431" s="19" t="s">
        <v>16</v>
      </c>
      <c r="EX431" s="19">
        <v>4.0</v>
      </c>
      <c r="EY431" s="25" t="s">
        <v>1274</v>
      </c>
      <c r="EZ431" s="19" t="s">
        <v>2154</v>
      </c>
      <c r="FA431" s="5" t="s">
        <v>9540</v>
      </c>
      <c r="FB431" s="26" t="s">
        <v>2156</v>
      </c>
      <c r="FC431" s="26"/>
    </row>
    <row r="432">
      <c r="A432" s="19" t="s">
        <v>2112</v>
      </c>
      <c r="B432" s="19"/>
      <c r="C432" s="19" t="s">
        <v>2113</v>
      </c>
      <c r="D432" s="19" t="s">
        <v>1276</v>
      </c>
      <c r="E432" s="19" t="s">
        <v>9541</v>
      </c>
      <c r="F432" s="19" t="s">
        <v>1276</v>
      </c>
      <c r="G432" s="19" t="s">
        <v>9541</v>
      </c>
      <c r="H432" s="19" t="s">
        <v>1276</v>
      </c>
      <c r="I432" s="19" t="s">
        <v>1278</v>
      </c>
      <c r="J432" s="19" t="s">
        <v>9542</v>
      </c>
      <c r="K432" s="19" t="s">
        <v>9543</v>
      </c>
      <c r="L432" s="20">
        <v>45445.0</v>
      </c>
      <c r="M432" s="20">
        <v>45446.0</v>
      </c>
      <c r="N432" s="20">
        <v>45446.0</v>
      </c>
      <c r="O432" s="19" t="s">
        <v>1277</v>
      </c>
      <c r="P432" s="19">
        <v>0.0</v>
      </c>
      <c r="Q432" s="19">
        <v>25.0</v>
      </c>
      <c r="R432" s="19">
        <v>9213.0</v>
      </c>
      <c r="S432" s="20" t="s">
        <v>4215</v>
      </c>
      <c r="T432" s="20">
        <v>45461.0</v>
      </c>
      <c r="U432" s="19" t="s">
        <v>1276</v>
      </c>
      <c r="V432" s="19"/>
      <c r="W432" s="19"/>
      <c r="X432" s="21">
        <v>0.0</v>
      </c>
      <c r="Y432" s="21">
        <v>10.0</v>
      </c>
      <c r="Z432" s="21">
        <v>3.0</v>
      </c>
      <c r="AA432" s="21">
        <v>0.0</v>
      </c>
      <c r="AB432" s="5">
        <v>13.0</v>
      </c>
      <c r="AC432" s="19">
        <v>4.5</v>
      </c>
      <c r="AD432" s="19">
        <v>4.0</v>
      </c>
      <c r="AE432" s="19">
        <v>4.5</v>
      </c>
      <c r="AF432" s="19">
        <v>3.0</v>
      </c>
      <c r="AG432" s="19">
        <v>4.0</v>
      </c>
      <c r="AH432" s="19">
        <v>3.5</v>
      </c>
      <c r="AI432" s="22">
        <v>12.046875</v>
      </c>
      <c r="AJ432" s="19">
        <v>15.0</v>
      </c>
      <c r="AK432" s="19">
        <v>14.3</v>
      </c>
      <c r="AL432" s="19">
        <v>11.7</v>
      </c>
      <c r="AM432" s="19">
        <v>41.0</v>
      </c>
      <c r="AN432" s="19">
        <v>53.0</v>
      </c>
      <c r="AO432" s="19">
        <v>66.0</v>
      </c>
      <c r="AP432" s="19">
        <v>699.0</v>
      </c>
      <c r="AQ432" s="23">
        <v>424.0</v>
      </c>
      <c r="AR432" s="23">
        <v>25.0</v>
      </c>
      <c r="AS432" s="22"/>
      <c r="AT432" s="19" t="s">
        <v>2117</v>
      </c>
      <c r="AU432" s="19" t="s">
        <v>5137</v>
      </c>
      <c r="AV432" s="19" t="s">
        <v>9544</v>
      </c>
      <c r="AW432" s="19"/>
      <c r="AX432" s="20">
        <v>36248.0</v>
      </c>
      <c r="AY432" s="19" t="s">
        <v>3826</v>
      </c>
      <c r="AZ432" s="19" t="s">
        <v>2445</v>
      </c>
      <c r="BA432" s="19" t="s">
        <v>9545</v>
      </c>
      <c r="BB432" s="19" t="s">
        <v>2621</v>
      </c>
      <c r="BC432" s="19" t="s">
        <v>9546</v>
      </c>
      <c r="BD432" s="19" t="s">
        <v>9547</v>
      </c>
      <c r="BE432" s="19" t="s">
        <v>9542</v>
      </c>
      <c r="BF432" s="19">
        <v>1.5996808001E10</v>
      </c>
      <c r="BG432" s="19" t="s">
        <v>2127</v>
      </c>
      <c r="BH432" s="19" t="s">
        <v>2128</v>
      </c>
      <c r="BI432" s="19"/>
      <c r="BJ432" s="19"/>
      <c r="BK432" s="19" t="s">
        <v>16</v>
      </c>
      <c r="BL432" s="19"/>
      <c r="BM432" s="19" t="s">
        <v>5411</v>
      </c>
      <c r="BN432" s="19" t="s">
        <v>17</v>
      </c>
      <c r="BO432" s="19" t="s">
        <v>2473</v>
      </c>
      <c r="BP432" s="19"/>
      <c r="BQ432" s="19" t="s">
        <v>3832</v>
      </c>
      <c r="BR432" s="19" t="s">
        <v>3832</v>
      </c>
      <c r="BS432" s="19" t="s">
        <v>2243</v>
      </c>
      <c r="BT432" s="19" t="s">
        <v>268</v>
      </c>
      <c r="BU432" s="19" t="s">
        <v>9548</v>
      </c>
      <c r="BV432" s="19"/>
      <c r="BW432" s="19"/>
      <c r="BX432" s="19"/>
      <c r="BY432" s="19"/>
      <c r="BZ432" s="19"/>
      <c r="CA432" s="19"/>
      <c r="CB432" s="19" t="s">
        <v>2113</v>
      </c>
      <c r="CC432" s="19"/>
      <c r="CD432" s="19" t="s">
        <v>2137</v>
      </c>
      <c r="CE432" s="19" t="s">
        <v>16</v>
      </c>
      <c r="CF432" s="19"/>
      <c r="CG432" s="19"/>
      <c r="CH432" s="19" t="s">
        <v>16</v>
      </c>
      <c r="CI432" s="21">
        <v>0.0</v>
      </c>
      <c r="CJ432" s="19" t="s">
        <v>16</v>
      </c>
      <c r="CK432" s="19" t="s">
        <v>2113</v>
      </c>
      <c r="CL432" s="19"/>
      <c r="CM432" s="19" t="s">
        <v>2138</v>
      </c>
      <c r="CN432" s="19" t="s">
        <v>3835</v>
      </c>
      <c r="CO432" s="19"/>
      <c r="CP432" s="19"/>
      <c r="CQ432" s="19"/>
      <c r="CR432" s="19" t="s">
        <v>2113</v>
      </c>
      <c r="CS432" s="19" t="s">
        <v>2113</v>
      </c>
      <c r="CT432" s="19"/>
      <c r="CU432" s="19"/>
      <c r="CV432" s="19" t="s">
        <v>2141</v>
      </c>
      <c r="CW432" s="19"/>
      <c r="CX432" s="19"/>
      <c r="CY432" s="19"/>
      <c r="CZ432" s="19"/>
      <c r="DA432" s="19" t="s">
        <v>16</v>
      </c>
      <c r="DB432" s="19" t="s">
        <v>16</v>
      </c>
      <c r="DC432" s="19" t="s">
        <v>3836</v>
      </c>
      <c r="DD432" s="19" t="s">
        <v>2113</v>
      </c>
      <c r="DE432" s="19" t="s">
        <v>2113</v>
      </c>
      <c r="DF432" s="19" t="s">
        <v>2248</v>
      </c>
      <c r="DG432" s="19" t="s">
        <v>4083</v>
      </c>
      <c r="DH432" s="19" t="s">
        <v>2144</v>
      </c>
      <c r="DI432" s="24">
        <v>45519.0</v>
      </c>
      <c r="DJ432" s="19" t="s">
        <v>3257</v>
      </c>
      <c r="DK432" s="19" t="s">
        <v>2271</v>
      </c>
      <c r="DL432" s="19" t="s">
        <v>2207</v>
      </c>
      <c r="DM432" s="22" t="s">
        <v>5338</v>
      </c>
      <c r="DN432" s="19">
        <v>3.0</v>
      </c>
      <c r="DO432" s="19">
        <v>3.0</v>
      </c>
      <c r="DP432" s="19" t="s">
        <v>9549</v>
      </c>
      <c r="DQ432" s="19" t="s">
        <v>9550</v>
      </c>
      <c r="DR432" s="19" t="s">
        <v>9551</v>
      </c>
      <c r="DS432" s="19" t="s">
        <v>2185</v>
      </c>
      <c r="DT432" s="19" t="s">
        <v>2209</v>
      </c>
      <c r="DU432" s="19"/>
      <c r="DV432" s="19"/>
      <c r="DW432" s="19" t="s">
        <v>3306</v>
      </c>
      <c r="DX432" s="19">
        <v>4.0</v>
      </c>
      <c r="DY432" s="19">
        <v>10.0</v>
      </c>
      <c r="DZ432" s="19">
        <v>0.0</v>
      </c>
      <c r="EA432" s="19">
        <v>10.0</v>
      </c>
      <c r="EB432" s="19">
        <v>0.0</v>
      </c>
      <c r="EC432" s="19">
        <v>0.0</v>
      </c>
      <c r="ED432" s="19" t="s">
        <v>3257</v>
      </c>
      <c r="EE432" s="24">
        <v>45519.0</v>
      </c>
      <c r="EF432" s="19" t="s">
        <v>3257</v>
      </c>
      <c r="EG432" s="19" t="s">
        <v>2271</v>
      </c>
      <c r="EH432" s="19" t="s">
        <v>2207</v>
      </c>
      <c r="EI432" s="22">
        <v>12.046875</v>
      </c>
      <c r="EJ432" s="19">
        <v>41.0</v>
      </c>
      <c r="EK432" s="19"/>
      <c r="EL432" s="19" t="s">
        <v>2117</v>
      </c>
      <c r="EM432" s="19" t="s">
        <v>5137</v>
      </c>
      <c r="EN432" s="19" t="s">
        <v>1278</v>
      </c>
      <c r="EO432" s="19" t="s">
        <v>3826</v>
      </c>
      <c r="EP432" s="19" t="s">
        <v>2445</v>
      </c>
      <c r="EQ432" s="19" t="s">
        <v>3835</v>
      </c>
      <c r="ER432" s="19"/>
      <c r="ES432" s="19" t="s">
        <v>1278</v>
      </c>
      <c r="ET432" s="19" t="s">
        <v>1278</v>
      </c>
      <c r="EU432" s="19" t="s">
        <v>9543</v>
      </c>
      <c r="EV432" s="19">
        <v>9213.0</v>
      </c>
      <c r="EW432" s="19" t="s">
        <v>16</v>
      </c>
      <c r="EX432" s="19">
        <v>3.0</v>
      </c>
      <c r="EY432" s="25" t="s">
        <v>1277</v>
      </c>
      <c r="EZ432" s="19" t="s">
        <v>2154</v>
      </c>
      <c r="FA432" s="5" t="s">
        <v>9552</v>
      </c>
      <c r="FB432" s="26" t="s">
        <v>2156</v>
      </c>
      <c r="FC432" s="26"/>
    </row>
    <row r="433">
      <c r="A433" s="19" t="s">
        <v>2112</v>
      </c>
      <c r="B433" s="19"/>
      <c r="C433" s="19" t="s">
        <v>2113</v>
      </c>
      <c r="D433" s="19" t="s">
        <v>1279</v>
      </c>
      <c r="E433" s="19" t="s">
        <v>1279</v>
      </c>
      <c r="F433" s="19" t="s">
        <v>1279</v>
      </c>
      <c r="G433" s="19"/>
      <c r="H433" s="19" t="s">
        <v>1279</v>
      </c>
      <c r="I433" s="19" t="s">
        <v>1281</v>
      </c>
      <c r="J433" s="19" t="s">
        <v>9553</v>
      </c>
      <c r="K433" s="19" t="s">
        <v>9554</v>
      </c>
      <c r="L433" s="20">
        <v>45444.0</v>
      </c>
      <c r="M433" s="20">
        <v>45446.0</v>
      </c>
      <c r="N433" s="20">
        <v>45446.0</v>
      </c>
      <c r="O433" s="19" t="s">
        <v>1280</v>
      </c>
      <c r="P433" s="19">
        <v>0.0</v>
      </c>
      <c r="Q433" s="19">
        <v>18.0</v>
      </c>
      <c r="R433" s="19">
        <v>6718.0</v>
      </c>
      <c r="S433" s="20" t="s">
        <v>9555</v>
      </c>
      <c r="T433" s="20">
        <v>45461.0</v>
      </c>
      <c r="U433" s="19" t="s">
        <v>1279</v>
      </c>
      <c r="V433" s="19"/>
      <c r="W433" s="19"/>
      <c r="X433" s="21">
        <v>0.0</v>
      </c>
      <c r="Y433" s="21">
        <v>10.0</v>
      </c>
      <c r="Z433" s="21">
        <v>1.0</v>
      </c>
      <c r="AA433" s="21">
        <v>0.0</v>
      </c>
      <c r="AB433" s="5">
        <v>11.0</v>
      </c>
      <c r="AC433" s="19">
        <v>4.0</v>
      </c>
      <c r="AD433" s="19">
        <v>3.6</v>
      </c>
      <c r="AE433" s="19">
        <v>4.6</v>
      </c>
      <c r="AF433" s="19">
        <v>4.2</v>
      </c>
      <c r="AG433" s="19">
        <v>3.4</v>
      </c>
      <c r="AH433" s="19">
        <v>3.8</v>
      </c>
      <c r="AI433" s="22">
        <v>11.962500000000002</v>
      </c>
      <c r="AJ433" s="19">
        <v>15.0</v>
      </c>
      <c r="AK433" s="19">
        <v>14.0</v>
      </c>
      <c r="AL433" s="19">
        <v>14.0</v>
      </c>
      <c r="AM433" s="19">
        <v>43.0</v>
      </c>
      <c r="AN433" s="19">
        <v>55.0</v>
      </c>
      <c r="AO433" s="19">
        <v>66.0</v>
      </c>
      <c r="AP433" s="19">
        <v>947.0</v>
      </c>
      <c r="AQ433" s="23">
        <v>425.0</v>
      </c>
      <c r="AR433" s="23">
        <v>37.0</v>
      </c>
      <c r="AS433" s="22"/>
      <c r="AT433" s="19" t="s">
        <v>2163</v>
      </c>
      <c r="AU433" s="19" t="s">
        <v>9556</v>
      </c>
      <c r="AV433" s="19" t="s">
        <v>9557</v>
      </c>
      <c r="AW433" s="19"/>
      <c r="AX433" s="20">
        <v>38743.0</v>
      </c>
      <c r="AY433" s="19" t="s">
        <v>4917</v>
      </c>
      <c r="AZ433" s="19" t="s">
        <v>2122</v>
      </c>
      <c r="BA433" s="19" t="s">
        <v>9558</v>
      </c>
      <c r="BB433" s="19" t="s">
        <v>7806</v>
      </c>
      <c r="BC433" s="19" t="s">
        <v>9559</v>
      </c>
      <c r="BD433" s="19" t="s">
        <v>9560</v>
      </c>
      <c r="BE433" s="19" t="s">
        <v>9553</v>
      </c>
      <c r="BF433" s="19">
        <v>1.197020418E10</v>
      </c>
      <c r="BG433" s="19" t="s">
        <v>2127</v>
      </c>
      <c r="BH433" s="19" t="s">
        <v>2128</v>
      </c>
      <c r="BI433" s="19"/>
      <c r="BJ433" s="19" t="s">
        <v>2128</v>
      </c>
      <c r="BK433" s="19" t="s">
        <v>16</v>
      </c>
      <c r="BL433" s="19"/>
      <c r="BM433" s="19" t="s">
        <v>5563</v>
      </c>
      <c r="BN433" s="19" t="s">
        <v>17</v>
      </c>
      <c r="BO433" s="19" t="s">
        <v>3082</v>
      </c>
      <c r="BP433" s="19"/>
      <c r="BQ433" s="19" t="s">
        <v>2174</v>
      </c>
      <c r="BR433" s="19" t="s">
        <v>2174</v>
      </c>
      <c r="BS433" s="19" t="s">
        <v>2134</v>
      </c>
      <c r="BT433" s="19" t="s">
        <v>34</v>
      </c>
      <c r="BU433" s="19" t="s">
        <v>9561</v>
      </c>
      <c r="BV433" s="19"/>
      <c r="BW433" s="19" t="s">
        <v>2113</v>
      </c>
      <c r="BX433" s="19"/>
      <c r="BY433" s="19"/>
      <c r="BZ433" s="19"/>
      <c r="CA433" s="19"/>
      <c r="CB433" s="19" t="s">
        <v>2113</v>
      </c>
      <c r="CC433" s="19"/>
      <c r="CD433" s="19" t="s">
        <v>2137</v>
      </c>
      <c r="CE433" s="19" t="s">
        <v>16</v>
      </c>
      <c r="CF433" s="19"/>
      <c r="CG433" s="19"/>
      <c r="CH433" s="19" t="s">
        <v>16</v>
      </c>
      <c r="CI433" s="21">
        <v>0.0</v>
      </c>
      <c r="CJ433" s="19" t="s">
        <v>17</v>
      </c>
      <c r="CK433" s="19"/>
      <c r="CL433" s="19"/>
      <c r="CM433" s="19" t="s">
        <v>2344</v>
      </c>
      <c r="CN433" s="19" t="s">
        <v>4925</v>
      </c>
      <c r="CO433" s="19"/>
      <c r="CP433" s="19" t="s">
        <v>2134</v>
      </c>
      <c r="CQ433" s="19"/>
      <c r="CR433" s="19" t="s">
        <v>2113</v>
      </c>
      <c r="CS433" s="19" t="s">
        <v>2113</v>
      </c>
      <c r="CT433" s="19" t="s">
        <v>2113</v>
      </c>
      <c r="CU433" s="19" t="s">
        <v>2113</v>
      </c>
      <c r="CV433" s="19" t="s">
        <v>2141</v>
      </c>
      <c r="CW433" s="19" t="s">
        <v>2113</v>
      </c>
      <c r="CX433" s="19" t="s">
        <v>2113</v>
      </c>
      <c r="CY433" s="19" t="s">
        <v>2113</v>
      </c>
      <c r="CZ433" s="19" t="s">
        <v>2113</v>
      </c>
      <c r="DA433" s="19" t="s">
        <v>16</v>
      </c>
      <c r="DB433" s="19" t="s">
        <v>17</v>
      </c>
      <c r="DC433" s="19" t="s">
        <v>2270</v>
      </c>
      <c r="DD433" s="19" t="s">
        <v>2113</v>
      </c>
      <c r="DE433" s="19" t="s">
        <v>2113</v>
      </c>
      <c r="DF433" s="19" t="s">
        <v>2248</v>
      </c>
      <c r="DG433" s="19" t="s">
        <v>2269</v>
      </c>
      <c r="DH433" s="19" t="s">
        <v>2144</v>
      </c>
      <c r="DI433" s="24">
        <v>45531.0</v>
      </c>
      <c r="DJ433" s="19" t="s">
        <v>2174</v>
      </c>
      <c r="DK433" s="19" t="s">
        <v>2271</v>
      </c>
      <c r="DL433" s="19" t="s">
        <v>2183</v>
      </c>
      <c r="DM433" s="19"/>
      <c r="DN433" s="19">
        <v>8.0</v>
      </c>
      <c r="DO433" s="19">
        <v>8.0</v>
      </c>
      <c r="DP433" s="19" t="s">
        <v>9562</v>
      </c>
      <c r="DQ433" s="19" t="s">
        <v>9563</v>
      </c>
      <c r="DR433" s="19" t="s">
        <v>9564</v>
      </c>
      <c r="DS433" s="19" t="s">
        <v>2151</v>
      </c>
      <c r="DT433" s="19" t="s">
        <v>2152</v>
      </c>
      <c r="DU433" s="19"/>
      <c r="DV433" s="19"/>
      <c r="DW433" s="19" t="s">
        <v>2153</v>
      </c>
      <c r="DX433" s="19">
        <v>14.0</v>
      </c>
      <c r="DY433" s="19">
        <v>10.0</v>
      </c>
      <c r="DZ433" s="19">
        <v>0.0</v>
      </c>
      <c r="EA433" s="19">
        <v>10.0</v>
      </c>
      <c r="EB433" s="19">
        <v>0.0</v>
      </c>
      <c r="EC433" s="19">
        <v>0.0</v>
      </c>
      <c r="ED433" s="19" t="s">
        <v>2174</v>
      </c>
      <c r="EE433" s="24">
        <v>45531.0</v>
      </c>
      <c r="EF433" s="19" t="s">
        <v>2174</v>
      </c>
      <c r="EG433" s="19" t="s">
        <v>2271</v>
      </c>
      <c r="EH433" s="19" t="s">
        <v>2183</v>
      </c>
      <c r="EI433" s="22">
        <v>11.962500000000002</v>
      </c>
      <c r="EJ433" s="19">
        <v>43.0</v>
      </c>
      <c r="EK433" s="19" t="s">
        <v>2113</v>
      </c>
      <c r="EL433" s="19" t="s">
        <v>2163</v>
      </c>
      <c r="EM433" s="19" t="s">
        <v>9556</v>
      </c>
      <c r="EN433" s="19" t="s">
        <v>1281</v>
      </c>
      <c r="EO433" s="19" t="s">
        <v>4917</v>
      </c>
      <c r="EP433" s="19" t="s">
        <v>2122</v>
      </c>
      <c r="EQ433" s="19" t="s">
        <v>4925</v>
      </c>
      <c r="ER433" s="19"/>
      <c r="ES433" s="19" t="s">
        <v>1281</v>
      </c>
      <c r="ET433" s="19" t="s">
        <v>1281</v>
      </c>
      <c r="EU433" s="19" t="s">
        <v>9554</v>
      </c>
      <c r="EV433" s="19">
        <v>6718.0</v>
      </c>
      <c r="EW433" s="19" t="s">
        <v>16</v>
      </c>
      <c r="EX433" s="19">
        <v>1.0</v>
      </c>
      <c r="EY433" s="25" t="s">
        <v>1280</v>
      </c>
      <c r="EZ433" s="19" t="s">
        <v>2154</v>
      </c>
      <c r="FA433" s="5" t="s">
        <v>9565</v>
      </c>
      <c r="FB433" s="26" t="s">
        <v>2156</v>
      </c>
      <c r="FC433" s="26"/>
    </row>
    <row r="434">
      <c r="A434" s="19" t="s">
        <v>2156</v>
      </c>
      <c r="B434" s="19"/>
      <c r="C434" s="19" t="s">
        <v>2113</v>
      </c>
      <c r="D434" s="19" t="s">
        <v>1282</v>
      </c>
      <c r="E434" s="19" t="s">
        <v>9566</v>
      </c>
      <c r="F434" s="19" t="s">
        <v>1282</v>
      </c>
      <c r="G434" s="19"/>
      <c r="H434" s="19" t="s">
        <v>1282</v>
      </c>
      <c r="I434" s="19" t="s">
        <v>1284</v>
      </c>
      <c r="J434" s="19" t="s">
        <v>9567</v>
      </c>
      <c r="K434" s="19" t="s">
        <v>9568</v>
      </c>
      <c r="L434" s="20">
        <v>45446.0</v>
      </c>
      <c r="M434" s="20">
        <v>45446.0</v>
      </c>
      <c r="N434" s="20">
        <v>45446.0</v>
      </c>
      <c r="O434" s="19" t="s">
        <v>1283</v>
      </c>
      <c r="P434" s="19">
        <v>0.0</v>
      </c>
      <c r="Q434" s="19">
        <v>26.0</v>
      </c>
      <c r="R434" s="19">
        <v>9692.0</v>
      </c>
      <c r="S434" s="20" t="s">
        <v>9569</v>
      </c>
      <c r="T434" s="20">
        <v>45461.0</v>
      </c>
      <c r="U434" s="19" t="s">
        <v>1282</v>
      </c>
      <c r="V434" s="19"/>
      <c r="W434" s="19"/>
      <c r="X434" s="21">
        <v>0.0</v>
      </c>
      <c r="Y434" s="21">
        <v>5.0</v>
      </c>
      <c r="Z434" s="21">
        <v>4.0</v>
      </c>
      <c r="AA434" s="21">
        <v>0.0</v>
      </c>
      <c r="AB434" s="5">
        <v>9.0</v>
      </c>
      <c r="AC434" s="19">
        <v>4.5</v>
      </c>
      <c r="AD434" s="19">
        <v>4.5</v>
      </c>
      <c r="AE434" s="19">
        <v>4.0</v>
      </c>
      <c r="AF434" s="19">
        <v>3.5</v>
      </c>
      <c r="AG434" s="19">
        <v>3.0</v>
      </c>
      <c r="AH434" s="19">
        <v>4.0</v>
      </c>
      <c r="AI434" s="22">
        <v>12.0</v>
      </c>
      <c r="AJ434" s="19">
        <v>15.0</v>
      </c>
      <c r="AK434" s="19">
        <v>15.0</v>
      </c>
      <c r="AL434" s="19">
        <v>15.0</v>
      </c>
      <c r="AM434" s="19">
        <v>45.0</v>
      </c>
      <c r="AN434" s="19">
        <v>57.0</v>
      </c>
      <c r="AO434" s="19">
        <v>66.0</v>
      </c>
      <c r="AP434" s="19">
        <v>973.0</v>
      </c>
      <c r="AQ434" s="23">
        <v>426.0</v>
      </c>
      <c r="AR434" s="23">
        <v>32.0</v>
      </c>
      <c r="AS434" s="22"/>
      <c r="AT434" s="19" t="s">
        <v>2282</v>
      </c>
      <c r="AU434" s="19" t="s">
        <v>9570</v>
      </c>
      <c r="AV434" s="19" t="s">
        <v>9571</v>
      </c>
      <c r="AW434" s="19"/>
      <c r="AX434" s="20">
        <v>35769.0</v>
      </c>
      <c r="AY434" s="19" t="s">
        <v>2702</v>
      </c>
      <c r="AZ434" s="19" t="s">
        <v>2122</v>
      </c>
      <c r="BA434" s="19" t="s">
        <v>9572</v>
      </c>
      <c r="BB434" s="19" t="s">
        <v>4020</v>
      </c>
      <c r="BC434" s="19" t="s">
        <v>9573</v>
      </c>
      <c r="BD434" s="19" t="s">
        <v>9574</v>
      </c>
      <c r="BE434" s="19"/>
      <c r="BF434" s="19"/>
      <c r="BG434" s="19" t="s">
        <v>3518</v>
      </c>
      <c r="BH434" s="19" t="s">
        <v>2128</v>
      </c>
      <c r="BI434" s="19"/>
      <c r="BJ434" s="19"/>
      <c r="BK434" s="19" t="s">
        <v>16</v>
      </c>
      <c r="BL434" s="19"/>
      <c r="BM434" s="19" t="s">
        <v>5411</v>
      </c>
      <c r="BN434" s="19" t="s">
        <v>17</v>
      </c>
      <c r="BO434" s="19" t="s">
        <v>2317</v>
      </c>
      <c r="BP434" s="19"/>
      <c r="BQ434" s="19" t="s">
        <v>2318</v>
      </c>
      <c r="BR434" s="19" t="s">
        <v>2318</v>
      </c>
      <c r="BS434" s="19" t="s">
        <v>3521</v>
      </c>
      <c r="BT434" s="19" t="s">
        <v>42</v>
      </c>
      <c r="BU434" s="19" t="s">
        <v>9575</v>
      </c>
      <c r="BV434" s="19"/>
      <c r="BW434" s="19" t="s">
        <v>2113</v>
      </c>
      <c r="BX434" s="19"/>
      <c r="BY434" s="19"/>
      <c r="BZ434" s="19"/>
      <c r="CA434" s="19"/>
      <c r="CB434" s="19" t="s">
        <v>2113</v>
      </c>
      <c r="CC434" s="19"/>
      <c r="CD434" s="19" t="s">
        <v>2137</v>
      </c>
      <c r="CE434" s="19" t="s">
        <v>16</v>
      </c>
      <c r="CF434" s="19"/>
      <c r="CG434" s="19"/>
      <c r="CH434" s="19" t="s">
        <v>16</v>
      </c>
      <c r="CI434" s="21">
        <v>0.0</v>
      </c>
      <c r="CJ434" s="19" t="s">
        <v>16</v>
      </c>
      <c r="CK434" s="19"/>
      <c r="CL434" s="19"/>
      <c r="CM434" s="19" t="s">
        <v>2138</v>
      </c>
      <c r="CN434" s="19" t="s">
        <v>2321</v>
      </c>
      <c r="CO434" s="19"/>
      <c r="CP434" s="19" t="s">
        <v>2246</v>
      </c>
      <c r="CQ434" s="19"/>
      <c r="CR434" s="19" t="s">
        <v>2113</v>
      </c>
      <c r="CS434" s="19" t="s">
        <v>2113</v>
      </c>
      <c r="CT434" s="19" t="s">
        <v>2113</v>
      </c>
      <c r="CU434" s="19" t="s">
        <v>2113</v>
      </c>
      <c r="CV434" s="19" t="s">
        <v>2141</v>
      </c>
      <c r="CW434" s="19" t="s">
        <v>2113</v>
      </c>
      <c r="CX434" s="19" t="s">
        <v>2113</v>
      </c>
      <c r="CY434" s="19"/>
      <c r="CZ434" s="19"/>
      <c r="DA434" s="19" t="s">
        <v>16</v>
      </c>
      <c r="DB434" s="19" t="s">
        <v>16</v>
      </c>
      <c r="DC434" s="19" t="s">
        <v>5024</v>
      </c>
      <c r="DD434" s="19"/>
      <c r="DE434" s="19"/>
      <c r="DF434" s="19" t="s">
        <v>2324</v>
      </c>
      <c r="DG434" s="19" t="s">
        <v>2322</v>
      </c>
      <c r="DH434" s="19" t="s">
        <v>2144</v>
      </c>
      <c r="DI434" s="24">
        <v>45517.0</v>
      </c>
      <c r="DJ434" s="19" t="s">
        <v>2325</v>
      </c>
      <c r="DK434" s="19" t="s">
        <v>2271</v>
      </c>
      <c r="DL434" s="19" t="s">
        <v>2326</v>
      </c>
      <c r="DM434" s="19"/>
      <c r="DN434" s="19">
        <v>2.0</v>
      </c>
      <c r="DO434" s="19">
        <v>2.0</v>
      </c>
      <c r="DP434" s="19" t="s">
        <v>9576</v>
      </c>
      <c r="DQ434" s="19" t="s">
        <v>9577</v>
      </c>
      <c r="DR434" s="19" t="s">
        <v>9578</v>
      </c>
      <c r="DS434" s="19" t="s">
        <v>2185</v>
      </c>
      <c r="DT434" s="19" t="s">
        <v>2366</v>
      </c>
      <c r="DU434" s="19"/>
      <c r="DV434" s="19"/>
      <c r="DW434" s="19" t="s">
        <v>2188</v>
      </c>
      <c r="DX434" s="19">
        <v>5.0</v>
      </c>
      <c r="DY434" s="19">
        <v>5.0</v>
      </c>
      <c r="DZ434" s="19">
        <v>0.0</v>
      </c>
      <c r="EA434" s="19">
        <v>5.0</v>
      </c>
      <c r="EB434" s="19">
        <v>0.0</v>
      </c>
      <c r="EC434" s="19">
        <v>0.0</v>
      </c>
      <c r="ED434" s="19" t="s">
        <v>2325</v>
      </c>
      <c r="EE434" s="24">
        <v>45517.0</v>
      </c>
      <c r="EF434" s="19" t="s">
        <v>2325</v>
      </c>
      <c r="EG434" s="19" t="s">
        <v>2271</v>
      </c>
      <c r="EH434" s="19" t="s">
        <v>2326</v>
      </c>
      <c r="EI434" s="22">
        <v>12.0</v>
      </c>
      <c r="EJ434" s="19">
        <v>45.0</v>
      </c>
      <c r="EK434" s="19"/>
      <c r="EL434" s="19" t="s">
        <v>2282</v>
      </c>
      <c r="EM434" s="19" t="s">
        <v>9570</v>
      </c>
      <c r="EN434" s="19" t="s">
        <v>1284</v>
      </c>
      <c r="EO434" s="19" t="s">
        <v>2702</v>
      </c>
      <c r="EP434" s="19" t="s">
        <v>2122</v>
      </c>
      <c r="EQ434" s="19" t="s">
        <v>2321</v>
      </c>
      <c r="ER434" s="19"/>
      <c r="ES434" s="19" t="s">
        <v>1284</v>
      </c>
      <c r="ET434" s="19" t="s">
        <v>1284</v>
      </c>
      <c r="EU434" s="19" t="s">
        <v>9568</v>
      </c>
      <c r="EV434" s="19">
        <v>9692.0</v>
      </c>
      <c r="EW434" s="19" t="s">
        <v>16</v>
      </c>
      <c r="EX434" s="19">
        <v>4.0</v>
      </c>
      <c r="EY434" s="25" t="s">
        <v>1283</v>
      </c>
      <c r="EZ434" s="19" t="s">
        <v>2154</v>
      </c>
      <c r="FA434" s="5" t="s">
        <v>9579</v>
      </c>
      <c r="FB434" s="26" t="s">
        <v>2156</v>
      </c>
      <c r="FC434" s="26"/>
    </row>
    <row r="435">
      <c r="A435" s="19" t="s">
        <v>2156</v>
      </c>
      <c r="B435" s="19"/>
      <c r="C435" s="19" t="s">
        <v>2113</v>
      </c>
      <c r="D435" s="19" t="s">
        <v>1285</v>
      </c>
      <c r="E435" s="19" t="s">
        <v>9580</v>
      </c>
      <c r="F435" s="19" t="s">
        <v>1285</v>
      </c>
      <c r="G435" s="19"/>
      <c r="H435" s="19" t="s">
        <v>1285</v>
      </c>
      <c r="I435" s="19" t="s">
        <v>1287</v>
      </c>
      <c r="J435" s="19" t="s">
        <v>9581</v>
      </c>
      <c r="K435" s="19" t="s">
        <v>9582</v>
      </c>
      <c r="L435" s="20">
        <v>45460.0</v>
      </c>
      <c r="M435" s="20">
        <v>45462.0</v>
      </c>
      <c r="N435" s="20">
        <v>45462.0</v>
      </c>
      <c r="O435" s="19" t="s">
        <v>1286</v>
      </c>
      <c r="P435" s="19">
        <v>0.0</v>
      </c>
      <c r="Q435" s="19">
        <v>19.0</v>
      </c>
      <c r="R435" s="19">
        <v>6977.0</v>
      </c>
      <c r="S435" s="20" t="s">
        <v>9583</v>
      </c>
      <c r="T435" s="20">
        <v>45461.0</v>
      </c>
      <c r="U435" s="19" t="s">
        <v>1285</v>
      </c>
      <c r="V435" s="19"/>
      <c r="W435" s="19" t="s">
        <v>9584</v>
      </c>
      <c r="X435" s="21">
        <v>0.0</v>
      </c>
      <c r="Y435" s="21">
        <v>10.0</v>
      </c>
      <c r="Z435" s="21">
        <v>5.0</v>
      </c>
      <c r="AA435" s="21">
        <v>0.0</v>
      </c>
      <c r="AB435" s="5">
        <v>15.0</v>
      </c>
      <c r="AC435" s="19">
        <v>3.0</v>
      </c>
      <c r="AD435" s="19">
        <v>5.0</v>
      </c>
      <c r="AE435" s="19">
        <v>3.0</v>
      </c>
      <c r="AF435" s="19">
        <v>3.0</v>
      </c>
      <c r="AG435" s="19">
        <v>3.0</v>
      </c>
      <c r="AH435" s="19">
        <v>3.0</v>
      </c>
      <c r="AI435" s="22">
        <v>10.3125</v>
      </c>
      <c r="AJ435" s="19">
        <v>14.0</v>
      </c>
      <c r="AK435" s="19">
        <v>13.0</v>
      </c>
      <c r="AL435" s="19">
        <v>13.5</v>
      </c>
      <c r="AM435" s="19">
        <v>40.5</v>
      </c>
      <c r="AN435" s="19">
        <v>50.8</v>
      </c>
      <c r="AO435" s="19">
        <v>65.8</v>
      </c>
      <c r="AP435" s="19">
        <v>535.0</v>
      </c>
      <c r="AQ435" s="23">
        <v>427.0</v>
      </c>
      <c r="AR435" s="23">
        <v>56.0</v>
      </c>
      <c r="AS435" s="22"/>
      <c r="AT435" s="19" t="s">
        <v>2117</v>
      </c>
      <c r="AU435" s="19" t="s">
        <v>2592</v>
      </c>
      <c r="AV435" s="19" t="s">
        <v>9585</v>
      </c>
      <c r="AW435" s="19" t="s">
        <v>9586</v>
      </c>
      <c r="AX435" s="20">
        <v>38484.0</v>
      </c>
      <c r="AY435" s="19" t="s">
        <v>2286</v>
      </c>
      <c r="AZ435" s="19" t="s">
        <v>2122</v>
      </c>
      <c r="BA435" s="19" t="s">
        <v>9587</v>
      </c>
      <c r="BB435" s="19" t="s">
        <v>2531</v>
      </c>
      <c r="BC435" s="19" t="s">
        <v>9588</v>
      </c>
      <c r="BD435" s="19" t="s">
        <v>9589</v>
      </c>
      <c r="BE435" s="19" t="s">
        <v>9581</v>
      </c>
      <c r="BF435" s="19">
        <v>1.1912543379E10</v>
      </c>
      <c r="BG435" s="19" t="s">
        <v>2127</v>
      </c>
      <c r="BH435" s="19" t="s">
        <v>2128</v>
      </c>
      <c r="BI435" s="19"/>
      <c r="BJ435" s="19"/>
      <c r="BK435" s="19" t="s">
        <v>16</v>
      </c>
      <c r="BL435" s="19"/>
      <c r="BM435" s="19" t="s">
        <v>5411</v>
      </c>
      <c r="BN435" s="19" t="s">
        <v>2291</v>
      </c>
      <c r="BO435" s="19" t="s">
        <v>2132</v>
      </c>
      <c r="BP435" s="19" t="s">
        <v>9590</v>
      </c>
      <c r="BQ435" s="19" t="s">
        <v>2133</v>
      </c>
      <c r="BR435" s="19" t="s">
        <v>2133</v>
      </c>
      <c r="BS435" s="19" t="s">
        <v>2134</v>
      </c>
      <c r="BT435" s="19" t="s">
        <v>38</v>
      </c>
      <c r="BU435" s="19" t="s">
        <v>9591</v>
      </c>
      <c r="BV435" s="19"/>
      <c r="BW435" s="19" t="s">
        <v>2113</v>
      </c>
      <c r="BX435" s="19"/>
      <c r="BY435" s="19"/>
      <c r="BZ435" s="19"/>
      <c r="CA435" s="19"/>
      <c r="CB435" s="19" t="s">
        <v>2113</v>
      </c>
      <c r="CC435" s="19"/>
      <c r="CD435" s="19" t="s">
        <v>2137</v>
      </c>
      <c r="CE435" s="19" t="s">
        <v>16</v>
      </c>
      <c r="CF435" s="19"/>
      <c r="CG435" s="19"/>
      <c r="CH435" s="19" t="s">
        <v>16</v>
      </c>
      <c r="CI435" s="21">
        <v>0.0</v>
      </c>
      <c r="CJ435" s="19" t="s">
        <v>17</v>
      </c>
      <c r="CK435" s="19"/>
      <c r="CL435" s="19"/>
      <c r="CM435" s="19" t="s">
        <v>2344</v>
      </c>
      <c r="CN435" s="19" t="s">
        <v>2294</v>
      </c>
      <c r="CO435" s="19"/>
      <c r="CP435" s="19"/>
      <c r="CQ435" s="19"/>
      <c r="CR435" s="19" t="s">
        <v>2113</v>
      </c>
      <c r="CS435" s="19" t="s">
        <v>2113</v>
      </c>
      <c r="CT435" s="19" t="s">
        <v>2113</v>
      </c>
      <c r="CU435" s="19" t="s">
        <v>2113</v>
      </c>
      <c r="CV435" s="19" t="s">
        <v>2179</v>
      </c>
      <c r="CW435" s="19" t="s">
        <v>2113</v>
      </c>
      <c r="CX435" s="19" t="s">
        <v>2113</v>
      </c>
      <c r="CY435" s="19" t="s">
        <v>2113</v>
      </c>
      <c r="CZ435" s="19" t="s">
        <v>2113</v>
      </c>
      <c r="DA435" s="19" t="s">
        <v>16</v>
      </c>
      <c r="DB435" s="19" t="s">
        <v>17</v>
      </c>
      <c r="DC435" s="19" t="s">
        <v>2296</v>
      </c>
      <c r="DD435" s="19" t="s">
        <v>2113</v>
      </c>
      <c r="DE435" s="19" t="s">
        <v>2113</v>
      </c>
      <c r="DF435" s="19" t="s">
        <v>2578</v>
      </c>
      <c r="DG435" s="19" t="s">
        <v>2142</v>
      </c>
      <c r="DH435" s="19" t="s">
        <v>2144</v>
      </c>
      <c r="DI435" s="24">
        <v>45519.0</v>
      </c>
      <c r="DJ435" s="19" t="s">
        <v>2133</v>
      </c>
      <c r="DK435" s="19" t="s">
        <v>2271</v>
      </c>
      <c r="DL435" s="19" t="s">
        <v>2146</v>
      </c>
      <c r="DM435" s="19" t="s">
        <v>2751</v>
      </c>
      <c r="DN435" s="19">
        <v>6.0</v>
      </c>
      <c r="DO435" s="19">
        <v>6.0</v>
      </c>
      <c r="DP435" s="19"/>
      <c r="DQ435" s="19"/>
      <c r="DR435" s="19"/>
      <c r="DS435" s="19" t="s">
        <v>2185</v>
      </c>
      <c r="DT435" s="19" t="s">
        <v>2152</v>
      </c>
      <c r="DU435" s="19" t="s">
        <v>9592</v>
      </c>
      <c r="DV435" s="19"/>
      <c r="DW435" s="19" t="s">
        <v>3306</v>
      </c>
      <c r="DX435" s="19">
        <v>4.0</v>
      </c>
      <c r="DY435" s="19">
        <v>10.0</v>
      </c>
      <c r="DZ435" s="19">
        <v>0.0</v>
      </c>
      <c r="EA435" s="19">
        <v>10.0</v>
      </c>
      <c r="EB435" s="19">
        <v>0.0</v>
      </c>
      <c r="EC435" s="19">
        <v>0.0</v>
      </c>
      <c r="ED435" s="19" t="s">
        <v>2133</v>
      </c>
      <c r="EE435" s="24">
        <v>45519.0</v>
      </c>
      <c r="EF435" s="19" t="s">
        <v>2133</v>
      </c>
      <c r="EG435" s="19" t="s">
        <v>2271</v>
      </c>
      <c r="EH435" s="19" t="s">
        <v>2146</v>
      </c>
      <c r="EI435" s="22">
        <v>10.3125</v>
      </c>
      <c r="EJ435" s="19">
        <v>40.5</v>
      </c>
      <c r="EK435" s="19" t="s">
        <v>2113</v>
      </c>
      <c r="EL435" s="19" t="s">
        <v>2117</v>
      </c>
      <c r="EM435" s="19" t="s">
        <v>2592</v>
      </c>
      <c r="EN435" s="19" t="s">
        <v>1287</v>
      </c>
      <c r="EO435" s="19" t="s">
        <v>2286</v>
      </c>
      <c r="EP435" s="19" t="s">
        <v>2122</v>
      </c>
      <c r="EQ435" s="19" t="s">
        <v>2294</v>
      </c>
      <c r="ER435" s="19"/>
      <c r="ES435" s="19" t="s">
        <v>1287</v>
      </c>
      <c r="ET435" s="19" t="s">
        <v>1287</v>
      </c>
      <c r="EU435" s="19" t="s">
        <v>9582</v>
      </c>
      <c r="EV435" s="19">
        <v>6977.0</v>
      </c>
      <c r="EW435" s="19" t="s">
        <v>16</v>
      </c>
      <c r="EX435" s="19">
        <v>5.0</v>
      </c>
      <c r="EY435" s="25" t="s">
        <v>1286</v>
      </c>
      <c r="EZ435" s="19" t="s">
        <v>2154</v>
      </c>
      <c r="FA435" s="5" t="s">
        <v>9593</v>
      </c>
      <c r="FB435" s="26" t="s">
        <v>2156</v>
      </c>
      <c r="FC435" s="26"/>
    </row>
    <row r="436">
      <c r="A436" s="19" t="s">
        <v>2156</v>
      </c>
      <c r="B436" s="19"/>
      <c r="C436" s="19" t="s">
        <v>2113</v>
      </c>
      <c r="D436" s="19" t="s">
        <v>1288</v>
      </c>
      <c r="E436" s="19" t="s">
        <v>9594</v>
      </c>
      <c r="F436" s="19" t="s">
        <v>1288</v>
      </c>
      <c r="G436" s="19"/>
      <c r="H436" s="19" t="s">
        <v>1288</v>
      </c>
      <c r="I436" s="19" t="s">
        <v>1290</v>
      </c>
      <c r="J436" s="19" t="s">
        <v>9595</v>
      </c>
      <c r="K436" s="19" t="s">
        <v>9596</v>
      </c>
      <c r="L436" s="20">
        <v>45448.0</v>
      </c>
      <c r="M436" s="20">
        <v>45449.0</v>
      </c>
      <c r="N436" s="20">
        <v>45449.0</v>
      </c>
      <c r="O436" s="19" t="s">
        <v>1289</v>
      </c>
      <c r="P436" s="19">
        <v>0.0</v>
      </c>
      <c r="Q436" s="19">
        <v>19.0</v>
      </c>
      <c r="R436" s="19">
        <v>7167.0</v>
      </c>
      <c r="S436" s="20" t="s">
        <v>9597</v>
      </c>
      <c r="T436" s="20">
        <v>45461.0</v>
      </c>
      <c r="U436" s="19" t="s">
        <v>1288</v>
      </c>
      <c r="V436" s="19"/>
      <c r="W436" s="19" t="s">
        <v>9598</v>
      </c>
      <c r="X436" s="21">
        <v>0.0</v>
      </c>
      <c r="Y436" s="21">
        <v>3.0</v>
      </c>
      <c r="Z436" s="21">
        <v>4.0</v>
      </c>
      <c r="AA436" s="21">
        <v>0.0</v>
      </c>
      <c r="AB436" s="5">
        <v>7.0</v>
      </c>
      <c r="AC436" s="19">
        <v>4.0</v>
      </c>
      <c r="AD436" s="19">
        <v>5.0</v>
      </c>
      <c r="AE436" s="19">
        <v>5.0</v>
      </c>
      <c r="AF436" s="19">
        <v>5.0</v>
      </c>
      <c r="AG436" s="19">
        <v>4.0</v>
      </c>
      <c r="AH436" s="19">
        <v>4.0</v>
      </c>
      <c r="AI436" s="22">
        <v>13.78125</v>
      </c>
      <c r="AJ436" s="19">
        <v>15.0</v>
      </c>
      <c r="AK436" s="19">
        <v>15.0</v>
      </c>
      <c r="AL436" s="19">
        <v>15.0</v>
      </c>
      <c r="AM436" s="19">
        <v>45.0</v>
      </c>
      <c r="AN436" s="19">
        <v>58.8</v>
      </c>
      <c r="AO436" s="19">
        <v>65.8</v>
      </c>
      <c r="AP436" s="19">
        <v>1010.0</v>
      </c>
      <c r="AQ436" s="23">
        <v>428.0</v>
      </c>
      <c r="AR436" s="23">
        <v>33.0</v>
      </c>
      <c r="AS436" s="22"/>
      <c r="AT436" s="19" t="s">
        <v>2282</v>
      </c>
      <c r="AU436" s="19" t="s">
        <v>9599</v>
      </c>
      <c r="AV436" s="19" t="s">
        <v>9600</v>
      </c>
      <c r="AW436" s="19" t="s">
        <v>9601</v>
      </c>
      <c r="AX436" s="20">
        <v>38294.0</v>
      </c>
      <c r="AY436" s="19" t="s">
        <v>2375</v>
      </c>
      <c r="AZ436" s="19" t="s">
        <v>2122</v>
      </c>
      <c r="BA436" s="19" t="s">
        <v>9602</v>
      </c>
      <c r="BB436" s="19" t="s">
        <v>9601</v>
      </c>
      <c r="BC436" s="19" t="s">
        <v>9603</v>
      </c>
      <c r="BD436" s="19" t="s">
        <v>9604</v>
      </c>
      <c r="BE436" s="19" t="s">
        <v>9595</v>
      </c>
      <c r="BF436" s="19">
        <v>1.1981516976E10</v>
      </c>
      <c r="BG436" s="19" t="s">
        <v>4005</v>
      </c>
      <c r="BH436" s="19" t="s">
        <v>2128</v>
      </c>
      <c r="BI436" s="19"/>
      <c r="BJ436" s="19" t="s">
        <v>2427</v>
      </c>
      <c r="BK436" s="19" t="s">
        <v>17</v>
      </c>
      <c r="BL436" s="19" t="s">
        <v>2113</v>
      </c>
      <c r="BM436" s="19" t="s">
        <v>5411</v>
      </c>
      <c r="BN436" s="19" t="s">
        <v>17</v>
      </c>
      <c r="BO436" s="19" t="s">
        <v>2317</v>
      </c>
      <c r="BP436" s="19"/>
      <c r="BQ436" s="19" t="s">
        <v>2133</v>
      </c>
      <c r="BR436" s="19" t="s">
        <v>2133</v>
      </c>
      <c r="BS436" s="19" t="s">
        <v>2243</v>
      </c>
      <c r="BT436" s="19" t="s">
        <v>52</v>
      </c>
      <c r="BU436" s="19" t="s">
        <v>9605</v>
      </c>
      <c r="BV436" s="19"/>
      <c r="BW436" s="19"/>
      <c r="BX436" s="19" t="s">
        <v>2113</v>
      </c>
      <c r="BY436" s="19" t="s">
        <v>2113</v>
      </c>
      <c r="BZ436" s="19" t="s">
        <v>2113</v>
      </c>
      <c r="CA436" s="19" t="s">
        <v>2113</v>
      </c>
      <c r="CB436" s="19" t="s">
        <v>2113</v>
      </c>
      <c r="CC436" s="19"/>
      <c r="CD436" s="19" t="s">
        <v>2137</v>
      </c>
      <c r="CE436" s="19" t="s">
        <v>16</v>
      </c>
      <c r="CF436" s="19"/>
      <c r="CG436" s="19"/>
      <c r="CH436" s="19" t="s">
        <v>16</v>
      </c>
      <c r="CI436" s="21">
        <v>0.0</v>
      </c>
      <c r="CJ436" s="19" t="s">
        <v>16</v>
      </c>
      <c r="CK436" s="19"/>
      <c r="CL436" s="19"/>
      <c r="CM436" s="19" t="s">
        <v>2138</v>
      </c>
      <c r="CN436" s="19" t="s">
        <v>2382</v>
      </c>
      <c r="CO436" s="19"/>
      <c r="CP436" s="19" t="s">
        <v>2246</v>
      </c>
      <c r="CQ436" s="19"/>
      <c r="CR436" s="19" t="s">
        <v>2113</v>
      </c>
      <c r="CS436" s="19" t="s">
        <v>2113</v>
      </c>
      <c r="CT436" s="19" t="s">
        <v>2113</v>
      </c>
      <c r="CU436" s="19" t="s">
        <v>2113</v>
      </c>
      <c r="CV436" s="19" t="s">
        <v>2179</v>
      </c>
      <c r="CW436" s="19"/>
      <c r="CX436" s="19"/>
      <c r="CY436" s="19"/>
      <c r="CZ436" s="19"/>
      <c r="DA436" s="19" t="s">
        <v>16</v>
      </c>
      <c r="DB436" s="19" t="s">
        <v>16</v>
      </c>
      <c r="DC436" s="19" t="s">
        <v>2579</v>
      </c>
      <c r="DD436" s="19" t="s">
        <v>2113</v>
      </c>
      <c r="DE436" s="19" t="s">
        <v>2113</v>
      </c>
      <c r="DF436" s="19" t="s">
        <v>2297</v>
      </c>
      <c r="DG436" s="19" t="s">
        <v>2383</v>
      </c>
      <c r="DH436" s="19" t="s">
        <v>2144</v>
      </c>
      <c r="DI436" s="24">
        <v>45519.0</v>
      </c>
      <c r="DJ436" s="19" t="s">
        <v>2133</v>
      </c>
      <c r="DK436" s="19" t="s">
        <v>2145</v>
      </c>
      <c r="DL436" s="19" t="s">
        <v>2146</v>
      </c>
      <c r="DM436" s="19"/>
      <c r="DN436" s="19">
        <v>5.0</v>
      </c>
      <c r="DO436" s="19">
        <v>5.0</v>
      </c>
      <c r="DP436" s="19"/>
      <c r="DQ436" s="19"/>
      <c r="DR436" s="19"/>
      <c r="DS436" s="19" t="s">
        <v>2365</v>
      </c>
      <c r="DT436" s="19" t="s">
        <v>2301</v>
      </c>
      <c r="DU436" s="19" t="s">
        <v>9606</v>
      </c>
      <c r="DV436" s="19"/>
      <c r="DW436" s="19" t="s">
        <v>2153</v>
      </c>
      <c r="DX436" s="19">
        <v>9.0</v>
      </c>
      <c r="DY436" s="19">
        <v>3.0</v>
      </c>
      <c r="DZ436" s="19">
        <v>0.0</v>
      </c>
      <c r="EA436" s="19">
        <v>3.0</v>
      </c>
      <c r="EB436" s="19">
        <v>0.0</v>
      </c>
      <c r="EC436" s="19">
        <v>0.0</v>
      </c>
      <c r="ED436" s="19" t="s">
        <v>2133</v>
      </c>
      <c r="EE436" s="24">
        <v>45519.0</v>
      </c>
      <c r="EF436" s="19" t="s">
        <v>2133</v>
      </c>
      <c r="EG436" s="19" t="s">
        <v>2145</v>
      </c>
      <c r="EH436" s="19" t="s">
        <v>2146</v>
      </c>
      <c r="EI436" s="22">
        <v>13.78125</v>
      </c>
      <c r="EJ436" s="19">
        <v>45.0</v>
      </c>
      <c r="EK436" s="19"/>
      <c r="EL436" s="19" t="s">
        <v>2282</v>
      </c>
      <c r="EM436" s="19" t="s">
        <v>9599</v>
      </c>
      <c r="EN436" s="19" t="s">
        <v>1290</v>
      </c>
      <c r="EO436" s="19" t="s">
        <v>2375</v>
      </c>
      <c r="EP436" s="19" t="s">
        <v>2122</v>
      </c>
      <c r="EQ436" s="19" t="s">
        <v>2382</v>
      </c>
      <c r="ER436" s="19"/>
      <c r="ES436" s="19" t="s">
        <v>1290</v>
      </c>
      <c r="ET436" s="19" t="s">
        <v>1290</v>
      </c>
      <c r="EU436" s="19" t="s">
        <v>9596</v>
      </c>
      <c r="EV436" s="19">
        <v>7167.0</v>
      </c>
      <c r="EW436" s="19" t="s">
        <v>16</v>
      </c>
      <c r="EX436" s="19">
        <v>4.0</v>
      </c>
      <c r="EY436" s="25" t="s">
        <v>1289</v>
      </c>
      <c r="EZ436" s="19" t="s">
        <v>2154</v>
      </c>
      <c r="FA436" s="5" t="s">
        <v>9607</v>
      </c>
      <c r="FB436" s="26" t="s">
        <v>2156</v>
      </c>
      <c r="FC436" s="26"/>
    </row>
    <row r="437">
      <c r="A437" s="19" t="s">
        <v>8508</v>
      </c>
      <c r="B437" s="19"/>
      <c r="C437" s="19" t="s">
        <v>2113</v>
      </c>
      <c r="D437" s="19" t="s">
        <v>1291</v>
      </c>
      <c r="E437" s="19" t="s">
        <v>9608</v>
      </c>
      <c r="F437" s="19" t="s">
        <v>1291</v>
      </c>
      <c r="G437" s="19"/>
      <c r="H437" s="19" t="s">
        <v>1291</v>
      </c>
      <c r="I437" s="19" t="s">
        <v>1293</v>
      </c>
      <c r="J437" s="19" t="s">
        <v>9609</v>
      </c>
      <c r="K437" s="19" t="s">
        <v>9610</v>
      </c>
      <c r="L437" s="20">
        <v>45446.0</v>
      </c>
      <c r="M437" s="20">
        <v>45447.0</v>
      </c>
      <c r="N437" s="20">
        <v>45447.0</v>
      </c>
      <c r="O437" s="19" t="s">
        <v>1292</v>
      </c>
      <c r="P437" s="19">
        <v>0.0</v>
      </c>
      <c r="Q437" s="19">
        <v>21.0</v>
      </c>
      <c r="R437" s="19">
        <v>8022.0</v>
      </c>
      <c r="S437" s="20" t="s">
        <v>9611</v>
      </c>
      <c r="T437" s="20">
        <v>45461.0</v>
      </c>
      <c r="U437" s="19" t="s">
        <v>1291</v>
      </c>
      <c r="V437" s="19"/>
      <c r="W437" s="19"/>
      <c r="X437" s="21">
        <v>0.0</v>
      </c>
      <c r="Y437" s="21">
        <v>10.0</v>
      </c>
      <c r="Z437" s="21">
        <v>2.0</v>
      </c>
      <c r="AA437" s="21">
        <v>0.0</v>
      </c>
      <c r="AB437" s="5">
        <v>12.0</v>
      </c>
      <c r="AC437" s="19">
        <v>4.5</v>
      </c>
      <c r="AD437" s="19">
        <v>4.5</v>
      </c>
      <c r="AE437" s="19">
        <v>5.0</v>
      </c>
      <c r="AF437" s="19">
        <v>4.5</v>
      </c>
      <c r="AG437" s="19">
        <v>4.0</v>
      </c>
      <c r="AH437" s="19">
        <v>4.5</v>
      </c>
      <c r="AI437" s="22">
        <v>13.6875</v>
      </c>
      <c r="AJ437" s="19">
        <v>15.0</v>
      </c>
      <c r="AK437" s="19">
        <v>15.0</v>
      </c>
      <c r="AL437" s="19">
        <v>10.0</v>
      </c>
      <c r="AM437" s="19">
        <v>40.0</v>
      </c>
      <c r="AN437" s="19">
        <v>53.7</v>
      </c>
      <c r="AO437" s="19">
        <v>65.7</v>
      </c>
      <c r="AP437" s="19">
        <v>866.0</v>
      </c>
      <c r="AQ437" s="23">
        <v>429.0</v>
      </c>
      <c r="AR437" s="23">
        <v>33.0</v>
      </c>
      <c r="AS437" s="22"/>
      <c r="AT437" s="19" t="s">
        <v>2282</v>
      </c>
      <c r="AU437" s="19" t="s">
        <v>9612</v>
      </c>
      <c r="AV437" s="19" t="s">
        <v>9613</v>
      </c>
      <c r="AW437" s="19" t="s">
        <v>9614</v>
      </c>
      <c r="AX437" s="20">
        <v>37439.0</v>
      </c>
      <c r="AY437" s="19" t="s">
        <v>4978</v>
      </c>
      <c r="AZ437" s="19" t="s">
        <v>2310</v>
      </c>
      <c r="BA437" s="19" t="s">
        <v>9615</v>
      </c>
      <c r="BB437" s="19" t="s">
        <v>9616</v>
      </c>
      <c r="BC437" s="19" t="s">
        <v>9617</v>
      </c>
      <c r="BD437" s="19" t="s">
        <v>9618</v>
      </c>
      <c r="BE437" s="19" t="s">
        <v>9619</v>
      </c>
      <c r="BF437" s="19">
        <v>1.1976885915E10</v>
      </c>
      <c r="BG437" s="19" t="s">
        <v>2127</v>
      </c>
      <c r="BH437" s="19" t="s">
        <v>2128</v>
      </c>
      <c r="BI437" s="19"/>
      <c r="BJ437" s="19" t="s">
        <v>2128</v>
      </c>
      <c r="BK437" s="19" t="s">
        <v>17</v>
      </c>
      <c r="BL437" s="19"/>
      <c r="BM437" s="19" t="s">
        <v>5411</v>
      </c>
      <c r="BN437" s="19" t="s">
        <v>2708</v>
      </c>
      <c r="BO437" s="19" t="s">
        <v>3199</v>
      </c>
      <c r="BP437" s="19" t="s">
        <v>9620</v>
      </c>
      <c r="BQ437" s="19" t="s">
        <v>2318</v>
      </c>
      <c r="BR437" s="19" t="s">
        <v>2318</v>
      </c>
      <c r="BS437" s="19" t="s">
        <v>2134</v>
      </c>
      <c r="BT437" s="19" t="s">
        <v>42</v>
      </c>
      <c r="BU437" s="19" t="s">
        <v>9621</v>
      </c>
      <c r="BV437" s="19"/>
      <c r="BW437" s="19"/>
      <c r="BX437" s="19"/>
      <c r="BY437" s="19"/>
      <c r="BZ437" s="19"/>
      <c r="CA437" s="19"/>
      <c r="CB437" s="19" t="s">
        <v>2113</v>
      </c>
      <c r="CC437" s="19"/>
      <c r="CD437" s="19" t="s">
        <v>2137</v>
      </c>
      <c r="CE437" s="19" t="s">
        <v>16</v>
      </c>
      <c r="CF437" s="19"/>
      <c r="CG437" s="19"/>
      <c r="CH437" s="19" t="s">
        <v>16</v>
      </c>
      <c r="CI437" s="21">
        <v>0.0</v>
      </c>
      <c r="CJ437" s="19" t="s">
        <v>16</v>
      </c>
      <c r="CK437" s="19" t="s">
        <v>2113</v>
      </c>
      <c r="CL437" s="19"/>
      <c r="CM437" s="19" t="s">
        <v>2344</v>
      </c>
      <c r="CN437" s="19" t="s">
        <v>4985</v>
      </c>
      <c r="CO437" s="19"/>
      <c r="CP437" s="19" t="s">
        <v>2140</v>
      </c>
      <c r="CQ437" s="19"/>
      <c r="CR437" s="19" t="s">
        <v>2113</v>
      </c>
      <c r="CS437" s="19" t="s">
        <v>2113</v>
      </c>
      <c r="CT437" s="19" t="s">
        <v>2113</v>
      </c>
      <c r="CU437" s="19" t="s">
        <v>2113</v>
      </c>
      <c r="CV437" s="19" t="s">
        <v>2141</v>
      </c>
      <c r="CW437" s="19" t="s">
        <v>2113</v>
      </c>
      <c r="CX437" s="19" t="s">
        <v>2113</v>
      </c>
      <c r="CY437" s="19" t="s">
        <v>2113</v>
      </c>
      <c r="CZ437" s="19" t="s">
        <v>2113</v>
      </c>
      <c r="DA437" s="19" t="s">
        <v>16</v>
      </c>
      <c r="DB437" s="19" t="s">
        <v>16</v>
      </c>
      <c r="DC437" s="19" t="s">
        <v>2982</v>
      </c>
      <c r="DD437" s="19" t="s">
        <v>2113</v>
      </c>
      <c r="DE437" s="19" t="s">
        <v>2113</v>
      </c>
      <c r="DF437" s="19" t="s">
        <v>2983</v>
      </c>
      <c r="DG437" s="19" t="s">
        <v>2804</v>
      </c>
      <c r="DH437" s="19" t="s">
        <v>2144</v>
      </c>
      <c r="DI437" s="24">
        <v>45524.0</v>
      </c>
      <c r="DJ437" s="19" t="s">
        <v>2325</v>
      </c>
      <c r="DK437" s="19" t="s">
        <v>2145</v>
      </c>
      <c r="DL437" s="19" t="s">
        <v>2326</v>
      </c>
      <c r="DM437" s="19"/>
      <c r="DN437" s="19">
        <v>7.0</v>
      </c>
      <c r="DO437" s="19">
        <v>7.0</v>
      </c>
      <c r="DP437" s="19" t="s">
        <v>9622</v>
      </c>
      <c r="DQ437" s="19" t="s">
        <v>9623</v>
      </c>
      <c r="DR437" s="19" t="s">
        <v>9624</v>
      </c>
      <c r="DS437" s="19" t="s">
        <v>2185</v>
      </c>
      <c r="DT437" s="19" t="s">
        <v>2186</v>
      </c>
      <c r="DU437" s="19"/>
      <c r="DV437" s="19"/>
      <c r="DW437" s="19" t="s">
        <v>2479</v>
      </c>
      <c r="DX437" s="19">
        <v>6.0</v>
      </c>
      <c r="DY437" s="19">
        <v>10.0</v>
      </c>
      <c r="DZ437" s="19">
        <v>0.0</v>
      </c>
      <c r="EA437" s="19">
        <v>10.0</v>
      </c>
      <c r="EB437" s="19">
        <v>0.0</v>
      </c>
      <c r="EC437" s="19">
        <v>0.0</v>
      </c>
      <c r="ED437" s="19" t="s">
        <v>2325</v>
      </c>
      <c r="EE437" s="24">
        <v>45524.0</v>
      </c>
      <c r="EF437" s="19" t="s">
        <v>2325</v>
      </c>
      <c r="EG437" s="19" t="s">
        <v>2145</v>
      </c>
      <c r="EH437" s="19" t="s">
        <v>2326</v>
      </c>
      <c r="EI437" s="22">
        <v>13.6875</v>
      </c>
      <c r="EJ437" s="19">
        <v>40.0</v>
      </c>
      <c r="EK437" s="19"/>
      <c r="EL437" s="19" t="s">
        <v>2282</v>
      </c>
      <c r="EM437" s="19" t="s">
        <v>9612</v>
      </c>
      <c r="EN437" s="19" t="s">
        <v>1293</v>
      </c>
      <c r="EO437" s="19" t="s">
        <v>4978</v>
      </c>
      <c r="EP437" s="19" t="s">
        <v>2310</v>
      </c>
      <c r="EQ437" s="19" t="s">
        <v>4985</v>
      </c>
      <c r="ER437" s="19"/>
      <c r="ES437" s="19" t="s">
        <v>1293</v>
      </c>
      <c r="ET437" s="19" t="s">
        <v>1293</v>
      </c>
      <c r="EU437" s="19" t="s">
        <v>9610</v>
      </c>
      <c r="EV437" s="19">
        <v>8022.0</v>
      </c>
      <c r="EW437" s="19" t="s">
        <v>16</v>
      </c>
      <c r="EX437" s="19">
        <v>2.0</v>
      </c>
      <c r="EY437" s="25" t="s">
        <v>1292</v>
      </c>
      <c r="EZ437" s="19" t="s">
        <v>2154</v>
      </c>
      <c r="FA437" s="5" t="s">
        <v>9625</v>
      </c>
      <c r="FB437" s="26" t="s">
        <v>2156</v>
      </c>
      <c r="FC437" s="26"/>
    </row>
    <row r="438">
      <c r="A438" s="19" t="s">
        <v>2112</v>
      </c>
      <c r="B438" s="19"/>
      <c r="C438" s="19" t="s">
        <v>2113</v>
      </c>
      <c r="D438" s="19" t="s">
        <v>9626</v>
      </c>
      <c r="E438" s="19" t="s">
        <v>9627</v>
      </c>
      <c r="F438" s="19" t="s">
        <v>9626</v>
      </c>
      <c r="G438" s="19"/>
      <c r="H438" s="19" t="s">
        <v>1294</v>
      </c>
      <c r="I438" s="19" t="s">
        <v>1296</v>
      </c>
      <c r="J438" s="19" t="s">
        <v>9628</v>
      </c>
      <c r="K438" s="19" t="s">
        <v>9629</v>
      </c>
      <c r="L438" s="20">
        <v>45431.0</v>
      </c>
      <c r="M438" s="20">
        <v>45432.0</v>
      </c>
      <c r="N438" s="20">
        <v>45432.0</v>
      </c>
      <c r="O438" s="19" t="s">
        <v>1295</v>
      </c>
      <c r="P438" s="19">
        <v>0.0</v>
      </c>
      <c r="Q438" s="19">
        <v>18.0</v>
      </c>
      <c r="R438" s="19">
        <v>6902.0</v>
      </c>
      <c r="S438" s="20" t="s">
        <v>9630</v>
      </c>
      <c r="T438" s="20">
        <v>45461.0</v>
      </c>
      <c r="U438" s="19" t="s">
        <v>9626</v>
      </c>
      <c r="V438" s="19"/>
      <c r="W438" s="19"/>
      <c r="X438" s="21">
        <v>0.0</v>
      </c>
      <c r="Y438" s="21">
        <v>10.0</v>
      </c>
      <c r="Z438" s="21">
        <v>4.0</v>
      </c>
      <c r="AA438" s="21">
        <v>0.0</v>
      </c>
      <c r="AB438" s="5">
        <v>14.0</v>
      </c>
      <c r="AC438" s="19">
        <v>4.0</v>
      </c>
      <c r="AD438" s="19">
        <v>4.0</v>
      </c>
      <c r="AE438" s="19">
        <v>4.0</v>
      </c>
      <c r="AF438" s="19">
        <v>3.0</v>
      </c>
      <c r="AG438" s="19">
        <v>3.0</v>
      </c>
      <c r="AH438" s="19">
        <v>5.0</v>
      </c>
      <c r="AI438" s="22">
        <v>11.625</v>
      </c>
      <c r="AJ438" s="19">
        <v>14.0</v>
      </c>
      <c r="AK438" s="19">
        <v>13.0</v>
      </c>
      <c r="AL438" s="19">
        <v>13.0</v>
      </c>
      <c r="AM438" s="19">
        <v>40.0</v>
      </c>
      <c r="AN438" s="19">
        <v>51.6</v>
      </c>
      <c r="AO438" s="19">
        <v>65.6</v>
      </c>
      <c r="AP438" s="19">
        <v>639.0</v>
      </c>
      <c r="AQ438" s="23">
        <v>430.0</v>
      </c>
      <c r="AR438" s="23">
        <v>34.0</v>
      </c>
      <c r="AS438" s="22"/>
      <c r="AT438" s="19" t="s">
        <v>2282</v>
      </c>
      <c r="AU438" s="19" t="s">
        <v>9631</v>
      </c>
      <c r="AV438" s="19" t="s">
        <v>9632</v>
      </c>
      <c r="AW438" s="19"/>
      <c r="AX438" s="20">
        <v>38559.0</v>
      </c>
      <c r="AY438" s="19" t="s">
        <v>2619</v>
      </c>
      <c r="AZ438" s="19" t="s">
        <v>2122</v>
      </c>
      <c r="BA438" s="19" t="s">
        <v>9633</v>
      </c>
      <c r="BB438" s="19" t="s">
        <v>9634</v>
      </c>
      <c r="BC438" s="19" t="s">
        <v>9635</v>
      </c>
      <c r="BD438" s="19" t="s">
        <v>9636</v>
      </c>
      <c r="BE438" s="19" t="s">
        <v>9637</v>
      </c>
      <c r="BF438" s="19">
        <v>1.1976423869E10</v>
      </c>
      <c r="BG438" s="19" t="s">
        <v>2127</v>
      </c>
      <c r="BH438" s="19" t="s">
        <v>2128</v>
      </c>
      <c r="BI438" s="19"/>
      <c r="BJ438" s="19"/>
      <c r="BK438" s="19" t="s">
        <v>16</v>
      </c>
      <c r="BL438" s="19"/>
      <c r="BM438" s="19" t="s">
        <v>5411</v>
      </c>
      <c r="BN438" s="19" t="s">
        <v>2172</v>
      </c>
      <c r="BO438" s="19" t="s">
        <v>2317</v>
      </c>
      <c r="BP438" s="19"/>
      <c r="BQ438" s="19" t="s">
        <v>2133</v>
      </c>
      <c r="BR438" s="19" t="s">
        <v>2133</v>
      </c>
      <c r="BS438" s="19" t="s">
        <v>2134</v>
      </c>
      <c r="BT438" s="19" t="s">
        <v>52</v>
      </c>
      <c r="BU438" s="19" t="s">
        <v>4099</v>
      </c>
      <c r="BV438" s="19"/>
      <c r="BW438" s="19" t="s">
        <v>2113</v>
      </c>
      <c r="BX438" s="19"/>
      <c r="BY438" s="19"/>
      <c r="BZ438" s="19"/>
      <c r="CA438" s="19"/>
      <c r="CB438" s="19" t="s">
        <v>2113</v>
      </c>
      <c r="CC438" s="19"/>
      <c r="CD438" s="19" t="s">
        <v>2137</v>
      </c>
      <c r="CE438" s="19" t="s">
        <v>16</v>
      </c>
      <c r="CF438" s="19"/>
      <c r="CG438" s="19"/>
      <c r="CH438" s="19" t="s">
        <v>16</v>
      </c>
      <c r="CI438" s="21">
        <v>0.0</v>
      </c>
      <c r="CJ438" s="19" t="s">
        <v>16</v>
      </c>
      <c r="CK438" s="19"/>
      <c r="CL438" s="19"/>
      <c r="CM438" s="19" t="s">
        <v>2138</v>
      </c>
      <c r="CN438" s="19" t="s">
        <v>2626</v>
      </c>
      <c r="CO438" s="19"/>
      <c r="CP438" s="19"/>
      <c r="CQ438" s="19"/>
      <c r="CR438" s="19" t="s">
        <v>2113</v>
      </c>
      <c r="CS438" s="19" t="s">
        <v>2113</v>
      </c>
      <c r="CT438" s="19" t="s">
        <v>2113</v>
      </c>
      <c r="CU438" s="19" t="s">
        <v>2113</v>
      </c>
      <c r="CV438" s="19" t="s">
        <v>2141</v>
      </c>
      <c r="CW438" s="19"/>
      <c r="CX438" s="19"/>
      <c r="CY438" s="19"/>
      <c r="CZ438" s="19"/>
      <c r="DA438" s="19" t="s">
        <v>16</v>
      </c>
      <c r="DB438" s="19" t="s">
        <v>16</v>
      </c>
      <c r="DC438" s="19" t="s">
        <v>5270</v>
      </c>
      <c r="DD438" s="19"/>
      <c r="DE438" s="19"/>
      <c r="DF438" s="19" t="s">
        <v>2384</v>
      </c>
      <c r="DG438" s="19" t="s">
        <v>2627</v>
      </c>
      <c r="DH438" s="19" t="s">
        <v>2144</v>
      </c>
      <c r="DI438" s="24">
        <v>45524.0</v>
      </c>
      <c r="DJ438" s="19" t="s">
        <v>2133</v>
      </c>
      <c r="DK438" s="19" t="s">
        <v>2271</v>
      </c>
      <c r="DL438" s="19" t="s">
        <v>2146</v>
      </c>
      <c r="DM438" s="19" t="s">
        <v>2628</v>
      </c>
      <c r="DN438" s="19">
        <v>8.0</v>
      </c>
      <c r="DO438" s="19">
        <v>8.0</v>
      </c>
      <c r="DP438" s="19" t="s">
        <v>9638</v>
      </c>
      <c r="DQ438" s="19" t="s">
        <v>9639</v>
      </c>
      <c r="DR438" s="19" t="s">
        <v>9640</v>
      </c>
      <c r="DS438" s="19" t="s">
        <v>2365</v>
      </c>
      <c r="DT438" s="19" t="s">
        <v>2350</v>
      </c>
      <c r="DU438" s="19"/>
      <c r="DV438" s="19"/>
      <c r="DW438" s="19" t="s">
        <v>2153</v>
      </c>
      <c r="DX438" s="19">
        <v>9.0</v>
      </c>
      <c r="DY438" s="19">
        <v>10.0</v>
      </c>
      <c r="DZ438" s="19">
        <v>0.0</v>
      </c>
      <c r="EA438" s="19">
        <v>10.0</v>
      </c>
      <c r="EB438" s="19">
        <v>0.0</v>
      </c>
      <c r="EC438" s="19">
        <v>0.0</v>
      </c>
      <c r="ED438" s="19" t="s">
        <v>2133</v>
      </c>
      <c r="EE438" s="24">
        <v>45524.0</v>
      </c>
      <c r="EF438" s="19" t="s">
        <v>2133</v>
      </c>
      <c r="EG438" s="19" t="s">
        <v>2271</v>
      </c>
      <c r="EH438" s="19" t="s">
        <v>2146</v>
      </c>
      <c r="EI438" s="22">
        <v>11.625</v>
      </c>
      <c r="EJ438" s="19">
        <v>40.0</v>
      </c>
      <c r="EK438" s="19"/>
      <c r="EL438" s="19" t="s">
        <v>2282</v>
      </c>
      <c r="EM438" s="19" t="s">
        <v>9631</v>
      </c>
      <c r="EN438" s="19" t="s">
        <v>1296</v>
      </c>
      <c r="EO438" s="19" t="s">
        <v>2619</v>
      </c>
      <c r="EP438" s="19" t="s">
        <v>2122</v>
      </c>
      <c r="EQ438" s="19" t="s">
        <v>2626</v>
      </c>
      <c r="ER438" s="19"/>
      <c r="ES438" s="19" t="s">
        <v>1296</v>
      </c>
      <c r="ET438" s="19" t="s">
        <v>1296</v>
      </c>
      <c r="EU438" s="19" t="s">
        <v>9629</v>
      </c>
      <c r="EV438" s="19">
        <v>6902.0</v>
      </c>
      <c r="EW438" s="19" t="s">
        <v>16</v>
      </c>
      <c r="EX438" s="19">
        <v>4.0</v>
      </c>
      <c r="EY438" s="25" t="s">
        <v>1295</v>
      </c>
      <c r="EZ438" s="19" t="s">
        <v>2154</v>
      </c>
      <c r="FA438" s="5" t="s">
        <v>9641</v>
      </c>
      <c r="FB438" s="26" t="s">
        <v>2156</v>
      </c>
      <c r="FC438" s="26"/>
    </row>
    <row r="439">
      <c r="A439" s="19" t="s">
        <v>2112</v>
      </c>
      <c r="B439" s="19"/>
      <c r="C439" s="19" t="s">
        <v>2113</v>
      </c>
      <c r="D439" s="19" t="s">
        <v>1297</v>
      </c>
      <c r="E439" s="19" t="s">
        <v>9642</v>
      </c>
      <c r="F439" s="19" t="s">
        <v>1297</v>
      </c>
      <c r="G439" s="19"/>
      <c r="H439" s="19" t="s">
        <v>1297</v>
      </c>
      <c r="I439" s="19" t="s">
        <v>1299</v>
      </c>
      <c r="J439" s="19" t="s">
        <v>9643</v>
      </c>
      <c r="K439" s="19" t="s">
        <v>9644</v>
      </c>
      <c r="L439" s="20">
        <v>45428.0</v>
      </c>
      <c r="M439" s="20">
        <v>45429.0</v>
      </c>
      <c r="N439" s="20">
        <v>45429.0</v>
      </c>
      <c r="O439" s="19" t="s">
        <v>1298</v>
      </c>
      <c r="P439" s="19">
        <v>0.0</v>
      </c>
      <c r="Q439" s="19">
        <v>28.0</v>
      </c>
      <c r="R439" s="19">
        <v>10284.0</v>
      </c>
      <c r="S439" s="20" t="s">
        <v>5221</v>
      </c>
      <c r="T439" s="20">
        <v>45461.0</v>
      </c>
      <c r="U439" s="19" t="s">
        <v>1297</v>
      </c>
      <c r="V439" s="19"/>
      <c r="W439" s="19"/>
      <c r="X439" s="21">
        <v>0.0</v>
      </c>
      <c r="Y439" s="21">
        <v>10.0</v>
      </c>
      <c r="Z439" s="21">
        <v>3.0</v>
      </c>
      <c r="AA439" s="21">
        <v>0.0</v>
      </c>
      <c r="AB439" s="5">
        <v>13.0</v>
      </c>
      <c r="AC439" s="19">
        <v>5.0</v>
      </c>
      <c r="AD439" s="19">
        <v>4.0</v>
      </c>
      <c r="AE439" s="19">
        <v>5.0</v>
      </c>
      <c r="AF439" s="19">
        <v>5.0</v>
      </c>
      <c r="AG439" s="19">
        <v>4.0</v>
      </c>
      <c r="AH439" s="19">
        <v>4.0</v>
      </c>
      <c r="AI439" s="22">
        <v>13.59375</v>
      </c>
      <c r="AJ439" s="19">
        <v>14.0</v>
      </c>
      <c r="AK439" s="19">
        <v>13.0</v>
      </c>
      <c r="AL439" s="19">
        <v>12.0</v>
      </c>
      <c r="AM439" s="19">
        <v>39.0</v>
      </c>
      <c r="AN439" s="19">
        <v>52.6</v>
      </c>
      <c r="AO439" s="19">
        <v>65.6</v>
      </c>
      <c r="AP439" s="19">
        <v>671.0</v>
      </c>
      <c r="AQ439" s="23">
        <v>431.0</v>
      </c>
      <c r="AR439" s="23">
        <v>57.0</v>
      </c>
      <c r="AS439" s="22"/>
      <c r="AT439" s="19" t="s">
        <v>2163</v>
      </c>
      <c r="AU439" s="19" t="s">
        <v>3095</v>
      </c>
      <c r="AV439" s="19" t="s">
        <v>9645</v>
      </c>
      <c r="AW439" s="19" t="s">
        <v>3331</v>
      </c>
      <c r="AX439" s="20">
        <v>35177.0</v>
      </c>
      <c r="AY439" s="19" t="s">
        <v>2467</v>
      </c>
      <c r="AZ439" s="19" t="s">
        <v>2122</v>
      </c>
      <c r="BA439" s="19" t="s">
        <v>9646</v>
      </c>
      <c r="BB439" s="19" t="s">
        <v>2743</v>
      </c>
      <c r="BC439" s="19" t="s">
        <v>9647</v>
      </c>
      <c r="BD439" s="19" t="s">
        <v>9648</v>
      </c>
      <c r="BE439" s="19" t="s">
        <v>9649</v>
      </c>
      <c r="BF439" s="19">
        <v>1.1952702889E10</v>
      </c>
      <c r="BG439" s="19" t="s">
        <v>2127</v>
      </c>
      <c r="BH439" s="19" t="s">
        <v>2128</v>
      </c>
      <c r="BI439" s="19"/>
      <c r="BJ439" s="19" t="s">
        <v>2128</v>
      </c>
      <c r="BK439" s="19" t="s">
        <v>17</v>
      </c>
      <c r="BL439" s="19" t="s">
        <v>2113</v>
      </c>
      <c r="BM439" s="19" t="s">
        <v>5411</v>
      </c>
      <c r="BN439" s="19" t="s">
        <v>17</v>
      </c>
      <c r="BO439" s="19" t="s">
        <v>2473</v>
      </c>
      <c r="BP439" s="19" t="s">
        <v>9650</v>
      </c>
      <c r="BQ439" s="19" t="s">
        <v>2133</v>
      </c>
      <c r="BR439" s="19" t="s">
        <v>2133</v>
      </c>
      <c r="BS439" s="19" t="s">
        <v>2243</v>
      </c>
      <c r="BT439" s="19" t="s">
        <v>38</v>
      </c>
      <c r="BU439" s="19" t="s">
        <v>9651</v>
      </c>
      <c r="BV439" s="19"/>
      <c r="BW439" s="19"/>
      <c r="BX439" s="19" t="s">
        <v>2113</v>
      </c>
      <c r="BY439" s="19" t="s">
        <v>2113</v>
      </c>
      <c r="BZ439" s="19" t="s">
        <v>2113</v>
      </c>
      <c r="CA439" s="19" t="s">
        <v>2113</v>
      </c>
      <c r="CB439" s="19"/>
      <c r="CC439" s="19" t="s">
        <v>2113</v>
      </c>
      <c r="CD439" s="19" t="s">
        <v>2137</v>
      </c>
      <c r="CE439" s="19" t="s">
        <v>16</v>
      </c>
      <c r="CF439" s="19"/>
      <c r="CG439" s="19"/>
      <c r="CH439" s="19" t="s">
        <v>16</v>
      </c>
      <c r="CI439" s="21">
        <v>0.0</v>
      </c>
      <c r="CJ439" s="19" t="s">
        <v>17</v>
      </c>
      <c r="CK439" s="19"/>
      <c r="CL439" s="19"/>
      <c r="CM439" s="19" t="s">
        <v>2138</v>
      </c>
      <c r="CN439" s="19" t="s">
        <v>2475</v>
      </c>
      <c r="CO439" s="19"/>
      <c r="CP439" s="19" t="s">
        <v>2267</v>
      </c>
      <c r="CQ439" s="19"/>
      <c r="CR439" s="19" t="s">
        <v>2113</v>
      </c>
      <c r="CS439" s="19" t="s">
        <v>2113</v>
      </c>
      <c r="CT439" s="19" t="s">
        <v>2113</v>
      </c>
      <c r="CU439" s="19" t="s">
        <v>2113</v>
      </c>
      <c r="CV439" s="19" t="s">
        <v>2179</v>
      </c>
      <c r="CW439" s="19" t="s">
        <v>2113</v>
      </c>
      <c r="CX439" s="19" t="s">
        <v>2113</v>
      </c>
      <c r="CY439" s="19"/>
      <c r="CZ439" s="19"/>
      <c r="DA439" s="19" t="s">
        <v>16</v>
      </c>
      <c r="DB439" s="19" t="s">
        <v>17</v>
      </c>
      <c r="DC439" s="19" t="s">
        <v>2142</v>
      </c>
      <c r="DD439" s="19" t="s">
        <v>2113</v>
      </c>
      <c r="DE439" s="19" t="s">
        <v>2113</v>
      </c>
      <c r="DF439" s="19" t="s">
        <v>2477</v>
      </c>
      <c r="DG439" s="19" t="s">
        <v>2843</v>
      </c>
      <c r="DH439" s="19" t="s">
        <v>2144</v>
      </c>
      <c r="DI439" s="24">
        <v>45525.0</v>
      </c>
      <c r="DJ439" s="19" t="s">
        <v>2133</v>
      </c>
      <c r="DK439" s="19" t="s">
        <v>2271</v>
      </c>
      <c r="DL439" s="19" t="s">
        <v>2146</v>
      </c>
      <c r="DM439" s="19" t="s">
        <v>2408</v>
      </c>
      <c r="DN439" s="19">
        <v>10.0</v>
      </c>
      <c r="DO439" s="19">
        <v>10.0</v>
      </c>
      <c r="DP439" s="19"/>
      <c r="DQ439" s="19"/>
      <c r="DR439" s="19"/>
      <c r="DS439" s="19" t="s">
        <v>2185</v>
      </c>
      <c r="DT439" s="19" t="s">
        <v>2209</v>
      </c>
      <c r="DU439" s="19" t="s">
        <v>9652</v>
      </c>
      <c r="DV439" s="19"/>
      <c r="DW439" s="19" t="s">
        <v>2479</v>
      </c>
      <c r="DX439" s="19">
        <v>6.0</v>
      </c>
      <c r="DY439" s="19">
        <v>10.0</v>
      </c>
      <c r="DZ439" s="19">
        <v>0.0</v>
      </c>
      <c r="EA439" s="19">
        <v>10.0</v>
      </c>
      <c r="EB439" s="19">
        <v>0.0</v>
      </c>
      <c r="EC439" s="19">
        <v>0.0</v>
      </c>
      <c r="ED439" s="19" t="s">
        <v>2133</v>
      </c>
      <c r="EE439" s="24">
        <v>45525.0</v>
      </c>
      <c r="EF439" s="19" t="s">
        <v>2133</v>
      </c>
      <c r="EG439" s="19" t="s">
        <v>2271</v>
      </c>
      <c r="EH439" s="19" t="s">
        <v>2146</v>
      </c>
      <c r="EI439" s="22">
        <v>13.59375</v>
      </c>
      <c r="EJ439" s="19">
        <v>39.0</v>
      </c>
      <c r="EK439" s="19" t="s">
        <v>2113</v>
      </c>
      <c r="EL439" s="19" t="s">
        <v>2163</v>
      </c>
      <c r="EM439" s="19" t="s">
        <v>3095</v>
      </c>
      <c r="EN439" s="19" t="s">
        <v>1299</v>
      </c>
      <c r="EO439" s="19" t="s">
        <v>2467</v>
      </c>
      <c r="EP439" s="19" t="s">
        <v>2122</v>
      </c>
      <c r="EQ439" s="19" t="s">
        <v>2475</v>
      </c>
      <c r="ER439" s="19"/>
      <c r="ES439" s="19" t="s">
        <v>1299</v>
      </c>
      <c r="ET439" s="19" t="s">
        <v>1299</v>
      </c>
      <c r="EU439" s="19" t="s">
        <v>9644</v>
      </c>
      <c r="EV439" s="19">
        <v>10284.0</v>
      </c>
      <c r="EW439" s="19" t="s">
        <v>16</v>
      </c>
      <c r="EX439" s="19">
        <v>3.0</v>
      </c>
      <c r="EY439" s="25" t="s">
        <v>1298</v>
      </c>
      <c r="EZ439" s="19" t="s">
        <v>2154</v>
      </c>
      <c r="FA439" s="5" t="s">
        <v>9653</v>
      </c>
      <c r="FB439" s="26" t="s">
        <v>2156</v>
      </c>
      <c r="FC439" s="26"/>
    </row>
    <row r="440">
      <c r="A440" s="19" t="s">
        <v>2112</v>
      </c>
      <c r="B440" s="19"/>
      <c r="C440" s="19" t="s">
        <v>2113</v>
      </c>
      <c r="D440" s="19" t="s">
        <v>1300</v>
      </c>
      <c r="E440" s="19" t="s">
        <v>9654</v>
      </c>
      <c r="F440" s="19" t="s">
        <v>1300</v>
      </c>
      <c r="G440" s="19"/>
      <c r="H440" s="19" t="s">
        <v>1300</v>
      </c>
      <c r="I440" s="19" t="s">
        <v>1302</v>
      </c>
      <c r="J440" s="19" t="s">
        <v>9655</v>
      </c>
      <c r="K440" s="19" t="s">
        <v>9656</v>
      </c>
      <c r="L440" s="20">
        <v>45403.0</v>
      </c>
      <c r="M440" s="20">
        <v>45411.0</v>
      </c>
      <c r="N440" s="20">
        <v>45411.0</v>
      </c>
      <c r="O440" s="19" t="s">
        <v>1301</v>
      </c>
      <c r="P440" s="19">
        <v>0.0</v>
      </c>
      <c r="Q440" s="19">
        <v>18.0</v>
      </c>
      <c r="R440" s="19">
        <v>6896.0</v>
      </c>
      <c r="S440" s="20" t="s">
        <v>3921</v>
      </c>
      <c r="T440" s="20">
        <v>45461.0</v>
      </c>
      <c r="U440" s="19" t="s">
        <v>1300</v>
      </c>
      <c r="V440" s="19"/>
      <c r="W440" s="19" t="s">
        <v>9657</v>
      </c>
      <c r="X440" s="21">
        <v>0.0</v>
      </c>
      <c r="Y440" s="21">
        <v>10.0</v>
      </c>
      <c r="Z440" s="21">
        <v>3.0</v>
      </c>
      <c r="AA440" s="21">
        <v>0.0</v>
      </c>
      <c r="AB440" s="5">
        <v>13.0</v>
      </c>
      <c r="AC440" s="19">
        <v>4.0</v>
      </c>
      <c r="AD440" s="19">
        <v>4.0</v>
      </c>
      <c r="AE440" s="19">
        <v>4.0</v>
      </c>
      <c r="AF440" s="19">
        <v>4.0</v>
      </c>
      <c r="AG440" s="19">
        <v>4.0</v>
      </c>
      <c r="AH440" s="19">
        <v>5.0</v>
      </c>
      <c r="AI440" s="22">
        <v>12.375</v>
      </c>
      <c r="AJ440" s="19">
        <v>15.0</v>
      </c>
      <c r="AK440" s="19">
        <v>13.0</v>
      </c>
      <c r="AL440" s="19">
        <v>12.0</v>
      </c>
      <c r="AM440" s="19">
        <v>40.0</v>
      </c>
      <c r="AN440" s="19">
        <v>52.4</v>
      </c>
      <c r="AO440" s="19">
        <v>65.4</v>
      </c>
      <c r="AP440" s="19">
        <v>807.0</v>
      </c>
      <c r="AQ440" s="23">
        <v>432.0</v>
      </c>
      <c r="AR440" s="23">
        <v>58.0</v>
      </c>
      <c r="AS440" s="22"/>
      <c r="AT440" s="19" t="s">
        <v>2282</v>
      </c>
      <c r="AU440" s="19" t="s">
        <v>9658</v>
      </c>
      <c r="AV440" s="19" t="s">
        <v>9659</v>
      </c>
      <c r="AW440" s="19" t="s">
        <v>2701</v>
      </c>
      <c r="AX440" s="20">
        <v>38565.0</v>
      </c>
      <c r="AY440" s="19" t="s">
        <v>2467</v>
      </c>
      <c r="AZ440" s="19" t="s">
        <v>2310</v>
      </c>
      <c r="BA440" s="19" t="s">
        <v>9660</v>
      </c>
      <c r="BB440" s="19" t="s">
        <v>2132</v>
      </c>
      <c r="BC440" s="19" t="s">
        <v>9661</v>
      </c>
      <c r="BD440" s="19" t="s">
        <v>9662</v>
      </c>
      <c r="BE440" s="19" t="s">
        <v>9663</v>
      </c>
      <c r="BF440" s="19">
        <v>1.1954862505E10</v>
      </c>
      <c r="BG440" s="19" t="s">
        <v>2127</v>
      </c>
      <c r="BH440" s="19" t="s">
        <v>2128</v>
      </c>
      <c r="BI440" s="19"/>
      <c r="BJ440" s="19"/>
      <c r="BK440" s="19" t="s">
        <v>16</v>
      </c>
      <c r="BL440" s="19"/>
      <c r="BM440" s="19" t="s">
        <v>5411</v>
      </c>
      <c r="BN440" s="19" t="s">
        <v>4443</v>
      </c>
      <c r="BO440" s="19" t="s">
        <v>2473</v>
      </c>
      <c r="BP440" s="19"/>
      <c r="BQ440" s="19" t="s">
        <v>2133</v>
      </c>
      <c r="BR440" s="19" t="s">
        <v>2133</v>
      </c>
      <c r="BS440" s="19" t="s">
        <v>2243</v>
      </c>
      <c r="BT440" s="19" t="s">
        <v>38</v>
      </c>
      <c r="BU440" s="19" t="s">
        <v>9664</v>
      </c>
      <c r="BV440" s="19"/>
      <c r="BW440" s="19" t="s">
        <v>2113</v>
      </c>
      <c r="BX440" s="19"/>
      <c r="BY440" s="19"/>
      <c r="BZ440" s="19"/>
      <c r="CA440" s="19"/>
      <c r="CB440" s="19" t="s">
        <v>2113</v>
      </c>
      <c r="CC440" s="19"/>
      <c r="CD440" s="19" t="s">
        <v>2137</v>
      </c>
      <c r="CE440" s="19" t="s">
        <v>16</v>
      </c>
      <c r="CF440" s="19"/>
      <c r="CG440" s="19"/>
      <c r="CH440" s="19" t="s">
        <v>16</v>
      </c>
      <c r="CI440" s="21">
        <v>0.0</v>
      </c>
      <c r="CJ440" s="19" t="s">
        <v>16</v>
      </c>
      <c r="CK440" s="19"/>
      <c r="CL440" s="19"/>
      <c r="CM440" s="19" t="s">
        <v>2926</v>
      </c>
      <c r="CN440" s="19" t="s">
        <v>2475</v>
      </c>
      <c r="CO440" s="19"/>
      <c r="CP440" s="19"/>
      <c r="CQ440" s="19"/>
      <c r="CR440" s="19" t="s">
        <v>2113</v>
      </c>
      <c r="CS440" s="19" t="s">
        <v>2113</v>
      </c>
      <c r="CT440" s="19"/>
      <c r="CU440" s="19"/>
      <c r="CV440" s="19" t="s">
        <v>2141</v>
      </c>
      <c r="CW440" s="19" t="s">
        <v>2113</v>
      </c>
      <c r="CX440" s="19" t="s">
        <v>2113</v>
      </c>
      <c r="CY440" s="19"/>
      <c r="CZ440" s="19"/>
      <c r="DA440" s="19" t="s">
        <v>16</v>
      </c>
      <c r="DB440" s="19" t="s">
        <v>16</v>
      </c>
      <c r="DC440" s="19" t="s">
        <v>2476</v>
      </c>
      <c r="DD440" s="19"/>
      <c r="DE440" s="19"/>
      <c r="DF440" s="19" t="s">
        <v>2843</v>
      </c>
      <c r="DG440" s="19" t="s">
        <v>2143</v>
      </c>
      <c r="DH440" s="19" t="s">
        <v>2144</v>
      </c>
      <c r="DI440" s="24">
        <v>45532.0</v>
      </c>
      <c r="DJ440" s="19" t="s">
        <v>2133</v>
      </c>
      <c r="DK440" s="19" t="s">
        <v>2145</v>
      </c>
      <c r="DL440" s="19" t="s">
        <v>2146</v>
      </c>
      <c r="DM440" s="19" t="s">
        <v>4101</v>
      </c>
      <c r="DN440" s="19">
        <v>15.0</v>
      </c>
      <c r="DO440" s="19">
        <v>15.0</v>
      </c>
      <c r="DP440" s="19" t="s">
        <v>9665</v>
      </c>
      <c r="DQ440" s="19" t="s">
        <v>9666</v>
      </c>
      <c r="DR440" s="19" t="s">
        <v>9667</v>
      </c>
      <c r="DS440" s="19" t="s">
        <v>2151</v>
      </c>
      <c r="DT440" s="19" t="s">
        <v>2366</v>
      </c>
      <c r="DU440" s="19"/>
      <c r="DV440" s="19"/>
      <c r="DW440" s="19" t="s">
        <v>2153</v>
      </c>
      <c r="DX440" s="19">
        <v>12.0</v>
      </c>
      <c r="DY440" s="19">
        <v>10.0</v>
      </c>
      <c r="DZ440" s="19">
        <v>0.0</v>
      </c>
      <c r="EA440" s="19">
        <v>10.0</v>
      </c>
      <c r="EB440" s="19">
        <v>0.0</v>
      </c>
      <c r="EC440" s="19">
        <v>0.0</v>
      </c>
      <c r="ED440" s="19" t="s">
        <v>2133</v>
      </c>
      <c r="EE440" s="24">
        <v>45532.0</v>
      </c>
      <c r="EF440" s="19" t="s">
        <v>2133</v>
      </c>
      <c r="EG440" s="19" t="s">
        <v>2145</v>
      </c>
      <c r="EH440" s="19" t="s">
        <v>2146</v>
      </c>
      <c r="EI440" s="22">
        <v>12.375</v>
      </c>
      <c r="EJ440" s="19">
        <v>40.0</v>
      </c>
      <c r="EK440" s="19"/>
      <c r="EL440" s="19" t="s">
        <v>2282</v>
      </c>
      <c r="EM440" s="19" t="s">
        <v>9658</v>
      </c>
      <c r="EN440" s="19" t="s">
        <v>1302</v>
      </c>
      <c r="EO440" s="19" t="s">
        <v>2467</v>
      </c>
      <c r="EP440" s="19" t="s">
        <v>2310</v>
      </c>
      <c r="EQ440" s="19" t="s">
        <v>2475</v>
      </c>
      <c r="ER440" s="19"/>
      <c r="ES440" s="19" t="s">
        <v>1302</v>
      </c>
      <c r="ET440" s="19" t="s">
        <v>1302</v>
      </c>
      <c r="EU440" s="19" t="s">
        <v>9656</v>
      </c>
      <c r="EV440" s="19">
        <v>6896.0</v>
      </c>
      <c r="EW440" s="19" t="s">
        <v>16</v>
      </c>
      <c r="EX440" s="19">
        <v>3.0</v>
      </c>
      <c r="EY440" s="25" t="s">
        <v>1301</v>
      </c>
      <c r="EZ440" s="19" t="s">
        <v>2154</v>
      </c>
      <c r="FA440" s="5" t="s">
        <v>9668</v>
      </c>
      <c r="FB440" s="26" t="s">
        <v>2156</v>
      </c>
      <c r="FC440" s="26"/>
    </row>
    <row r="441">
      <c r="A441" s="19" t="s">
        <v>2156</v>
      </c>
      <c r="B441" s="19"/>
      <c r="C441" s="19" t="s">
        <v>2113</v>
      </c>
      <c r="D441" s="19" t="s">
        <v>1303</v>
      </c>
      <c r="E441" s="19" t="s">
        <v>9669</v>
      </c>
      <c r="F441" s="19" t="s">
        <v>1303</v>
      </c>
      <c r="G441" s="19" t="s">
        <v>9669</v>
      </c>
      <c r="H441" s="19" t="s">
        <v>1303</v>
      </c>
      <c r="I441" s="19" t="s">
        <v>1305</v>
      </c>
      <c r="J441" s="19" t="s">
        <v>9670</v>
      </c>
      <c r="K441" s="19" t="s">
        <v>9671</v>
      </c>
      <c r="L441" s="20">
        <v>45436.0</v>
      </c>
      <c r="M441" s="20">
        <v>45439.0</v>
      </c>
      <c r="N441" s="20">
        <v>45439.0</v>
      </c>
      <c r="O441" s="19" t="s">
        <v>1304</v>
      </c>
      <c r="P441" s="19">
        <v>0.0</v>
      </c>
      <c r="Q441" s="19">
        <v>23.0</v>
      </c>
      <c r="R441" s="19">
        <v>8413.0</v>
      </c>
      <c r="S441" s="20" t="s">
        <v>9672</v>
      </c>
      <c r="T441" s="20">
        <v>45461.0</v>
      </c>
      <c r="U441" s="19" t="s">
        <v>1303</v>
      </c>
      <c r="V441" s="19"/>
      <c r="W441" s="19"/>
      <c r="X441" s="21">
        <v>0.0</v>
      </c>
      <c r="Y441" s="21">
        <v>10.0</v>
      </c>
      <c r="Z441" s="21">
        <v>2.0</v>
      </c>
      <c r="AA441" s="21">
        <v>0.0</v>
      </c>
      <c r="AB441" s="5">
        <v>12.0</v>
      </c>
      <c r="AC441" s="19">
        <v>5.0</v>
      </c>
      <c r="AD441" s="19">
        <v>5.0</v>
      </c>
      <c r="AE441" s="19">
        <v>5.0</v>
      </c>
      <c r="AF441" s="19">
        <v>4.5</v>
      </c>
      <c r="AG441" s="19">
        <v>4.0</v>
      </c>
      <c r="AH441" s="19">
        <v>5.0</v>
      </c>
      <c r="AI441" s="22">
        <v>14.4375</v>
      </c>
      <c r="AJ441" s="19">
        <v>13.0</v>
      </c>
      <c r="AK441" s="19">
        <v>13.0</v>
      </c>
      <c r="AL441" s="19">
        <v>13.0</v>
      </c>
      <c r="AM441" s="19">
        <v>39.0</v>
      </c>
      <c r="AN441" s="19">
        <v>53.4</v>
      </c>
      <c r="AO441" s="19">
        <v>65.4</v>
      </c>
      <c r="AP441" s="19">
        <v>861.0</v>
      </c>
      <c r="AQ441" s="23">
        <v>433.0</v>
      </c>
      <c r="AR441" s="23">
        <v>34.0</v>
      </c>
      <c r="AS441" s="22"/>
      <c r="AT441" s="19" t="s">
        <v>2163</v>
      </c>
      <c r="AU441" s="19" t="s">
        <v>9673</v>
      </c>
      <c r="AV441" s="19" t="s">
        <v>9674</v>
      </c>
      <c r="AW441" s="19" t="s">
        <v>2166</v>
      </c>
      <c r="AX441" s="20">
        <v>37048.0</v>
      </c>
      <c r="AY441" s="19" t="s">
        <v>4978</v>
      </c>
      <c r="AZ441" s="19" t="s">
        <v>2310</v>
      </c>
      <c r="BA441" s="19" t="s">
        <v>9675</v>
      </c>
      <c r="BB441" s="19" t="s">
        <v>9676</v>
      </c>
      <c r="BC441" s="19" t="s">
        <v>9677</v>
      </c>
      <c r="BD441" s="19" t="s">
        <v>9678</v>
      </c>
      <c r="BE441" s="19" t="s">
        <v>9679</v>
      </c>
      <c r="BF441" s="19" t="s">
        <v>9680</v>
      </c>
      <c r="BG441" s="19" t="s">
        <v>2127</v>
      </c>
      <c r="BH441" s="19" t="s">
        <v>2128</v>
      </c>
      <c r="BI441" s="19"/>
      <c r="BJ441" s="19"/>
      <c r="BK441" s="19" t="s">
        <v>16</v>
      </c>
      <c r="BL441" s="19"/>
      <c r="BM441" s="19" t="s">
        <v>5411</v>
      </c>
      <c r="BN441" s="19" t="s">
        <v>17</v>
      </c>
      <c r="BO441" s="19" t="s">
        <v>3199</v>
      </c>
      <c r="BP441" s="19" t="s">
        <v>9681</v>
      </c>
      <c r="BQ441" s="19" t="s">
        <v>2318</v>
      </c>
      <c r="BR441" s="19" t="s">
        <v>2318</v>
      </c>
      <c r="BS441" s="19" t="s">
        <v>2243</v>
      </c>
      <c r="BT441" s="19" t="s">
        <v>42</v>
      </c>
      <c r="BU441" s="19" t="s">
        <v>9682</v>
      </c>
      <c r="BV441" s="19"/>
      <c r="BW441" s="19"/>
      <c r="BX441" s="19" t="s">
        <v>2113</v>
      </c>
      <c r="BY441" s="19" t="s">
        <v>2113</v>
      </c>
      <c r="BZ441" s="19" t="s">
        <v>2113</v>
      </c>
      <c r="CA441" s="19" t="s">
        <v>2113</v>
      </c>
      <c r="CB441" s="19" t="s">
        <v>2113</v>
      </c>
      <c r="CC441" s="19"/>
      <c r="CD441" s="19" t="s">
        <v>2137</v>
      </c>
      <c r="CE441" s="19" t="s">
        <v>16</v>
      </c>
      <c r="CF441" s="19"/>
      <c r="CG441" s="19"/>
      <c r="CH441" s="19" t="s">
        <v>16</v>
      </c>
      <c r="CI441" s="21">
        <v>0.0</v>
      </c>
      <c r="CJ441" s="19" t="s">
        <v>17</v>
      </c>
      <c r="CK441" s="19"/>
      <c r="CL441" s="19"/>
      <c r="CM441" s="19" t="s">
        <v>2138</v>
      </c>
      <c r="CN441" s="19" t="s">
        <v>4985</v>
      </c>
      <c r="CO441" s="19"/>
      <c r="CP441" s="19"/>
      <c r="CQ441" s="19"/>
      <c r="CR441" s="19" t="s">
        <v>2113</v>
      </c>
      <c r="CS441" s="19" t="s">
        <v>2113</v>
      </c>
      <c r="CT441" s="19" t="s">
        <v>2113</v>
      </c>
      <c r="CU441" s="19" t="s">
        <v>2113</v>
      </c>
      <c r="CV441" s="19" t="s">
        <v>2141</v>
      </c>
      <c r="CW441" s="19" t="s">
        <v>2113</v>
      </c>
      <c r="CX441" s="19" t="s">
        <v>2113</v>
      </c>
      <c r="CY441" s="19"/>
      <c r="CZ441" s="19"/>
      <c r="DA441" s="19" t="s">
        <v>16</v>
      </c>
      <c r="DB441" s="19" t="s">
        <v>17</v>
      </c>
      <c r="DC441" s="19" t="s">
        <v>9683</v>
      </c>
      <c r="DD441" s="19" t="s">
        <v>2113</v>
      </c>
      <c r="DE441" s="19" t="s">
        <v>2113</v>
      </c>
      <c r="DF441" s="19" t="s">
        <v>2982</v>
      </c>
      <c r="DG441" s="19" t="s">
        <v>2983</v>
      </c>
      <c r="DH441" s="19" t="s">
        <v>2144</v>
      </c>
      <c r="DI441" s="24">
        <v>45518.0</v>
      </c>
      <c r="DJ441" s="19" t="s">
        <v>2325</v>
      </c>
      <c r="DK441" s="19" t="s">
        <v>2145</v>
      </c>
      <c r="DL441" s="19" t="s">
        <v>2326</v>
      </c>
      <c r="DM441" s="19"/>
      <c r="DN441" s="19">
        <v>3.0</v>
      </c>
      <c r="DO441" s="19">
        <v>3.0</v>
      </c>
      <c r="DP441" s="19" t="s">
        <v>9684</v>
      </c>
      <c r="DQ441" s="19" t="s">
        <v>9685</v>
      </c>
      <c r="DR441" s="19" t="s">
        <v>9686</v>
      </c>
      <c r="DS441" s="19" t="s">
        <v>2185</v>
      </c>
      <c r="DT441" s="19" t="s">
        <v>2301</v>
      </c>
      <c r="DU441" s="19"/>
      <c r="DV441" s="19"/>
      <c r="DW441" s="19" t="s">
        <v>2188</v>
      </c>
      <c r="DX441" s="19">
        <v>5.0</v>
      </c>
      <c r="DY441" s="19">
        <v>10.0</v>
      </c>
      <c r="DZ441" s="19">
        <v>0.0</v>
      </c>
      <c r="EA441" s="19">
        <v>10.0</v>
      </c>
      <c r="EB441" s="19">
        <v>0.0</v>
      </c>
      <c r="EC441" s="19">
        <v>0.0</v>
      </c>
      <c r="ED441" s="19" t="s">
        <v>2325</v>
      </c>
      <c r="EE441" s="24">
        <v>45518.0</v>
      </c>
      <c r="EF441" s="19" t="s">
        <v>2325</v>
      </c>
      <c r="EG441" s="19" t="s">
        <v>2145</v>
      </c>
      <c r="EH441" s="19" t="s">
        <v>2326</v>
      </c>
      <c r="EI441" s="22">
        <v>14.4375</v>
      </c>
      <c r="EJ441" s="19">
        <v>39.0</v>
      </c>
      <c r="EK441" s="19" t="s">
        <v>2113</v>
      </c>
      <c r="EL441" s="19" t="s">
        <v>2163</v>
      </c>
      <c r="EM441" s="19" t="s">
        <v>9673</v>
      </c>
      <c r="EN441" s="19" t="s">
        <v>1305</v>
      </c>
      <c r="EO441" s="19" t="s">
        <v>4978</v>
      </c>
      <c r="EP441" s="19" t="s">
        <v>2310</v>
      </c>
      <c r="EQ441" s="19" t="s">
        <v>4985</v>
      </c>
      <c r="ER441" s="19"/>
      <c r="ES441" s="19" t="s">
        <v>1305</v>
      </c>
      <c r="ET441" s="19" t="s">
        <v>1305</v>
      </c>
      <c r="EU441" s="19" t="s">
        <v>9671</v>
      </c>
      <c r="EV441" s="19">
        <v>8413.0</v>
      </c>
      <c r="EW441" s="19" t="s">
        <v>16</v>
      </c>
      <c r="EX441" s="19">
        <v>2.0</v>
      </c>
      <c r="EY441" s="25" t="s">
        <v>1304</v>
      </c>
      <c r="EZ441" s="19" t="s">
        <v>2154</v>
      </c>
      <c r="FA441" s="5" t="s">
        <v>9687</v>
      </c>
      <c r="FB441" s="26" t="s">
        <v>2156</v>
      </c>
      <c r="FC441" s="26"/>
    </row>
    <row r="442">
      <c r="A442" s="19" t="s">
        <v>2112</v>
      </c>
      <c r="B442" s="19"/>
      <c r="C442" s="19" t="s">
        <v>2113</v>
      </c>
      <c r="D442" s="19" t="s">
        <v>1306</v>
      </c>
      <c r="E442" s="19" t="s">
        <v>9688</v>
      </c>
      <c r="F442" s="19" t="s">
        <v>1306</v>
      </c>
      <c r="G442" s="19"/>
      <c r="H442" s="19" t="s">
        <v>1306</v>
      </c>
      <c r="I442" s="19" t="s">
        <v>1308</v>
      </c>
      <c r="J442" s="19" t="s">
        <v>9689</v>
      </c>
      <c r="K442" s="19" t="s">
        <v>9690</v>
      </c>
      <c r="L442" s="20">
        <v>45443.0</v>
      </c>
      <c r="M442" s="20">
        <v>45446.0</v>
      </c>
      <c r="N442" s="20">
        <v>45446.0</v>
      </c>
      <c r="O442" s="19" t="s">
        <v>1307</v>
      </c>
      <c r="P442" s="19">
        <v>0.0</v>
      </c>
      <c r="Q442" s="19">
        <v>21.0</v>
      </c>
      <c r="R442" s="19">
        <v>7707.0</v>
      </c>
      <c r="S442" s="20" t="s">
        <v>9691</v>
      </c>
      <c r="T442" s="20">
        <v>45461.0</v>
      </c>
      <c r="U442" s="19" t="s">
        <v>1306</v>
      </c>
      <c r="V442" s="19"/>
      <c r="W442" s="19"/>
      <c r="X442" s="21">
        <v>0.0</v>
      </c>
      <c r="Y442" s="21">
        <v>5.0</v>
      </c>
      <c r="Z442" s="21">
        <v>5.0</v>
      </c>
      <c r="AA442" s="21">
        <v>0.0</v>
      </c>
      <c r="AB442" s="5">
        <v>10.0</v>
      </c>
      <c r="AC442" s="19">
        <v>4.0</v>
      </c>
      <c r="AD442" s="19">
        <v>4.0</v>
      </c>
      <c r="AE442" s="19">
        <v>4.0</v>
      </c>
      <c r="AF442" s="19">
        <v>4.0</v>
      </c>
      <c r="AG442" s="19">
        <v>4.0</v>
      </c>
      <c r="AH442" s="19">
        <v>5.0</v>
      </c>
      <c r="AI442" s="22">
        <v>12.375</v>
      </c>
      <c r="AJ442" s="19">
        <v>13.0</v>
      </c>
      <c r="AK442" s="19">
        <v>15.0</v>
      </c>
      <c r="AL442" s="19">
        <v>15.0</v>
      </c>
      <c r="AM442" s="19">
        <v>43.0</v>
      </c>
      <c r="AN442" s="19">
        <v>55.4</v>
      </c>
      <c r="AO442" s="19">
        <v>65.4</v>
      </c>
      <c r="AP442" s="19">
        <v>962.0</v>
      </c>
      <c r="AQ442" s="23">
        <v>434.0</v>
      </c>
      <c r="AR442" s="23">
        <v>46.0</v>
      </c>
      <c r="AS442" s="22"/>
      <c r="AT442" s="19" t="s">
        <v>2282</v>
      </c>
      <c r="AU442" s="19" t="s">
        <v>9692</v>
      </c>
      <c r="AV442" s="19" t="s">
        <v>9693</v>
      </c>
      <c r="AW442" s="19"/>
      <c r="AX442" s="20">
        <v>37754.0</v>
      </c>
      <c r="AY442" s="19" t="s">
        <v>5405</v>
      </c>
      <c r="AZ442" s="19" t="s">
        <v>2310</v>
      </c>
      <c r="BA442" s="19" t="s">
        <v>9694</v>
      </c>
      <c r="BB442" s="19" t="s">
        <v>3793</v>
      </c>
      <c r="BC442" s="19" t="s">
        <v>9695</v>
      </c>
      <c r="BD442" s="19" t="s">
        <v>9696</v>
      </c>
      <c r="BE442" s="19" t="s">
        <v>9697</v>
      </c>
      <c r="BF442" s="19">
        <v>1.1976231405E10</v>
      </c>
      <c r="BG442" s="19" t="s">
        <v>3518</v>
      </c>
      <c r="BH442" s="19" t="s">
        <v>2128</v>
      </c>
      <c r="BI442" s="19"/>
      <c r="BJ442" s="19" t="s">
        <v>2427</v>
      </c>
      <c r="BK442" s="19" t="s">
        <v>17</v>
      </c>
      <c r="BL442" s="19"/>
      <c r="BM442" s="19" t="s">
        <v>5411</v>
      </c>
      <c r="BN442" s="19" t="s">
        <v>2112</v>
      </c>
      <c r="BO442" s="19" t="s">
        <v>2132</v>
      </c>
      <c r="BP442" s="19"/>
      <c r="BQ442" s="19" t="s">
        <v>2133</v>
      </c>
      <c r="BR442" s="19" t="s">
        <v>2133</v>
      </c>
      <c r="BS442" s="19" t="s">
        <v>2243</v>
      </c>
      <c r="BT442" s="19" t="s">
        <v>15</v>
      </c>
      <c r="BU442" s="19" t="s">
        <v>9698</v>
      </c>
      <c r="BV442" s="19"/>
      <c r="BW442" s="19" t="s">
        <v>2113</v>
      </c>
      <c r="BX442" s="19"/>
      <c r="BY442" s="19"/>
      <c r="BZ442" s="19"/>
      <c r="CA442" s="19"/>
      <c r="CB442" s="19"/>
      <c r="CC442" s="19"/>
      <c r="CD442" s="19" t="s">
        <v>2137</v>
      </c>
      <c r="CE442" s="19" t="s">
        <v>16</v>
      </c>
      <c r="CF442" s="19"/>
      <c r="CG442" s="19"/>
      <c r="CH442" s="19" t="s">
        <v>16</v>
      </c>
      <c r="CI442" s="21">
        <v>0.0</v>
      </c>
      <c r="CJ442" s="19" t="s">
        <v>16</v>
      </c>
      <c r="CK442" s="19"/>
      <c r="CL442" s="19"/>
      <c r="CM442" s="19" t="s">
        <v>2138</v>
      </c>
      <c r="CN442" s="19" t="s">
        <v>2139</v>
      </c>
      <c r="CO442" s="19"/>
      <c r="CP442" s="19" t="s">
        <v>2246</v>
      </c>
      <c r="CQ442" s="19"/>
      <c r="CR442" s="19" t="s">
        <v>2113</v>
      </c>
      <c r="CS442" s="19" t="s">
        <v>2113</v>
      </c>
      <c r="CT442" s="19" t="s">
        <v>2113</v>
      </c>
      <c r="CU442" s="19" t="s">
        <v>2113</v>
      </c>
      <c r="CV442" s="19" t="s">
        <v>2179</v>
      </c>
      <c r="CW442" s="19" t="s">
        <v>2113</v>
      </c>
      <c r="CX442" s="19" t="s">
        <v>2113</v>
      </c>
      <c r="CY442" s="19" t="s">
        <v>2113</v>
      </c>
      <c r="CZ442" s="19" t="s">
        <v>2113</v>
      </c>
      <c r="DA442" s="19" t="s">
        <v>16</v>
      </c>
      <c r="DB442" s="19" t="s">
        <v>16</v>
      </c>
      <c r="DC442" s="19" t="s">
        <v>8251</v>
      </c>
      <c r="DD442" s="19"/>
      <c r="DE442" s="19"/>
      <c r="DF442" s="19" t="s">
        <v>6592</v>
      </c>
      <c r="DG442" s="19" t="s">
        <v>2407</v>
      </c>
      <c r="DH442" s="19" t="s">
        <v>2144</v>
      </c>
      <c r="DI442" s="24">
        <v>45532.0</v>
      </c>
      <c r="DJ442" s="19" t="s">
        <v>2133</v>
      </c>
      <c r="DK442" s="19" t="s">
        <v>2145</v>
      </c>
      <c r="DL442" s="19" t="s">
        <v>2146</v>
      </c>
      <c r="DM442" s="19" t="s">
        <v>4101</v>
      </c>
      <c r="DN442" s="19">
        <v>15.0</v>
      </c>
      <c r="DO442" s="19">
        <v>15.0</v>
      </c>
      <c r="DP442" s="19"/>
      <c r="DQ442" s="19"/>
      <c r="DR442" s="19"/>
      <c r="DS442" s="19" t="s">
        <v>2151</v>
      </c>
      <c r="DT442" s="19" t="s">
        <v>2152</v>
      </c>
      <c r="DU442" s="19" t="s">
        <v>9699</v>
      </c>
      <c r="DV442" s="19"/>
      <c r="DW442" s="19" t="s">
        <v>2153</v>
      </c>
      <c r="DX442" s="19">
        <v>12.0</v>
      </c>
      <c r="DY442" s="19">
        <v>5.0</v>
      </c>
      <c r="DZ442" s="19">
        <v>0.0</v>
      </c>
      <c r="EA442" s="19">
        <v>5.0</v>
      </c>
      <c r="EB442" s="19">
        <v>0.0</v>
      </c>
      <c r="EC442" s="19">
        <v>0.0</v>
      </c>
      <c r="ED442" s="19" t="s">
        <v>2133</v>
      </c>
      <c r="EE442" s="24">
        <v>45532.0</v>
      </c>
      <c r="EF442" s="19" t="s">
        <v>2133</v>
      </c>
      <c r="EG442" s="19" t="s">
        <v>2145</v>
      </c>
      <c r="EH442" s="19" t="s">
        <v>2146</v>
      </c>
      <c r="EI442" s="22">
        <v>12.375</v>
      </c>
      <c r="EJ442" s="19">
        <v>43.0</v>
      </c>
      <c r="EK442" s="19"/>
      <c r="EL442" s="19" t="s">
        <v>2282</v>
      </c>
      <c r="EM442" s="19" t="s">
        <v>9692</v>
      </c>
      <c r="EN442" s="19" t="s">
        <v>1308</v>
      </c>
      <c r="EO442" s="19" t="s">
        <v>5405</v>
      </c>
      <c r="EP442" s="19" t="s">
        <v>2310</v>
      </c>
      <c r="EQ442" s="19" t="s">
        <v>2139</v>
      </c>
      <c r="ER442" s="19"/>
      <c r="ES442" s="19" t="s">
        <v>1308</v>
      </c>
      <c r="ET442" s="19" t="s">
        <v>1308</v>
      </c>
      <c r="EU442" s="19" t="s">
        <v>9690</v>
      </c>
      <c r="EV442" s="19">
        <v>7707.0</v>
      </c>
      <c r="EW442" s="19" t="s">
        <v>16</v>
      </c>
      <c r="EX442" s="19">
        <v>5.0</v>
      </c>
      <c r="EY442" s="25" t="s">
        <v>1307</v>
      </c>
      <c r="EZ442" s="19" t="s">
        <v>2154</v>
      </c>
      <c r="FA442" s="5" t="s">
        <v>9700</v>
      </c>
      <c r="FB442" s="26" t="s">
        <v>2156</v>
      </c>
      <c r="FC442" s="26"/>
    </row>
    <row r="443">
      <c r="A443" s="19" t="s">
        <v>2112</v>
      </c>
      <c r="B443" s="19"/>
      <c r="C443" s="19" t="s">
        <v>2113</v>
      </c>
      <c r="D443" s="19" t="s">
        <v>1309</v>
      </c>
      <c r="E443" s="19" t="s">
        <v>9701</v>
      </c>
      <c r="F443" s="19" t="s">
        <v>1309</v>
      </c>
      <c r="G443" s="19"/>
      <c r="H443" s="19" t="s">
        <v>1309</v>
      </c>
      <c r="I443" s="19" t="s">
        <v>1311</v>
      </c>
      <c r="J443" s="19" t="s">
        <v>9702</v>
      </c>
      <c r="K443" s="19" t="s">
        <v>9703</v>
      </c>
      <c r="L443" s="20">
        <v>45460.0</v>
      </c>
      <c r="M443" s="20">
        <v>45462.0</v>
      </c>
      <c r="N443" s="20">
        <v>45462.0</v>
      </c>
      <c r="O443" s="19" t="s">
        <v>1310</v>
      </c>
      <c r="P443" s="19">
        <v>0.0</v>
      </c>
      <c r="Q443" s="19">
        <v>19.0</v>
      </c>
      <c r="R443" s="19">
        <v>7271.0</v>
      </c>
      <c r="S443" s="20" t="s">
        <v>7716</v>
      </c>
      <c r="T443" s="20">
        <v>45461.0</v>
      </c>
      <c r="U443" s="19" t="s">
        <v>1309</v>
      </c>
      <c r="V443" s="19"/>
      <c r="W443" s="19"/>
      <c r="X443" s="21">
        <v>0.0</v>
      </c>
      <c r="Y443" s="21">
        <v>10.0</v>
      </c>
      <c r="Z443" s="21">
        <v>4.0</v>
      </c>
      <c r="AA443" s="21">
        <v>0.0</v>
      </c>
      <c r="AB443" s="5">
        <v>14.0</v>
      </c>
      <c r="AC443" s="19">
        <v>3.8</v>
      </c>
      <c r="AD443" s="19">
        <v>3.6</v>
      </c>
      <c r="AE443" s="19">
        <v>4.2</v>
      </c>
      <c r="AF443" s="19">
        <v>3.6</v>
      </c>
      <c r="AG443" s="19">
        <v>3.4</v>
      </c>
      <c r="AH443" s="19">
        <v>3.6</v>
      </c>
      <c r="AI443" s="22">
        <v>11.26875</v>
      </c>
      <c r="AJ443" s="19">
        <v>15.0</v>
      </c>
      <c r="AK443" s="19">
        <v>12.0</v>
      </c>
      <c r="AL443" s="19">
        <v>13.0</v>
      </c>
      <c r="AM443" s="19">
        <v>40.0</v>
      </c>
      <c r="AN443" s="19">
        <v>51.3</v>
      </c>
      <c r="AO443" s="19">
        <v>65.3</v>
      </c>
      <c r="AP443" s="19">
        <v>626.0</v>
      </c>
      <c r="AQ443" s="23">
        <v>435.0</v>
      </c>
      <c r="AR443" s="23">
        <v>33.0</v>
      </c>
      <c r="AS443" s="22"/>
      <c r="AT443" s="19" t="s">
        <v>2117</v>
      </c>
      <c r="AU443" s="19" t="s">
        <v>5205</v>
      </c>
      <c r="AV443" s="19" t="s">
        <v>5206</v>
      </c>
      <c r="AW443" s="19" t="s">
        <v>3923</v>
      </c>
      <c r="AX443" s="20">
        <v>38190.0</v>
      </c>
      <c r="AY443" s="19" t="s">
        <v>4876</v>
      </c>
      <c r="AZ443" s="19" t="s">
        <v>2122</v>
      </c>
      <c r="BA443" s="19" t="s">
        <v>5208</v>
      </c>
      <c r="BB443" s="19" t="s">
        <v>7986</v>
      </c>
      <c r="BC443" s="19" t="s">
        <v>9704</v>
      </c>
      <c r="BD443" s="19" t="s">
        <v>9705</v>
      </c>
      <c r="BE443" s="19" t="s">
        <v>9706</v>
      </c>
      <c r="BF443" s="19">
        <v>1.196806613E10</v>
      </c>
      <c r="BG443" s="19" t="s">
        <v>2127</v>
      </c>
      <c r="BH443" s="19" t="s">
        <v>2128</v>
      </c>
      <c r="BI443" s="19"/>
      <c r="BJ443" s="19"/>
      <c r="BK443" s="19" t="s">
        <v>16</v>
      </c>
      <c r="BL443" s="19"/>
      <c r="BM443" s="19" t="s">
        <v>5411</v>
      </c>
      <c r="BN443" s="19" t="s">
        <v>17</v>
      </c>
      <c r="BO443" s="19" t="s">
        <v>2317</v>
      </c>
      <c r="BP443" s="19"/>
      <c r="BQ443" s="19" t="s">
        <v>2174</v>
      </c>
      <c r="BR443" s="19" t="s">
        <v>2174</v>
      </c>
      <c r="BS443" s="19" t="s">
        <v>2243</v>
      </c>
      <c r="BT443" s="19" t="s">
        <v>75</v>
      </c>
      <c r="BU443" s="19" t="s">
        <v>9707</v>
      </c>
      <c r="BV443" s="19"/>
      <c r="BW443" s="19"/>
      <c r="BX443" s="19"/>
      <c r="BY443" s="19"/>
      <c r="BZ443" s="19"/>
      <c r="CA443" s="19"/>
      <c r="CB443" s="19"/>
      <c r="CC443" s="19"/>
      <c r="CD443" s="19" t="s">
        <v>2137</v>
      </c>
      <c r="CE443" s="19" t="s">
        <v>16</v>
      </c>
      <c r="CF443" s="19"/>
      <c r="CG443" s="19"/>
      <c r="CH443" s="19" t="s">
        <v>16</v>
      </c>
      <c r="CI443" s="21">
        <v>0.0</v>
      </c>
      <c r="CJ443" s="19" t="s">
        <v>17</v>
      </c>
      <c r="CK443" s="19"/>
      <c r="CL443" s="19"/>
      <c r="CM443" s="19" t="s">
        <v>2926</v>
      </c>
      <c r="CN443" s="19" t="s">
        <v>4884</v>
      </c>
      <c r="CO443" s="19"/>
      <c r="CP443" s="19"/>
      <c r="CQ443" s="19"/>
      <c r="CR443" s="19" t="s">
        <v>2113</v>
      </c>
      <c r="CS443" s="19" t="s">
        <v>2113</v>
      </c>
      <c r="CT443" s="19"/>
      <c r="CU443" s="19"/>
      <c r="CV443" s="19" t="s">
        <v>2141</v>
      </c>
      <c r="CW443" s="19" t="s">
        <v>2113</v>
      </c>
      <c r="CX443" s="19" t="s">
        <v>2113</v>
      </c>
      <c r="CY443" s="19" t="s">
        <v>2113</v>
      </c>
      <c r="CZ443" s="19" t="s">
        <v>2113</v>
      </c>
      <c r="DA443" s="19" t="s">
        <v>16</v>
      </c>
      <c r="DB443" s="19" t="s">
        <v>17</v>
      </c>
      <c r="DC443" s="19" t="s">
        <v>4044</v>
      </c>
      <c r="DD443" s="19"/>
      <c r="DE443" s="19"/>
      <c r="DF443" s="19" t="s">
        <v>2538</v>
      </c>
      <c r="DG443" s="19" t="s">
        <v>4042</v>
      </c>
      <c r="DH443" s="19" t="s">
        <v>2144</v>
      </c>
      <c r="DI443" s="24">
        <v>45519.0</v>
      </c>
      <c r="DJ443" s="19" t="s">
        <v>2174</v>
      </c>
      <c r="DK443" s="19" t="s">
        <v>2145</v>
      </c>
      <c r="DL443" s="19" t="s">
        <v>2183</v>
      </c>
      <c r="DM443" s="19" t="s">
        <v>4885</v>
      </c>
      <c r="DN443" s="19">
        <v>5.0</v>
      </c>
      <c r="DO443" s="19">
        <v>5.0</v>
      </c>
      <c r="DP443" s="19" t="s">
        <v>9708</v>
      </c>
      <c r="DQ443" s="19" t="s">
        <v>9709</v>
      </c>
      <c r="DR443" s="19" t="s">
        <v>9710</v>
      </c>
      <c r="DS443" s="19" t="s">
        <v>2151</v>
      </c>
      <c r="DT443" s="19" t="s">
        <v>2350</v>
      </c>
      <c r="DU443" s="19"/>
      <c r="DV443" s="19"/>
      <c r="DW443" s="19" t="s">
        <v>2153</v>
      </c>
      <c r="DX443" s="19">
        <v>14.0</v>
      </c>
      <c r="DY443" s="19">
        <v>10.0</v>
      </c>
      <c r="DZ443" s="19">
        <v>0.0</v>
      </c>
      <c r="EA443" s="19">
        <v>10.0</v>
      </c>
      <c r="EB443" s="19">
        <v>0.0</v>
      </c>
      <c r="EC443" s="19">
        <v>0.0</v>
      </c>
      <c r="ED443" s="19" t="s">
        <v>2174</v>
      </c>
      <c r="EE443" s="24">
        <v>45519.0</v>
      </c>
      <c r="EF443" s="19" t="s">
        <v>2174</v>
      </c>
      <c r="EG443" s="19" t="s">
        <v>2145</v>
      </c>
      <c r="EH443" s="19" t="s">
        <v>2183</v>
      </c>
      <c r="EI443" s="22">
        <v>11.26875</v>
      </c>
      <c r="EJ443" s="19">
        <v>40.0</v>
      </c>
      <c r="EK443" s="19" t="s">
        <v>2113</v>
      </c>
      <c r="EL443" s="19" t="s">
        <v>2117</v>
      </c>
      <c r="EM443" s="19" t="s">
        <v>5205</v>
      </c>
      <c r="EN443" s="19" t="s">
        <v>1311</v>
      </c>
      <c r="EO443" s="19" t="s">
        <v>4876</v>
      </c>
      <c r="EP443" s="19" t="s">
        <v>2122</v>
      </c>
      <c r="EQ443" s="19" t="s">
        <v>4884</v>
      </c>
      <c r="ER443" s="19"/>
      <c r="ES443" s="19" t="s">
        <v>1311</v>
      </c>
      <c r="ET443" s="19" t="s">
        <v>1311</v>
      </c>
      <c r="EU443" s="19" t="s">
        <v>9703</v>
      </c>
      <c r="EV443" s="19">
        <v>7271.0</v>
      </c>
      <c r="EW443" s="19" t="s">
        <v>16</v>
      </c>
      <c r="EX443" s="19">
        <v>4.0</v>
      </c>
      <c r="EY443" s="25" t="s">
        <v>1310</v>
      </c>
      <c r="EZ443" s="19" t="s">
        <v>2154</v>
      </c>
      <c r="FA443" s="5" t="s">
        <v>9711</v>
      </c>
      <c r="FB443" s="26" t="s">
        <v>2156</v>
      </c>
      <c r="FC443" s="26"/>
    </row>
    <row r="444">
      <c r="A444" s="19" t="s">
        <v>17</v>
      </c>
      <c r="B444" s="19"/>
      <c r="C444" s="19" t="s">
        <v>2113</v>
      </c>
      <c r="D444" s="19" t="s">
        <v>9712</v>
      </c>
      <c r="E444" s="19" t="s">
        <v>9713</v>
      </c>
      <c r="F444" s="19" t="s">
        <v>9714</v>
      </c>
      <c r="G444" s="19" t="s">
        <v>9714</v>
      </c>
      <c r="H444" s="19" t="s">
        <v>1312</v>
      </c>
      <c r="I444" s="19" t="s">
        <v>1313</v>
      </c>
      <c r="J444" s="19" t="s">
        <v>9715</v>
      </c>
      <c r="K444" s="19" t="s">
        <v>9716</v>
      </c>
      <c r="L444" s="20">
        <v>45445.0</v>
      </c>
      <c r="M444" s="20">
        <v>45446.0</v>
      </c>
      <c r="N444" s="20">
        <v>45446.0</v>
      </c>
      <c r="O444" s="19">
        <v>3.2830736E7</v>
      </c>
      <c r="P444" s="19">
        <v>0.0</v>
      </c>
      <c r="Q444" s="19">
        <v>20.0</v>
      </c>
      <c r="R444" s="19">
        <v>7392.0</v>
      </c>
      <c r="S444" s="20" t="s">
        <v>9717</v>
      </c>
      <c r="T444" s="20">
        <v>45461.0</v>
      </c>
      <c r="U444" s="19" t="s">
        <v>9714</v>
      </c>
      <c r="V444" s="19"/>
      <c r="W444" s="19"/>
      <c r="X444" s="21">
        <v>0.0</v>
      </c>
      <c r="Y444" s="21">
        <v>10.0</v>
      </c>
      <c r="Z444" s="21">
        <v>3.0</v>
      </c>
      <c r="AA444" s="21">
        <v>0.0</v>
      </c>
      <c r="AB444" s="5">
        <v>13.0</v>
      </c>
      <c r="AC444" s="19">
        <v>3.0</v>
      </c>
      <c r="AD444" s="19">
        <v>3.0</v>
      </c>
      <c r="AE444" s="19">
        <v>3.0</v>
      </c>
      <c r="AF444" s="19">
        <v>2.0</v>
      </c>
      <c r="AG444" s="19">
        <v>2.0</v>
      </c>
      <c r="AH444" s="19">
        <v>3.0</v>
      </c>
      <c r="AI444" s="22">
        <v>8.25</v>
      </c>
      <c r="AJ444" s="19">
        <v>15.0</v>
      </c>
      <c r="AK444" s="19">
        <v>14.0</v>
      </c>
      <c r="AL444" s="19">
        <v>15.0</v>
      </c>
      <c r="AM444" s="19">
        <v>44.0</v>
      </c>
      <c r="AN444" s="19">
        <v>52.3</v>
      </c>
      <c r="AO444" s="19">
        <v>65.3</v>
      </c>
      <c r="AP444" s="19">
        <v>770.0</v>
      </c>
      <c r="AQ444" s="23">
        <v>436.0</v>
      </c>
      <c r="AR444" s="23">
        <v>59.0</v>
      </c>
      <c r="AS444" s="22"/>
      <c r="AT444" s="19" t="s">
        <v>2163</v>
      </c>
      <c r="AU444" s="19" t="s">
        <v>3015</v>
      </c>
      <c r="AV444" s="19" t="s">
        <v>9718</v>
      </c>
      <c r="AW444" s="19" t="s">
        <v>3923</v>
      </c>
      <c r="AX444" s="20">
        <v>38069.0</v>
      </c>
      <c r="AY444" s="19" t="s">
        <v>3015</v>
      </c>
      <c r="AZ444" s="19" t="s">
        <v>2445</v>
      </c>
      <c r="BA444" s="19" t="s">
        <v>9719</v>
      </c>
      <c r="BB444" s="19">
        <v>539.0</v>
      </c>
      <c r="BC444" s="19" t="s">
        <v>9720</v>
      </c>
      <c r="BD444" s="19" t="s">
        <v>9721</v>
      </c>
      <c r="BE444" s="19"/>
      <c r="BF444" s="19"/>
      <c r="BG444" s="19" t="s">
        <v>2127</v>
      </c>
      <c r="BH444" s="19" t="s">
        <v>2128</v>
      </c>
      <c r="BI444" s="19"/>
      <c r="BJ444" s="19" t="s">
        <v>2128</v>
      </c>
      <c r="BK444" s="19" t="s">
        <v>17</v>
      </c>
      <c r="BL444" s="19" t="s">
        <v>2113</v>
      </c>
      <c r="BM444" s="19" t="s">
        <v>5411</v>
      </c>
      <c r="BN444" s="19" t="s">
        <v>17</v>
      </c>
      <c r="BO444" s="19">
        <v>3.0</v>
      </c>
      <c r="BP444" s="19" t="s">
        <v>9722</v>
      </c>
      <c r="BQ444" s="19" t="s">
        <v>2133</v>
      </c>
      <c r="BR444" s="19" t="s">
        <v>2133</v>
      </c>
      <c r="BS444" s="19" t="s">
        <v>2134</v>
      </c>
      <c r="BT444" s="19" t="s">
        <v>38</v>
      </c>
      <c r="BU444" s="19" t="s">
        <v>9723</v>
      </c>
      <c r="BV444" s="19"/>
      <c r="BW444" s="19"/>
      <c r="BX444" s="19"/>
      <c r="BY444" s="19"/>
      <c r="BZ444" s="19"/>
      <c r="CA444" s="19"/>
      <c r="CB444" s="19" t="s">
        <v>2113</v>
      </c>
      <c r="CC444" s="19"/>
      <c r="CD444" s="19" t="s">
        <v>2137</v>
      </c>
      <c r="CE444" s="19" t="s">
        <v>16</v>
      </c>
      <c r="CF444" s="19"/>
      <c r="CG444" s="19"/>
      <c r="CH444" s="19" t="s">
        <v>16</v>
      </c>
      <c r="CI444" s="21">
        <v>0.0</v>
      </c>
      <c r="CJ444" s="19" t="s">
        <v>17</v>
      </c>
      <c r="CK444" s="19"/>
      <c r="CL444" s="19"/>
      <c r="CM444" s="19" t="s">
        <v>2926</v>
      </c>
      <c r="CN444" s="19" t="s">
        <v>3020</v>
      </c>
      <c r="CO444" s="19"/>
      <c r="CP444" s="19" t="s">
        <v>2267</v>
      </c>
      <c r="CQ444" s="19"/>
      <c r="CR444" s="19" t="s">
        <v>2113</v>
      </c>
      <c r="CS444" s="19" t="s">
        <v>2113</v>
      </c>
      <c r="CT444" s="19" t="s">
        <v>2113</v>
      </c>
      <c r="CU444" s="19" t="s">
        <v>2113</v>
      </c>
      <c r="CV444" s="19" t="s">
        <v>2141</v>
      </c>
      <c r="CW444" s="19" t="s">
        <v>2113</v>
      </c>
      <c r="CX444" s="19" t="s">
        <v>2113</v>
      </c>
      <c r="CY444" s="19" t="s">
        <v>2113</v>
      </c>
      <c r="CZ444" s="19" t="s">
        <v>2113</v>
      </c>
      <c r="DA444" s="19" t="s">
        <v>16</v>
      </c>
      <c r="DB444" s="19" t="s">
        <v>17</v>
      </c>
      <c r="DC444" s="19" t="s">
        <v>2578</v>
      </c>
      <c r="DD444" s="19" t="s">
        <v>2113</v>
      </c>
      <c r="DE444" s="19" t="s">
        <v>2113</v>
      </c>
      <c r="DF444" s="19" t="s">
        <v>2433</v>
      </c>
      <c r="DG444" s="19" t="s">
        <v>2142</v>
      </c>
      <c r="DH444" s="19" t="s">
        <v>2144</v>
      </c>
      <c r="DI444" s="24">
        <v>45517.0</v>
      </c>
      <c r="DJ444" s="19" t="s">
        <v>2133</v>
      </c>
      <c r="DK444" s="19" t="s">
        <v>2271</v>
      </c>
      <c r="DL444" s="19" t="s">
        <v>2146</v>
      </c>
      <c r="DM444" s="19"/>
      <c r="DN444" s="19">
        <v>2.0</v>
      </c>
      <c r="DO444" s="19">
        <v>2.0</v>
      </c>
      <c r="DP444" s="19" t="s">
        <v>9724</v>
      </c>
      <c r="DQ444" s="19" t="s">
        <v>9725</v>
      </c>
      <c r="DR444" s="19" t="s">
        <v>9726</v>
      </c>
      <c r="DS444" s="19" t="s">
        <v>2185</v>
      </c>
      <c r="DT444" s="19" t="s">
        <v>2229</v>
      </c>
      <c r="DU444" s="19"/>
      <c r="DV444" s="19"/>
      <c r="DW444" s="19" t="s">
        <v>2153</v>
      </c>
      <c r="DX444" s="19">
        <v>1.0</v>
      </c>
      <c r="DY444" s="19">
        <v>10.0</v>
      </c>
      <c r="DZ444" s="19">
        <v>0.0</v>
      </c>
      <c r="EA444" s="19">
        <v>10.0</v>
      </c>
      <c r="EB444" s="19">
        <v>0.0</v>
      </c>
      <c r="EC444" s="19">
        <v>0.0</v>
      </c>
      <c r="ED444" s="19" t="s">
        <v>2133</v>
      </c>
      <c r="EE444" s="24">
        <v>45517.0</v>
      </c>
      <c r="EF444" s="19" t="s">
        <v>2133</v>
      </c>
      <c r="EG444" s="19" t="s">
        <v>2271</v>
      </c>
      <c r="EH444" s="19" t="s">
        <v>2146</v>
      </c>
      <c r="EI444" s="22">
        <v>8.25</v>
      </c>
      <c r="EJ444" s="19">
        <v>44.0</v>
      </c>
      <c r="EK444" s="19" t="s">
        <v>2113</v>
      </c>
      <c r="EL444" s="19" t="s">
        <v>2163</v>
      </c>
      <c r="EM444" s="19" t="s">
        <v>3015</v>
      </c>
      <c r="EN444" s="19" t="s">
        <v>1313</v>
      </c>
      <c r="EO444" s="19" t="s">
        <v>3015</v>
      </c>
      <c r="EP444" s="19" t="s">
        <v>2445</v>
      </c>
      <c r="EQ444" s="19" t="s">
        <v>3020</v>
      </c>
      <c r="ER444" s="19"/>
      <c r="ES444" s="19" t="s">
        <v>1313</v>
      </c>
      <c r="ET444" s="19" t="s">
        <v>1313</v>
      </c>
      <c r="EU444" s="19" t="s">
        <v>9716</v>
      </c>
      <c r="EV444" s="19">
        <v>7392.0</v>
      </c>
      <c r="EW444" s="19" t="s">
        <v>16</v>
      </c>
      <c r="EX444" s="19">
        <v>3.0</v>
      </c>
      <c r="EY444" s="25" t="s">
        <v>9727</v>
      </c>
      <c r="EZ444" s="19" t="s">
        <v>2154</v>
      </c>
      <c r="FA444" s="5" t="s">
        <v>9728</v>
      </c>
      <c r="FB444" s="26" t="s">
        <v>2156</v>
      </c>
      <c r="FC444" s="26"/>
    </row>
    <row r="445">
      <c r="A445" s="19" t="s">
        <v>2156</v>
      </c>
      <c r="B445" s="19"/>
      <c r="C445" s="19" t="s">
        <v>2113</v>
      </c>
      <c r="D445" s="19" t="s">
        <v>1314</v>
      </c>
      <c r="E445" s="19" t="s">
        <v>9729</v>
      </c>
      <c r="F445" s="19" t="s">
        <v>1314</v>
      </c>
      <c r="G445" s="19"/>
      <c r="H445" s="19" t="s">
        <v>1314</v>
      </c>
      <c r="I445" s="19" t="s">
        <v>1316</v>
      </c>
      <c r="J445" s="19" t="s">
        <v>9730</v>
      </c>
      <c r="K445" s="19" t="s">
        <v>9731</v>
      </c>
      <c r="L445" s="20">
        <v>45397.0</v>
      </c>
      <c r="M445" s="20">
        <v>45411.0</v>
      </c>
      <c r="N445" s="20">
        <v>45411.0</v>
      </c>
      <c r="O445" s="19" t="s">
        <v>1315</v>
      </c>
      <c r="P445" s="19">
        <v>0.0</v>
      </c>
      <c r="Q445" s="19">
        <v>22.0</v>
      </c>
      <c r="R445" s="19">
        <v>8180.0</v>
      </c>
      <c r="S445" s="20" t="s">
        <v>9732</v>
      </c>
      <c r="T445" s="20">
        <v>45461.0</v>
      </c>
      <c r="U445" s="19" t="s">
        <v>1314</v>
      </c>
      <c r="V445" s="19"/>
      <c r="W445" s="19"/>
      <c r="X445" s="21">
        <v>0.0</v>
      </c>
      <c r="Y445" s="21">
        <v>0.0</v>
      </c>
      <c r="Z445" s="21">
        <v>5.0</v>
      </c>
      <c r="AA445" s="21">
        <v>3.0</v>
      </c>
      <c r="AB445" s="5">
        <v>8.0</v>
      </c>
      <c r="AC445" s="19">
        <v>4.0</v>
      </c>
      <c r="AD445" s="19">
        <v>4.5</v>
      </c>
      <c r="AE445" s="19">
        <v>4.0</v>
      </c>
      <c r="AF445" s="19">
        <v>4.0</v>
      </c>
      <c r="AG445" s="19">
        <v>3.0</v>
      </c>
      <c r="AH445" s="19">
        <v>5.0</v>
      </c>
      <c r="AI445" s="22">
        <v>12.328125</v>
      </c>
      <c r="AJ445" s="19">
        <v>15.0</v>
      </c>
      <c r="AK445" s="19">
        <v>15.0</v>
      </c>
      <c r="AL445" s="19">
        <v>15.0</v>
      </c>
      <c r="AM445" s="19">
        <v>45.0</v>
      </c>
      <c r="AN445" s="19">
        <v>57.3</v>
      </c>
      <c r="AO445" s="19">
        <v>65.3</v>
      </c>
      <c r="AP445" s="19">
        <v>997.0</v>
      </c>
      <c r="AQ445" s="23">
        <v>437.0</v>
      </c>
      <c r="AR445" s="23">
        <v>37.0</v>
      </c>
      <c r="AS445" s="22" t="s">
        <v>2642</v>
      </c>
      <c r="AT445" s="19" t="s">
        <v>2117</v>
      </c>
      <c r="AU445" s="19" t="s">
        <v>2485</v>
      </c>
      <c r="AV445" s="19" t="s">
        <v>9733</v>
      </c>
      <c r="AW445" s="19"/>
      <c r="AX445" s="20">
        <v>37281.0</v>
      </c>
      <c r="AY445" s="19" t="s">
        <v>2487</v>
      </c>
      <c r="AZ445" s="19" t="s">
        <v>2122</v>
      </c>
      <c r="BA445" s="19" t="s">
        <v>9734</v>
      </c>
      <c r="BB445" s="19" t="s">
        <v>3756</v>
      </c>
      <c r="BC445" s="19" t="s">
        <v>9735</v>
      </c>
      <c r="BD445" s="19" t="s">
        <v>9736</v>
      </c>
      <c r="BE445" s="19"/>
      <c r="BF445" s="19"/>
      <c r="BG445" s="19" t="s">
        <v>2127</v>
      </c>
      <c r="BH445" s="19" t="s">
        <v>2649</v>
      </c>
      <c r="BI445" s="19"/>
      <c r="BJ445" s="19"/>
      <c r="BK445" s="19" t="s">
        <v>16</v>
      </c>
      <c r="BL445" s="19"/>
      <c r="BM445" s="19" t="s">
        <v>5411</v>
      </c>
      <c r="BN445" s="19" t="s">
        <v>17</v>
      </c>
      <c r="BO445" s="19" t="s">
        <v>2132</v>
      </c>
      <c r="BP445" s="19"/>
      <c r="BQ445" s="19" t="s">
        <v>2325</v>
      </c>
      <c r="BR445" s="19" t="s">
        <v>2325</v>
      </c>
      <c r="BS445" s="19" t="s">
        <v>3521</v>
      </c>
      <c r="BT445" s="19" t="s">
        <v>59</v>
      </c>
      <c r="BU445" s="19" t="s">
        <v>9737</v>
      </c>
      <c r="BV445" s="19"/>
      <c r="BW445" s="19" t="s">
        <v>2113</v>
      </c>
      <c r="BX445" s="19"/>
      <c r="BY445" s="19"/>
      <c r="BZ445" s="19"/>
      <c r="CA445" s="19"/>
      <c r="CB445" s="19" t="s">
        <v>2113</v>
      </c>
      <c r="CC445" s="19"/>
      <c r="CD445" s="19" t="s">
        <v>2137</v>
      </c>
      <c r="CE445" s="19" t="s">
        <v>16</v>
      </c>
      <c r="CF445" s="19"/>
      <c r="CG445" s="19"/>
      <c r="CH445" s="19" t="s">
        <v>17</v>
      </c>
      <c r="CI445" s="21">
        <v>3.0</v>
      </c>
      <c r="CJ445" s="19" t="s">
        <v>17</v>
      </c>
      <c r="CK445" s="19"/>
      <c r="CL445" s="19"/>
      <c r="CM445" s="19" t="s">
        <v>2138</v>
      </c>
      <c r="CN445" s="19" t="s">
        <v>2431</v>
      </c>
      <c r="CO445" s="19"/>
      <c r="CP445" s="19" t="s">
        <v>2140</v>
      </c>
      <c r="CQ445" s="19"/>
      <c r="CR445" s="19"/>
      <c r="CS445" s="19"/>
      <c r="CT445" s="19"/>
      <c r="CU445" s="19"/>
      <c r="CV445" s="19" t="s">
        <v>2141</v>
      </c>
      <c r="CW445" s="19" t="s">
        <v>2113</v>
      </c>
      <c r="CX445" s="19" t="s">
        <v>2113</v>
      </c>
      <c r="CY445" s="19" t="s">
        <v>2113</v>
      </c>
      <c r="CZ445" s="19" t="s">
        <v>2113</v>
      </c>
      <c r="DA445" s="19" t="s">
        <v>16</v>
      </c>
      <c r="DB445" s="19" t="s">
        <v>17</v>
      </c>
      <c r="DC445" s="19" t="s">
        <v>2497</v>
      </c>
      <c r="DD445" s="19" t="s">
        <v>2113</v>
      </c>
      <c r="DE445" s="19" t="s">
        <v>2113</v>
      </c>
      <c r="DF445" s="19" t="s">
        <v>2433</v>
      </c>
      <c r="DG445" s="19" t="s">
        <v>2432</v>
      </c>
      <c r="DH445" s="19" t="s">
        <v>2144</v>
      </c>
      <c r="DI445" s="24">
        <v>45517.0</v>
      </c>
      <c r="DJ445" s="19" t="s">
        <v>2325</v>
      </c>
      <c r="DK445" s="19" t="s">
        <v>2145</v>
      </c>
      <c r="DL445" s="19" t="s">
        <v>2326</v>
      </c>
      <c r="DM445" s="19"/>
      <c r="DN445" s="19">
        <v>1.0</v>
      </c>
      <c r="DO445" s="19">
        <v>1.0</v>
      </c>
      <c r="DP445" s="19" t="s">
        <v>9738</v>
      </c>
      <c r="DQ445" s="19" t="s">
        <v>9739</v>
      </c>
      <c r="DR445" s="19" t="s">
        <v>9740</v>
      </c>
      <c r="DS445" s="19" t="s">
        <v>2185</v>
      </c>
      <c r="DT445" s="19" t="s">
        <v>2152</v>
      </c>
      <c r="DU445" s="19"/>
      <c r="DV445" s="19"/>
      <c r="DW445" s="19" t="s">
        <v>2153</v>
      </c>
      <c r="DX445" s="19">
        <v>2.0</v>
      </c>
      <c r="DY445" s="19">
        <v>0.0</v>
      </c>
      <c r="DZ445" s="19">
        <v>0.0</v>
      </c>
      <c r="EA445" s="19">
        <v>0.0</v>
      </c>
      <c r="EB445" s="19">
        <v>3.0</v>
      </c>
      <c r="EC445" s="19">
        <v>0.0</v>
      </c>
      <c r="ED445" s="19" t="s">
        <v>2325</v>
      </c>
      <c r="EE445" s="24">
        <v>45517.0</v>
      </c>
      <c r="EF445" s="19" t="s">
        <v>2325</v>
      </c>
      <c r="EG445" s="19" t="s">
        <v>2145</v>
      </c>
      <c r="EH445" s="19" t="s">
        <v>2326</v>
      </c>
      <c r="EI445" s="22">
        <v>12.328125</v>
      </c>
      <c r="EJ445" s="19">
        <v>45.0</v>
      </c>
      <c r="EK445" s="19" t="s">
        <v>2113</v>
      </c>
      <c r="EL445" s="19" t="s">
        <v>2117</v>
      </c>
      <c r="EM445" s="19" t="s">
        <v>2485</v>
      </c>
      <c r="EN445" s="19" t="s">
        <v>1316</v>
      </c>
      <c r="EO445" s="19" t="s">
        <v>2487</v>
      </c>
      <c r="EP445" s="19" t="s">
        <v>2122</v>
      </c>
      <c r="EQ445" s="19" t="s">
        <v>2431</v>
      </c>
      <c r="ER445" s="19"/>
      <c r="ES445" s="19" t="s">
        <v>1316</v>
      </c>
      <c r="ET445" s="19" t="s">
        <v>1316</v>
      </c>
      <c r="EU445" s="19" t="s">
        <v>9731</v>
      </c>
      <c r="EV445" s="19">
        <v>8180.0</v>
      </c>
      <c r="EW445" s="19" t="s">
        <v>16</v>
      </c>
      <c r="EX445" s="19">
        <v>5.0</v>
      </c>
      <c r="EY445" s="25" t="s">
        <v>1315</v>
      </c>
      <c r="EZ445" s="19" t="s">
        <v>2154</v>
      </c>
      <c r="FA445" s="5" t="s">
        <v>9741</v>
      </c>
      <c r="FB445" s="26" t="s">
        <v>2156</v>
      </c>
      <c r="FC445" s="26"/>
    </row>
    <row r="446">
      <c r="A446" s="19" t="s">
        <v>2112</v>
      </c>
      <c r="B446" s="19"/>
      <c r="C446" s="19" t="s">
        <v>2113</v>
      </c>
      <c r="D446" s="19" t="s">
        <v>1317</v>
      </c>
      <c r="E446" s="19" t="s">
        <v>9742</v>
      </c>
      <c r="F446" s="19" t="s">
        <v>1317</v>
      </c>
      <c r="G446" s="19"/>
      <c r="H446" s="19" t="s">
        <v>1317</v>
      </c>
      <c r="I446" s="19" t="s">
        <v>1319</v>
      </c>
      <c r="J446" s="19" t="s">
        <v>9743</v>
      </c>
      <c r="K446" s="19" t="s">
        <v>9744</v>
      </c>
      <c r="L446" s="20">
        <v>45401.0</v>
      </c>
      <c r="M446" s="20">
        <v>45411.0</v>
      </c>
      <c r="N446" s="20">
        <v>45411.0</v>
      </c>
      <c r="O446" s="19" t="s">
        <v>1318</v>
      </c>
      <c r="P446" s="19">
        <v>0.0</v>
      </c>
      <c r="Q446" s="19">
        <v>23.0</v>
      </c>
      <c r="R446" s="19">
        <v>8721.0</v>
      </c>
      <c r="S446" s="20" t="s">
        <v>9745</v>
      </c>
      <c r="T446" s="20">
        <v>45461.0</v>
      </c>
      <c r="U446" s="19" t="s">
        <v>1317</v>
      </c>
      <c r="V446" s="19"/>
      <c r="W446" s="19"/>
      <c r="X446" s="21">
        <v>0.0</v>
      </c>
      <c r="Y446" s="21">
        <v>10.0</v>
      </c>
      <c r="Z446" s="21">
        <v>4.0</v>
      </c>
      <c r="AA446" s="21">
        <v>0.0</v>
      </c>
      <c r="AB446" s="5">
        <v>14.0</v>
      </c>
      <c r="AC446" s="19">
        <v>4.0</v>
      </c>
      <c r="AD446" s="19">
        <v>3.5</v>
      </c>
      <c r="AE446" s="19">
        <v>4.0</v>
      </c>
      <c r="AF446" s="19">
        <v>3.7</v>
      </c>
      <c r="AG446" s="19">
        <v>2.7</v>
      </c>
      <c r="AH446" s="19">
        <v>4.0</v>
      </c>
      <c r="AI446" s="22">
        <v>11.071874999999999</v>
      </c>
      <c r="AJ446" s="19">
        <v>15.0</v>
      </c>
      <c r="AK446" s="19">
        <v>15.0</v>
      </c>
      <c r="AL446" s="19">
        <v>10.0</v>
      </c>
      <c r="AM446" s="19">
        <v>40.0</v>
      </c>
      <c r="AN446" s="19">
        <v>51.1</v>
      </c>
      <c r="AO446" s="19">
        <v>65.1</v>
      </c>
      <c r="AP446" s="19">
        <v>598.0</v>
      </c>
      <c r="AQ446" s="23">
        <v>438.0</v>
      </c>
      <c r="AR446" s="23">
        <v>36.0</v>
      </c>
      <c r="AS446" s="22"/>
      <c r="AT446" s="19" t="s">
        <v>2163</v>
      </c>
      <c r="AU446" s="19" t="s">
        <v>9746</v>
      </c>
      <c r="AV446" s="19" t="s">
        <v>9747</v>
      </c>
      <c r="AW446" s="19" t="s">
        <v>9748</v>
      </c>
      <c r="AX446" s="20">
        <v>36740.0</v>
      </c>
      <c r="AY446" s="19" t="s">
        <v>3232</v>
      </c>
      <c r="AZ446" s="19" t="s">
        <v>2310</v>
      </c>
      <c r="BA446" s="19" t="s">
        <v>9749</v>
      </c>
      <c r="BB446" s="19" t="s">
        <v>7193</v>
      </c>
      <c r="BC446" s="19" t="s">
        <v>9750</v>
      </c>
      <c r="BD446" s="19" t="s">
        <v>9751</v>
      </c>
      <c r="BE446" s="19" t="s">
        <v>9752</v>
      </c>
      <c r="BF446" s="19">
        <v>1.19938458E10</v>
      </c>
      <c r="BG446" s="19" t="s">
        <v>2127</v>
      </c>
      <c r="BH446" s="19" t="s">
        <v>2128</v>
      </c>
      <c r="BI446" s="19"/>
      <c r="BJ446" s="19"/>
      <c r="BK446" s="19" t="s">
        <v>16</v>
      </c>
      <c r="BL446" s="19"/>
      <c r="BM446" s="19" t="s">
        <v>5796</v>
      </c>
      <c r="BN446" s="19" t="s">
        <v>9753</v>
      </c>
      <c r="BO446" s="19" t="s">
        <v>2317</v>
      </c>
      <c r="BP446" s="19"/>
      <c r="BQ446" s="19" t="s">
        <v>2325</v>
      </c>
      <c r="BR446" s="19" t="s">
        <v>2325</v>
      </c>
      <c r="BS446" s="19" t="s">
        <v>2134</v>
      </c>
      <c r="BT446" s="19" t="s">
        <v>118</v>
      </c>
      <c r="BU446" s="19" t="s">
        <v>9754</v>
      </c>
      <c r="BV446" s="19"/>
      <c r="BW446" s="19" t="s">
        <v>2113</v>
      </c>
      <c r="BX446" s="19"/>
      <c r="BY446" s="19"/>
      <c r="BZ446" s="19"/>
      <c r="CA446" s="19"/>
      <c r="CB446" s="19" t="s">
        <v>2113</v>
      </c>
      <c r="CC446" s="19"/>
      <c r="CD446" s="19" t="s">
        <v>2137</v>
      </c>
      <c r="CE446" s="19" t="s">
        <v>16</v>
      </c>
      <c r="CF446" s="19"/>
      <c r="CG446" s="19"/>
      <c r="CH446" s="19" t="s">
        <v>16</v>
      </c>
      <c r="CI446" s="21">
        <v>0.0</v>
      </c>
      <c r="CJ446" s="19" t="s">
        <v>16</v>
      </c>
      <c r="CK446" s="19"/>
      <c r="CL446" s="19"/>
      <c r="CM446" s="19" t="s">
        <v>2138</v>
      </c>
      <c r="CN446" s="19" t="s">
        <v>2868</v>
      </c>
      <c r="CO446" s="19"/>
      <c r="CP446" s="19" t="s">
        <v>2134</v>
      </c>
      <c r="CQ446" s="19"/>
      <c r="CR446" s="19"/>
      <c r="CS446" s="19"/>
      <c r="CT446" s="19"/>
      <c r="CU446" s="19"/>
      <c r="CV446" s="19" t="s">
        <v>2141</v>
      </c>
      <c r="CW446" s="19"/>
      <c r="CX446" s="19"/>
      <c r="CY446" s="19"/>
      <c r="CZ446" s="19"/>
      <c r="DA446" s="19" t="s">
        <v>16</v>
      </c>
      <c r="DB446" s="19" t="s">
        <v>16</v>
      </c>
      <c r="DC446" s="19" t="s">
        <v>2455</v>
      </c>
      <c r="DD446" s="19" t="s">
        <v>2113</v>
      </c>
      <c r="DE446" s="19" t="s">
        <v>2113</v>
      </c>
      <c r="DF446" s="19" t="s">
        <v>2433</v>
      </c>
      <c r="DG446" s="19" t="s">
        <v>2248</v>
      </c>
      <c r="DH446" s="19" t="s">
        <v>2144</v>
      </c>
      <c r="DI446" s="24">
        <v>45524.0</v>
      </c>
      <c r="DJ446" s="19" t="s">
        <v>2325</v>
      </c>
      <c r="DK446" s="19" t="s">
        <v>2271</v>
      </c>
      <c r="DL446" s="19" t="s">
        <v>2326</v>
      </c>
      <c r="DM446" s="19"/>
      <c r="DN446" s="19">
        <v>8.0</v>
      </c>
      <c r="DO446" s="19">
        <v>8.0</v>
      </c>
      <c r="DP446" s="19" t="s">
        <v>9755</v>
      </c>
      <c r="DQ446" s="19" t="s">
        <v>9756</v>
      </c>
      <c r="DR446" s="19" t="s">
        <v>9757</v>
      </c>
      <c r="DS446" s="19" t="s">
        <v>2365</v>
      </c>
      <c r="DT446" s="19" t="s">
        <v>2366</v>
      </c>
      <c r="DU446" s="19"/>
      <c r="DV446" s="19"/>
      <c r="DW446" s="19" t="s">
        <v>2153</v>
      </c>
      <c r="DX446" s="19">
        <v>8.0</v>
      </c>
      <c r="DY446" s="19">
        <v>10.0</v>
      </c>
      <c r="DZ446" s="19">
        <v>0.0</v>
      </c>
      <c r="EA446" s="19">
        <v>10.0</v>
      </c>
      <c r="EB446" s="19">
        <v>0.0</v>
      </c>
      <c r="EC446" s="19">
        <v>0.0</v>
      </c>
      <c r="ED446" s="19" t="s">
        <v>2325</v>
      </c>
      <c r="EE446" s="24">
        <v>45524.0</v>
      </c>
      <c r="EF446" s="19" t="s">
        <v>2325</v>
      </c>
      <c r="EG446" s="19" t="s">
        <v>2271</v>
      </c>
      <c r="EH446" s="19" t="s">
        <v>2326</v>
      </c>
      <c r="EI446" s="22">
        <v>11.071874999999999</v>
      </c>
      <c r="EJ446" s="19">
        <v>40.0</v>
      </c>
      <c r="EK446" s="19"/>
      <c r="EL446" s="19" t="s">
        <v>2163</v>
      </c>
      <c r="EM446" s="19" t="s">
        <v>9746</v>
      </c>
      <c r="EN446" s="19" t="s">
        <v>1319</v>
      </c>
      <c r="EO446" s="19" t="s">
        <v>3232</v>
      </c>
      <c r="EP446" s="19" t="s">
        <v>2310</v>
      </c>
      <c r="EQ446" s="19" t="s">
        <v>2868</v>
      </c>
      <c r="ER446" s="19"/>
      <c r="ES446" s="19" t="s">
        <v>1319</v>
      </c>
      <c r="ET446" s="19" t="s">
        <v>1319</v>
      </c>
      <c r="EU446" s="19" t="s">
        <v>9744</v>
      </c>
      <c r="EV446" s="19">
        <v>8721.0</v>
      </c>
      <c r="EW446" s="19" t="s">
        <v>16</v>
      </c>
      <c r="EX446" s="19">
        <v>4.0</v>
      </c>
      <c r="EY446" s="25" t="s">
        <v>1318</v>
      </c>
      <c r="EZ446" s="19" t="s">
        <v>2154</v>
      </c>
      <c r="FA446" s="5" t="s">
        <v>9758</v>
      </c>
      <c r="FB446" s="26" t="s">
        <v>2156</v>
      </c>
      <c r="FC446" s="26"/>
    </row>
    <row r="447">
      <c r="A447" s="19" t="s">
        <v>2156</v>
      </c>
      <c r="B447" s="19"/>
      <c r="C447" s="19" t="s">
        <v>2113</v>
      </c>
      <c r="D447" s="19" t="s">
        <v>1320</v>
      </c>
      <c r="E447" s="19" t="s">
        <v>9759</v>
      </c>
      <c r="F447" s="19" t="s">
        <v>9760</v>
      </c>
      <c r="G447" s="19" t="s">
        <v>9761</v>
      </c>
      <c r="H447" s="19" t="s">
        <v>1320</v>
      </c>
      <c r="I447" s="19" t="s">
        <v>1322</v>
      </c>
      <c r="J447" s="19" t="s">
        <v>9762</v>
      </c>
      <c r="K447" s="19" t="s">
        <v>9763</v>
      </c>
      <c r="L447" s="20">
        <v>45446.0</v>
      </c>
      <c r="M447" s="20">
        <v>45447.0</v>
      </c>
      <c r="N447" s="20">
        <v>45447.0</v>
      </c>
      <c r="O447" s="19" t="s">
        <v>1321</v>
      </c>
      <c r="P447" s="19">
        <v>0.0</v>
      </c>
      <c r="Q447" s="19">
        <v>26.0</v>
      </c>
      <c r="R447" s="19">
        <v>9784.0</v>
      </c>
      <c r="S447" s="20" t="s">
        <v>9764</v>
      </c>
      <c r="T447" s="20">
        <v>45461.0</v>
      </c>
      <c r="U447" s="19" t="s">
        <v>9760</v>
      </c>
      <c r="V447" s="19"/>
      <c r="W447" s="19"/>
      <c r="X447" s="21">
        <v>0.0</v>
      </c>
      <c r="Y447" s="21">
        <v>10.0</v>
      </c>
      <c r="Z447" s="21">
        <v>3.0</v>
      </c>
      <c r="AA447" s="21">
        <v>0.0</v>
      </c>
      <c r="AB447" s="5">
        <v>13.0</v>
      </c>
      <c r="AC447" s="19">
        <v>4.5</v>
      </c>
      <c r="AD447" s="19">
        <v>4.5</v>
      </c>
      <c r="AE447" s="19">
        <v>4.5</v>
      </c>
      <c r="AF447" s="19">
        <v>4.0</v>
      </c>
      <c r="AG447" s="19">
        <v>4.0</v>
      </c>
      <c r="AH447" s="19">
        <v>4.5</v>
      </c>
      <c r="AI447" s="22">
        <v>13.125</v>
      </c>
      <c r="AJ447" s="19">
        <v>14.0</v>
      </c>
      <c r="AK447" s="19">
        <v>13.0</v>
      </c>
      <c r="AL447" s="19">
        <v>12.0</v>
      </c>
      <c r="AM447" s="19">
        <v>39.0</v>
      </c>
      <c r="AN447" s="19">
        <v>52.1</v>
      </c>
      <c r="AO447" s="19">
        <v>65.1</v>
      </c>
      <c r="AP447" s="19">
        <v>678.0</v>
      </c>
      <c r="AQ447" s="23">
        <v>439.0</v>
      </c>
      <c r="AR447" s="23">
        <v>38.0</v>
      </c>
      <c r="AS447" s="22" t="s">
        <v>9765</v>
      </c>
      <c r="AT447" s="19" t="s">
        <v>2282</v>
      </c>
      <c r="AU447" s="19" t="s">
        <v>7152</v>
      </c>
      <c r="AV447" s="19" t="s">
        <v>9766</v>
      </c>
      <c r="AW447" s="19" t="s">
        <v>4643</v>
      </c>
      <c r="AX447" s="20">
        <v>35677.0</v>
      </c>
      <c r="AY447" s="19" t="s">
        <v>3053</v>
      </c>
      <c r="AZ447" s="19" t="s">
        <v>2310</v>
      </c>
      <c r="BA447" s="19" t="s">
        <v>9767</v>
      </c>
      <c r="BB447" s="19" t="s">
        <v>9768</v>
      </c>
      <c r="BC447" s="19" t="s">
        <v>9769</v>
      </c>
      <c r="BD447" s="19" t="s">
        <v>9770</v>
      </c>
      <c r="BE447" s="19"/>
      <c r="BF447" s="19"/>
      <c r="BG447" s="19" t="s">
        <v>2127</v>
      </c>
      <c r="BH447" s="19" t="s">
        <v>2128</v>
      </c>
      <c r="BI447" s="19"/>
      <c r="BJ447" s="19"/>
      <c r="BK447" s="19" t="s">
        <v>16</v>
      </c>
      <c r="BL447" s="19" t="s">
        <v>2113</v>
      </c>
      <c r="BM447" s="19" t="s">
        <v>5563</v>
      </c>
      <c r="BN447" s="19" t="s">
        <v>17</v>
      </c>
      <c r="BO447" s="19" t="s">
        <v>2473</v>
      </c>
      <c r="BP447" s="19"/>
      <c r="BQ447" s="19" t="s">
        <v>2325</v>
      </c>
      <c r="BR447" s="19" t="s">
        <v>2325</v>
      </c>
      <c r="BS447" s="19" t="s">
        <v>2134</v>
      </c>
      <c r="BT447" s="19" t="s">
        <v>59</v>
      </c>
      <c r="BU447" s="19" t="s">
        <v>5846</v>
      </c>
      <c r="BV447" s="19"/>
      <c r="BW447" s="19"/>
      <c r="BX447" s="19" t="s">
        <v>2113</v>
      </c>
      <c r="BY447" s="19" t="s">
        <v>2113</v>
      </c>
      <c r="BZ447" s="19" t="s">
        <v>2113</v>
      </c>
      <c r="CA447" s="19" t="s">
        <v>2113</v>
      </c>
      <c r="CB447" s="19" t="s">
        <v>2113</v>
      </c>
      <c r="CC447" s="19"/>
      <c r="CD447" s="19" t="s">
        <v>2137</v>
      </c>
      <c r="CE447" s="19" t="s">
        <v>16</v>
      </c>
      <c r="CF447" s="19"/>
      <c r="CG447" s="19"/>
      <c r="CH447" s="19" t="s">
        <v>16</v>
      </c>
      <c r="CI447" s="21">
        <v>0.0</v>
      </c>
      <c r="CJ447" s="19" t="s">
        <v>16</v>
      </c>
      <c r="CK447" s="19"/>
      <c r="CL447" s="19"/>
      <c r="CM447" s="19" t="s">
        <v>2138</v>
      </c>
      <c r="CN447" s="19" t="s">
        <v>3064</v>
      </c>
      <c r="CO447" s="19"/>
      <c r="CP447" s="19" t="s">
        <v>2134</v>
      </c>
      <c r="CQ447" s="19"/>
      <c r="CR447" s="19" t="s">
        <v>2113</v>
      </c>
      <c r="CS447" s="19" t="s">
        <v>2113</v>
      </c>
      <c r="CT447" s="19" t="s">
        <v>2113</v>
      </c>
      <c r="CU447" s="19" t="s">
        <v>2113</v>
      </c>
      <c r="CV447" s="19" t="s">
        <v>2179</v>
      </c>
      <c r="CW447" s="19" t="s">
        <v>2113</v>
      </c>
      <c r="CX447" s="19" t="s">
        <v>2113</v>
      </c>
      <c r="CY447" s="19" t="s">
        <v>2113</v>
      </c>
      <c r="CZ447" s="19" t="s">
        <v>2113</v>
      </c>
      <c r="DA447" s="19" t="s">
        <v>16</v>
      </c>
      <c r="DB447" s="19" t="s">
        <v>16</v>
      </c>
      <c r="DC447" s="19" t="s">
        <v>2498</v>
      </c>
      <c r="DD447" s="19" t="s">
        <v>2113</v>
      </c>
      <c r="DE447" s="19" t="s">
        <v>2113</v>
      </c>
      <c r="DF447" s="19" t="s">
        <v>2496</v>
      </c>
      <c r="DG447" s="19" t="s">
        <v>2497</v>
      </c>
      <c r="DH447" s="19" t="s">
        <v>2144</v>
      </c>
      <c r="DI447" s="24">
        <v>45517.0</v>
      </c>
      <c r="DJ447" s="19" t="s">
        <v>2325</v>
      </c>
      <c r="DK447" s="19" t="s">
        <v>2271</v>
      </c>
      <c r="DL447" s="19" t="s">
        <v>2326</v>
      </c>
      <c r="DM447" s="19"/>
      <c r="DN447" s="19">
        <v>2.0</v>
      </c>
      <c r="DO447" s="19">
        <v>2.0</v>
      </c>
      <c r="DP447" s="19"/>
      <c r="DQ447" s="19"/>
      <c r="DR447" s="19"/>
      <c r="DS447" s="19" t="s">
        <v>2185</v>
      </c>
      <c r="DT447" s="19" t="s">
        <v>2186</v>
      </c>
      <c r="DU447" s="19" t="s">
        <v>9771</v>
      </c>
      <c r="DV447" s="19"/>
      <c r="DW447" s="19" t="s">
        <v>2153</v>
      </c>
      <c r="DX447" s="19">
        <v>3.0</v>
      </c>
      <c r="DY447" s="19">
        <v>10.0</v>
      </c>
      <c r="DZ447" s="19">
        <v>0.0</v>
      </c>
      <c r="EA447" s="19">
        <v>10.0</v>
      </c>
      <c r="EB447" s="19">
        <v>0.0</v>
      </c>
      <c r="EC447" s="19">
        <v>0.0</v>
      </c>
      <c r="ED447" s="19" t="s">
        <v>2325</v>
      </c>
      <c r="EE447" s="24">
        <v>45517.0</v>
      </c>
      <c r="EF447" s="19" t="s">
        <v>2325</v>
      </c>
      <c r="EG447" s="19" t="s">
        <v>2271</v>
      </c>
      <c r="EH447" s="19" t="s">
        <v>2326</v>
      </c>
      <c r="EI447" s="22">
        <v>13.125</v>
      </c>
      <c r="EJ447" s="19">
        <v>39.0</v>
      </c>
      <c r="EK447" s="19"/>
      <c r="EL447" s="19" t="s">
        <v>2282</v>
      </c>
      <c r="EM447" s="19" t="s">
        <v>7152</v>
      </c>
      <c r="EN447" s="19" t="s">
        <v>1322</v>
      </c>
      <c r="EO447" s="19" t="s">
        <v>3053</v>
      </c>
      <c r="EP447" s="19" t="s">
        <v>2310</v>
      </c>
      <c r="EQ447" s="19" t="s">
        <v>3064</v>
      </c>
      <c r="ER447" s="19"/>
      <c r="ES447" s="19" t="s">
        <v>1322</v>
      </c>
      <c r="ET447" s="19" t="s">
        <v>1322</v>
      </c>
      <c r="EU447" s="19" t="s">
        <v>9763</v>
      </c>
      <c r="EV447" s="19">
        <v>9784.0</v>
      </c>
      <c r="EW447" s="19" t="s">
        <v>16</v>
      </c>
      <c r="EX447" s="19">
        <v>3.0</v>
      </c>
      <c r="EY447" s="25" t="s">
        <v>1321</v>
      </c>
      <c r="EZ447" s="19" t="s">
        <v>2154</v>
      </c>
      <c r="FA447" s="5" t="s">
        <v>9772</v>
      </c>
      <c r="FB447" s="26" t="s">
        <v>2156</v>
      </c>
      <c r="FC447" s="26"/>
    </row>
    <row r="448">
      <c r="A448" s="19" t="s">
        <v>2156</v>
      </c>
      <c r="B448" s="19"/>
      <c r="C448" s="19" t="s">
        <v>2113</v>
      </c>
      <c r="D448" s="19" t="s">
        <v>1323</v>
      </c>
      <c r="E448" s="19" t="s">
        <v>9773</v>
      </c>
      <c r="F448" s="19" t="s">
        <v>1323</v>
      </c>
      <c r="G448" s="19"/>
      <c r="H448" s="19" t="s">
        <v>1323</v>
      </c>
      <c r="I448" s="19" t="s">
        <v>1325</v>
      </c>
      <c r="J448" s="19" t="s">
        <v>9774</v>
      </c>
      <c r="K448" s="19" t="s">
        <v>9775</v>
      </c>
      <c r="L448" s="20">
        <v>45439.0</v>
      </c>
      <c r="M448" s="20">
        <v>45440.0</v>
      </c>
      <c r="N448" s="20">
        <v>45440.0</v>
      </c>
      <c r="O448" s="19" t="s">
        <v>1324</v>
      </c>
      <c r="P448" s="19">
        <v>0.0</v>
      </c>
      <c r="Q448" s="19">
        <v>24.0</v>
      </c>
      <c r="R448" s="19">
        <v>8977.0</v>
      </c>
      <c r="S448" s="20" t="s">
        <v>7979</v>
      </c>
      <c r="T448" s="20">
        <v>45461.0</v>
      </c>
      <c r="U448" s="19" t="s">
        <v>1323</v>
      </c>
      <c r="V448" s="19"/>
      <c r="W448" s="19"/>
      <c r="X448" s="21">
        <v>0.0</v>
      </c>
      <c r="Y448" s="21">
        <v>10.0</v>
      </c>
      <c r="Z448" s="21">
        <v>4.0</v>
      </c>
      <c r="AA448" s="21">
        <v>2.0</v>
      </c>
      <c r="AB448" s="5">
        <v>16.0</v>
      </c>
      <c r="AC448" s="19">
        <v>3.0</v>
      </c>
      <c r="AD448" s="19">
        <v>3.0</v>
      </c>
      <c r="AE448" s="19">
        <v>3.0</v>
      </c>
      <c r="AF448" s="19">
        <v>3.0</v>
      </c>
      <c r="AG448" s="19">
        <v>2.0</v>
      </c>
      <c r="AH448" s="19">
        <v>4.0</v>
      </c>
      <c r="AI448" s="22">
        <v>9.0</v>
      </c>
      <c r="AJ448" s="19">
        <v>15.0</v>
      </c>
      <c r="AK448" s="19">
        <v>10.0</v>
      </c>
      <c r="AL448" s="19">
        <v>15.0</v>
      </c>
      <c r="AM448" s="19">
        <v>40.0</v>
      </c>
      <c r="AN448" s="19">
        <v>49.0</v>
      </c>
      <c r="AO448" s="19">
        <v>65.0</v>
      </c>
      <c r="AP448" s="19">
        <v>381.0</v>
      </c>
      <c r="AQ448" s="23">
        <v>440.0</v>
      </c>
      <c r="AR448" s="23">
        <v>35.0</v>
      </c>
      <c r="AS448" s="22" t="s">
        <v>2642</v>
      </c>
      <c r="AT448" s="19" t="s">
        <v>2163</v>
      </c>
      <c r="AU448" s="19" t="s">
        <v>9776</v>
      </c>
      <c r="AV448" s="19" t="s">
        <v>9777</v>
      </c>
      <c r="AW448" s="19" t="s">
        <v>9778</v>
      </c>
      <c r="AX448" s="20">
        <v>36484.0</v>
      </c>
      <c r="AY448" s="19" t="s">
        <v>2309</v>
      </c>
      <c r="AZ448" s="19" t="s">
        <v>2554</v>
      </c>
      <c r="BA448" s="19" t="s">
        <v>9779</v>
      </c>
      <c r="BB448" s="19" t="s">
        <v>9780</v>
      </c>
      <c r="BC448" s="19" t="s">
        <v>9781</v>
      </c>
      <c r="BD448" s="19" t="s">
        <v>9782</v>
      </c>
      <c r="BE448" s="19"/>
      <c r="BF448" s="19"/>
      <c r="BG448" s="19" t="s">
        <v>2127</v>
      </c>
      <c r="BH448" s="19" t="s">
        <v>2128</v>
      </c>
      <c r="BI448" s="19"/>
      <c r="BJ448" s="19"/>
      <c r="BK448" s="19" t="s">
        <v>16</v>
      </c>
      <c r="BL448" s="19" t="s">
        <v>2113</v>
      </c>
      <c r="BM448" s="19" t="s">
        <v>5411</v>
      </c>
      <c r="BN448" s="19" t="s">
        <v>2172</v>
      </c>
      <c r="BO448" s="19" t="s">
        <v>2317</v>
      </c>
      <c r="BP448" s="19" t="s">
        <v>9783</v>
      </c>
      <c r="BQ448" s="19" t="s">
        <v>2318</v>
      </c>
      <c r="BR448" s="19" t="s">
        <v>2318</v>
      </c>
      <c r="BS448" s="19" t="s">
        <v>2134</v>
      </c>
      <c r="BT448" s="19" t="s">
        <v>42</v>
      </c>
      <c r="BU448" s="19" t="s">
        <v>2651</v>
      </c>
      <c r="BV448" s="19"/>
      <c r="BW448" s="19"/>
      <c r="BX448" s="19"/>
      <c r="BY448" s="19" t="s">
        <v>2113</v>
      </c>
      <c r="BZ448" s="19"/>
      <c r="CA448" s="19" t="s">
        <v>2113</v>
      </c>
      <c r="CB448" s="19" t="s">
        <v>2113</v>
      </c>
      <c r="CC448" s="19"/>
      <c r="CD448" s="19" t="s">
        <v>2137</v>
      </c>
      <c r="CE448" s="19" t="s">
        <v>16</v>
      </c>
      <c r="CF448" s="19"/>
      <c r="CG448" s="19"/>
      <c r="CH448" s="19" t="s">
        <v>16</v>
      </c>
      <c r="CI448" s="21">
        <v>0.0</v>
      </c>
      <c r="CJ448" s="19" t="s">
        <v>17</v>
      </c>
      <c r="CK448" s="19"/>
      <c r="CL448" s="19"/>
      <c r="CM448" s="19" t="s">
        <v>2138</v>
      </c>
      <c r="CN448" s="19" t="s">
        <v>2321</v>
      </c>
      <c r="CO448" s="19"/>
      <c r="CP448" s="19"/>
      <c r="CQ448" s="19"/>
      <c r="CR448" s="19" t="s">
        <v>2113</v>
      </c>
      <c r="CS448" s="19" t="s">
        <v>2113</v>
      </c>
      <c r="CT448" s="19"/>
      <c r="CU448" s="19"/>
      <c r="CV448" s="19" t="s">
        <v>2141</v>
      </c>
      <c r="CW448" s="19" t="s">
        <v>2113</v>
      </c>
      <c r="CX448" s="19" t="s">
        <v>2113</v>
      </c>
      <c r="CY448" s="19"/>
      <c r="CZ448" s="19"/>
      <c r="DA448" s="19" t="s">
        <v>16</v>
      </c>
      <c r="DB448" s="19" t="s">
        <v>17</v>
      </c>
      <c r="DC448" s="19" t="s">
        <v>2981</v>
      </c>
      <c r="DD448" s="19" t="s">
        <v>2113</v>
      </c>
      <c r="DE448" s="19" t="s">
        <v>2113</v>
      </c>
      <c r="DF448" s="19" t="s">
        <v>2804</v>
      </c>
      <c r="DG448" s="19" t="s">
        <v>2712</v>
      </c>
      <c r="DH448" s="19" t="s">
        <v>2144</v>
      </c>
      <c r="DI448" s="24">
        <v>45517.0</v>
      </c>
      <c r="DJ448" s="19" t="s">
        <v>2325</v>
      </c>
      <c r="DK448" s="19" t="s">
        <v>2145</v>
      </c>
      <c r="DL448" s="19" t="s">
        <v>2326</v>
      </c>
      <c r="DM448" s="19"/>
      <c r="DN448" s="19">
        <v>1.0</v>
      </c>
      <c r="DO448" s="19">
        <v>1.0</v>
      </c>
      <c r="DP448" s="19" t="s">
        <v>9784</v>
      </c>
      <c r="DQ448" s="19" t="s">
        <v>9785</v>
      </c>
      <c r="DR448" s="19" t="s">
        <v>9786</v>
      </c>
      <c r="DS448" s="19" t="s">
        <v>2185</v>
      </c>
      <c r="DT448" s="19" t="s">
        <v>2229</v>
      </c>
      <c r="DU448" s="19"/>
      <c r="DV448" s="19"/>
      <c r="DW448" s="19" t="s">
        <v>3306</v>
      </c>
      <c r="DX448" s="19">
        <v>4.0</v>
      </c>
      <c r="DY448" s="19">
        <v>10.0</v>
      </c>
      <c r="DZ448" s="19">
        <v>2.0</v>
      </c>
      <c r="EA448" s="19">
        <v>10.0</v>
      </c>
      <c r="EB448" s="19">
        <v>0.0</v>
      </c>
      <c r="EC448" s="19">
        <v>0.0</v>
      </c>
      <c r="ED448" s="19" t="s">
        <v>2325</v>
      </c>
      <c r="EE448" s="24">
        <v>45517.0</v>
      </c>
      <c r="EF448" s="19" t="s">
        <v>2325</v>
      </c>
      <c r="EG448" s="19" t="s">
        <v>2145</v>
      </c>
      <c r="EH448" s="19" t="s">
        <v>2326</v>
      </c>
      <c r="EI448" s="22">
        <v>9.0</v>
      </c>
      <c r="EJ448" s="19">
        <v>40.0</v>
      </c>
      <c r="EK448" s="19" t="s">
        <v>2113</v>
      </c>
      <c r="EL448" s="19" t="s">
        <v>2163</v>
      </c>
      <c r="EM448" s="19" t="s">
        <v>9776</v>
      </c>
      <c r="EN448" s="19" t="s">
        <v>1325</v>
      </c>
      <c r="EO448" s="19" t="s">
        <v>2309</v>
      </c>
      <c r="EP448" s="19" t="s">
        <v>2554</v>
      </c>
      <c r="EQ448" s="19" t="s">
        <v>2321</v>
      </c>
      <c r="ER448" s="19"/>
      <c r="ES448" s="19" t="s">
        <v>1325</v>
      </c>
      <c r="ET448" s="19" t="s">
        <v>1325</v>
      </c>
      <c r="EU448" s="19" t="s">
        <v>9775</v>
      </c>
      <c r="EV448" s="19">
        <v>8977.0</v>
      </c>
      <c r="EW448" s="19" t="s">
        <v>16</v>
      </c>
      <c r="EX448" s="19">
        <v>4.0</v>
      </c>
      <c r="EY448" s="25" t="s">
        <v>1324</v>
      </c>
      <c r="EZ448" s="19" t="s">
        <v>2154</v>
      </c>
      <c r="FA448" s="5" t="s">
        <v>9787</v>
      </c>
      <c r="FB448" s="26" t="s">
        <v>2156</v>
      </c>
      <c r="FC448" s="26"/>
    </row>
    <row r="449">
      <c r="A449" s="19" t="s">
        <v>2112</v>
      </c>
      <c r="B449" s="19"/>
      <c r="C449" s="19" t="s">
        <v>2113</v>
      </c>
      <c r="D449" s="19" t="s">
        <v>1326</v>
      </c>
      <c r="E449" s="19" t="s">
        <v>9788</v>
      </c>
      <c r="F449" s="19" t="s">
        <v>1326</v>
      </c>
      <c r="G449" s="19"/>
      <c r="H449" s="19" t="s">
        <v>1326</v>
      </c>
      <c r="I449" s="19" t="s">
        <v>1328</v>
      </c>
      <c r="J449" s="19" t="s">
        <v>9789</v>
      </c>
      <c r="K449" s="19" t="s">
        <v>9790</v>
      </c>
      <c r="L449" s="20">
        <v>45460.0</v>
      </c>
      <c r="M449" s="20">
        <v>45462.0</v>
      </c>
      <c r="N449" s="20">
        <v>45462.0</v>
      </c>
      <c r="O449" s="19" t="s">
        <v>1327</v>
      </c>
      <c r="P449" s="19">
        <v>0.0</v>
      </c>
      <c r="Q449" s="19">
        <v>19.0</v>
      </c>
      <c r="R449" s="19">
        <v>7091.0</v>
      </c>
      <c r="S449" s="20" t="s">
        <v>9791</v>
      </c>
      <c r="T449" s="20">
        <v>45461.0</v>
      </c>
      <c r="U449" s="19" t="s">
        <v>1326</v>
      </c>
      <c r="V449" s="19"/>
      <c r="W449" s="19" t="s">
        <v>9792</v>
      </c>
      <c r="X449" s="21">
        <v>0.0</v>
      </c>
      <c r="Y449" s="21">
        <v>10.0</v>
      </c>
      <c r="Z449" s="21">
        <v>3.0</v>
      </c>
      <c r="AA449" s="21">
        <v>0.0</v>
      </c>
      <c r="AB449" s="5">
        <v>13.0</v>
      </c>
      <c r="AC449" s="19">
        <v>5.0</v>
      </c>
      <c r="AD449" s="19">
        <v>5.0</v>
      </c>
      <c r="AE449" s="19">
        <v>5.0</v>
      </c>
      <c r="AF449" s="19">
        <v>5.0</v>
      </c>
      <c r="AG449" s="19">
        <v>5.0</v>
      </c>
      <c r="AH449" s="19">
        <v>5.0</v>
      </c>
      <c r="AI449" s="22">
        <v>15.0</v>
      </c>
      <c r="AJ449" s="19">
        <v>13.0</v>
      </c>
      <c r="AK449" s="19">
        <v>12.0</v>
      </c>
      <c r="AL449" s="19">
        <v>12.0</v>
      </c>
      <c r="AM449" s="19">
        <v>37.0</v>
      </c>
      <c r="AN449" s="19">
        <v>52.0</v>
      </c>
      <c r="AO449" s="19">
        <v>65.0</v>
      </c>
      <c r="AP449" s="19">
        <v>787.0</v>
      </c>
      <c r="AQ449" s="23">
        <v>441.0</v>
      </c>
      <c r="AR449" s="23">
        <v>60.0</v>
      </c>
      <c r="AS449" s="22"/>
      <c r="AT449" s="19" t="s">
        <v>2163</v>
      </c>
      <c r="AU449" s="19" t="s">
        <v>3711</v>
      </c>
      <c r="AV449" s="19" t="s">
        <v>9793</v>
      </c>
      <c r="AW449" s="19" t="s">
        <v>9794</v>
      </c>
      <c r="AX449" s="20">
        <v>38370.0</v>
      </c>
      <c r="AY449" s="19" t="s">
        <v>2467</v>
      </c>
      <c r="AZ449" s="19" t="s">
        <v>2122</v>
      </c>
      <c r="BA449" s="19" t="s">
        <v>9795</v>
      </c>
      <c r="BB449" s="19" t="s">
        <v>6132</v>
      </c>
      <c r="BC449" s="19" t="s">
        <v>9796</v>
      </c>
      <c r="BD449" s="19" t="s">
        <v>9797</v>
      </c>
      <c r="BE449" s="19" t="s">
        <v>9798</v>
      </c>
      <c r="BF449" s="19">
        <v>1.196013855E10</v>
      </c>
      <c r="BG449" s="19" t="s">
        <v>2127</v>
      </c>
      <c r="BH449" s="19" t="s">
        <v>2128</v>
      </c>
      <c r="BI449" s="19"/>
      <c r="BJ449" s="19"/>
      <c r="BK449" s="19" t="s">
        <v>16</v>
      </c>
      <c r="BL449" s="19"/>
      <c r="BM449" s="19" t="s">
        <v>5563</v>
      </c>
      <c r="BN449" s="19" t="s">
        <v>4443</v>
      </c>
      <c r="BO449" s="19" t="s">
        <v>2473</v>
      </c>
      <c r="BP449" s="19"/>
      <c r="BQ449" s="19" t="s">
        <v>2133</v>
      </c>
      <c r="BR449" s="19" t="s">
        <v>2133</v>
      </c>
      <c r="BS449" s="19" t="s">
        <v>2243</v>
      </c>
      <c r="BT449" s="19" t="s">
        <v>38</v>
      </c>
      <c r="BU449" s="19" t="s">
        <v>9799</v>
      </c>
      <c r="BV449" s="19"/>
      <c r="BW449" s="19" t="s">
        <v>2113</v>
      </c>
      <c r="BX449" s="19"/>
      <c r="BY449" s="19"/>
      <c r="BZ449" s="19"/>
      <c r="CA449" s="19"/>
      <c r="CB449" s="19" t="s">
        <v>2113</v>
      </c>
      <c r="CC449" s="19"/>
      <c r="CD449" s="19" t="s">
        <v>2137</v>
      </c>
      <c r="CE449" s="19" t="s">
        <v>16</v>
      </c>
      <c r="CF449" s="19"/>
      <c r="CG449" s="19"/>
      <c r="CH449" s="19" t="s">
        <v>16</v>
      </c>
      <c r="CI449" s="21">
        <v>0.0</v>
      </c>
      <c r="CJ449" s="19" t="s">
        <v>17</v>
      </c>
      <c r="CK449" s="19"/>
      <c r="CL449" s="19"/>
      <c r="CM449" s="19" t="s">
        <v>2344</v>
      </c>
      <c r="CN449" s="19" t="s">
        <v>2475</v>
      </c>
      <c r="CO449" s="19"/>
      <c r="CP449" s="19"/>
      <c r="CQ449" s="19"/>
      <c r="CR449" s="19" t="s">
        <v>2113</v>
      </c>
      <c r="CS449" s="19" t="s">
        <v>2113</v>
      </c>
      <c r="CT449" s="19" t="s">
        <v>2113</v>
      </c>
      <c r="CU449" s="19" t="s">
        <v>2113</v>
      </c>
      <c r="CV449" s="19" t="s">
        <v>2141</v>
      </c>
      <c r="CW449" s="19"/>
      <c r="CX449" s="19"/>
      <c r="CY449" s="19"/>
      <c r="CZ449" s="19"/>
      <c r="DA449" s="19" t="s">
        <v>16</v>
      </c>
      <c r="DB449" s="19" t="s">
        <v>17</v>
      </c>
      <c r="DC449" s="19" t="s">
        <v>2671</v>
      </c>
      <c r="DD449" s="19"/>
      <c r="DE449" s="19"/>
      <c r="DF449" s="19" t="s">
        <v>2248</v>
      </c>
      <c r="DG449" s="19" t="s">
        <v>2804</v>
      </c>
      <c r="DH449" s="19" t="s">
        <v>2144</v>
      </c>
      <c r="DI449" s="24">
        <v>45524.0</v>
      </c>
      <c r="DJ449" s="19" t="s">
        <v>2133</v>
      </c>
      <c r="DK449" s="19" t="s">
        <v>2145</v>
      </c>
      <c r="DL449" s="19" t="s">
        <v>2146</v>
      </c>
      <c r="DM449" s="19" t="s">
        <v>3302</v>
      </c>
      <c r="DN449" s="19">
        <v>7.0</v>
      </c>
      <c r="DO449" s="19">
        <v>7.0</v>
      </c>
      <c r="DP449" s="19" t="s">
        <v>9800</v>
      </c>
      <c r="DQ449" s="19" t="s">
        <v>9801</v>
      </c>
      <c r="DR449" s="19" t="s">
        <v>9802</v>
      </c>
      <c r="DS449" s="19" t="s">
        <v>2185</v>
      </c>
      <c r="DT449" s="19" t="s">
        <v>2229</v>
      </c>
      <c r="DU449" s="19"/>
      <c r="DV449" s="19"/>
      <c r="DW449" s="19" t="s">
        <v>2479</v>
      </c>
      <c r="DX449" s="19">
        <v>6.0</v>
      </c>
      <c r="DY449" s="19">
        <v>10.0</v>
      </c>
      <c r="DZ449" s="19">
        <v>0.0</v>
      </c>
      <c r="EA449" s="19">
        <v>10.0</v>
      </c>
      <c r="EB449" s="19">
        <v>0.0</v>
      </c>
      <c r="EC449" s="19">
        <v>0.0</v>
      </c>
      <c r="ED449" s="19" t="s">
        <v>2133</v>
      </c>
      <c r="EE449" s="24">
        <v>45524.0</v>
      </c>
      <c r="EF449" s="19" t="s">
        <v>2133</v>
      </c>
      <c r="EG449" s="19" t="s">
        <v>2145</v>
      </c>
      <c r="EH449" s="19" t="s">
        <v>2146</v>
      </c>
      <c r="EI449" s="22">
        <v>15.0</v>
      </c>
      <c r="EJ449" s="19">
        <v>37.0</v>
      </c>
      <c r="EK449" s="19" t="s">
        <v>2113</v>
      </c>
      <c r="EL449" s="19" t="s">
        <v>2163</v>
      </c>
      <c r="EM449" s="19" t="s">
        <v>3711</v>
      </c>
      <c r="EN449" s="19" t="s">
        <v>1328</v>
      </c>
      <c r="EO449" s="19" t="s">
        <v>2467</v>
      </c>
      <c r="EP449" s="19" t="s">
        <v>2122</v>
      </c>
      <c r="EQ449" s="19" t="s">
        <v>2475</v>
      </c>
      <c r="ER449" s="19"/>
      <c r="ES449" s="19" t="s">
        <v>1328</v>
      </c>
      <c r="ET449" s="19" t="s">
        <v>1328</v>
      </c>
      <c r="EU449" s="19" t="s">
        <v>9790</v>
      </c>
      <c r="EV449" s="19">
        <v>7091.0</v>
      </c>
      <c r="EW449" s="19" t="s">
        <v>16</v>
      </c>
      <c r="EX449" s="19">
        <v>3.0</v>
      </c>
      <c r="EY449" s="25" t="s">
        <v>1327</v>
      </c>
      <c r="EZ449" s="19" t="s">
        <v>2154</v>
      </c>
      <c r="FA449" s="5" t="s">
        <v>9803</v>
      </c>
      <c r="FB449" s="26" t="s">
        <v>2156</v>
      </c>
      <c r="FC449" s="26"/>
    </row>
    <row r="450">
      <c r="A450" s="19" t="s">
        <v>2156</v>
      </c>
      <c r="B450" s="19"/>
      <c r="C450" s="19" t="s">
        <v>2113</v>
      </c>
      <c r="D450" s="19" t="s">
        <v>1329</v>
      </c>
      <c r="E450" s="19" t="s">
        <v>9804</v>
      </c>
      <c r="F450" s="19" t="s">
        <v>1329</v>
      </c>
      <c r="G450" s="19"/>
      <c r="H450" s="19" t="s">
        <v>1329</v>
      </c>
      <c r="I450" s="19" t="s">
        <v>1331</v>
      </c>
      <c r="J450" s="19" t="s">
        <v>9805</v>
      </c>
      <c r="K450" s="19" t="s">
        <v>9806</v>
      </c>
      <c r="L450" s="20">
        <v>45398.0</v>
      </c>
      <c r="M450" s="20">
        <v>45411.0</v>
      </c>
      <c r="N450" s="20">
        <v>45411.0</v>
      </c>
      <c r="O450" s="19" t="s">
        <v>1330</v>
      </c>
      <c r="P450" s="19">
        <v>0.0</v>
      </c>
      <c r="Q450" s="19">
        <v>24.0</v>
      </c>
      <c r="R450" s="19">
        <v>8906.0</v>
      </c>
      <c r="S450" s="20" t="s">
        <v>9807</v>
      </c>
      <c r="T450" s="20">
        <v>45461.0</v>
      </c>
      <c r="U450" s="19" t="s">
        <v>1329</v>
      </c>
      <c r="V450" s="19"/>
      <c r="W450" s="19"/>
      <c r="X450" s="21">
        <v>0.0</v>
      </c>
      <c r="Y450" s="21">
        <v>0.0</v>
      </c>
      <c r="Z450" s="21">
        <v>5.0</v>
      </c>
      <c r="AA450" s="21">
        <v>0.0</v>
      </c>
      <c r="AB450" s="5">
        <v>5.0</v>
      </c>
      <c r="AC450" s="19">
        <v>5.0</v>
      </c>
      <c r="AD450" s="19">
        <v>5.0</v>
      </c>
      <c r="AE450" s="19">
        <v>5.0</v>
      </c>
      <c r="AF450" s="19">
        <v>5.0</v>
      </c>
      <c r="AG450" s="19">
        <v>5.0</v>
      </c>
      <c r="AH450" s="19">
        <v>5.0</v>
      </c>
      <c r="AI450" s="22">
        <v>15.0</v>
      </c>
      <c r="AJ450" s="19">
        <v>15.0</v>
      </c>
      <c r="AK450" s="19">
        <v>15.0</v>
      </c>
      <c r="AL450" s="19">
        <v>15.0</v>
      </c>
      <c r="AM450" s="19">
        <v>45.0</v>
      </c>
      <c r="AN450" s="19">
        <v>60.0</v>
      </c>
      <c r="AO450" s="19">
        <v>65.0</v>
      </c>
      <c r="AP450" s="19">
        <v>1057.0</v>
      </c>
      <c r="AQ450" s="23">
        <v>442.0</v>
      </c>
      <c r="AR450" s="23">
        <v>39.0</v>
      </c>
      <c r="AS450" s="22"/>
      <c r="AT450" s="19" t="s">
        <v>2163</v>
      </c>
      <c r="AU450" s="19" t="s">
        <v>9808</v>
      </c>
      <c r="AV450" s="19" t="s">
        <v>9809</v>
      </c>
      <c r="AW450" s="19"/>
      <c r="AX450" s="20">
        <v>36555.0</v>
      </c>
      <c r="AY450" s="19" t="s">
        <v>2487</v>
      </c>
      <c r="AZ450" s="19" t="s">
        <v>2310</v>
      </c>
      <c r="BA450" s="19" t="s">
        <v>9810</v>
      </c>
      <c r="BB450" s="19" t="s">
        <v>9811</v>
      </c>
      <c r="BC450" s="19" t="s">
        <v>9812</v>
      </c>
      <c r="BD450" s="19" t="s">
        <v>9813</v>
      </c>
      <c r="BE450" s="19" t="s">
        <v>9814</v>
      </c>
      <c r="BF450" s="19">
        <v>1.1994172759E10</v>
      </c>
      <c r="BG450" s="19" t="s">
        <v>4038</v>
      </c>
      <c r="BH450" s="19" t="s">
        <v>2128</v>
      </c>
      <c r="BI450" s="19"/>
      <c r="BJ450" s="19" t="s">
        <v>2128</v>
      </c>
      <c r="BK450" s="19" t="s">
        <v>17</v>
      </c>
      <c r="BL450" s="19"/>
      <c r="BM450" s="19" t="s">
        <v>5411</v>
      </c>
      <c r="BN450" s="19" t="s">
        <v>17</v>
      </c>
      <c r="BO450" s="19" t="s">
        <v>2132</v>
      </c>
      <c r="BP450" s="19"/>
      <c r="BQ450" s="19" t="s">
        <v>2325</v>
      </c>
      <c r="BR450" s="19" t="s">
        <v>2325</v>
      </c>
      <c r="BS450" s="19" t="s">
        <v>2134</v>
      </c>
      <c r="BT450" s="19" t="s">
        <v>59</v>
      </c>
      <c r="BU450" s="19" t="s">
        <v>9815</v>
      </c>
      <c r="BV450" s="19"/>
      <c r="BW450" s="19"/>
      <c r="BX450" s="19"/>
      <c r="BY450" s="19"/>
      <c r="BZ450" s="19"/>
      <c r="CA450" s="19"/>
      <c r="CB450" s="19" t="s">
        <v>2113</v>
      </c>
      <c r="CC450" s="19" t="s">
        <v>2113</v>
      </c>
      <c r="CD450" s="19" t="s">
        <v>2137</v>
      </c>
      <c r="CE450" s="19" t="s">
        <v>16</v>
      </c>
      <c r="CF450" s="19"/>
      <c r="CG450" s="19"/>
      <c r="CH450" s="19" t="s">
        <v>16</v>
      </c>
      <c r="CI450" s="21">
        <v>0.0</v>
      </c>
      <c r="CJ450" s="19" t="s">
        <v>17</v>
      </c>
      <c r="CK450" s="19"/>
      <c r="CL450" s="19"/>
      <c r="CM450" s="19" t="s">
        <v>2926</v>
      </c>
      <c r="CN450" s="19" t="s">
        <v>2431</v>
      </c>
      <c r="CO450" s="19"/>
      <c r="CP450" s="19" t="s">
        <v>2246</v>
      </c>
      <c r="CQ450" s="19"/>
      <c r="CR450" s="19"/>
      <c r="CS450" s="19"/>
      <c r="CT450" s="19"/>
      <c r="CU450" s="19"/>
      <c r="CV450" s="19" t="s">
        <v>2141</v>
      </c>
      <c r="CW450" s="19"/>
      <c r="CX450" s="19"/>
      <c r="CY450" s="19" t="s">
        <v>2113</v>
      </c>
      <c r="CZ450" s="19" t="s">
        <v>2113</v>
      </c>
      <c r="DA450" s="19" t="s">
        <v>16</v>
      </c>
      <c r="DB450" s="19" t="s">
        <v>17</v>
      </c>
      <c r="DC450" s="19" t="s">
        <v>2432</v>
      </c>
      <c r="DD450" s="19"/>
      <c r="DE450" s="19"/>
      <c r="DF450" s="19" t="s">
        <v>2496</v>
      </c>
      <c r="DG450" s="19" t="s">
        <v>2454</v>
      </c>
      <c r="DH450" s="19" t="s">
        <v>2144</v>
      </c>
      <c r="DI450" s="24">
        <v>45519.0</v>
      </c>
      <c r="DJ450" s="19" t="s">
        <v>2325</v>
      </c>
      <c r="DK450" s="19" t="s">
        <v>2271</v>
      </c>
      <c r="DL450" s="19" t="s">
        <v>2326</v>
      </c>
      <c r="DM450" s="19"/>
      <c r="DN450" s="19">
        <v>6.0</v>
      </c>
      <c r="DO450" s="19">
        <v>6.0</v>
      </c>
      <c r="DP450" s="19" t="s">
        <v>9816</v>
      </c>
      <c r="DQ450" s="19" t="s">
        <v>9817</v>
      </c>
      <c r="DR450" s="19" t="s">
        <v>9818</v>
      </c>
      <c r="DS450" s="19" t="s">
        <v>2185</v>
      </c>
      <c r="DT450" s="19" t="s">
        <v>2229</v>
      </c>
      <c r="DU450" s="19"/>
      <c r="DV450" s="19"/>
      <c r="DW450" s="19" t="s">
        <v>2188</v>
      </c>
      <c r="DX450" s="19">
        <v>5.0</v>
      </c>
      <c r="DY450" s="19">
        <v>0.0</v>
      </c>
      <c r="DZ450" s="19">
        <v>0.0</v>
      </c>
      <c r="EA450" s="19">
        <v>0.0</v>
      </c>
      <c r="EB450" s="19">
        <v>0.0</v>
      </c>
      <c r="EC450" s="19">
        <v>0.0</v>
      </c>
      <c r="ED450" s="19" t="s">
        <v>2325</v>
      </c>
      <c r="EE450" s="24">
        <v>45519.0</v>
      </c>
      <c r="EF450" s="19" t="s">
        <v>2325</v>
      </c>
      <c r="EG450" s="19" t="s">
        <v>2271</v>
      </c>
      <c r="EH450" s="19" t="s">
        <v>2326</v>
      </c>
      <c r="EI450" s="22">
        <v>15.0</v>
      </c>
      <c r="EJ450" s="19">
        <v>45.0</v>
      </c>
      <c r="EK450" s="19" t="s">
        <v>2113</v>
      </c>
      <c r="EL450" s="19" t="s">
        <v>2163</v>
      </c>
      <c r="EM450" s="19" t="s">
        <v>9808</v>
      </c>
      <c r="EN450" s="19" t="s">
        <v>1331</v>
      </c>
      <c r="EO450" s="19" t="s">
        <v>2487</v>
      </c>
      <c r="EP450" s="19" t="s">
        <v>2310</v>
      </c>
      <c r="EQ450" s="19" t="s">
        <v>2431</v>
      </c>
      <c r="ER450" s="19"/>
      <c r="ES450" s="19" t="s">
        <v>1331</v>
      </c>
      <c r="ET450" s="19" t="s">
        <v>1331</v>
      </c>
      <c r="EU450" s="19" t="s">
        <v>9806</v>
      </c>
      <c r="EV450" s="19">
        <v>8906.0</v>
      </c>
      <c r="EW450" s="19" t="s">
        <v>16</v>
      </c>
      <c r="EX450" s="19">
        <v>5.0</v>
      </c>
      <c r="EY450" s="25" t="s">
        <v>1330</v>
      </c>
      <c r="EZ450" s="19" t="s">
        <v>2154</v>
      </c>
      <c r="FA450" s="5" t="s">
        <v>9819</v>
      </c>
      <c r="FB450" s="26" t="s">
        <v>2156</v>
      </c>
      <c r="FC450" s="26"/>
    </row>
    <row r="451">
      <c r="A451" s="19" t="s">
        <v>2112</v>
      </c>
      <c r="B451" s="19"/>
      <c r="C451" s="19" t="s">
        <v>2113</v>
      </c>
      <c r="D451" s="19" t="s">
        <v>9820</v>
      </c>
      <c r="E451" s="19" t="s">
        <v>9821</v>
      </c>
      <c r="F451" s="19" t="s">
        <v>9820</v>
      </c>
      <c r="G451" s="19"/>
      <c r="H451" s="19" t="s">
        <v>1332</v>
      </c>
      <c r="I451" s="19" t="s">
        <v>1334</v>
      </c>
      <c r="J451" s="19" t="s">
        <v>9822</v>
      </c>
      <c r="K451" s="19" t="s">
        <v>9823</v>
      </c>
      <c r="L451" s="20">
        <v>45453.0</v>
      </c>
      <c r="M451" s="20">
        <v>45455.0</v>
      </c>
      <c r="N451" s="20">
        <v>45455.0</v>
      </c>
      <c r="O451" s="19" t="s">
        <v>1333</v>
      </c>
      <c r="P451" s="19">
        <v>0.0</v>
      </c>
      <c r="Q451" s="19">
        <v>21.0</v>
      </c>
      <c r="R451" s="19">
        <v>8019.0</v>
      </c>
      <c r="S451" s="20" t="s">
        <v>6700</v>
      </c>
      <c r="T451" s="20">
        <v>45461.0</v>
      </c>
      <c r="U451" s="19" t="s">
        <v>9820</v>
      </c>
      <c r="V451" s="19"/>
      <c r="W451" s="19"/>
      <c r="X451" s="21">
        <v>0.0</v>
      </c>
      <c r="Y451" s="21">
        <v>0.0</v>
      </c>
      <c r="Z451" s="21">
        <v>5.0</v>
      </c>
      <c r="AA451" s="21">
        <v>0.0</v>
      </c>
      <c r="AB451" s="5">
        <v>5.0</v>
      </c>
      <c r="AC451" s="19">
        <v>5.0</v>
      </c>
      <c r="AD451" s="19">
        <v>5.0</v>
      </c>
      <c r="AE451" s="19">
        <v>5.0</v>
      </c>
      <c r="AF451" s="19">
        <v>5.0</v>
      </c>
      <c r="AG451" s="19">
        <v>5.0</v>
      </c>
      <c r="AH451" s="19">
        <v>5.0</v>
      </c>
      <c r="AI451" s="22">
        <v>15.0</v>
      </c>
      <c r="AJ451" s="19">
        <v>15.0</v>
      </c>
      <c r="AK451" s="19">
        <v>15.0</v>
      </c>
      <c r="AL451" s="19">
        <v>15.0</v>
      </c>
      <c r="AM451" s="19">
        <v>45.0</v>
      </c>
      <c r="AN451" s="19">
        <v>60.0</v>
      </c>
      <c r="AO451" s="19">
        <v>65.0</v>
      </c>
      <c r="AP451" s="19">
        <v>1099.0</v>
      </c>
      <c r="AQ451" s="23">
        <v>443.0</v>
      </c>
      <c r="AR451" s="23">
        <v>47.0</v>
      </c>
      <c r="AS451" s="22"/>
      <c r="AT451" s="19" t="s">
        <v>2117</v>
      </c>
      <c r="AU451" s="19" t="s">
        <v>5904</v>
      </c>
      <c r="AV451" s="19" t="s">
        <v>9824</v>
      </c>
      <c r="AW451" s="19"/>
      <c r="AX451" s="20">
        <v>37442.0</v>
      </c>
      <c r="AY451" s="19" t="s">
        <v>2121</v>
      </c>
      <c r="AZ451" s="19" t="s">
        <v>2122</v>
      </c>
      <c r="BA451" s="19" t="s">
        <v>9825</v>
      </c>
      <c r="BB451" s="19" t="s">
        <v>9826</v>
      </c>
      <c r="BC451" s="19" t="s">
        <v>9827</v>
      </c>
      <c r="BD451" s="19" t="s">
        <v>9828</v>
      </c>
      <c r="BE451" s="19" t="s">
        <v>9829</v>
      </c>
      <c r="BF451" s="19">
        <v>1.1977084994E10</v>
      </c>
      <c r="BG451" s="19" t="s">
        <v>4038</v>
      </c>
      <c r="BH451" s="19" t="s">
        <v>2128</v>
      </c>
      <c r="BI451" s="19"/>
      <c r="BJ451" s="19" t="s">
        <v>2129</v>
      </c>
      <c r="BK451" s="19" t="s">
        <v>17</v>
      </c>
      <c r="BL451" s="19"/>
      <c r="BM451" s="19" t="s">
        <v>5563</v>
      </c>
      <c r="BN451" s="19" t="s">
        <v>3951</v>
      </c>
      <c r="BO451" s="19" t="s">
        <v>2132</v>
      </c>
      <c r="BP451" s="19" t="s">
        <v>9830</v>
      </c>
      <c r="BQ451" s="19" t="s">
        <v>2133</v>
      </c>
      <c r="BR451" s="19" t="s">
        <v>2133</v>
      </c>
      <c r="BS451" s="19" t="s">
        <v>2134</v>
      </c>
      <c r="BT451" s="19" t="s">
        <v>15</v>
      </c>
      <c r="BU451" s="19" t="s">
        <v>9831</v>
      </c>
      <c r="BV451" s="19"/>
      <c r="BW451" s="19"/>
      <c r="BX451" s="19"/>
      <c r="BY451" s="19"/>
      <c r="BZ451" s="19"/>
      <c r="CA451" s="19"/>
      <c r="CB451" s="19" t="s">
        <v>2113</v>
      </c>
      <c r="CC451" s="19" t="s">
        <v>2113</v>
      </c>
      <c r="CD451" s="19" t="s">
        <v>2137</v>
      </c>
      <c r="CE451" s="19" t="s">
        <v>16</v>
      </c>
      <c r="CF451" s="19"/>
      <c r="CG451" s="19"/>
      <c r="CH451" s="19" t="s">
        <v>16</v>
      </c>
      <c r="CI451" s="21">
        <v>0.0</v>
      </c>
      <c r="CJ451" s="19" t="s">
        <v>17</v>
      </c>
      <c r="CK451" s="19"/>
      <c r="CL451" s="19"/>
      <c r="CM451" s="19" t="s">
        <v>2138</v>
      </c>
      <c r="CN451" s="19" t="s">
        <v>2139</v>
      </c>
      <c r="CO451" s="19"/>
      <c r="CP451" s="19" t="s">
        <v>2246</v>
      </c>
      <c r="CQ451" s="19"/>
      <c r="CR451" s="19"/>
      <c r="CS451" s="19"/>
      <c r="CT451" s="19"/>
      <c r="CU451" s="19"/>
      <c r="CV451" s="19" t="s">
        <v>2141</v>
      </c>
      <c r="CW451" s="19"/>
      <c r="CX451" s="19"/>
      <c r="CY451" s="19" t="s">
        <v>2113</v>
      </c>
      <c r="CZ451" s="19" t="s">
        <v>2113</v>
      </c>
      <c r="DA451" s="19" t="s">
        <v>16</v>
      </c>
      <c r="DB451" s="19" t="s">
        <v>17</v>
      </c>
      <c r="DC451" s="19" t="s">
        <v>2671</v>
      </c>
      <c r="DD451" s="19" t="s">
        <v>2113</v>
      </c>
      <c r="DE451" s="19" t="s">
        <v>2113</v>
      </c>
      <c r="DF451" s="19" t="s">
        <v>4120</v>
      </c>
      <c r="DG451" s="19" t="s">
        <v>3525</v>
      </c>
      <c r="DH451" s="19" t="s">
        <v>2144</v>
      </c>
      <c r="DI451" s="24">
        <v>45532.0</v>
      </c>
      <c r="DJ451" s="19" t="s">
        <v>2133</v>
      </c>
      <c r="DK451" s="19" t="s">
        <v>2271</v>
      </c>
      <c r="DL451" s="19" t="s">
        <v>2146</v>
      </c>
      <c r="DM451" s="19" t="s">
        <v>3526</v>
      </c>
      <c r="DN451" s="19">
        <v>16.0</v>
      </c>
      <c r="DO451" s="19">
        <v>16.0</v>
      </c>
      <c r="DP451" s="19" t="s">
        <v>9832</v>
      </c>
      <c r="DQ451" s="19" t="s">
        <v>9833</v>
      </c>
      <c r="DR451" s="19" t="s">
        <v>9834</v>
      </c>
      <c r="DS451" s="19" t="s">
        <v>2151</v>
      </c>
      <c r="DT451" s="19" t="s">
        <v>2152</v>
      </c>
      <c r="DU451" s="19"/>
      <c r="DV451" s="19"/>
      <c r="DW451" s="19" t="s">
        <v>2153</v>
      </c>
      <c r="DX451" s="19">
        <v>12.0</v>
      </c>
      <c r="DY451" s="19">
        <v>0.0</v>
      </c>
      <c r="DZ451" s="19">
        <v>0.0</v>
      </c>
      <c r="EA451" s="19">
        <v>0.0</v>
      </c>
      <c r="EB451" s="19">
        <v>0.0</v>
      </c>
      <c r="EC451" s="19">
        <v>0.0</v>
      </c>
      <c r="ED451" s="19" t="s">
        <v>2133</v>
      </c>
      <c r="EE451" s="24">
        <v>45532.0</v>
      </c>
      <c r="EF451" s="19" t="s">
        <v>2133</v>
      </c>
      <c r="EG451" s="19" t="s">
        <v>2271</v>
      </c>
      <c r="EH451" s="19" t="s">
        <v>2146</v>
      </c>
      <c r="EI451" s="22">
        <v>15.0</v>
      </c>
      <c r="EJ451" s="19">
        <v>45.0</v>
      </c>
      <c r="EK451" s="19" t="s">
        <v>2113</v>
      </c>
      <c r="EL451" s="19" t="s">
        <v>2117</v>
      </c>
      <c r="EM451" s="19" t="s">
        <v>5904</v>
      </c>
      <c r="EN451" s="19" t="s">
        <v>1334</v>
      </c>
      <c r="EO451" s="19" t="s">
        <v>2121</v>
      </c>
      <c r="EP451" s="19" t="s">
        <v>2122</v>
      </c>
      <c r="EQ451" s="19" t="s">
        <v>2139</v>
      </c>
      <c r="ER451" s="19"/>
      <c r="ES451" s="19" t="s">
        <v>1334</v>
      </c>
      <c r="ET451" s="19" t="s">
        <v>1334</v>
      </c>
      <c r="EU451" s="19" t="s">
        <v>9823</v>
      </c>
      <c r="EV451" s="19">
        <v>8019.0</v>
      </c>
      <c r="EW451" s="19" t="s">
        <v>16</v>
      </c>
      <c r="EX451" s="19">
        <v>5.0</v>
      </c>
      <c r="EY451" s="25" t="s">
        <v>1333</v>
      </c>
      <c r="EZ451" s="19" t="s">
        <v>2154</v>
      </c>
      <c r="FA451" s="5" t="s">
        <v>9835</v>
      </c>
      <c r="FB451" s="26" t="s">
        <v>2156</v>
      </c>
      <c r="FC451" s="26"/>
    </row>
    <row r="452">
      <c r="A452" s="19" t="s">
        <v>2156</v>
      </c>
      <c r="B452" s="19"/>
      <c r="C452" s="19" t="s">
        <v>2113</v>
      </c>
      <c r="D452" s="19" t="s">
        <v>1335</v>
      </c>
      <c r="E452" s="19" t="s">
        <v>9836</v>
      </c>
      <c r="F452" s="19" t="s">
        <v>1335</v>
      </c>
      <c r="G452" s="19"/>
      <c r="H452" s="19" t="s">
        <v>1335</v>
      </c>
      <c r="I452" s="19" t="s">
        <v>1337</v>
      </c>
      <c r="J452" s="19" t="s">
        <v>9837</v>
      </c>
      <c r="K452" s="19" t="s">
        <v>9838</v>
      </c>
      <c r="L452" s="20">
        <v>45394.0</v>
      </c>
      <c r="M452" s="20">
        <v>45404.0</v>
      </c>
      <c r="N452" s="20">
        <v>45404.0</v>
      </c>
      <c r="O452" s="19" t="s">
        <v>1336</v>
      </c>
      <c r="P452" s="19">
        <v>1.0</v>
      </c>
      <c r="Q452" s="19">
        <v>20.0</v>
      </c>
      <c r="R452" s="19">
        <v>7468.0</v>
      </c>
      <c r="S452" s="20" t="s">
        <v>9839</v>
      </c>
      <c r="T452" s="20">
        <v>45461.0</v>
      </c>
      <c r="U452" s="19" t="s">
        <v>1335</v>
      </c>
      <c r="V452" s="19"/>
      <c r="W452" s="19"/>
      <c r="X452" s="21">
        <v>0.0</v>
      </c>
      <c r="Y452" s="21">
        <v>0.0</v>
      </c>
      <c r="Z452" s="21">
        <v>5.0</v>
      </c>
      <c r="AA452" s="21">
        <v>0.0</v>
      </c>
      <c r="AB452" s="5">
        <v>5.0</v>
      </c>
      <c r="AC452" s="19">
        <v>5.0</v>
      </c>
      <c r="AD452" s="19">
        <v>5.0</v>
      </c>
      <c r="AE452" s="19">
        <v>5.0</v>
      </c>
      <c r="AF452" s="19">
        <v>5.0</v>
      </c>
      <c r="AG452" s="19">
        <v>5.0</v>
      </c>
      <c r="AH452" s="19">
        <v>5.0</v>
      </c>
      <c r="AI452" s="22">
        <v>15.0</v>
      </c>
      <c r="AJ452" s="19">
        <v>15.0</v>
      </c>
      <c r="AK452" s="19">
        <v>15.0</v>
      </c>
      <c r="AL452" s="19">
        <v>15.0</v>
      </c>
      <c r="AM452" s="19">
        <v>45.0</v>
      </c>
      <c r="AN452" s="19">
        <v>60.0</v>
      </c>
      <c r="AO452" s="19">
        <v>65.0</v>
      </c>
      <c r="AP452" s="19">
        <v>1117.0</v>
      </c>
      <c r="AQ452" s="23">
        <v>444.0</v>
      </c>
      <c r="AR452" s="23">
        <v>40.0</v>
      </c>
      <c r="AS452" s="22"/>
      <c r="AT452" s="19" t="s">
        <v>2163</v>
      </c>
      <c r="AU452" s="19" t="s">
        <v>8289</v>
      </c>
      <c r="AV452" s="19" t="s">
        <v>9840</v>
      </c>
      <c r="AW452" s="19"/>
      <c r="AX452" s="20">
        <v>37993.0</v>
      </c>
      <c r="AY452" s="19" t="s">
        <v>2421</v>
      </c>
      <c r="AZ452" s="19" t="s">
        <v>2122</v>
      </c>
      <c r="BA452" s="19" t="s">
        <v>9841</v>
      </c>
      <c r="BB452" s="19" t="s">
        <v>9842</v>
      </c>
      <c r="BC452" s="19" t="s">
        <v>9843</v>
      </c>
      <c r="BD452" s="19" t="s">
        <v>9844</v>
      </c>
      <c r="BE452" s="19" t="s">
        <v>9837</v>
      </c>
      <c r="BF452" s="19" t="s">
        <v>9845</v>
      </c>
      <c r="BG452" s="19" t="s">
        <v>4038</v>
      </c>
      <c r="BH452" s="19" t="s">
        <v>2128</v>
      </c>
      <c r="BI452" s="19"/>
      <c r="BJ452" s="19" t="s">
        <v>2129</v>
      </c>
      <c r="BK452" s="19" t="s">
        <v>17</v>
      </c>
      <c r="BL452" s="19"/>
      <c r="BM452" s="19" t="s">
        <v>5411</v>
      </c>
      <c r="BN452" s="19" t="s">
        <v>3972</v>
      </c>
      <c r="BO452" s="19" t="s">
        <v>2132</v>
      </c>
      <c r="BP452" s="19" t="s">
        <v>9846</v>
      </c>
      <c r="BQ452" s="19" t="s">
        <v>2325</v>
      </c>
      <c r="BR452" s="19" t="s">
        <v>2325</v>
      </c>
      <c r="BS452" s="19" t="s">
        <v>2134</v>
      </c>
      <c r="BT452" s="19" t="s">
        <v>59</v>
      </c>
      <c r="BU452" s="19" t="s">
        <v>4006</v>
      </c>
      <c r="BV452" s="19"/>
      <c r="BW452" s="19" t="s">
        <v>2113</v>
      </c>
      <c r="BX452" s="19"/>
      <c r="BY452" s="19"/>
      <c r="BZ452" s="19"/>
      <c r="CA452" s="19"/>
      <c r="CB452" s="19" t="s">
        <v>2113</v>
      </c>
      <c r="CC452" s="19"/>
      <c r="CD452" s="19" t="s">
        <v>2137</v>
      </c>
      <c r="CE452" s="19" t="s">
        <v>16</v>
      </c>
      <c r="CF452" s="19"/>
      <c r="CG452" s="19"/>
      <c r="CH452" s="19" t="s">
        <v>16</v>
      </c>
      <c r="CI452" s="21">
        <v>0.0</v>
      </c>
      <c r="CJ452" s="19" t="s">
        <v>17</v>
      </c>
      <c r="CK452" s="19"/>
      <c r="CL452" s="19"/>
      <c r="CM452" s="19" t="s">
        <v>2749</v>
      </c>
      <c r="CN452" s="19" t="s">
        <v>2431</v>
      </c>
      <c r="CO452" s="19"/>
      <c r="CP452" s="19" t="s">
        <v>2225</v>
      </c>
      <c r="CQ452" s="19"/>
      <c r="CR452" s="19" t="s">
        <v>2113</v>
      </c>
      <c r="CS452" s="19" t="s">
        <v>2113</v>
      </c>
      <c r="CT452" s="19" t="s">
        <v>2113</v>
      </c>
      <c r="CU452" s="19" t="s">
        <v>2113</v>
      </c>
      <c r="CV452" s="19" t="s">
        <v>2141</v>
      </c>
      <c r="CW452" s="19" t="s">
        <v>2113</v>
      </c>
      <c r="CX452" s="19" t="s">
        <v>2113</v>
      </c>
      <c r="CY452" s="19" t="s">
        <v>2113</v>
      </c>
      <c r="CZ452" s="19" t="s">
        <v>2113</v>
      </c>
      <c r="DA452" s="19" t="s">
        <v>16</v>
      </c>
      <c r="DB452" s="19" t="s">
        <v>17</v>
      </c>
      <c r="DC452" s="19" t="s">
        <v>4904</v>
      </c>
      <c r="DD452" s="19" t="s">
        <v>2113</v>
      </c>
      <c r="DE452" s="19" t="s">
        <v>2113</v>
      </c>
      <c r="DF452" s="19" t="s">
        <v>2248</v>
      </c>
      <c r="DG452" s="19" t="s">
        <v>2455</v>
      </c>
      <c r="DH452" s="19" t="s">
        <v>2144</v>
      </c>
      <c r="DI452" s="24">
        <v>45518.0</v>
      </c>
      <c r="DJ452" s="19" t="s">
        <v>2325</v>
      </c>
      <c r="DK452" s="19" t="s">
        <v>2271</v>
      </c>
      <c r="DL452" s="19" t="s">
        <v>2326</v>
      </c>
      <c r="DM452" s="19"/>
      <c r="DN452" s="19">
        <v>4.0</v>
      </c>
      <c r="DO452" s="19">
        <v>4.0</v>
      </c>
      <c r="DP452" s="19" t="s">
        <v>9847</v>
      </c>
      <c r="DQ452" s="19" t="s">
        <v>9848</v>
      </c>
      <c r="DR452" s="19" t="s">
        <v>9849</v>
      </c>
      <c r="DS452" s="19" t="s">
        <v>2185</v>
      </c>
      <c r="DT452" s="19" t="s">
        <v>2209</v>
      </c>
      <c r="DU452" s="19"/>
      <c r="DV452" s="19"/>
      <c r="DW452" s="19" t="s">
        <v>2153</v>
      </c>
      <c r="DX452" s="19">
        <v>3.0</v>
      </c>
      <c r="DY452" s="19">
        <v>0.0</v>
      </c>
      <c r="DZ452" s="19">
        <v>0.0</v>
      </c>
      <c r="EA452" s="19">
        <v>0.0</v>
      </c>
      <c r="EB452" s="19">
        <v>0.0</v>
      </c>
      <c r="EC452" s="19">
        <v>0.0</v>
      </c>
      <c r="ED452" s="19" t="s">
        <v>2325</v>
      </c>
      <c r="EE452" s="24">
        <v>45518.0</v>
      </c>
      <c r="EF452" s="19" t="s">
        <v>2325</v>
      </c>
      <c r="EG452" s="19" t="s">
        <v>2271</v>
      </c>
      <c r="EH452" s="19" t="s">
        <v>2326</v>
      </c>
      <c r="EI452" s="22">
        <v>15.0</v>
      </c>
      <c r="EJ452" s="19">
        <v>45.0</v>
      </c>
      <c r="EK452" s="19" t="s">
        <v>2113</v>
      </c>
      <c r="EL452" s="19" t="s">
        <v>2163</v>
      </c>
      <c r="EM452" s="19" t="s">
        <v>8289</v>
      </c>
      <c r="EN452" s="19" t="s">
        <v>1337</v>
      </c>
      <c r="EO452" s="19" t="s">
        <v>2421</v>
      </c>
      <c r="EP452" s="19" t="s">
        <v>2122</v>
      </c>
      <c r="EQ452" s="19" t="s">
        <v>2431</v>
      </c>
      <c r="ER452" s="19"/>
      <c r="ES452" s="19" t="s">
        <v>1337</v>
      </c>
      <c r="ET452" s="19" t="s">
        <v>1337</v>
      </c>
      <c r="EU452" s="19" t="s">
        <v>9838</v>
      </c>
      <c r="EV452" s="19">
        <v>7468.0</v>
      </c>
      <c r="EW452" s="19" t="s">
        <v>16</v>
      </c>
      <c r="EX452" s="19">
        <v>5.0</v>
      </c>
      <c r="EY452" s="25" t="s">
        <v>1336</v>
      </c>
      <c r="EZ452" s="19" t="s">
        <v>2154</v>
      </c>
      <c r="FA452" s="5" t="s">
        <v>9850</v>
      </c>
      <c r="FB452" s="26" t="s">
        <v>2156</v>
      </c>
      <c r="FC452" s="26"/>
    </row>
    <row r="453">
      <c r="A453" s="19" t="s">
        <v>2112</v>
      </c>
      <c r="B453" s="19"/>
      <c r="C453" s="19" t="s">
        <v>2113</v>
      </c>
      <c r="D453" s="19" t="s">
        <v>1338</v>
      </c>
      <c r="E453" s="19" t="s">
        <v>9851</v>
      </c>
      <c r="F453" s="19" t="s">
        <v>1338</v>
      </c>
      <c r="G453" s="19" t="s">
        <v>9851</v>
      </c>
      <c r="H453" s="19" t="s">
        <v>1338</v>
      </c>
      <c r="I453" s="19" t="s">
        <v>1340</v>
      </c>
      <c r="J453" s="19" t="s">
        <v>9852</v>
      </c>
      <c r="K453" s="19" t="s">
        <v>9853</v>
      </c>
      <c r="L453" s="20">
        <v>45459.0</v>
      </c>
      <c r="M453" s="20">
        <v>45460.0</v>
      </c>
      <c r="N453" s="20">
        <v>45460.0</v>
      </c>
      <c r="O453" s="19" t="s">
        <v>1339</v>
      </c>
      <c r="P453" s="19">
        <v>0.0</v>
      </c>
      <c r="Q453" s="19">
        <v>20.0</v>
      </c>
      <c r="R453" s="19">
        <v>7410.0</v>
      </c>
      <c r="S453" s="20" t="s">
        <v>9854</v>
      </c>
      <c r="T453" s="20">
        <v>45461.0</v>
      </c>
      <c r="U453" s="19" t="s">
        <v>1338</v>
      </c>
      <c r="V453" s="19"/>
      <c r="W453" s="19"/>
      <c r="X453" s="21">
        <v>0.0</v>
      </c>
      <c r="Y453" s="21">
        <v>0.0</v>
      </c>
      <c r="Z453" s="21">
        <v>5.0</v>
      </c>
      <c r="AA453" s="21">
        <v>0.0</v>
      </c>
      <c r="AB453" s="5">
        <v>5.0</v>
      </c>
      <c r="AC453" s="19">
        <v>5.0</v>
      </c>
      <c r="AD453" s="19">
        <v>5.0</v>
      </c>
      <c r="AE453" s="19">
        <v>5.0</v>
      </c>
      <c r="AF453" s="19">
        <v>5.0</v>
      </c>
      <c r="AG453" s="19">
        <v>5.0</v>
      </c>
      <c r="AH453" s="19">
        <v>5.0</v>
      </c>
      <c r="AI453" s="22">
        <v>15.0</v>
      </c>
      <c r="AJ453" s="19">
        <v>15.0</v>
      </c>
      <c r="AK453" s="19">
        <v>15.0</v>
      </c>
      <c r="AL453" s="19">
        <v>15.0</v>
      </c>
      <c r="AM453" s="19">
        <v>45.0</v>
      </c>
      <c r="AN453" s="19">
        <v>60.0</v>
      </c>
      <c r="AO453" s="19">
        <v>65.0</v>
      </c>
      <c r="AP453" s="19">
        <v>1118.0</v>
      </c>
      <c r="AQ453" s="23">
        <v>445.0</v>
      </c>
      <c r="AR453" s="23">
        <v>48.0</v>
      </c>
      <c r="AS453" s="22"/>
      <c r="AT453" s="19" t="s">
        <v>2282</v>
      </c>
      <c r="AU453" s="19" t="s">
        <v>3753</v>
      </c>
      <c r="AV453" s="19" t="s">
        <v>9855</v>
      </c>
      <c r="AW453" s="19" t="s">
        <v>3269</v>
      </c>
      <c r="AX453" s="20">
        <v>38051.0</v>
      </c>
      <c r="AY453" s="19" t="s">
        <v>2121</v>
      </c>
      <c r="AZ453" s="19" t="s">
        <v>2310</v>
      </c>
      <c r="BA453" s="19" t="s">
        <v>9856</v>
      </c>
      <c r="BB453" s="19" t="s">
        <v>7494</v>
      </c>
      <c r="BC453" s="19" t="s">
        <v>9857</v>
      </c>
      <c r="BD453" s="19" t="s">
        <v>9858</v>
      </c>
      <c r="BE453" s="19" t="s">
        <v>9859</v>
      </c>
      <c r="BF453" s="19">
        <v>1.1958947862E10</v>
      </c>
      <c r="BG453" s="19" t="s">
        <v>4038</v>
      </c>
      <c r="BH453" s="19" t="s">
        <v>2128</v>
      </c>
      <c r="BI453" s="19"/>
      <c r="BJ453" s="19" t="s">
        <v>2128</v>
      </c>
      <c r="BK453" s="19" t="s">
        <v>17</v>
      </c>
      <c r="BL453" s="19"/>
      <c r="BM453" s="19" t="s">
        <v>5563</v>
      </c>
      <c r="BN453" s="19" t="s">
        <v>2112</v>
      </c>
      <c r="BO453" s="19" t="s">
        <v>2132</v>
      </c>
      <c r="BP453" s="19" t="s">
        <v>9860</v>
      </c>
      <c r="BQ453" s="19" t="s">
        <v>2133</v>
      </c>
      <c r="BR453" s="19" t="s">
        <v>2133</v>
      </c>
      <c r="BS453" s="19" t="s">
        <v>2243</v>
      </c>
      <c r="BT453" s="19" t="s">
        <v>15</v>
      </c>
      <c r="BU453" s="19" t="s">
        <v>9861</v>
      </c>
      <c r="BV453" s="19"/>
      <c r="BW453" s="19" t="s">
        <v>2113</v>
      </c>
      <c r="BX453" s="19"/>
      <c r="BY453" s="19"/>
      <c r="BZ453" s="19"/>
      <c r="CA453" s="19"/>
      <c r="CB453" s="19" t="s">
        <v>2113</v>
      </c>
      <c r="CC453" s="19"/>
      <c r="CD453" s="19" t="s">
        <v>2137</v>
      </c>
      <c r="CE453" s="19" t="s">
        <v>16</v>
      </c>
      <c r="CF453" s="19"/>
      <c r="CG453" s="19"/>
      <c r="CH453" s="19" t="s">
        <v>16</v>
      </c>
      <c r="CI453" s="21">
        <v>0.0</v>
      </c>
      <c r="CJ453" s="19" t="s">
        <v>16</v>
      </c>
      <c r="CK453" s="19"/>
      <c r="CL453" s="19"/>
      <c r="CM453" s="19" t="s">
        <v>2138</v>
      </c>
      <c r="CN453" s="19" t="s">
        <v>2139</v>
      </c>
      <c r="CO453" s="19"/>
      <c r="CP453" s="19" t="s">
        <v>2246</v>
      </c>
      <c r="CQ453" s="19"/>
      <c r="CR453" s="19" t="s">
        <v>2113</v>
      </c>
      <c r="CS453" s="19" t="s">
        <v>2113</v>
      </c>
      <c r="CT453" s="19" t="s">
        <v>2113</v>
      </c>
      <c r="CU453" s="19" t="s">
        <v>2113</v>
      </c>
      <c r="CV453" s="19" t="s">
        <v>2141</v>
      </c>
      <c r="CW453" s="19" t="s">
        <v>2113</v>
      </c>
      <c r="CX453" s="19" t="s">
        <v>2113</v>
      </c>
      <c r="CY453" s="19"/>
      <c r="CZ453" s="19"/>
      <c r="DA453" s="19" t="s">
        <v>16</v>
      </c>
      <c r="DB453" s="19" t="s">
        <v>16</v>
      </c>
      <c r="DC453" s="19" t="s">
        <v>4120</v>
      </c>
      <c r="DD453" s="19" t="s">
        <v>2113</v>
      </c>
      <c r="DE453" s="19" t="s">
        <v>2113</v>
      </c>
      <c r="DF453" s="19" t="s">
        <v>3782</v>
      </c>
      <c r="DG453" s="19" t="s">
        <v>3525</v>
      </c>
      <c r="DH453" s="19" t="s">
        <v>2144</v>
      </c>
      <c r="DI453" s="24">
        <v>45532.0</v>
      </c>
      <c r="DJ453" s="19" t="s">
        <v>2133</v>
      </c>
      <c r="DK453" s="19" t="s">
        <v>2145</v>
      </c>
      <c r="DL453" s="19" t="s">
        <v>2146</v>
      </c>
      <c r="DM453" s="19" t="s">
        <v>4101</v>
      </c>
      <c r="DN453" s="19">
        <v>15.0</v>
      </c>
      <c r="DO453" s="19">
        <v>15.0</v>
      </c>
      <c r="DP453" s="19" t="s">
        <v>9862</v>
      </c>
      <c r="DQ453" s="19" t="s">
        <v>9863</v>
      </c>
      <c r="DR453" s="19" t="s">
        <v>9864</v>
      </c>
      <c r="DS453" s="19" t="s">
        <v>2365</v>
      </c>
      <c r="DT453" s="19" t="s">
        <v>2152</v>
      </c>
      <c r="DU453" s="19"/>
      <c r="DV453" s="19"/>
      <c r="DW453" s="19" t="s">
        <v>2479</v>
      </c>
      <c r="DX453" s="19">
        <v>11.0</v>
      </c>
      <c r="DY453" s="19">
        <v>0.0</v>
      </c>
      <c r="DZ453" s="19">
        <v>0.0</v>
      </c>
      <c r="EA453" s="19">
        <v>0.0</v>
      </c>
      <c r="EB453" s="19">
        <v>0.0</v>
      </c>
      <c r="EC453" s="19">
        <v>0.0</v>
      </c>
      <c r="ED453" s="19" t="s">
        <v>2133</v>
      </c>
      <c r="EE453" s="24">
        <v>45532.0</v>
      </c>
      <c r="EF453" s="19" t="s">
        <v>2133</v>
      </c>
      <c r="EG453" s="19" t="s">
        <v>2145</v>
      </c>
      <c r="EH453" s="19" t="s">
        <v>2146</v>
      </c>
      <c r="EI453" s="22">
        <v>15.0</v>
      </c>
      <c r="EJ453" s="19">
        <v>45.0</v>
      </c>
      <c r="EK453" s="19"/>
      <c r="EL453" s="19" t="s">
        <v>2282</v>
      </c>
      <c r="EM453" s="19" t="s">
        <v>3753</v>
      </c>
      <c r="EN453" s="19" t="s">
        <v>1340</v>
      </c>
      <c r="EO453" s="19" t="s">
        <v>2121</v>
      </c>
      <c r="EP453" s="19" t="s">
        <v>2310</v>
      </c>
      <c r="EQ453" s="19" t="s">
        <v>2139</v>
      </c>
      <c r="ER453" s="19"/>
      <c r="ES453" s="19" t="s">
        <v>1340</v>
      </c>
      <c r="ET453" s="19" t="s">
        <v>1340</v>
      </c>
      <c r="EU453" s="19" t="s">
        <v>9853</v>
      </c>
      <c r="EV453" s="19">
        <v>7410.0</v>
      </c>
      <c r="EW453" s="19" t="s">
        <v>16</v>
      </c>
      <c r="EX453" s="19">
        <v>5.0</v>
      </c>
      <c r="EY453" s="25" t="s">
        <v>1339</v>
      </c>
      <c r="EZ453" s="19" t="s">
        <v>2154</v>
      </c>
      <c r="FA453" s="5" t="s">
        <v>9865</v>
      </c>
      <c r="FB453" s="26" t="s">
        <v>2156</v>
      </c>
      <c r="FC453" s="26"/>
    </row>
    <row r="454">
      <c r="A454" s="19" t="s">
        <v>17</v>
      </c>
      <c r="B454" s="19"/>
      <c r="C454" s="19" t="s">
        <v>2113</v>
      </c>
      <c r="D454" s="19" t="s">
        <v>1341</v>
      </c>
      <c r="E454" s="19" t="s">
        <v>9866</v>
      </c>
      <c r="F454" s="19" t="s">
        <v>1341</v>
      </c>
      <c r="G454" s="19"/>
      <c r="H454" s="19" t="s">
        <v>1341</v>
      </c>
      <c r="I454" s="19" t="s">
        <v>1343</v>
      </c>
      <c r="J454" s="19" t="s">
        <v>9867</v>
      </c>
      <c r="K454" s="19" t="s">
        <v>9868</v>
      </c>
      <c r="L454" s="20">
        <v>45450.0</v>
      </c>
      <c r="M454" s="20">
        <v>45453.0</v>
      </c>
      <c r="N454" s="20">
        <v>45453.0</v>
      </c>
      <c r="O454" s="19" t="s">
        <v>1342</v>
      </c>
      <c r="P454" s="19">
        <v>0.0</v>
      </c>
      <c r="Q454" s="19">
        <v>25.0</v>
      </c>
      <c r="R454" s="19">
        <v>9447.0</v>
      </c>
      <c r="S454" s="20" t="s">
        <v>9869</v>
      </c>
      <c r="T454" s="20">
        <v>45461.0</v>
      </c>
      <c r="U454" s="19" t="s">
        <v>1341</v>
      </c>
      <c r="V454" s="19"/>
      <c r="W454" s="19"/>
      <c r="X454" s="21">
        <v>0.0</v>
      </c>
      <c r="Y454" s="21">
        <v>10.0</v>
      </c>
      <c r="Z454" s="21">
        <v>3.0</v>
      </c>
      <c r="AA454" s="21">
        <v>0.0</v>
      </c>
      <c r="AB454" s="5">
        <v>13.0</v>
      </c>
      <c r="AC454" s="19">
        <v>2.0</v>
      </c>
      <c r="AD454" s="19">
        <v>2.5</v>
      </c>
      <c r="AE454" s="19">
        <v>2.0</v>
      </c>
      <c r="AF454" s="19">
        <v>2.5</v>
      </c>
      <c r="AG454" s="19">
        <v>2.0</v>
      </c>
      <c r="AH454" s="19">
        <v>3.0</v>
      </c>
      <c r="AI454" s="22">
        <v>6.890625</v>
      </c>
      <c r="AJ454" s="19">
        <v>15.0</v>
      </c>
      <c r="AK454" s="19">
        <v>15.0</v>
      </c>
      <c r="AL454" s="19">
        <v>15.0</v>
      </c>
      <c r="AM454" s="19">
        <v>45.0</v>
      </c>
      <c r="AN454" s="19">
        <v>51.9</v>
      </c>
      <c r="AO454" s="19">
        <v>64.9</v>
      </c>
      <c r="AP454" s="19">
        <v>691.0</v>
      </c>
      <c r="AQ454" s="23">
        <v>446.0</v>
      </c>
      <c r="AR454" s="23">
        <v>26.0</v>
      </c>
      <c r="AS454" s="22" t="s">
        <v>4071</v>
      </c>
      <c r="AT454" s="19" t="s">
        <v>2282</v>
      </c>
      <c r="AU454" s="19" t="s">
        <v>3982</v>
      </c>
      <c r="AV454" s="19" t="s">
        <v>9870</v>
      </c>
      <c r="AW454" s="19" t="s">
        <v>3923</v>
      </c>
      <c r="AX454" s="20">
        <v>36014.0</v>
      </c>
      <c r="AY454" s="19" t="s">
        <v>5105</v>
      </c>
      <c r="AZ454" s="19" t="s">
        <v>2310</v>
      </c>
      <c r="BA454" s="19" t="s">
        <v>9871</v>
      </c>
      <c r="BB454" s="19" t="s">
        <v>2885</v>
      </c>
      <c r="BC454" s="19" t="s">
        <v>9872</v>
      </c>
      <c r="BD454" s="19" t="s">
        <v>9873</v>
      </c>
      <c r="BE454" s="19" t="s">
        <v>9867</v>
      </c>
      <c r="BF454" s="19">
        <v>1.1981620584E10</v>
      </c>
      <c r="BG454" s="19" t="s">
        <v>2127</v>
      </c>
      <c r="BH454" s="19" t="s">
        <v>2128</v>
      </c>
      <c r="BI454" s="19"/>
      <c r="BJ454" s="19" t="s">
        <v>2128</v>
      </c>
      <c r="BK454" s="19" t="s">
        <v>17</v>
      </c>
      <c r="BL454" s="19"/>
      <c r="BM454" s="19" t="s">
        <v>5411</v>
      </c>
      <c r="BN454" s="19" t="s">
        <v>2172</v>
      </c>
      <c r="BO454" s="19" t="s">
        <v>2473</v>
      </c>
      <c r="BP454" s="19" t="s">
        <v>9874</v>
      </c>
      <c r="BQ454" s="19" t="s">
        <v>3832</v>
      </c>
      <c r="BR454" s="19" t="s">
        <v>3832</v>
      </c>
      <c r="BS454" s="19" t="s">
        <v>2134</v>
      </c>
      <c r="BT454" s="19" t="s">
        <v>268</v>
      </c>
      <c r="BU454" s="19"/>
      <c r="BV454" s="19"/>
      <c r="BW454" s="19" t="s">
        <v>2113</v>
      </c>
      <c r="BX454" s="19"/>
      <c r="BY454" s="19"/>
      <c r="BZ454" s="19"/>
      <c r="CA454" s="19"/>
      <c r="CB454" s="19" t="s">
        <v>2113</v>
      </c>
      <c r="CC454" s="19"/>
      <c r="CD454" s="19" t="s">
        <v>2137</v>
      </c>
      <c r="CE454" s="19" t="s">
        <v>16</v>
      </c>
      <c r="CF454" s="19"/>
      <c r="CG454" s="19"/>
      <c r="CH454" s="19" t="s">
        <v>16</v>
      </c>
      <c r="CI454" s="21">
        <v>0.0</v>
      </c>
      <c r="CJ454" s="19" t="s">
        <v>16</v>
      </c>
      <c r="CK454" s="19"/>
      <c r="CL454" s="19"/>
      <c r="CM454" s="19" t="s">
        <v>2138</v>
      </c>
      <c r="CN454" s="19" t="s">
        <v>3835</v>
      </c>
      <c r="CO454" s="19"/>
      <c r="CP454" s="19" t="s">
        <v>2134</v>
      </c>
      <c r="CQ454" s="19"/>
      <c r="CR454" s="19"/>
      <c r="CS454" s="19"/>
      <c r="CT454" s="19"/>
      <c r="CU454" s="19"/>
      <c r="CV454" s="19" t="s">
        <v>2141</v>
      </c>
      <c r="CW454" s="19"/>
      <c r="CX454" s="19"/>
      <c r="CY454" s="19"/>
      <c r="CZ454" s="19"/>
      <c r="DA454" s="19" t="s">
        <v>16</v>
      </c>
      <c r="DB454" s="19" t="s">
        <v>16</v>
      </c>
      <c r="DC454" s="19" t="s">
        <v>3836</v>
      </c>
      <c r="DD454" s="19"/>
      <c r="DE454" s="19"/>
      <c r="DF454" s="19" t="s">
        <v>2433</v>
      </c>
      <c r="DG454" s="19" t="s">
        <v>3163</v>
      </c>
      <c r="DH454" s="19" t="s">
        <v>2144</v>
      </c>
      <c r="DI454" s="24">
        <v>45519.0</v>
      </c>
      <c r="DJ454" s="19" t="s">
        <v>3257</v>
      </c>
      <c r="DK454" s="19" t="s">
        <v>2145</v>
      </c>
      <c r="DL454" s="19" t="s">
        <v>2207</v>
      </c>
      <c r="DM454" s="19" t="s">
        <v>9317</v>
      </c>
      <c r="DN454" s="19">
        <v>2.0</v>
      </c>
      <c r="DO454" s="19">
        <v>2.0</v>
      </c>
      <c r="DP454" s="19" t="s">
        <v>9875</v>
      </c>
      <c r="DQ454" s="19" t="s">
        <v>9876</v>
      </c>
      <c r="DR454" s="19" t="s">
        <v>9877</v>
      </c>
      <c r="DS454" s="19" t="s">
        <v>2185</v>
      </c>
      <c r="DT454" s="19" t="s">
        <v>2229</v>
      </c>
      <c r="DU454" s="19"/>
      <c r="DV454" s="19"/>
      <c r="DW454" s="19" t="s">
        <v>2153</v>
      </c>
      <c r="DX454" s="19">
        <v>2.0</v>
      </c>
      <c r="DY454" s="19">
        <v>10.0</v>
      </c>
      <c r="DZ454" s="19">
        <v>0.0</v>
      </c>
      <c r="EA454" s="19">
        <v>10.0</v>
      </c>
      <c r="EB454" s="19">
        <v>0.0</v>
      </c>
      <c r="EC454" s="19">
        <v>0.0</v>
      </c>
      <c r="ED454" s="19" t="s">
        <v>3257</v>
      </c>
      <c r="EE454" s="24">
        <v>45519.0</v>
      </c>
      <c r="EF454" s="19" t="s">
        <v>3257</v>
      </c>
      <c r="EG454" s="19" t="s">
        <v>2145</v>
      </c>
      <c r="EH454" s="19" t="s">
        <v>2207</v>
      </c>
      <c r="EI454" s="22">
        <v>6.890625</v>
      </c>
      <c r="EJ454" s="19">
        <v>45.0</v>
      </c>
      <c r="EK454" s="19"/>
      <c r="EL454" s="19" t="s">
        <v>2282</v>
      </c>
      <c r="EM454" s="19" t="s">
        <v>3982</v>
      </c>
      <c r="EN454" s="19" t="s">
        <v>1343</v>
      </c>
      <c r="EO454" s="19" t="s">
        <v>5105</v>
      </c>
      <c r="EP454" s="19" t="s">
        <v>2310</v>
      </c>
      <c r="EQ454" s="19" t="s">
        <v>3835</v>
      </c>
      <c r="ER454" s="19"/>
      <c r="ES454" s="19" t="s">
        <v>1343</v>
      </c>
      <c r="ET454" s="19" t="s">
        <v>1343</v>
      </c>
      <c r="EU454" s="19" t="s">
        <v>9868</v>
      </c>
      <c r="EV454" s="19">
        <v>9447.0</v>
      </c>
      <c r="EW454" s="19" t="s">
        <v>16</v>
      </c>
      <c r="EX454" s="19">
        <v>3.0</v>
      </c>
      <c r="EY454" s="25" t="s">
        <v>1342</v>
      </c>
      <c r="EZ454" s="19" t="s">
        <v>2154</v>
      </c>
      <c r="FA454" s="5" t="s">
        <v>9878</v>
      </c>
      <c r="FB454" s="26" t="s">
        <v>2156</v>
      </c>
      <c r="FC454" s="26"/>
    </row>
    <row r="455">
      <c r="A455" s="19" t="s">
        <v>2112</v>
      </c>
      <c r="B455" s="19"/>
      <c r="C455" s="19" t="s">
        <v>2113</v>
      </c>
      <c r="D455" s="19" t="s">
        <v>9879</v>
      </c>
      <c r="E455" s="19" t="s">
        <v>9880</v>
      </c>
      <c r="F455" s="19" t="s">
        <v>1344</v>
      </c>
      <c r="G455" s="19" t="s">
        <v>9881</v>
      </c>
      <c r="H455" s="19" t="s">
        <v>1344</v>
      </c>
      <c r="I455" s="19" t="s">
        <v>1346</v>
      </c>
      <c r="J455" s="19" t="s">
        <v>9882</v>
      </c>
      <c r="K455" s="19" t="s">
        <v>9883</v>
      </c>
      <c r="L455" s="20">
        <v>45403.0</v>
      </c>
      <c r="M455" s="20">
        <v>45411.0</v>
      </c>
      <c r="N455" s="20">
        <v>45411.0</v>
      </c>
      <c r="O455" s="19" t="s">
        <v>1345</v>
      </c>
      <c r="P455" s="19">
        <v>0.0</v>
      </c>
      <c r="Q455" s="19">
        <v>27.0</v>
      </c>
      <c r="R455" s="19">
        <v>10226.0</v>
      </c>
      <c r="S455" s="20" t="s">
        <v>9884</v>
      </c>
      <c r="T455" s="20">
        <v>45461.0</v>
      </c>
      <c r="U455" s="19" t="s">
        <v>1344</v>
      </c>
      <c r="V455" s="19"/>
      <c r="W455" s="19"/>
      <c r="X455" s="21">
        <v>0.0</v>
      </c>
      <c r="Y455" s="21">
        <v>0.0</v>
      </c>
      <c r="Z455" s="21">
        <v>5.0</v>
      </c>
      <c r="AA455" s="21">
        <v>2.0</v>
      </c>
      <c r="AB455" s="5">
        <v>7.0</v>
      </c>
      <c r="AC455" s="19">
        <v>5.0</v>
      </c>
      <c r="AD455" s="19">
        <v>4.5</v>
      </c>
      <c r="AE455" s="19">
        <v>4.25</v>
      </c>
      <c r="AF455" s="19">
        <v>4.5</v>
      </c>
      <c r="AG455" s="19">
        <v>5.0</v>
      </c>
      <c r="AH455" s="19">
        <v>5.0</v>
      </c>
      <c r="AI455" s="22">
        <v>13.921875</v>
      </c>
      <c r="AJ455" s="19">
        <v>15.0</v>
      </c>
      <c r="AK455" s="19">
        <v>15.0</v>
      </c>
      <c r="AL455" s="19">
        <v>14.0</v>
      </c>
      <c r="AM455" s="19">
        <v>44.0</v>
      </c>
      <c r="AN455" s="19">
        <v>57.9</v>
      </c>
      <c r="AO455" s="19">
        <v>64.9</v>
      </c>
      <c r="AP455" s="19">
        <v>1011.0</v>
      </c>
      <c r="AQ455" s="23">
        <v>447.0</v>
      </c>
      <c r="AR455" s="23">
        <v>53.0</v>
      </c>
      <c r="AS455" s="22"/>
      <c r="AT455" s="19" t="s">
        <v>2282</v>
      </c>
      <c r="AU455" s="19" t="s">
        <v>9885</v>
      </c>
      <c r="AV455" s="19" t="s">
        <v>9886</v>
      </c>
      <c r="AW455" s="19"/>
      <c r="AX455" s="20">
        <v>35235.0</v>
      </c>
      <c r="AY455" s="19" t="s">
        <v>2196</v>
      </c>
      <c r="AZ455" s="19" t="s">
        <v>2422</v>
      </c>
      <c r="BA455" s="19" t="s">
        <v>9887</v>
      </c>
      <c r="BB455" s="19" t="s">
        <v>9888</v>
      </c>
      <c r="BC455" s="19" t="s">
        <v>9889</v>
      </c>
      <c r="BD455" s="19" t="s">
        <v>9890</v>
      </c>
      <c r="BE455" s="19"/>
      <c r="BF455" s="19"/>
      <c r="BG455" s="19" t="s">
        <v>2127</v>
      </c>
      <c r="BH455" s="19" t="s">
        <v>2128</v>
      </c>
      <c r="BI455" s="19"/>
      <c r="BJ455" s="19" t="s">
        <v>2128</v>
      </c>
      <c r="BK455" s="19" t="s">
        <v>17</v>
      </c>
      <c r="BL455" s="19"/>
      <c r="BM455" s="19" t="s">
        <v>5411</v>
      </c>
      <c r="BN455" s="19" t="s">
        <v>17</v>
      </c>
      <c r="BO455" s="19" t="s">
        <v>2132</v>
      </c>
      <c r="BP455" s="19" t="s">
        <v>9891</v>
      </c>
      <c r="BQ455" s="19" t="s">
        <v>2174</v>
      </c>
      <c r="BR455" s="19" t="s">
        <v>2174</v>
      </c>
      <c r="BS455" s="19" t="s">
        <v>3521</v>
      </c>
      <c r="BT455" s="19" t="s">
        <v>21</v>
      </c>
      <c r="BU455" s="19" t="s">
        <v>9892</v>
      </c>
      <c r="BV455" s="19"/>
      <c r="BW455" s="19" t="s">
        <v>2113</v>
      </c>
      <c r="BX455" s="19"/>
      <c r="BY455" s="19"/>
      <c r="BZ455" s="19"/>
      <c r="CA455" s="19"/>
      <c r="CB455" s="19" t="s">
        <v>2113</v>
      </c>
      <c r="CC455" s="19"/>
      <c r="CD455" s="19" t="s">
        <v>2137</v>
      </c>
      <c r="CE455" s="19" t="s">
        <v>16</v>
      </c>
      <c r="CF455" s="19"/>
      <c r="CG455" s="19"/>
      <c r="CH455" s="19" t="s">
        <v>16</v>
      </c>
      <c r="CI455" s="21">
        <v>0.0</v>
      </c>
      <c r="CJ455" s="19" t="s">
        <v>16</v>
      </c>
      <c r="CK455" s="19"/>
      <c r="CL455" s="19"/>
      <c r="CM455" s="19" t="s">
        <v>2138</v>
      </c>
      <c r="CN455" s="19" t="s">
        <v>2204</v>
      </c>
      <c r="CO455" s="19" t="s">
        <v>2177</v>
      </c>
      <c r="CP455" s="19" t="s">
        <v>2140</v>
      </c>
      <c r="CQ455" s="19"/>
      <c r="CR455" s="19" t="s">
        <v>2113</v>
      </c>
      <c r="CS455" s="19" t="s">
        <v>2113</v>
      </c>
      <c r="CT455" s="19" t="s">
        <v>2113</v>
      </c>
      <c r="CU455" s="19" t="s">
        <v>2113</v>
      </c>
      <c r="CV455" s="19" t="s">
        <v>2141</v>
      </c>
      <c r="CW455" s="19" t="s">
        <v>2113</v>
      </c>
      <c r="CX455" s="19" t="s">
        <v>2113</v>
      </c>
      <c r="CY455" s="19" t="s">
        <v>2113</v>
      </c>
      <c r="CZ455" s="19" t="s">
        <v>2113</v>
      </c>
      <c r="DA455" s="19" t="s">
        <v>16</v>
      </c>
      <c r="DB455" s="19" t="s">
        <v>16</v>
      </c>
      <c r="DC455" s="19" t="s">
        <v>2345</v>
      </c>
      <c r="DD455" s="19" t="s">
        <v>2113</v>
      </c>
      <c r="DE455" s="19" t="s">
        <v>2113</v>
      </c>
      <c r="DF455" s="19" t="s">
        <v>2227</v>
      </c>
      <c r="DG455" s="19" t="s">
        <v>2514</v>
      </c>
      <c r="DH455" s="19" t="s">
        <v>2144</v>
      </c>
      <c r="DI455" s="24">
        <v>45517.0</v>
      </c>
      <c r="DJ455" s="19" t="s">
        <v>2174</v>
      </c>
      <c r="DK455" s="19" t="s">
        <v>2271</v>
      </c>
      <c r="DL455" s="19" t="s">
        <v>2183</v>
      </c>
      <c r="DM455" s="19" t="s">
        <v>2515</v>
      </c>
      <c r="DN455" s="19">
        <v>2.0</v>
      </c>
      <c r="DO455" s="19">
        <v>2.0</v>
      </c>
      <c r="DP455" s="19" t="s">
        <v>9893</v>
      </c>
      <c r="DQ455" s="19" t="s">
        <v>9894</v>
      </c>
      <c r="DR455" s="19" t="s">
        <v>9895</v>
      </c>
      <c r="DS455" s="19" t="s">
        <v>2151</v>
      </c>
      <c r="DT455" s="19" t="s">
        <v>2229</v>
      </c>
      <c r="DU455" s="19"/>
      <c r="DV455" s="19"/>
      <c r="DW455" s="19" t="s">
        <v>2153</v>
      </c>
      <c r="DX455" s="19">
        <v>13.0</v>
      </c>
      <c r="DY455" s="19">
        <v>0.0</v>
      </c>
      <c r="DZ455" s="19">
        <v>2.0</v>
      </c>
      <c r="EA455" s="19">
        <v>0.0</v>
      </c>
      <c r="EB455" s="19">
        <v>0.0</v>
      </c>
      <c r="EC455" s="19">
        <v>0.0</v>
      </c>
      <c r="ED455" s="19" t="s">
        <v>2174</v>
      </c>
      <c r="EE455" s="24">
        <v>45517.0</v>
      </c>
      <c r="EF455" s="19" t="s">
        <v>2174</v>
      </c>
      <c r="EG455" s="19" t="s">
        <v>2271</v>
      </c>
      <c r="EH455" s="19" t="s">
        <v>2183</v>
      </c>
      <c r="EI455" s="22">
        <v>13.921875</v>
      </c>
      <c r="EJ455" s="19">
        <v>44.0</v>
      </c>
      <c r="EK455" s="19"/>
      <c r="EL455" s="19" t="s">
        <v>2282</v>
      </c>
      <c r="EM455" s="19" t="s">
        <v>9885</v>
      </c>
      <c r="EN455" s="19" t="s">
        <v>1346</v>
      </c>
      <c r="EO455" s="19" t="s">
        <v>2196</v>
      </c>
      <c r="EP455" s="19" t="s">
        <v>2422</v>
      </c>
      <c r="EQ455" s="19" t="s">
        <v>2204</v>
      </c>
      <c r="ER455" s="19" t="s">
        <v>2177</v>
      </c>
      <c r="ES455" s="19" t="s">
        <v>1346</v>
      </c>
      <c r="ET455" s="19" t="s">
        <v>1346</v>
      </c>
      <c r="EU455" s="19" t="s">
        <v>9883</v>
      </c>
      <c r="EV455" s="19">
        <v>10226.0</v>
      </c>
      <c r="EW455" s="19" t="s">
        <v>16</v>
      </c>
      <c r="EX455" s="19">
        <v>5.0</v>
      </c>
      <c r="EY455" s="25" t="s">
        <v>1345</v>
      </c>
      <c r="EZ455" s="19" t="s">
        <v>2154</v>
      </c>
      <c r="FA455" s="5" t="s">
        <v>9896</v>
      </c>
      <c r="FB455" s="26" t="s">
        <v>2156</v>
      </c>
      <c r="FC455" s="26"/>
    </row>
    <row r="456">
      <c r="A456" s="19" t="s">
        <v>2112</v>
      </c>
      <c r="B456" s="19"/>
      <c r="C456" s="19" t="s">
        <v>2113</v>
      </c>
      <c r="D456" s="19" t="s">
        <v>9897</v>
      </c>
      <c r="E456" s="19" t="s">
        <v>9898</v>
      </c>
      <c r="F456" s="19" t="s">
        <v>1347</v>
      </c>
      <c r="G456" s="19" t="s">
        <v>1347</v>
      </c>
      <c r="H456" s="19" t="s">
        <v>1347</v>
      </c>
      <c r="I456" s="19" t="s">
        <v>1349</v>
      </c>
      <c r="J456" s="19" t="s">
        <v>9899</v>
      </c>
      <c r="K456" s="19" t="s">
        <v>9900</v>
      </c>
      <c r="L456" s="20">
        <v>45460.0</v>
      </c>
      <c r="M456" s="20">
        <v>45462.0</v>
      </c>
      <c r="N456" s="20">
        <v>45462.0</v>
      </c>
      <c r="O456" s="19" t="s">
        <v>1348</v>
      </c>
      <c r="P456" s="19">
        <v>0.0</v>
      </c>
      <c r="Q456" s="19">
        <v>27.0</v>
      </c>
      <c r="R456" s="19">
        <v>10061.0</v>
      </c>
      <c r="S456" s="20" t="s">
        <v>9901</v>
      </c>
      <c r="T456" s="20">
        <v>45461.0</v>
      </c>
      <c r="U456" s="19" t="s">
        <v>1347</v>
      </c>
      <c r="V456" s="19"/>
      <c r="W456" s="19"/>
      <c r="X456" s="21">
        <v>0.0</v>
      </c>
      <c r="Y456" s="21">
        <v>10.0</v>
      </c>
      <c r="Z456" s="21">
        <v>5.0</v>
      </c>
      <c r="AA456" s="21">
        <v>0.0</v>
      </c>
      <c r="AB456" s="5">
        <v>15.0</v>
      </c>
      <c r="AC456" s="19">
        <v>4.0</v>
      </c>
      <c r="AD456" s="19">
        <v>4.4</v>
      </c>
      <c r="AE456" s="19">
        <v>4.4</v>
      </c>
      <c r="AF456" s="19">
        <v>4.2</v>
      </c>
      <c r="AG456" s="19">
        <v>4.2</v>
      </c>
      <c r="AH456" s="19">
        <v>4.2</v>
      </c>
      <c r="AI456" s="22">
        <v>12.787500000000001</v>
      </c>
      <c r="AJ456" s="19">
        <v>12.0</v>
      </c>
      <c r="AK456" s="19">
        <v>15.0</v>
      </c>
      <c r="AL456" s="19">
        <v>10.0</v>
      </c>
      <c r="AM456" s="19">
        <v>37.0</v>
      </c>
      <c r="AN456" s="19">
        <v>49.8</v>
      </c>
      <c r="AO456" s="19">
        <v>64.8</v>
      </c>
      <c r="AP456" s="19">
        <v>403.0</v>
      </c>
      <c r="AQ456" s="23">
        <v>448.0</v>
      </c>
      <c r="AR456" s="23">
        <v>34.0</v>
      </c>
      <c r="AS456" s="22"/>
      <c r="AT456" s="19" t="s">
        <v>2117</v>
      </c>
      <c r="AU456" s="19" t="s">
        <v>6193</v>
      </c>
      <c r="AV456" s="19" t="s">
        <v>9902</v>
      </c>
      <c r="AW456" s="19"/>
      <c r="AX456" s="20">
        <v>35400.0</v>
      </c>
      <c r="AY456" s="19" t="s">
        <v>2529</v>
      </c>
      <c r="AZ456" s="19" t="s">
        <v>2919</v>
      </c>
      <c r="BA456" s="19" t="s">
        <v>9903</v>
      </c>
      <c r="BB456" s="19" t="s">
        <v>9904</v>
      </c>
      <c r="BC456" s="19" t="s">
        <v>9905</v>
      </c>
      <c r="BD456" s="19" t="s">
        <v>9906</v>
      </c>
      <c r="BE456" s="19" t="s">
        <v>9899</v>
      </c>
      <c r="BF456" s="19">
        <v>1.9986021489E10</v>
      </c>
      <c r="BG456" s="19" t="s">
        <v>2127</v>
      </c>
      <c r="BH456" s="19" t="s">
        <v>4080</v>
      </c>
      <c r="BI456" s="19"/>
      <c r="BJ456" s="19"/>
      <c r="BK456" s="19" t="s">
        <v>16</v>
      </c>
      <c r="BL456" s="19"/>
      <c r="BM456" s="19" t="s">
        <v>5411</v>
      </c>
      <c r="BN456" s="19" t="s">
        <v>17</v>
      </c>
      <c r="BO456" s="19" t="s">
        <v>2132</v>
      </c>
      <c r="BP456" s="19"/>
      <c r="BQ456" s="19" t="s">
        <v>2174</v>
      </c>
      <c r="BR456" s="19" t="s">
        <v>2174</v>
      </c>
      <c r="BS456" s="19" t="s">
        <v>2243</v>
      </c>
      <c r="BT456" s="19" t="s">
        <v>75</v>
      </c>
      <c r="BU456" s="19" t="s">
        <v>5878</v>
      </c>
      <c r="BV456" s="19"/>
      <c r="BW456" s="19" t="s">
        <v>2113</v>
      </c>
      <c r="BX456" s="19"/>
      <c r="BY456" s="19"/>
      <c r="BZ456" s="19"/>
      <c r="CA456" s="19"/>
      <c r="CB456" s="19" t="s">
        <v>2113</v>
      </c>
      <c r="CC456" s="19"/>
      <c r="CD456" s="19" t="s">
        <v>2137</v>
      </c>
      <c r="CE456" s="19" t="s">
        <v>16</v>
      </c>
      <c r="CF456" s="19"/>
      <c r="CG456" s="19"/>
      <c r="CH456" s="19" t="s">
        <v>16</v>
      </c>
      <c r="CI456" s="21">
        <v>0.0</v>
      </c>
      <c r="CJ456" s="19" t="s">
        <v>17</v>
      </c>
      <c r="CK456" s="19"/>
      <c r="CL456" s="19"/>
      <c r="CM456" s="19" t="s">
        <v>2344</v>
      </c>
      <c r="CN456" s="19" t="s">
        <v>2537</v>
      </c>
      <c r="CO456" s="19"/>
      <c r="CP456" s="19" t="s">
        <v>2267</v>
      </c>
      <c r="CQ456" s="19"/>
      <c r="CR456" s="19"/>
      <c r="CS456" s="19"/>
      <c r="CT456" s="19"/>
      <c r="CU456" s="19"/>
      <c r="CV456" s="19" t="s">
        <v>2141</v>
      </c>
      <c r="CW456" s="19"/>
      <c r="CX456" s="19"/>
      <c r="CY456" s="19" t="s">
        <v>2113</v>
      </c>
      <c r="CZ456" s="19" t="s">
        <v>2113</v>
      </c>
      <c r="DA456" s="19" t="s">
        <v>16</v>
      </c>
      <c r="DB456" s="19" t="s">
        <v>17</v>
      </c>
      <c r="DC456" s="19" t="s">
        <v>2345</v>
      </c>
      <c r="DD456" s="19" t="s">
        <v>2113</v>
      </c>
      <c r="DE456" s="19" t="s">
        <v>2113</v>
      </c>
      <c r="DF456" s="19" t="s">
        <v>2538</v>
      </c>
      <c r="DG456" s="19" t="s">
        <v>5213</v>
      </c>
      <c r="DH456" s="19" t="s">
        <v>2144</v>
      </c>
      <c r="DI456" s="24">
        <v>45526.0</v>
      </c>
      <c r="DJ456" s="19" t="s">
        <v>2174</v>
      </c>
      <c r="DK456" s="19" t="s">
        <v>2271</v>
      </c>
      <c r="DL456" s="19" t="s">
        <v>2183</v>
      </c>
      <c r="DM456" s="19"/>
      <c r="DN456" s="19">
        <v>12.0</v>
      </c>
      <c r="DO456" s="19">
        <v>12.0</v>
      </c>
      <c r="DP456" s="19" t="s">
        <v>9907</v>
      </c>
      <c r="DQ456" s="19" t="s">
        <v>9908</v>
      </c>
      <c r="DR456" s="19" t="s">
        <v>9909</v>
      </c>
      <c r="DS456" s="19" t="s">
        <v>2151</v>
      </c>
      <c r="DT456" s="19" t="s">
        <v>2186</v>
      </c>
      <c r="DU456" s="19"/>
      <c r="DV456" s="19"/>
      <c r="DW456" s="19" t="s">
        <v>2479</v>
      </c>
      <c r="DX456" s="19">
        <v>16.0</v>
      </c>
      <c r="DY456" s="19">
        <v>10.0</v>
      </c>
      <c r="DZ456" s="19">
        <v>0.0</v>
      </c>
      <c r="EA456" s="19">
        <v>10.0</v>
      </c>
      <c r="EB456" s="19">
        <v>0.0</v>
      </c>
      <c r="EC456" s="19">
        <v>0.0</v>
      </c>
      <c r="ED456" s="19" t="s">
        <v>2174</v>
      </c>
      <c r="EE456" s="24">
        <v>45526.0</v>
      </c>
      <c r="EF456" s="19" t="s">
        <v>2174</v>
      </c>
      <c r="EG456" s="19" t="s">
        <v>2271</v>
      </c>
      <c r="EH456" s="19" t="s">
        <v>2183</v>
      </c>
      <c r="EI456" s="22">
        <v>12.787500000000001</v>
      </c>
      <c r="EJ456" s="19">
        <v>37.0</v>
      </c>
      <c r="EK456" s="19" t="s">
        <v>2113</v>
      </c>
      <c r="EL456" s="19" t="s">
        <v>2117</v>
      </c>
      <c r="EM456" s="19" t="s">
        <v>6193</v>
      </c>
      <c r="EN456" s="19" t="s">
        <v>1349</v>
      </c>
      <c r="EO456" s="19" t="s">
        <v>2529</v>
      </c>
      <c r="EP456" s="19" t="s">
        <v>2919</v>
      </c>
      <c r="EQ456" s="19" t="s">
        <v>2537</v>
      </c>
      <c r="ER456" s="19"/>
      <c r="ES456" s="19" t="s">
        <v>1349</v>
      </c>
      <c r="ET456" s="19" t="s">
        <v>1349</v>
      </c>
      <c r="EU456" s="19" t="s">
        <v>9900</v>
      </c>
      <c r="EV456" s="19">
        <v>10061.0</v>
      </c>
      <c r="EW456" s="19" t="s">
        <v>16</v>
      </c>
      <c r="EX456" s="19">
        <v>5.0</v>
      </c>
      <c r="EY456" s="25" t="s">
        <v>1348</v>
      </c>
      <c r="EZ456" s="19" t="s">
        <v>2154</v>
      </c>
      <c r="FA456" s="5" t="s">
        <v>9910</v>
      </c>
      <c r="FB456" s="26" t="s">
        <v>2156</v>
      </c>
      <c r="FC456" s="26"/>
    </row>
    <row r="457">
      <c r="A457" s="19"/>
      <c r="B457" s="19"/>
      <c r="C457" s="19" t="s">
        <v>2113</v>
      </c>
      <c r="D457" s="19" t="s">
        <v>1350</v>
      </c>
      <c r="E457" s="19" t="s">
        <v>9911</v>
      </c>
      <c r="F457" s="19" t="s">
        <v>1350</v>
      </c>
      <c r="G457" s="19" t="s">
        <v>9911</v>
      </c>
      <c r="H457" s="19" t="s">
        <v>1350</v>
      </c>
      <c r="I457" s="19" t="s">
        <v>1352</v>
      </c>
      <c r="J457" s="19" t="s">
        <v>9912</v>
      </c>
      <c r="K457" s="19" t="s">
        <v>9913</v>
      </c>
      <c r="L457" s="20">
        <v>45459.0</v>
      </c>
      <c r="M457" s="20">
        <v>45460.0</v>
      </c>
      <c r="N457" s="20">
        <v>45460.0</v>
      </c>
      <c r="O457" s="19" t="s">
        <v>1351</v>
      </c>
      <c r="P457" s="19">
        <v>0.0</v>
      </c>
      <c r="Q457" s="19">
        <v>18.0</v>
      </c>
      <c r="R457" s="19">
        <v>6693.0</v>
      </c>
      <c r="S457" s="20" t="s">
        <v>9914</v>
      </c>
      <c r="T457" s="20">
        <v>45461.0</v>
      </c>
      <c r="U457" s="19" t="s">
        <v>1350</v>
      </c>
      <c r="V457" s="19"/>
      <c r="W457" s="19"/>
      <c r="X457" s="21">
        <v>0.0</v>
      </c>
      <c r="Y457" s="21">
        <v>10.0</v>
      </c>
      <c r="Z457" s="21">
        <v>1.0</v>
      </c>
      <c r="AA457" s="21">
        <v>0.0</v>
      </c>
      <c r="AB457" s="5">
        <v>11.0</v>
      </c>
      <c r="AC457" s="19">
        <v>4.5</v>
      </c>
      <c r="AD457" s="19">
        <v>5.0</v>
      </c>
      <c r="AE457" s="19">
        <v>5.0</v>
      </c>
      <c r="AF457" s="19">
        <v>5.0</v>
      </c>
      <c r="AG457" s="19">
        <v>5.0</v>
      </c>
      <c r="AH457" s="19">
        <v>5.0</v>
      </c>
      <c r="AI457" s="22">
        <v>14.765625</v>
      </c>
      <c r="AJ457" s="19">
        <v>13.0</v>
      </c>
      <c r="AK457" s="19">
        <v>13.0</v>
      </c>
      <c r="AL457" s="19">
        <v>13.0</v>
      </c>
      <c r="AM457" s="19">
        <v>39.0</v>
      </c>
      <c r="AN457" s="19">
        <v>53.8</v>
      </c>
      <c r="AO457" s="19">
        <v>64.8</v>
      </c>
      <c r="AP457" s="19">
        <v>948.0</v>
      </c>
      <c r="AQ457" s="23">
        <v>449.0</v>
      </c>
      <c r="AR457" s="23">
        <v>27.0</v>
      </c>
      <c r="AS457" s="22"/>
      <c r="AT457" s="19" t="s">
        <v>2282</v>
      </c>
      <c r="AU457" s="19" t="s">
        <v>9915</v>
      </c>
      <c r="AV457" s="19" t="s">
        <v>9916</v>
      </c>
      <c r="AW457" s="19" t="s">
        <v>9917</v>
      </c>
      <c r="AX457" s="20">
        <v>38768.0</v>
      </c>
      <c r="AY457" s="19" t="s">
        <v>9918</v>
      </c>
      <c r="AZ457" s="19" t="s">
        <v>2122</v>
      </c>
      <c r="BA457" s="19" t="s">
        <v>9919</v>
      </c>
      <c r="BB457" s="19" t="s">
        <v>9920</v>
      </c>
      <c r="BC457" s="19" t="s">
        <v>9921</v>
      </c>
      <c r="BD457" s="19" t="s">
        <v>9922</v>
      </c>
      <c r="BE457" s="19" t="s">
        <v>9912</v>
      </c>
      <c r="BF457" s="19">
        <v>1.1992136999E10</v>
      </c>
      <c r="BG457" s="19" t="s">
        <v>2127</v>
      </c>
      <c r="BH457" s="19" t="s">
        <v>2128</v>
      </c>
      <c r="BI457" s="19"/>
      <c r="BJ457" s="19"/>
      <c r="BK457" s="19" t="s">
        <v>16</v>
      </c>
      <c r="BL457" s="19"/>
      <c r="BM457" s="19" t="s">
        <v>5563</v>
      </c>
      <c r="BN457" s="19"/>
      <c r="BO457" s="19" t="s">
        <v>3082</v>
      </c>
      <c r="BP457" s="19" t="s">
        <v>9923</v>
      </c>
      <c r="BQ457" s="19" t="s">
        <v>3832</v>
      </c>
      <c r="BR457" s="19" t="s">
        <v>3832</v>
      </c>
      <c r="BS457" s="19" t="s">
        <v>2134</v>
      </c>
      <c r="BT457" s="19" t="s">
        <v>268</v>
      </c>
      <c r="BU457" s="19"/>
      <c r="BV457" s="19"/>
      <c r="BW457" s="19" t="s">
        <v>2113</v>
      </c>
      <c r="BX457" s="19"/>
      <c r="BY457" s="19"/>
      <c r="BZ457" s="19"/>
      <c r="CA457" s="19"/>
      <c r="CB457" s="19" t="s">
        <v>2113</v>
      </c>
      <c r="CC457" s="19"/>
      <c r="CD457" s="19" t="s">
        <v>2137</v>
      </c>
      <c r="CE457" s="19" t="s">
        <v>16</v>
      </c>
      <c r="CF457" s="19"/>
      <c r="CG457" s="19"/>
      <c r="CH457" s="19" t="s">
        <v>16</v>
      </c>
      <c r="CI457" s="21">
        <v>0.0</v>
      </c>
      <c r="CJ457" s="19" t="s">
        <v>16</v>
      </c>
      <c r="CK457" s="19"/>
      <c r="CL457" s="19"/>
      <c r="CM457" s="19" t="s">
        <v>2344</v>
      </c>
      <c r="CN457" s="19" t="s">
        <v>9316</v>
      </c>
      <c r="CO457" s="19"/>
      <c r="CP457" s="19"/>
      <c r="CQ457" s="19"/>
      <c r="CR457" s="19" t="s">
        <v>2113</v>
      </c>
      <c r="CS457" s="19" t="s">
        <v>2113</v>
      </c>
      <c r="CT457" s="19"/>
      <c r="CU457" s="19"/>
      <c r="CV457" s="19" t="s">
        <v>2179</v>
      </c>
      <c r="CW457" s="19"/>
      <c r="CX457" s="19"/>
      <c r="CY457" s="19"/>
      <c r="CZ457" s="19"/>
      <c r="DA457" s="19" t="s">
        <v>16</v>
      </c>
      <c r="DB457" s="19" t="s">
        <v>16</v>
      </c>
      <c r="DC457" s="19" t="s">
        <v>7465</v>
      </c>
      <c r="DD457" s="19" t="s">
        <v>2113</v>
      </c>
      <c r="DE457" s="19" t="s">
        <v>2113</v>
      </c>
      <c r="DF457" s="19" t="s">
        <v>2433</v>
      </c>
      <c r="DG457" s="19" t="s">
        <v>2207</v>
      </c>
      <c r="DH457" s="19" t="s">
        <v>2144</v>
      </c>
      <c r="DI457" s="24">
        <v>45518.0</v>
      </c>
      <c r="DJ457" s="19" t="s">
        <v>3257</v>
      </c>
      <c r="DK457" s="19" t="s">
        <v>2271</v>
      </c>
      <c r="DL457" s="19" t="s">
        <v>2207</v>
      </c>
      <c r="DM457" s="22" t="s">
        <v>5599</v>
      </c>
      <c r="DN457" s="19">
        <v>1.0</v>
      </c>
      <c r="DO457" s="19">
        <v>1.0</v>
      </c>
      <c r="DP457" s="19"/>
      <c r="DQ457" s="19"/>
      <c r="DR457" s="19"/>
      <c r="DS457" s="19" t="s">
        <v>2185</v>
      </c>
      <c r="DT457" s="19" t="s">
        <v>2186</v>
      </c>
      <c r="DU457" s="19" t="s">
        <v>9924</v>
      </c>
      <c r="DV457" s="19"/>
      <c r="DW457" s="19" t="s">
        <v>2153</v>
      </c>
      <c r="DX457" s="19">
        <v>1.0</v>
      </c>
      <c r="DY457" s="19">
        <v>10.0</v>
      </c>
      <c r="DZ457" s="19">
        <v>0.0</v>
      </c>
      <c r="EA457" s="19">
        <v>10.0</v>
      </c>
      <c r="EB457" s="19">
        <v>0.0</v>
      </c>
      <c r="EC457" s="19">
        <v>0.0</v>
      </c>
      <c r="ED457" s="19" t="s">
        <v>3257</v>
      </c>
      <c r="EE457" s="24">
        <v>45518.0</v>
      </c>
      <c r="EF457" s="19" t="s">
        <v>3257</v>
      </c>
      <c r="EG457" s="19" t="s">
        <v>2271</v>
      </c>
      <c r="EH457" s="19" t="s">
        <v>2207</v>
      </c>
      <c r="EI457" s="22">
        <v>14.765625</v>
      </c>
      <c r="EJ457" s="19">
        <v>39.0</v>
      </c>
      <c r="EK457" s="19"/>
      <c r="EL457" s="19" t="s">
        <v>2282</v>
      </c>
      <c r="EM457" s="19" t="s">
        <v>9915</v>
      </c>
      <c r="EN457" s="19" t="s">
        <v>1352</v>
      </c>
      <c r="EO457" s="19" t="s">
        <v>9918</v>
      </c>
      <c r="EP457" s="19" t="s">
        <v>2122</v>
      </c>
      <c r="EQ457" s="19" t="s">
        <v>9316</v>
      </c>
      <c r="ER457" s="19"/>
      <c r="ES457" s="19" t="s">
        <v>1352</v>
      </c>
      <c r="ET457" s="19" t="s">
        <v>1352</v>
      </c>
      <c r="EU457" s="19" t="s">
        <v>9913</v>
      </c>
      <c r="EV457" s="19">
        <v>6693.0</v>
      </c>
      <c r="EW457" s="19" t="s">
        <v>16</v>
      </c>
      <c r="EX457" s="19">
        <v>1.0</v>
      </c>
      <c r="EY457" s="25" t="s">
        <v>1351</v>
      </c>
      <c r="EZ457" s="19" t="s">
        <v>2154</v>
      </c>
      <c r="FA457" s="5" t="s">
        <v>9925</v>
      </c>
      <c r="FB457" s="26" t="s">
        <v>2156</v>
      </c>
      <c r="FC457" s="26"/>
    </row>
    <row r="458">
      <c r="A458" s="19" t="s">
        <v>2112</v>
      </c>
      <c r="B458" s="19"/>
      <c r="C458" s="19" t="s">
        <v>2113</v>
      </c>
      <c r="D458" s="19" t="s">
        <v>1353</v>
      </c>
      <c r="E458" s="19" t="s">
        <v>9926</v>
      </c>
      <c r="F458" s="19" t="s">
        <v>1353</v>
      </c>
      <c r="G458" s="19"/>
      <c r="H458" s="19" t="s">
        <v>1353</v>
      </c>
      <c r="I458" s="19" t="s">
        <v>1355</v>
      </c>
      <c r="J458" s="19" t="s">
        <v>9927</v>
      </c>
      <c r="K458" s="19" t="s">
        <v>9928</v>
      </c>
      <c r="L458" s="20">
        <v>45395.0</v>
      </c>
      <c r="M458" s="20">
        <v>45404.0</v>
      </c>
      <c r="N458" s="20">
        <v>45404.0</v>
      </c>
      <c r="O458" s="19" t="s">
        <v>1354</v>
      </c>
      <c r="P458" s="19">
        <v>0.0</v>
      </c>
      <c r="Q458" s="19">
        <v>20.0</v>
      </c>
      <c r="R458" s="19">
        <v>7586.0</v>
      </c>
      <c r="S458" s="20" t="s">
        <v>8975</v>
      </c>
      <c r="T458" s="20">
        <v>45461.0</v>
      </c>
      <c r="U458" s="19" t="s">
        <v>1353</v>
      </c>
      <c r="V458" s="19"/>
      <c r="W458" s="19"/>
      <c r="X458" s="21">
        <v>0.0</v>
      </c>
      <c r="Y458" s="21">
        <v>10.0</v>
      </c>
      <c r="Z458" s="21">
        <v>3.0</v>
      </c>
      <c r="AA458" s="21">
        <v>0.0</v>
      </c>
      <c r="AB458" s="5">
        <v>13.0</v>
      </c>
      <c r="AC458" s="19">
        <v>3.5</v>
      </c>
      <c r="AD458" s="19">
        <v>4.5</v>
      </c>
      <c r="AE458" s="19">
        <v>4.5</v>
      </c>
      <c r="AF458" s="19">
        <v>4.0</v>
      </c>
      <c r="AG458" s="19">
        <v>4.5</v>
      </c>
      <c r="AH458" s="19">
        <v>4.0</v>
      </c>
      <c r="AI458" s="22">
        <v>12.65625</v>
      </c>
      <c r="AJ458" s="19">
        <v>15.0</v>
      </c>
      <c r="AK458" s="19">
        <v>12.0</v>
      </c>
      <c r="AL458" s="19">
        <v>12.0</v>
      </c>
      <c r="AM458" s="19">
        <v>39.0</v>
      </c>
      <c r="AN458" s="19">
        <v>51.7</v>
      </c>
      <c r="AO458" s="19">
        <v>64.7</v>
      </c>
      <c r="AP458" s="19">
        <v>763.0</v>
      </c>
      <c r="AQ458" s="23">
        <v>450.0</v>
      </c>
      <c r="AR458" s="23">
        <v>28.0</v>
      </c>
      <c r="AS458" s="22"/>
      <c r="AT458" s="19" t="s">
        <v>2282</v>
      </c>
      <c r="AU458" s="19" t="s">
        <v>9428</v>
      </c>
      <c r="AV458" s="19" t="s">
        <v>9929</v>
      </c>
      <c r="AW458" s="19" t="s">
        <v>9930</v>
      </c>
      <c r="AX458" s="20">
        <v>37875.0</v>
      </c>
      <c r="AY458" s="19" t="s">
        <v>3826</v>
      </c>
      <c r="AZ458" s="19" t="s">
        <v>2122</v>
      </c>
      <c r="BA458" s="19" t="s">
        <v>9931</v>
      </c>
      <c r="BB458" s="19" t="s">
        <v>7806</v>
      </c>
      <c r="BC458" s="19" t="s">
        <v>9932</v>
      </c>
      <c r="BD458" s="19" t="s">
        <v>9933</v>
      </c>
      <c r="BE458" s="19" t="s">
        <v>9927</v>
      </c>
      <c r="BF458" s="19">
        <v>1.1913631386E10</v>
      </c>
      <c r="BG458" s="19" t="s">
        <v>2127</v>
      </c>
      <c r="BH458" s="19" t="s">
        <v>2128</v>
      </c>
      <c r="BI458" s="19"/>
      <c r="BJ458" s="19"/>
      <c r="BK458" s="19" t="s">
        <v>16</v>
      </c>
      <c r="BL458" s="19"/>
      <c r="BM458" s="19" t="s">
        <v>5563</v>
      </c>
      <c r="BN458" s="19" t="s">
        <v>9434</v>
      </c>
      <c r="BO458" s="19" t="s">
        <v>2473</v>
      </c>
      <c r="BP458" s="19" t="s">
        <v>9934</v>
      </c>
      <c r="BQ458" s="19" t="s">
        <v>3832</v>
      </c>
      <c r="BR458" s="19" t="s">
        <v>3832</v>
      </c>
      <c r="BS458" s="19" t="s">
        <v>2134</v>
      </c>
      <c r="BT458" s="19" t="s">
        <v>268</v>
      </c>
      <c r="BU458" s="19"/>
      <c r="BV458" s="19"/>
      <c r="BW458" s="19" t="s">
        <v>2113</v>
      </c>
      <c r="BX458" s="19"/>
      <c r="BY458" s="19"/>
      <c r="BZ458" s="19"/>
      <c r="CA458" s="19"/>
      <c r="CB458" s="19" t="s">
        <v>2113</v>
      </c>
      <c r="CC458" s="19"/>
      <c r="CD458" s="19" t="s">
        <v>2137</v>
      </c>
      <c r="CE458" s="19" t="s">
        <v>16</v>
      </c>
      <c r="CF458" s="19"/>
      <c r="CG458" s="19"/>
      <c r="CH458" s="19" t="s">
        <v>16</v>
      </c>
      <c r="CI458" s="21">
        <v>0.0</v>
      </c>
      <c r="CJ458" s="19" t="s">
        <v>16</v>
      </c>
      <c r="CK458" s="19"/>
      <c r="CL458" s="19"/>
      <c r="CM458" s="19" t="s">
        <v>2138</v>
      </c>
      <c r="CN458" s="19" t="s">
        <v>3835</v>
      </c>
      <c r="CO458" s="19"/>
      <c r="CP458" s="19" t="s">
        <v>2134</v>
      </c>
      <c r="CQ458" s="19"/>
      <c r="CR458" s="19" t="s">
        <v>2113</v>
      </c>
      <c r="CS458" s="19" t="s">
        <v>2113</v>
      </c>
      <c r="CT458" s="19" t="s">
        <v>2113</v>
      </c>
      <c r="CU458" s="19" t="s">
        <v>2113</v>
      </c>
      <c r="CV458" s="19" t="s">
        <v>2141</v>
      </c>
      <c r="CW458" s="19"/>
      <c r="CX458" s="19"/>
      <c r="CY458" s="19" t="s">
        <v>2113</v>
      </c>
      <c r="CZ458" s="19" t="s">
        <v>2113</v>
      </c>
      <c r="DA458" s="19" t="s">
        <v>16</v>
      </c>
      <c r="DB458" s="19" t="s">
        <v>16</v>
      </c>
      <c r="DC458" s="19" t="s">
        <v>3836</v>
      </c>
      <c r="DD458" s="19" t="s">
        <v>2113</v>
      </c>
      <c r="DE458" s="19" t="s">
        <v>2113</v>
      </c>
      <c r="DF458" s="19" t="s">
        <v>9436</v>
      </c>
      <c r="DG458" s="19" t="s">
        <v>4083</v>
      </c>
      <c r="DH458" s="19" t="s">
        <v>2144</v>
      </c>
      <c r="DI458" s="24">
        <v>45518.0</v>
      </c>
      <c r="DJ458" s="19" t="s">
        <v>3257</v>
      </c>
      <c r="DK458" s="19" t="s">
        <v>2271</v>
      </c>
      <c r="DL458" s="19" t="s">
        <v>2207</v>
      </c>
      <c r="DM458" s="22" t="s">
        <v>8588</v>
      </c>
      <c r="DN458" s="19">
        <v>1.0</v>
      </c>
      <c r="DO458" s="19">
        <v>1.0</v>
      </c>
      <c r="DP458" s="19" t="s">
        <v>9935</v>
      </c>
      <c r="DQ458" s="19" t="s">
        <v>9936</v>
      </c>
      <c r="DR458" s="19" t="s">
        <v>9937</v>
      </c>
      <c r="DS458" s="19" t="s">
        <v>2185</v>
      </c>
      <c r="DT458" s="19" t="s">
        <v>2350</v>
      </c>
      <c r="DU458" s="19"/>
      <c r="DV458" s="19"/>
      <c r="DW458" s="19" t="s">
        <v>2153</v>
      </c>
      <c r="DX458" s="19">
        <v>1.0</v>
      </c>
      <c r="DY458" s="19">
        <v>10.0</v>
      </c>
      <c r="DZ458" s="19">
        <v>0.0</v>
      </c>
      <c r="EA458" s="19">
        <v>10.0</v>
      </c>
      <c r="EB458" s="19">
        <v>0.0</v>
      </c>
      <c r="EC458" s="19">
        <v>0.0</v>
      </c>
      <c r="ED458" s="19" t="s">
        <v>3257</v>
      </c>
      <c r="EE458" s="24">
        <v>45518.0</v>
      </c>
      <c r="EF458" s="19" t="s">
        <v>3257</v>
      </c>
      <c r="EG458" s="19" t="s">
        <v>2271</v>
      </c>
      <c r="EH458" s="19" t="s">
        <v>2207</v>
      </c>
      <c r="EI458" s="22">
        <v>12.65625</v>
      </c>
      <c r="EJ458" s="19">
        <v>39.0</v>
      </c>
      <c r="EK458" s="19"/>
      <c r="EL458" s="19" t="s">
        <v>2282</v>
      </c>
      <c r="EM458" s="19" t="s">
        <v>9428</v>
      </c>
      <c r="EN458" s="19" t="s">
        <v>1355</v>
      </c>
      <c r="EO458" s="19" t="s">
        <v>3826</v>
      </c>
      <c r="EP458" s="19" t="s">
        <v>2122</v>
      </c>
      <c r="EQ458" s="19" t="s">
        <v>3835</v>
      </c>
      <c r="ER458" s="19"/>
      <c r="ES458" s="19" t="s">
        <v>1355</v>
      </c>
      <c r="ET458" s="19" t="s">
        <v>1355</v>
      </c>
      <c r="EU458" s="19" t="s">
        <v>9928</v>
      </c>
      <c r="EV458" s="19">
        <v>7586.0</v>
      </c>
      <c r="EW458" s="19" t="s">
        <v>16</v>
      </c>
      <c r="EX458" s="19">
        <v>3.0</v>
      </c>
      <c r="EY458" s="25" t="s">
        <v>1354</v>
      </c>
      <c r="EZ458" s="19" t="s">
        <v>2154</v>
      </c>
      <c r="FA458" s="5" t="s">
        <v>9938</v>
      </c>
      <c r="FB458" s="26" t="s">
        <v>2156</v>
      </c>
      <c r="FC458" s="26"/>
    </row>
    <row r="459">
      <c r="A459" s="19" t="s">
        <v>2156</v>
      </c>
      <c r="B459" s="19"/>
      <c r="C459" s="19" t="s">
        <v>2113</v>
      </c>
      <c r="D459" s="19" t="s">
        <v>9939</v>
      </c>
      <c r="E459" s="19" t="s">
        <v>9939</v>
      </c>
      <c r="F459" s="19" t="s">
        <v>1356</v>
      </c>
      <c r="G459" s="19" t="s">
        <v>9940</v>
      </c>
      <c r="H459" s="19" t="s">
        <v>1356</v>
      </c>
      <c r="I459" s="19" t="s">
        <v>1358</v>
      </c>
      <c r="J459" s="19" t="s">
        <v>9941</v>
      </c>
      <c r="K459" s="19" t="s">
        <v>9942</v>
      </c>
      <c r="L459" s="20">
        <v>45398.0</v>
      </c>
      <c r="M459" s="20">
        <v>45411.0</v>
      </c>
      <c r="N459" s="20">
        <v>45411.0</v>
      </c>
      <c r="O459" s="19" t="s">
        <v>1357</v>
      </c>
      <c r="P459" s="19">
        <v>0.0</v>
      </c>
      <c r="Q459" s="19">
        <v>24.0</v>
      </c>
      <c r="R459" s="19">
        <v>8850.0</v>
      </c>
      <c r="S459" s="20" t="s">
        <v>4839</v>
      </c>
      <c r="T459" s="20">
        <v>45461.0</v>
      </c>
      <c r="U459" s="19" t="s">
        <v>1356</v>
      </c>
      <c r="V459" s="19"/>
      <c r="W459" s="19"/>
      <c r="X459" s="21">
        <v>0.0</v>
      </c>
      <c r="Y459" s="21">
        <v>10.0</v>
      </c>
      <c r="Z459" s="21">
        <v>2.0</v>
      </c>
      <c r="AA459" s="21">
        <v>0.0</v>
      </c>
      <c r="AB459" s="5">
        <v>12.0</v>
      </c>
      <c r="AC459" s="19">
        <v>5.0</v>
      </c>
      <c r="AD459" s="19">
        <v>4.5</v>
      </c>
      <c r="AE459" s="19">
        <v>4.5</v>
      </c>
      <c r="AF459" s="19">
        <v>4.0</v>
      </c>
      <c r="AG459" s="19">
        <v>4.5</v>
      </c>
      <c r="AH459" s="19">
        <v>4.0</v>
      </c>
      <c r="AI459" s="22">
        <v>13.359375</v>
      </c>
      <c r="AJ459" s="19">
        <v>15.0</v>
      </c>
      <c r="AK459" s="19">
        <v>12.3</v>
      </c>
      <c r="AL459" s="19">
        <v>12.0</v>
      </c>
      <c r="AM459" s="19">
        <v>39.3</v>
      </c>
      <c r="AN459" s="19">
        <v>52.7</v>
      </c>
      <c r="AO459" s="19">
        <v>64.7</v>
      </c>
      <c r="AP459" s="19">
        <v>851.0</v>
      </c>
      <c r="AQ459" s="23">
        <v>451.0</v>
      </c>
      <c r="AR459" s="23">
        <v>37.0</v>
      </c>
      <c r="AS459" s="22"/>
      <c r="AT459" s="19" t="s">
        <v>2282</v>
      </c>
      <c r="AU459" s="19" t="s">
        <v>9943</v>
      </c>
      <c r="AV459" s="19" t="s">
        <v>9944</v>
      </c>
      <c r="AW459" s="19" t="s">
        <v>7375</v>
      </c>
      <c r="AX459" s="20">
        <v>36611.0</v>
      </c>
      <c r="AY459" s="19" t="s">
        <v>9945</v>
      </c>
      <c r="AZ459" s="19" t="s">
        <v>2445</v>
      </c>
      <c r="BA459" s="19" t="s">
        <v>9946</v>
      </c>
      <c r="BB459" s="19" t="s">
        <v>9947</v>
      </c>
      <c r="BC459" s="19" t="s">
        <v>9948</v>
      </c>
      <c r="BD459" s="19" t="s">
        <v>9949</v>
      </c>
      <c r="BE459" s="19" t="s">
        <v>9941</v>
      </c>
      <c r="BF459" s="19">
        <v>1.197966171E10</v>
      </c>
      <c r="BG459" s="19" t="s">
        <v>2127</v>
      </c>
      <c r="BH459" s="19" t="s">
        <v>2128</v>
      </c>
      <c r="BI459" s="19"/>
      <c r="BJ459" s="19"/>
      <c r="BK459" s="19" t="s">
        <v>16</v>
      </c>
      <c r="BL459" s="19"/>
      <c r="BM459" s="19" t="s">
        <v>5563</v>
      </c>
      <c r="BN459" s="19" t="s">
        <v>17</v>
      </c>
      <c r="BO459" s="19" t="s">
        <v>3199</v>
      </c>
      <c r="BP459" s="19" t="s">
        <v>9950</v>
      </c>
      <c r="BQ459" s="19" t="s">
        <v>2325</v>
      </c>
      <c r="BR459" s="19" t="s">
        <v>2325</v>
      </c>
      <c r="BS459" s="19" t="s">
        <v>2134</v>
      </c>
      <c r="BT459" s="19" t="s">
        <v>118</v>
      </c>
      <c r="BU459" s="19" t="s">
        <v>9951</v>
      </c>
      <c r="BV459" s="19"/>
      <c r="BW459" s="19"/>
      <c r="BX459" s="19" t="s">
        <v>2113</v>
      </c>
      <c r="BY459" s="19" t="s">
        <v>2113</v>
      </c>
      <c r="BZ459" s="19"/>
      <c r="CA459" s="19"/>
      <c r="CB459" s="19"/>
      <c r="CC459" s="19"/>
      <c r="CD459" s="19" t="s">
        <v>2137</v>
      </c>
      <c r="CE459" s="19" t="s">
        <v>16</v>
      </c>
      <c r="CF459" s="19"/>
      <c r="CG459" s="19"/>
      <c r="CH459" s="19" t="s">
        <v>16</v>
      </c>
      <c r="CI459" s="21">
        <v>0.0</v>
      </c>
      <c r="CJ459" s="19" t="s">
        <v>16</v>
      </c>
      <c r="CK459" s="19"/>
      <c r="CL459" s="19"/>
      <c r="CM459" s="19" t="s">
        <v>2138</v>
      </c>
      <c r="CN459" s="19" t="s">
        <v>3220</v>
      </c>
      <c r="CO459" s="19"/>
      <c r="CP459" s="19"/>
      <c r="CQ459" s="19" t="s">
        <v>2113</v>
      </c>
      <c r="CR459" s="19" t="s">
        <v>2113</v>
      </c>
      <c r="CS459" s="19" t="s">
        <v>2113</v>
      </c>
      <c r="CT459" s="19" t="s">
        <v>2113</v>
      </c>
      <c r="CU459" s="19" t="s">
        <v>2113</v>
      </c>
      <c r="CV459" s="19" t="s">
        <v>2141</v>
      </c>
      <c r="CW459" s="19"/>
      <c r="CX459" s="19"/>
      <c r="CY459" s="19"/>
      <c r="CZ459" s="19"/>
      <c r="DA459" s="19" t="s">
        <v>16</v>
      </c>
      <c r="DB459" s="19" t="s">
        <v>16</v>
      </c>
      <c r="DC459" s="19" t="s">
        <v>3892</v>
      </c>
      <c r="DD459" s="19"/>
      <c r="DE459" s="19"/>
      <c r="DF459" s="19" t="s">
        <v>3221</v>
      </c>
      <c r="DG459" s="19" t="s">
        <v>2248</v>
      </c>
      <c r="DH459" s="19" t="s">
        <v>2144</v>
      </c>
      <c r="DI459" s="24">
        <v>45519.0</v>
      </c>
      <c r="DJ459" s="19" t="s">
        <v>2325</v>
      </c>
      <c r="DK459" s="19" t="s">
        <v>2271</v>
      </c>
      <c r="DL459" s="19" t="s">
        <v>2326</v>
      </c>
      <c r="DM459" s="19"/>
      <c r="DN459" s="19">
        <v>6.0</v>
      </c>
      <c r="DO459" s="19">
        <v>6.0</v>
      </c>
      <c r="DP459" s="19" t="s">
        <v>9952</v>
      </c>
      <c r="DQ459" s="19" t="s">
        <v>9953</v>
      </c>
      <c r="DR459" s="19" t="s">
        <v>9954</v>
      </c>
      <c r="DS459" s="19" t="s">
        <v>2185</v>
      </c>
      <c r="DT459" s="19" t="s">
        <v>2186</v>
      </c>
      <c r="DU459" s="19"/>
      <c r="DV459" s="19"/>
      <c r="DW459" s="19" t="s">
        <v>3306</v>
      </c>
      <c r="DX459" s="19">
        <v>4.0</v>
      </c>
      <c r="DY459" s="19">
        <v>10.0</v>
      </c>
      <c r="DZ459" s="19">
        <v>0.0</v>
      </c>
      <c r="EA459" s="19">
        <v>10.0</v>
      </c>
      <c r="EB459" s="19">
        <v>0.0</v>
      </c>
      <c r="EC459" s="19">
        <v>0.0</v>
      </c>
      <c r="ED459" s="19" t="s">
        <v>2325</v>
      </c>
      <c r="EE459" s="24">
        <v>45519.0</v>
      </c>
      <c r="EF459" s="19" t="s">
        <v>2325</v>
      </c>
      <c r="EG459" s="19" t="s">
        <v>2271</v>
      </c>
      <c r="EH459" s="19" t="s">
        <v>2326</v>
      </c>
      <c r="EI459" s="22">
        <v>13.359375</v>
      </c>
      <c r="EJ459" s="19">
        <v>39.33333333</v>
      </c>
      <c r="EK459" s="19"/>
      <c r="EL459" s="19" t="s">
        <v>2282</v>
      </c>
      <c r="EM459" s="19" t="s">
        <v>9943</v>
      </c>
      <c r="EN459" s="19" t="s">
        <v>1358</v>
      </c>
      <c r="EO459" s="19" t="s">
        <v>9945</v>
      </c>
      <c r="EP459" s="19" t="s">
        <v>2445</v>
      </c>
      <c r="EQ459" s="19" t="s">
        <v>3220</v>
      </c>
      <c r="ER459" s="19"/>
      <c r="ES459" s="19" t="s">
        <v>1358</v>
      </c>
      <c r="ET459" s="19" t="s">
        <v>1358</v>
      </c>
      <c r="EU459" s="19" t="s">
        <v>9942</v>
      </c>
      <c r="EV459" s="19">
        <v>8850.0</v>
      </c>
      <c r="EW459" s="19" t="s">
        <v>16</v>
      </c>
      <c r="EX459" s="19">
        <v>2.0</v>
      </c>
      <c r="EY459" s="25" t="s">
        <v>1357</v>
      </c>
      <c r="EZ459" s="19" t="s">
        <v>2154</v>
      </c>
      <c r="FA459" s="5" t="s">
        <v>9955</v>
      </c>
      <c r="FB459" s="26" t="s">
        <v>2156</v>
      </c>
      <c r="FC459" s="26"/>
    </row>
    <row r="460">
      <c r="A460" s="19" t="s">
        <v>2112</v>
      </c>
      <c r="B460" s="19"/>
      <c r="C460" s="19" t="s">
        <v>2113</v>
      </c>
      <c r="D460" s="19" t="s">
        <v>1359</v>
      </c>
      <c r="E460" s="19" t="s">
        <v>9956</v>
      </c>
      <c r="F460" s="19" t="s">
        <v>1359</v>
      </c>
      <c r="G460" s="19"/>
      <c r="H460" s="19" t="s">
        <v>1359</v>
      </c>
      <c r="I460" s="19" t="s">
        <v>1361</v>
      </c>
      <c r="J460" s="19" t="s">
        <v>9957</v>
      </c>
      <c r="K460" s="19" t="s">
        <v>9958</v>
      </c>
      <c r="L460" s="20">
        <v>45460.0</v>
      </c>
      <c r="M460" s="20">
        <v>45462.0</v>
      </c>
      <c r="N460" s="20">
        <v>45462.0</v>
      </c>
      <c r="O460" s="19" t="s">
        <v>1360</v>
      </c>
      <c r="P460" s="19">
        <v>0.0</v>
      </c>
      <c r="Q460" s="19">
        <v>24.0</v>
      </c>
      <c r="R460" s="19">
        <v>8963.0</v>
      </c>
      <c r="S460" s="20" t="s">
        <v>9959</v>
      </c>
      <c r="T460" s="20">
        <v>45461.0</v>
      </c>
      <c r="U460" s="19" t="s">
        <v>1359</v>
      </c>
      <c r="V460" s="19"/>
      <c r="W460" s="19"/>
      <c r="X460" s="21">
        <v>0.0</v>
      </c>
      <c r="Y460" s="21">
        <v>0.0</v>
      </c>
      <c r="Z460" s="21">
        <v>5.0</v>
      </c>
      <c r="AA460" s="21">
        <v>0.0</v>
      </c>
      <c r="AB460" s="5">
        <v>5.0</v>
      </c>
      <c r="AC460" s="19">
        <v>5.0</v>
      </c>
      <c r="AD460" s="19">
        <v>4.5</v>
      </c>
      <c r="AE460" s="19">
        <v>5.0</v>
      </c>
      <c r="AF460" s="19">
        <v>5.0</v>
      </c>
      <c r="AG460" s="19">
        <v>5.0</v>
      </c>
      <c r="AH460" s="19">
        <v>5.0</v>
      </c>
      <c r="AI460" s="22">
        <v>14.671875</v>
      </c>
      <c r="AJ460" s="19">
        <v>15.0</v>
      </c>
      <c r="AK460" s="19">
        <v>15.0</v>
      </c>
      <c r="AL460" s="19">
        <v>15.0</v>
      </c>
      <c r="AM460" s="19">
        <v>45.0</v>
      </c>
      <c r="AN460" s="19">
        <v>59.7</v>
      </c>
      <c r="AO460" s="19">
        <v>64.7</v>
      </c>
      <c r="AP460" s="19">
        <v>1053.0</v>
      </c>
      <c r="AQ460" s="23">
        <v>452.0</v>
      </c>
      <c r="AR460" s="23">
        <v>61.0</v>
      </c>
      <c r="AS460" s="22"/>
      <c r="AT460" s="19" t="s">
        <v>2163</v>
      </c>
      <c r="AU460" s="19" t="s">
        <v>2571</v>
      </c>
      <c r="AV460" s="19" t="s">
        <v>9960</v>
      </c>
      <c r="AW460" s="19" t="s">
        <v>9961</v>
      </c>
      <c r="AX460" s="20">
        <v>36498.0</v>
      </c>
      <c r="AY460" s="19" t="s">
        <v>2286</v>
      </c>
      <c r="AZ460" s="19" t="s">
        <v>2310</v>
      </c>
      <c r="BA460" s="19" t="s">
        <v>9962</v>
      </c>
      <c r="BB460" s="19" t="s">
        <v>9963</v>
      </c>
      <c r="BC460" s="19" t="s">
        <v>9964</v>
      </c>
      <c r="BD460" s="19" t="s">
        <v>9965</v>
      </c>
      <c r="BE460" s="19" t="s">
        <v>9966</v>
      </c>
      <c r="BF460" s="19">
        <v>1.1993241255E10</v>
      </c>
      <c r="BG460" s="19" t="s">
        <v>4038</v>
      </c>
      <c r="BH460" s="19" t="s">
        <v>2128</v>
      </c>
      <c r="BI460" s="19"/>
      <c r="BJ460" s="19" t="s">
        <v>2128</v>
      </c>
      <c r="BK460" s="19" t="s">
        <v>17</v>
      </c>
      <c r="BL460" s="19" t="s">
        <v>2113</v>
      </c>
      <c r="BM460" s="19" t="s">
        <v>5411</v>
      </c>
      <c r="BN460" s="19" t="s">
        <v>17</v>
      </c>
      <c r="BO460" s="19" t="s">
        <v>2132</v>
      </c>
      <c r="BP460" s="19" t="s">
        <v>9967</v>
      </c>
      <c r="BQ460" s="19" t="s">
        <v>2133</v>
      </c>
      <c r="BR460" s="19" t="s">
        <v>2133</v>
      </c>
      <c r="BS460" s="19" t="s">
        <v>2243</v>
      </c>
      <c r="BT460" s="19" t="s">
        <v>38</v>
      </c>
      <c r="BU460" s="19" t="s">
        <v>9968</v>
      </c>
      <c r="BV460" s="19"/>
      <c r="BW460" s="19"/>
      <c r="BX460" s="19" t="s">
        <v>2113</v>
      </c>
      <c r="BY460" s="19" t="s">
        <v>2113</v>
      </c>
      <c r="BZ460" s="19" t="s">
        <v>2113</v>
      </c>
      <c r="CA460" s="19" t="s">
        <v>2113</v>
      </c>
      <c r="CB460" s="19" t="s">
        <v>2113</v>
      </c>
      <c r="CC460" s="19" t="s">
        <v>2113</v>
      </c>
      <c r="CD460" s="19" t="s">
        <v>2137</v>
      </c>
      <c r="CE460" s="19" t="s">
        <v>16</v>
      </c>
      <c r="CF460" s="19"/>
      <c r="CG460" s="19"/>
      <c r="CH460" s="19" t="s">
        <v>16</v>
      </c>
      <c r="CI460" s="21">
        <v>0.0</v>
      </c>
      <c r="CJ460" s="19" t="s">
        <v>17</v>
      </c>
      <c r="CK460" s="19"/>
      <c r="CL460" s="19"/>
      <c r="CM460" s="19" t="s">
        <v>2138</v>
      </c>
      <c r="CN460" s="19" t="s">
        <v>2294</v>
      </c>
      <c r="CO460" s="19"/>
      <c r="CP460" s="19" t="s">
        <v>2246</v>
      </c>
      <c r="CQ460" s="19"/>
      <c r="CR460" s="19" t="s">
        <v>2113</v>
      </c>
      <c r="CS460" s="19" t="s">
        <v>2113</v>
      </c>
      <c r="CT460" s="19" t="s">
        <v>2113</v>
      </c>
      <c r="CU460" s="19" t="s">
        <v>2113</v>
      </c>
      <c r="CV460" s="19" t="s">
        <v>2179</v>
      </c>
      <c r="CW460" s="19" t="s">
        <v>2113</v>
      </c>
      <c r="CX460" s="19" t="s">
        <v>2113</v>
      </c>
      <c r="CY460" s="19"/>
      <c r="CZ460" s="19"/>
      <c r="DA460" s="19" t="s">
        <v>16</v>
      </c>
      <c r="DB460" s="19" t="s">
        <v>17</v>
      </c>
      <c r="DC460" s="19" t="s">
        <v>2579</v>
      </c>
      <c r="DD460" s="19" t="s">
        <v>2113</v>
      </c>
      <c r="DE460" s="19" t="s">
        <v>2113</v>
      </c>
      <c r="DF460" s="19" t="s">
        <v>2146</v>
      </c>
      <c r="DG460" s="19" t="s">
        <v>3255</v>
      </c>
      <c r="DH460" s="19" t="s">
        <v>2144</v>
      </c>
      <c r="DI460" s="24">
        <v>45531.0</v>
      </c>
      <c r="DJ460" s="19" t="s">
        <v>2133</v>
      </c>
      <c r="DK460" s="19" t="s">
        <v>2271</v>
      </c>
      <c r="DL460" s="19" t="s">
        <v>2146</v>
      </c>
      <c r="DM460" s="19" t="s">
        <v>2827</v>
      </c>
      <c r="DN460" s="19">
        <v>14.0</v>
      </c>
      <c r="DO460" s="19">
        <v>14.0</v>
      </c>
      <c r="DP460" s="19"/>
      <c r="DQ460" s="19"/>
      <c r="DR460" s="19"/>
      <c r="DS460" s="19" t="s">
        <v>2365</v>
      </c>
      <c r="DT460" s="19" t="s">
        <v>2350</v>
      </c>
      <c r="DU460" s="19" t="s">
        <v>9969</v>
      </c>
      <c r="DV460" s="19"/>
      <c r="DW460" s="19" t="s">
        <v>2153</v>
      </c>
      <c r="DX460" s="19">
        <v>8.0</v>
      </c>
      <c r="DY460" s="19">
        <v>0.0</v>
      </c>
      <c r="DZ460" s="19">
        <v>0.0</v>
      </c>
      <c r="EA460" s="19">
        <v>0.0</v>
      </c>
      <c r="EB460" s="19">
        <v>0.0</v>
      </c>
      <c r="EC460" s="19">
        <v>0.0</v>
      </c>
      <c r="ED460" s="19" t="s">
        <v>2133</v>
      </c>
      <c r="EE460" s="24">
        <v>45531.0</v>
      </c>
      <c r="EF460" s="19" t="s">
        <v>2133</v>
      </c>
      <c r="EG460" s="19" t="s">
        <v>2271</v>
      </c>
      <c r="EH460" s="19" t="s">
        <v>2146</v>
      </c>
      <c r="EI460" s="22">
        <v>14.671875</v>
      </c>
      <c r="EJ460" s="19">
        <v>45.0</v>
      </c>
      <c r="EK460" s="19" t="s">
        <v>2113</v>
      </c>
      <c r="EL460" s="19" t="s">
        <v>2163</v>
      </c>
      <c r="EM460" s="19" t="s">
        <v>2571</v>
      </c>
      <c r="EN460" s="19" t="s">
        <v>1361</v>
      </c>
      <c r="EO460" s="19" t="s">
        <v>2286</v>
      </c>
      <c r="EP460" s="19" t="s">
        <v>2310</v>
      </c>
      <c r="EQ460" s="19" t="s">
        <v>2294</v>
      </c>
      <c r="ER460" s="19"/>
      <c r="ES460" s="19" t="s">
        <v>1361</v>
      </c>
      <c r="ET460" s="19" t="s">
        <v>1361</v>
      </c>
      <c r="EU460" s="19" t="s">
        <v>9958</v>
      </c>
      <c r="EV460" s="19">
        <v>8963.0</v>
      </c>
      <c r="EW460" s="19" t="s">
        <v>16</v>
      </c>
      <c r="EX460" s="19">
        <v>5.0</v>
      </c>
      <c r="EY460" s="25" t="s">
        <v>1360</v>
      </c>
      <c r="EZ460" s="19" t="s">
        <v>2154</v>
      </c>
      <c r="FA460" s="5" t="s">
        <v>9970</v>
      </c>
      <c r="FB460" s="26" t="s">
        <v>2156</v>
      </c>
      <c r="FC460" s="26"/>
    </row>
    <row r="461">
      <c r="A461" s="19" t="s">
        <v>2112</v>
      </c>
      <c r="B461" s="19"/>
      <c r="C461" s="19" t="s">
        <v>2113</v>
      </c>
      <c r="D461" s="19" t="s">
        <v>1362</v>
      </c>
      <c r="E461" s="19" t="s">
        <v>9971</v>
      </c>
      <c r="F461" s="19" t="s">
        <v>1362</v>
      </c>
      <c r="G461" s="19"/>
      <c r="H461" s="19" t="s">
        <v>1362</v>
      </c>
      <c r="I461" s="19" t="s">
        <v>1364</v>
      </c>
      <c r="J461" s="19" t="s">
        <v>9972</v>
      </c>
      <c r="K461" s="19" t="s">
        <v>9973</v>
      </c>
      <c r="L461" s="20">
        <v>45454.0</v>
      </c>
      <c r="M461" s="20">
        <v>45455.0</v>
      </c>
      <c r="N461" s="20">
        <v>45455.0</v>
      </c>
      <c r="O461" s="19" t="s">
        <v>1363</v>
      </c>
      <c r="P461" s="19">
        <v>0.0</v>
      </c>
      <c r="Q461" s="19">
        <v>20.0</v>
      </c>
      <c r="R461" s="19">
        <v>7404.0</v>
      </c>
      <c r="S461" s="20" t="s">
        <v>9974</v>
      </c>
      <c r="T461" s="20">
        <v>45461.0</v>
      </c>
      <c r="U461" s="19" t="s">
        <v>1362</v>
      </c>
      <c r="V461" s="19"/>
      <c r="W461" s="19"/>
      <c r="X461" s="21">
        <v>0.0</v>
      </c>
      <c r="Y461" s="21">
        <v>0.0</v>
      </c>
      <c r="Z461" s="21">
        <v>5.0</v>
      </c>
      <c r="AA461" s="21">
        <v>0.0</v>
      </c>
      <c r="AB461" s="5">
        <v>5.0</v>
      </c>
      <c r="AC461" s="19">
        <v>5.0</v>
      </c>
      <c r="AD461" s="19">
        <v>5.0</v>
      </c>
      <c r="AE461" s="19">
        <v>5.0</v>
      </c>
      <c r="AF461" s="19">
        <v>5.0</v>
      </c>
      <c r="AG461" s="19">
        <v>5.0</v>
      </c>
      <c r="AH461" s="19">
        <v>4.0</v>
      </c>
      <c r="AI461" s="22">
        <v>14.625</v>
      </c>
      <c r="AJ461" s="19">
        <v>15.0</v>
      </c>
      <c r="AK461" s="19">
        <v>15.0</v>
      </c>
      <c r="AL461" s="19">
        <v>15.0</v>
      </c>
      <c r="AM461" s="19">
        <v>45.0</v>
      </c>
      <c r="AN461" s="19">
        <v>59.6</v>
      </c>
      <c r="AO461" s="19">
        <v>64.6</v>
      </c>
      <c r="AP461" s="19">
        <v>1119.0</v>
      </c>
      <c r="AQ461" s="23">
        <v>453.0</v>
      </c>
      <c r="AR461" s="23">
        <v>49.0</v>
      </c>
      <c r="AS461" s="22"/>
      <c r="AT461" s="19" t="s">
        <v>2117</v>
      </c>
      <c r="AU461" s="19" t="s">
        <v>9975</v>
      </c>
      <c r="AV461" s="19" t="s">
        <v>9976</v>
      </c>
      <c r="AW461" s="19"/>
      <c r="AX461" s="20">
        <v>38057.0</v>
      </c>
      <c r="AY461" s="19" t="s">
        <v>2121</v>
      </c>
      <c r="AZ461" s="19" t="s">
        <v>2122</v>
      </c>
      <c r="BA461" s="19" t="s">
        <v>9977</v>
      </c>
      <c r="BB461" s="19" t="s">
        <v>5922</v>
      </c>
      <c r="BC461" s="19" t="s">
        <v>9978</v>
      </c>
      <c r="BD461" s="19" t="s">
        <v>9979</v>
      </c>
      <c r="BE461" s="19" t="s">
        <v>9980</v>
      </c>
      <c r="BF461" s="19">
        <v>1.1949793788E10</v>
      </c>
      <c r="BG461" s="19" t="s">
        <v>4038</v>
      </c>
      <c r="BH461" s="19" t="s">
        <v>4080</v>
      </c>
      <c r="BI461" s="19"/>
      <c r="BJ461" s="19" t="s">
        <v>2129</v>
      </c>
      <c r="BK461" s="19" t="s">
        <v>17</v>
      </c>
      <c r="BL461" s="19"/>
      <c r="BM461" s="19" t="s">
        <v>5411</v>
      </c>
      <c r="BN461" s="19" t="s">
        <v>2131</v>
      </c>
      <c r="BO461" s="19" t="s">
        <v>2132</v>
      </c>
      <c r="BP461" s="19"/>
      <c r="BQ461" s="19" t="s">
        <v>2133</v>
      </c>
      <c r="BR461" s="19" t="s">
        <v>2133</v>
      </c>
      <c r="BS461" s="19" t="s">
        <v>2134</v>
      </c>
      <c r="BT461" s="19" t="s">
        <v>15</v>
      </c>
      <c r="BU461" s="19" t="s">
        <v>9981</v>
      </c>
      <c r="BV461" s="19"/>
      <c r="BW461" s="19"/>
      <c r="BX461" s="19"/>
      <c r="BY461" s="19"/>
      <c r="BZ461" s="19"/>
      <c r="CA461" s="19"/>
      <c r="CB461" s="19" t="s">
        <v>2113</v>
      </c>
      <c r="CC461" s="19" t="s">
        <v>2113</v>
      </c>
      <c r="CD461" s="19" t="s">
        <v>2137</v>
      </c>
      <c r="CE461" s="19" t="s">
        <v>17</v>
      </c>
      <c r="CF461" s="19"/>
      <c r="CG461" s="19"/>
      <c r="CH461" s="19" t="s">
        <v>16</v>
      </c>
      <c r="CI461" s="21">
        <v>0.0</v>
      </c>
      <c r="CJ461" s="19" t="s">
        <v>17</v>
      </c>
      <c r="CK461" s="19"/>
      <c r="CL461" s="19"/>
      <c r="CM461" s="19" t="s">
        <v>2926</v>
      </c>
      <c r="CN461" s="19" t="s">
        <v>2139</v>
      </c>
      <c r="CO461" s="19" t="s">
        <v>3932</v>
      </c>
      <c r="CP461" s="19" t="s">
        <v>2140</v>
      </c>
      <c r="CQ461" s="19"/>
      <c r="CR461" s="19" t="s">
        <v>2113</v>
      </c>
      <c r="CS461" s="19" t="s">
        <v>2113</v>
      </c>
      <c r="CT461" s="19" t="s">
        <v>2113</v>
      </c>
      <c r="CU461" s="19" t="s">
        <v>2113</v>
      </c>
      <c r="CV461" s="19" t="s">
        <v>2141</v>
      </c>
      <c r="CW461" s="19"/>
      <c r="CX461" s="19"/>
      <c r="CY461" s="19"/>
      <c r="CZ461" s="19"/>
      <c r="DA461" s="19" t="s">
        <v>17</v>
      </c>
      <c r="DB461" s="19" t="s">
        <v>17</v>
      </c>
      <c r="DC461" s="19" t="s">
        <v>5270</v>
      </c>
      <c r="DD461" s="19" t="s">
        <v>2113</v>
      </c>
      <c r="DE461" s="19" t="s">
        <v>2113</v>
      </c>
      <c r="DF461" s="19" t="s">
        <v>5129</v>
      </c>
      <c r="DG461" s="19" t="s">
        <v>5320</v>
      </c>
      <c r="DH461" s="19" t="s">
        <v>2144</v>
      </c>
      <c r="DI461" s="24">
        <v>45525.0</v>
      </c>
      <c r="DJ461" s="19" t="s">
        <v>2133</v>
      </c>
      <c r="DK461" s="19" t="s">
        <v>2271</v>
      </c>
      <c r="DL461" s="19" t="s">
        <v>2146</v>
      </c>
      <c r="DM461" s="19" t="s">
        <v>2408</v>
      </c>
      <c r="DN461" s="19">
        <v>10.0</v>
      </c>
      <c r="DO461" s="19">
        <v>10.0</v>
      </c>
      <c r="DP461" s="19" t="s">
        <v>9982</v>
      </c>
      <c r="DQ461" s="19" t="s">
        <v>9983</v>
      </c>
      <c r="DR461" s="19" t="s">
        <v>9984</v>
      </c>
      <c r="DS461" s="19" t="s">
        <v>2365</v>
      </c>
      <c r="DT461" s="19" t="s">
        <v>2209</v>
      </c>
      <c r="DU461" s="19"/>
      <c r="DV461" s="19"/>
      <c r="DW461" s="19" t="s">
        <v>2153</v>
      </c>
      <c r="DX461" s="19">
        <v>8.0</v>
      </c>
      <c r="DY461" s="19">
        <v>0.0</v>
      </c>
      <c r="DZ461" s="19">
        <v>0.0</v>
      </c>
      <c r="EA461" s="19">
        <v>0.0</v>
      </c>
      <c r="EB461" s="19">
        <v>0.0</v>
      </c>
      <c r="EC461" s="19">
        <v>0.0</v>
      </c>
      <c r="ED461" s="19" t="s">
        <v>2133</v>
      </c>
      <c r="EE461" s="24">
        <v>45525.0</v>
      </c>
      <c r="EF461" s="19" t="s">
        <v>2133</v>
      </c>
      <c r="EG461" s="19" t="s">
        <v>2271</v>
      </c>
      <c r="EH461" s="19" t="s">
        <v>2146</v>
      </c>
      <c r="EI461" s="22">
        <v>14.625</v>
      </c>
      <c r="EJ461" s="19">
        <v>45.0</v>
      </c>
      <c r="EK461" s="19" t="s">
        <v>2113</v>
      </c>
      <c r="EL461" s="19" t="s">
        <v>2117</v>
      </c>
      <c r="EM461" s="19" t="s">
        <v>9975</v>
      </c>
      <c r="EN461" s="19" t="s">
        <v>1364</v>
      </c>
      <c r="EO461" s="19" t="s">
        <v>2121</v>
      </c>
      <c r="EP461" s="19" t="s">
        <v>2122</v>
      </c>
      <c r="EQ461" s="19" t="s">
        <v>2139</v>
      </c>
      <c r="ER461" s="19" t="s">
        <v>3932</v>
      </c>
      <c r="ES461" s="19" t="s">
        <v>1364</v>
      </c>
      <c r="ET461" s="19" t="s">
        <v>1364</v>
      </c>
      <c r="EU461" s="19" t="s">
        <v>9973</v>
      </c>
      <c r="EV461" s="19">
        <v>7404.0</v>
      </c>
      <c r="EW461" s="19" t="s">
        <v>17</v>
      </c>
      <c r="EX461" s="19">
        <v>5.0</v>
      </c>
      <c r="EY461" s="25" t="s">
        <v>1363</v>
      </c>
      <c r="EZ461" s="19" t="s">
        <v>9985</v>
      </c>
      <c r="FA461" s="5" t="s">
        <v>9986</v>
      </c>
      <c r="FB461" s="26" t="s">
        <v>2156</v>
      </c>
      <c r="FC461" s="26"/>
    </row>
    <row r="462">
      <c r="A462" s="19" t="s">
        <v>2112</v>
      </c>
      <c r="B462" s="19"/>
      <c r="C462" s="19" t="s">
        <v>2113</v>
      </c>
      <c r="D462" s="19" t="s">
        <v>1365</v>
      </c>
      <c r="E462" s="19" t="s">
        <v>1365</v>
      </c>
      <c r="F462" s="19" t="s">
        <v>9987</v>
      </c>
      <c r="G462" s="19" t="s">
        <v>9987</v>
      </c>
      <c r="H462" s="19" t="s">
        <v>1365</v>
      </c>
      <c r="I462" s="19" t="s">
        <v>1367</v>
      </c>
      <c r="J462" s="19" t="s">
        <v>9988</v>
      </c>
      <c r="K462" s="19" t="s">
        <v>9989</v>
      </c>
      <c r="L462" s="20">
        <v>45446.0</v>
      </c>
      <c r="M462" s="20">
        <v>45447.0</v>
      </c>
      <c r="N462" s="20">
        <v>45447.0</v>
      </c>
      <c r="O462" s="19" t="s">
        <v>1366</v>
      </c>
      <c r="P462" s="19">
        <v>0.0</v>
      </c>
      <c r="Q462" s="19">
        <v>19.0</v>
      </c>
      <c r="R462" s="19">
        <v>7190.0</v>
      </c>
      <c r="S462" s="20" t="s">
        <v>9990</v>
      </c>
      <c r="T462" s="20">
        <v>45461.0</v>
      </c>
      <c r="U462" s="19" t="s">
        <v>9987</v>
      </c>
      <c r="V462" s="19"/>
      <c r="W462" s="19"/>
      <c r="X462" s="21">
        <v>0.0</v>
      </c>
      <c r="Y462" s="21">
        <v>0.0</v>
      </c>
      <c r="Z462" s="21">
        <v>5.0</v>
      </c>
      <c r="AA462" s="21">
        <v>0.0</v>
      </c>
      <c r="AB462" s="5">
        <v>5.0</v>
      </c>
      <c r="AC462" s="19">
        <v>5.0</v>
      </c>
      <c r="AD462" s="19">
        <v>5.0</v>
      </c>
      <c r="AE462" s="19">
        <v>4.8</v>
      </c>
      <c r="AF462" s="19">
        <v>4.8</v>
      </c>
      <c r="AG462" s="19">
        <v>4.6</v>
      </c>
      <c r="AH462" s="19">
        <v>4.8</v>
      </c>
      <c r="AI462" s="22">
        <v>14.549999999999999</v>
      </c>
      <c r="AJ462" s="19">
        <v>15.0</v>
      </c>
      <c r="AK462" s="19">
        <v>15.0</v>
      </c>
      <c r="AL462" s="19">
        <v>15.0</v>
      </c>
      <c r="AM462" s="19">
        <v>45.0</v>
      </c>
      <c r="AN462" s="19">
        <v>59.6</v>
      </c>
      <c r="AO462" s="19">
        <v>64.6</v>
      </c>
      <c r="AP462" s="19">
        <v>1126.0</v>
      </c>
      <c r="AQ462" s="23">
        <v>454.0</v>
      </c>
      <c r="AR462" s="23">
        <v>35.0</v>
      </c>
      <c r="AS462" s="22"/>
      <c r="AT462" s="19" t="s">
        <v>2117</v>
      </c>
      <c r="AU462" s="19" t="s">
        <v>4698</v>
      </c>
      <c r="AV462" s="19" t="s">
        <v>9991</v>
      </c>
      <c r="AW462" s="19" t="s">
        <v>2166</v>
      </c>
      <c r="AX462" s="20">
        <v>38271.0</v>
      </c>
      <c r="AY462" s="19" t="s">
        <v>2529</v>
      </c>
      <c r="AZ462" s="19" t="s">
        <v>2122</v>
      </c>
      <c r="BA462" s="19" t="s">
        <v>9992</v>
      </c>
      <c r="BB462" s="19" t="s">
        <v>9993</v>
      </c>
      <c r="BC462" s="19" t="s">
        <v>9994</v>
      </c>
      <c r="BD462" s="19" t="s">
        <v>9995</v>
      </c>
      <c r="BE462" s="19" t="s">
        <v>9988</v>
      </c>
      <c r="BF462" s="19">
        <v>1.1983219114E10</v>
      </c>
      <c r="BG462" s="19" t="s">
        <v>4038</v>
      </c>
      <c r="BH462" s="19" t="s">
        <v>2128</v>
      </c>
      <c r="BI462" s="19"/>
      <c r="BJ462" s="19" t="s">
        <v>2129</v>
      </c>
      <c r="BK462" s="19" t="s">
        <v>17</v>
      </c>
      <c r="BL462" s="19"/>
      <c r="BM462" s="19" t="s">
        <v>5563</v>
      </c>
      <c r="BN462" s="19" t="s">
        <v>17</v>
      </c>
      <c r="BO462" s="19" t="s">
        <v>2132</v>
      </c>
      <c r="BP462" s="19" t="s">
        <v>9996</v>
      </c>
      <c r="BQ462" s="19" t="s">
        <v>2174</v>
      </c>
      <c r="BR462" s="19" t="s">
        <v>2174</v>
      </c>
      <c r="BS462" s="19" t="s">
        <v>2134</v>
      </c>
      <c r="BT462" s="19" t="s">
        <v>75</v>
      </c>
      <c r="BU462" s="19" t="s">
        <v>4538</v>
      </c>
      <c r="BV462" s="19"/>
      <c r="BW462" s="19" t="s">
        <v>2113</v>
      </c>
      <c r="BX462" s="19"/>
      <c r="BY462" s="19"/>
      <c r="BZ462" s="19"/>
      <c r="CA462" s="19"/>
      <c r="CB462" s="19" t="s">
        <v>2113</v>
      </c>
      <c r="CC462" s="19"/>
      <c r="CD462" s="19" t="s">
        <v>2137</v>
      </c>
      <c r="CE462" s="19" t="s">
        <v>16</v>
      </c>
      <c r="CF462" s="19"/>
      <c r="CG462" s="19"/>
      <c r="CH462" s="19" t="s">
        <v>16</v>
      </c>
      <c r="CI462" s="21">
        <v>0.0</v>
      </c>
      <c r="CJ462" s="19" t="s">
        <v>17</v>
      </c>
      <c r="CK462" s="19"/>
      <c r="CL462" s="19"/>
      <c r="CM462" s="19" t="s">
        <v>2344</v>
      </c>
      <c r="CN462" s="19" t="s">
        <v>2537</v>
      </c>
      <c r="CO462" s="19"/>
      <c r="CP462" s="19" t="s">
        <v>2246</v>
      </c>
      <c r="CQ462" s="19"/>
      <c r="CR462" s="19"/>
      <c r="CS462" s="19"/>
      <c r="CT462" s="19"/>
      <c r="CU462" s="19"/>
      <c r="CV462" s="19" t="s">
        <v>2141</v>
      </c>
      <c r="CW462" s="19" t="s">
        <v>2113</v>
      </c>
      <c r="CX462" s="19" t="s">
        <v>2113</v>
      </c>
      <c r="CY462" s="19"/>
      <c r="CZ462" s="19"/>
      <c r="DA462" s="19" t="s">
        <v>16</v>
      </c>
      <c r="DB462" s="19" t="s">
        <v>17</v>
      </c>
      <c r="DC462" s="19" t="s">
        <v>4044</v>
      </c>
      <c r="DD462" s="19" t="s">
        <v>2113</v>
      </c>
      <c r="DE462" s="19" t="s">
        <v>2113</v>
      </c>
      <c r="DF462" s="19" t="s">
        <v>4042</v>
      </c>
      <c r="DG462" s="19" t="s">
        <v>2538</v>
      </c>
      <c r="DH462" s="19" t="s">
        <v>2144</v>
      </c>
      <c r="DI462" s="24">
        <v>45518.0</v>
      </c>
      <c r="DJ462" s="19" t="s">
        <v>2174</v>
      </c>
      <c r="DK462" s="19" t="s">
        <v>2271</v>
      </c>
      <c r="DL462" s="19" t="s">
        <v>2183</v>
      </c>
      <c r="DM462" s="19" t="s">
        <v>2346</v>
      </c>
      <c r="DN462" s="19">
        <v>4.0</v>
      </c>
      <c r="DO462" s="19">
        <v>4.0</v>
      </c>
      <c r="DP462" s="19" t="s">
        <v>9997</v>
      </c>
      <c r="DQ462" s="19" t="s">
        <v>9998</v>
      </c>
      <c r="DR462" s="19" t="s">
        <v>9999</v>
      </c>
      <c r="DS462" s="19" t="s">
        <v>2151</v>
      </c>
      <c r="DT462" s="19" t="s">
        <v>2186</v>
      </c>
      <c r="DU462" s="19"/>
      <c r="DV462" s="19"/>
      <c r="DW462" s="19" t="s">
        <v>2153</v>
      </c>
      <c r="DX462" s="19">
        <v>13.0</v>
      </c>
      <c r="DY462" s="19">
        <v>0.0</v>
      </c>
      <c r="DZ462" s="19">
        <v>0.0</v>
      </c>
      <c r="EA462" s="19">
        <v>0.0</v>
      </c>
      <c r="EB462" s="19">
        <v>0.0</v>
      </c>
      <c r="EC462" s="19">
        <v>0.0</v>
      </c>
      <c r="ED462" s="19" t="s">
        <v>2174</v>
      </c>
      <c r="EE462" s="24">
        <v>45518.0</v>
      </c>
      <c r="EF462" s="19" t="s">
        <v>2174</v>
      </c>
      <c r="EG462" s="19" t="s">
        <v>2271</v>
      </c>
      <c r="EH462" s="19" t="s">
        <v>2183</v>
      </c>
      <c r="EI462" s="22">
        <v>14.549999999999999</v>
      </c>
      <c r="EJ462" s="19">
        <v>45.0</v>
      </c>
      <c r="EK462" s="19" t="s">
        <v>2113</v>
      </c>
      <c r="EL462" s="19" t="s">
        <v>2117</v>
      </c>
      <c r="EM462" s="19" t="s">
        <v>4698</v>
      </c>
      <c r="EN462" s="19" t="s">
        <v>1367</v>
      </c>
      <c r="EO462" s="19" t="s">
        <v>2529</v>
      </c>
      <c r="EP462" s="19" t="s">
        <v>2122</v>
      </c>
      <c r="EQ462" s="19" t="s">
        <v>2537</v>
      </c>
      <c r="ER462" s="19"/>
      <c r="ES462" s="19" t="s">
        <v>1367</v>
      </c>
      <c r="ET462" s="19" t="s">
        <v>1367</v>
      </c>
      <c r="EU462" s="19" t="s">
        <v>9989</v>
      </c>
      <c r="EV462" s="19">
        <v>7190.0</v>
      </c>
      <c r="EW462" s="19" t="s">
        <v>16</v>
      </c>
      <c r="EX462" s="19">
        <v>5.0</v>
      </c>
      <c r="EY462" s="25" t="s">
        <v>1366</v>
      </c>
      <c r="EZ462" s="19" t="s">
        <v>2154</v>
      </c>
      <c r="FA462" s="5" t="s">
        <v>10000</v>
      </c>
      <c r="FB462" s="26" t="s">
        <v>2156</v>
      </c>
      <c r="FC462" s="26"/>
    </row>
    <row r="463">
      <c r="A463" s="19" t="s">
        <v>2156</v>
      </c>
      <c r="B463" s="19"/>
      <c r="C463" s="19" t="s">
        <v>2113</v>
      </c>
      <c r="D463" s="19" t="s">
        <v>1368</v>
      </c>
      <c r="E463" s="19" t="s">
        <v>1368</v>
      </c>
      <c r="F463" s="19" t="s">
        <v>1368</v>
      </c>
      <c r="G463" s="19"/>
      <c r="H463" s="19" t="s">
        <v>1368</v>
      </c>
      <c r="I463" s="19" t="s">
        <v>1370</v>
      </c>
      <c r="J463" s="19" t="s">
        <v>10001</v>
      </c>
      <c r="K463" s="19" t="s">
        <v>10002</v>
      </c>
      <c r="L463" s="20">
        <v>45440.0</v>
      </c>
      <c r="M463" s="20">
        <v>45441.0</v>
      </c>
      <c r="N463" s="20">
        <v>45441.0</v>
      </c>
      <c r="O463" s="19" t="s">
        <v>1369</v>
      </c>
      <c r="P463" s="19">
        <v>0.0</v>
      </c>
      <c r="Q463" s="19">
        <v>22.0</v>
      </c>
      <c r="R463" s="19">
        <v>8265.0</v>
      </c>
      <c r="S463" s="20" t="s">
        <v>2372</v>
      </c>
      <c r="T463" s="20">
        <v>45461.0</v>
      </c>
      <c r="U463" s="19" t="s">
        <v>1368</v>
      </c>
      <c r="V463" s="19"/>
      <c r="W463" s="19"/>
      <c r="X463" s="21">
        <v>0.0</v>
      </c>
      <c r="Y463" s="21">
        <v>10.0</v>
      </c>
      <c r="Z463" s="21">
        <v>5.0</v>
      </c>
      <c r="AA463" s="21">
        <v>0.0</v>
      </c>
      <c r="AB463" s="5">
        <v>15.0</v>
      </c>
      <c r="AC463" s="19">
        <v>2.0</v>
      </c>
      <c r="AD463" s="19">
        <v>2.0</v>
      </c>
      <c r="AE463" s="19">
        <v>2.0</v>
      </c>
      <c r="AF463" s="19">
        <v>2.0</v>
      </c>
      <c r="AG463" s="19">
        <v>2.0</v>
      </c>
      <c r="AH463" s="19">
        <v>2.0</v>
      </c>
      <c r="AI463" s="22">
        <v>6.0</v>
      </c>
      <c r="AJ463" s="19">
        <v>15.0</v>
      </c>
      <c r="AK463" s="19">
        <v>15.0</v>
      </c>
      <c r="AL463" s="19">
        <v>13.5</v>
      </c>
      <c r="AM463" s="19">
        <v>43.5</v>
      </c>
      <c r="AN463" s="19">
        <v>49.5</v>
      </c>
      <c r="AO463" s="19">
        <v>64.5</v>
      </c>
      <c r="AP463" s="19">
        <v>462.0</v>
      </c>
      <c r="AQ463" s="23">
        <v>455.0</v>
      </c>
      <c r="AR463" s="23">
        <v>50.0</v>
      </c>
      <c r="AS463" s="22"/>
      <c r="AT463" s="19" t="s">
        <v>2117</v>
      </c>
      <c r="AU463" s="19" t="s">
        <v>10003</v>
      </c>
      <c r="AV463" s="19" t="s">
        <v>10004</v>
      </c>
      <c r="AW463" s="19"/>
      <c r="AX463" s="20">
        <v>37196.0</v>
      </c>
      <c r="AY463" s="19" t="s">
        <v>8059</v>
      </c>
      <c r="AZ463" s="19" t="s">
        <v>2122</v>
      </c>
      <c r="BA463" s="19" t="s">
        <v>10005</v>
      </c>
      <c r="BB463" s="19" t="s">
        <v>10006</v>
      </c>
      <c r="BC463" s="19" t="s">
        <v>10007</v>
      </c>
      <c r="BD463" s="19" t="s">
        <v>10008</v>
      </c>
      <c r="BE463" s="19" t="s">
        <v>10001</v>
      </c>
      <c r="BF463" s="19">
        <v>1.1951272924E10</v>
      </c>
      <c r="BG463" s="19" t="s">
        <v>2127</v>
      </c>
      <c r="BH463" s="19" t="s">
        <v>2649</v>
      </c>
      <c r="BI463" s="19"/>
      <c r="BJ463" s="19"/>
      <c r="BK463" s="19" t="s">
        <v>16</v>
      </c>
      <c r="BL463" s="19"/>
      <c r="BM463" s="19" t="s">
        <v>5563</v>
      </c>
      <c r="BN463" s="19" t="s">
        <v>2172</v>
      </c>
      <c r="BO463" s="19" t="s">
        <v>2132</v>
      </c>
      <c r="BP463" s="19"/>
      <c r="BQ463" s="19" t="s">
        <v>2133</v>
      </c>
      <c r="BR463" s="19" t="s">
        <v>2133</v>
      </c>
      <c r="BS463" s="19" t="s">
        <v>2134</v>
      </c>
      <c r="BT463" s="19" t="s">
        <v>15</v>
      </c>
      <c r="BU463" s="19"/>
      <c r="BV463" s="19"/>
      <c r="BW463" s="19" t="s">
        <v>2113</v>
      </c>
      <c r="BX463" s="19"/>
      <c r="BY463" s="19"/>
      <c r="BZ463" s="19"/>
      <c r="CA463" s="19"/>
      <c r="CB463" s="19" t="s">
        <v>2113</v>
      </c>
      <c r="CC463" s="19"/>
      <c r="CD463" s="19" t="s">
        <v>2137</v>
      </c>
      <c r="CE463" s="19" t="s">
        <v>17</v>
      </c>
      <c r="CF463" s="19"/>
      <c r="CG463" s="19"/>
      <c r="CH463" s="19" t="s">
        <v>16</v>
      </c>
      <c r="CI463" s="21">
        <v>0.0</v>
      </c>
      <c r="CJ463" s="19" t="s">
        <v>17</v>
      </c>
      <c r="CK463" s="19"/>
      <c r="CL463" s="19"/>
      <c r="CM463" s="19" t="s">
        <v>2926</v>
      </c>
      <c r="CN463" s="19">
        <v>2.0</v>
      </c>
      <c r="CO463" s="19" t="s">
        <v>10009</v>
      </c>
      <c r="CP463" s="19" t="s">
        <v>2134</v>
      </c>
      <c r="CQ463" s="19"/>
      <c r="CR463" s="19"/>
      <c r="CS463" s="19"/>
      <c r="CT463" s="19"/>
      <c r="CU463" s="19"/>
      <c r="CV463" s="19" t="s">
        <v>2141</v>
      </c>
      <c r="CW463" s="19" t="s">
        <v>2113</v>
      </c>
      <c r="CX463" s="19" t="s">
        <v>2113</v>
      </c>
      <c r="CY463" s="19"/>
      <c r="CZ463" s="19"/>
      <c r="DA463" s="19" t="s">
        <v>17</v>
      </c>
      <c r="DB463" s="19" t="s">
        <v>17</v>
      </c>
      <c r="DC463" s="19" t="s">
        <v>7449</v>
      </c>
      <c r="DD463" s="19"/>
      <c r="DE463" s="19"/>
      <c r="DF463" s="19" t="s">
        <v>3525</v>
      </c>
      <c r="DG463" s="19" t="s">
        <v>10010</v>
      </c>
      <c r="DH463" s="19" t="s">
        <v>2144</v>
      </c>
      <c r="DI463" s="24">
        <v>45518.0</v>
      </c>
      <c r="DJ463" s="19" t="s">
        <v>2133</v>
      </c>
      <c r="DK463" s="19" t="s">
        <v>2271</v>
      </c>
      <c r="DL463" s="19" t="s">
        <v>2146</v>
      </c>
      <c r="DM463" s="19"/>
      <c r="DN463" s="19">
        <v>4.0</v>
      </c>
      <c r="DO463" s="19">
        <v>4.0</v>
      </c>
      <c r="DP463" s="19" t="s">
        <v>10011</v>
      </c>
      <c r="DQ463" s="19" t="s">
        <v>10012</v>
      </c>
      <c r="DR463" s="19" t="s">
        <v>10013</v>
      </c>
      <c r="DS463" s="19" t="s">
        <v>2365</v>
      </c>
      <c r="DT463" s="19" t="s">
        <v>2229</v>
      </c>
      <c r="DU463" s="19"/>
      <c r="DV463" s="19"/>
      <c r="DW463" s="19" t="s">
        <v>2153</v>
      </c>
      <c r="DX463" s="19">
        <v>7.0</v>
      </c>
      <c r="DY463" s="19">
        <v>10.0</v>
      </c>
      <c r="DZ463" s="19">
        <v>0.0</v>
      </c>
      <c r="EA463" s="19">
        <v>10.0</v>
      </c>
      <c r="EB463" s="19">
        <v>0.0</v>
      </c>
      <c r="EC463" s="19">
        <v>0.0</v>
      </c>
      <c r="ED463" s="19" t="s">
        <v>2133</v>
      </c>
      <c r="EE463" s="24">
        <v>45518.0</v>
      </c>
      <c r="EF463" s="19" t="s">
        <v>2133</v>
      </c>
      <c r="EG463" s="19" t="s">
        <v>2271</v>
      </c>
      <c r="EH463" s="19" t="s">
        <v>2146</v>
      </c>
      <c r="EI463" s="22">
        <v>6.0</v>
      </c>
      <c r="EJ463" s="19">
        <v>43.5</v>
      </c>
      <c r="EK463" s="19" t="s">
        <v>2113</v>
      </c>
      <c r="EL463" s="19" t="s">
        <v>2117</v>
      </c>
      <c r="EM463" s="19" t="s">
        <v>10003</v>
      </c>
      <c r="EN463" s="19" t="s">
        <v>1370</v>
      </c>
      <c r="EO463" s="19" t="s">
        <v>8059</v>
      </c>
      <c r="EP463" s="19" t="s">
        <v>2122</v>
      </c>
      <c r="EQ463" s="19">
        <v>2.0</v>
      </c>
      <c r="ER463" s="19" t="s">
        <v>10009</v>
      </c>
      <c r="ES463" s="19" t="s">
        <v>1370</v>
      </c>
      <c r="ET463" s="19" t="s">
        <v>1370</v>
      </c>
      <c r="EU463" s="19" t="s">
        <v>10002</v>
      </c>
      <c r="EV463" s="19">
        <v>8265.0</v>
      </c>
      <c r="EW463" s="19" t="s">
        <v>17</v>
      </c>
      <c r="EX463" s="19">
        <v>5.0</v>
      </c>
      <c r="EY463" s="25" t="s">
        <v>1369</v>
      </c>
      <c r="EZ463" s="19" t="s">
        <v>10014</v>
      </c>
      <c r="FA463" s="5" t="s">
        <v>10015</v>
      </c>
      <c r="FB463" s="26" t="s">
        <v>2156</v>
      </c>
      <c r="FC463" s="26"/>
    </row>
    <row r="464">
      <c r="A464" s="19" t="s">
        <v>2112</v>
      </c>
      <c r="B464" s="19"/>
      <c r="C464" s="19" t="s">
        <v>2113</v>
      </c>
      <c r="D464" s="19" t="s">
        <v>1371</v>
      </c>
      <c r="E464" s="19" t="s">
        <v>1371</v>
      </c>
      <c r="F464" s="19" t="s">
        <v>1371</v>
      </c>
      <c r="G464" s="19" t="s">
        <v>1371</v>
      </c>
      <c r="H464" s="19" t="s">
        <v>1371</v>
      </c>
      <c r="I464" s="19" t="s">
        <v>1373</v>
      </c>
      <c r="J464" s="19" t="s">
        <v>10016</v>
      </c>
      <c r="K464" s="19" t="s">
        <v>10017</v>
      </c>
      <c r="L464" s="20">
        <v>45458.0</v>
      </c>
      <c r="M464" s="20">
        <v>45460.0</v>
      </c>
      <c r="N464" s="20">
        <v>45460.0</v>
      </c>
      <c r="O464" s="19" t="s">
        <v>1372</v>
      </c>
      <c r="P464" s="19">
        <v>0.0</v>
      </c>
      <c r="Q464" s="19">
        <v>29.0</v>
      </c>
      <c r="R464" s="19">
        <v>10756.0</v>
      </c>
      <c r="S464" s="20" t="s">
        <v>10018</v>
      </c>
      <c r="T464" s="20">
        <v>45461.0</v>
      </c>
      <c r="U464" s="19" t="s">
        <v>1371</v>
      </c>
      <c r="V464" s="19"/>
      <c r="W464" s="19"/>
      <c r="X464" s="21">
        <v>0.0</v>
      </c>
      <c r="Y464" s="21">
        <v>10.0</v>
      </c>
      <c r="Z464" s="21">
        <v>5.0</v>
      </c>
      <c r="AA464" s="21">
        <v>0.0</v>
      </c>
      <c r="AB464" s="5">
        <v>15.0</v>
      </c>
      <c r="AC464" s="19">
        <v>4.0</v>
      </c>
      <c r="AD464" s="19">
        <v>4.0</v>
      </c>
      <c r="AE464" s="19">
        <v>4.0</v>
      </c>
      <c r="AF464" s="19">
        <v>4.0</v>
      </c>
      <c r="AG464" s="19">
        <v>4.0</v>
      </c>
      <c r="AH464" s="19">
        <v>4.0</v>
      </c>
      <c r="AI464" s="22">
        <v>12.0</v>
      </c>
      <c r="AJ464" s="19">
        <v>15.0</v>
      </c>
      <c r="AK464" s="19">
        <v>12.0</v>
      </c>
      <c r="AL464" s="19">
        <v>10.5</v>
      </c>
      <c r="AM464" s="19">
        <v>37.5</v>
      </c>
      <c r="AN464" s="19">
        <v>49.5</v>
      </c>
      <c r="AO464" s="19">
        <v>64.5</v>
      </c>
      <c r="AP464" s="19">
        <v>397.0</v>
      </c>
      <c r="AQ464" s="23">
        <v>456.0</v>
      </c>
      <c r="AR464" s="23">
        <v>54.0</v>
      </c>
      <c r="AS464" s="22"/>
      <c r="AT464" s="19" t="s">
        <v>2117</v>
      </c>
      <c r="AU464" s="19" t="s">
        <v>10019</v>
      </c>
      <c r="AV464" s="19" t="s">
        <v>10020</v>
      </c>
      <c r="AW464" s="19" t="s">
        <v>2166</v>
      </c>
      <c r="AX464" s="20">
        <v>34705.0</v>
      </c>
      <c r="AY464" s="19" t="s">
        <v>2196</v>
      </c>
      <c r="AZ464" s="19" t="s">
        <v>2310</v>
      </c>
      <c r="BA464" s="19" t="s">
        <v>10021</v>
      </c>
      <c r="BB464" s="19" t="s">
        <v>8107</v>
      </c>
      <c r="BC464" s="19" t="s">
        <v>10022</v>
      </c>
      <c r="BD464" s="19" t="s">
        <v>10023</v>
      </c>
      <c r="BE464" s="19" t="s">
        <v>10016</v>
      </c>
      <c r="BF464" s="19">
        <v>1.1952176303E10</v>
      </c>
      <c r="BG464" s="19" t="s">
        <v>2127</v>
      </c>
      <c r="BH464" s="19" t="s">
        <v>2128</v>
      </c>
      <c r="BI464" s="19"/>
      <c r="BJ464" s="19" t="s">
        <v>2128</v>
      </c>
      <c r="BK464" s="19" t="s">
        <v>16</v>
      </c>
      <c r="BL464" s="19"/>
      <c r="BM464" s="19" t="s">
        <v>5411</v>
      </c>
      <c r="BN464" s="19" t="s">
        <v>2172</v>
      </c>
      <c r="BO464" s="19" t="s">
        <v>2132</v>
      </c>
      <c r="BP464" s="19" t="s">
        <v>10024</v>
      </c>
      <c r="BQ464" s="19" t="s">
        <v>2174</v>
      </c>
      <c r="BR464" s="19" t="s">
        <v>2174</v>
      </c>
      <c r="BS464" s="19" t="s">
        <v>2134</v>
      </c>
      <c r="BT464" s="19" t="s">
        <v>21</v>
      </c>
      <c r="BU464" s="19"/>
      <c r="BV464" s="19"/>
      <c r="BW464" s="19" t="s">
        <v>2113</v>
      </c>
      <c r="BX464" s="19"/>
      <c r="BY464" s="19"/>
      <c r="BZ464" s="19"/>
      <c r="CA464" s="19"/>
      <c r="CB464" s="19" t="s">
        <v>2113</v>
      </c>
      <c r="CC464" s="19"/>
      <c r="CD464" s="19" t="s">
        <v>2137</v>
      </c>
      <c r="CE464" s="19" t="s">
        <v>16</v>
      </c>
      <c r="CF464" s="19"/>
      <c r="CG464" s="19"/>
      <c r="CH464" s="19" t="s">
        <v>16</v>
      </c>
      <c r="CI464" s="21">
        <v>0.0</v>
      </c>
      <c r="CJ464" s="19" t="s">
        <v>17</v>
      </c>
      <c r="CK464" s="19"/>
      <c r="CL464" s="19"/>
      <c r="CM464" s="19" t="s">
        <v>2138</v>
      </c>
      <c r="CN464" s="19" t="s">
        <v>2204</v>
      </c>
      <c r="CO464" s="19"/>
      <c r="CP464" s="19" t="s">
        <v>2134</v>
      </c>
      <c r="CQ464" s="19"/>
      <c r="CR464" s="19"/>
      <c r="CS464" s="19"/>
      <c r="CT464" s="19"/>
      <c r="CU464" s="19"/>
      <c r="CV464" s="19" t="s">
        <v>2141</v>
      </c>
      <c r="CW464" s="19"/>
      <c r="CX464" s="19"/>
      <c r="CY464" s="19" t="s">
        <v>2113</v>
      </c>
      <c r="CZ464" s="19" t="s">
        <v>2113</v>
      </c>
      <c r="DA464" s="19" t="s">
        <v>16</v>
      </c>
      <c r="DB464" s="19" t="s">
        <v>17</v>
      </c>
      <c r="DC464" s="19" t="s">
        <v>2181</v>
      </c>
      <c r="DD464" s="19" t="s">
        <v>2113</v>
      </c>
      <c r="DE464" s="19" t="s">
        <v>2113</v>
      </c>
      <c r="DF464" s="19" t="s">
        <v>2345</v>
      </c>
      <c r="DG464" s="19" t="s">
        <v>7081</v>
      </c>
      <c r="DH464" s="19" t="s">
        <v>2144</v>
      </c>
      <c r="DI464" s="24">
        <v>45519.0</v>
      </c>
      <c r="DJ464" s="19" t="s">
        <v>2174</v>
      </c>
      <c r="DK464" s="19" t="s">
        <v>2271</v>
      </c>
      <c r="DL464" s="19" t="s">
        <v>2183</v>
      </c>
      <c r="DM464" s="19" t="s">
        <v>2272</v>
      </c>
      <c r="DN464" s="19">
        <v>6.0</v>
      </c>
      <c r="DO464" s="19">
        <v>6.0</v>
      </c>
      <c r="DP464" s="19" t="s">
        <v>10025</v>
      </c>
      <c r="DQ464" s="19" t="s">
        <v>10026</v>
      </c>
      <c r="DR464" s="19" t="s">
        <v>10027</v>
      </c>
      <c r="DS464" s="19" t="s">
        <v>2151</v>
      </c>
      <c r="DT464" s="19" t="s">
        <v>2301</v>
      </c>
      <c r="DU464" s="19"/>
      <c r="DV464" s="19"/>
      <c r="DW464" s="19" t="s">
        <v>2153</v>
      </c>
      <c r="DX464" s="19">
        <v>14.0</v>
      </c>
      <c r="DY464" s="19">
        <v>10.0</v>
      </c>
      <c r="DZ464" s="19">
        <v>0.0</v>
      </c>
      <c r="EA464" s="19">
        <v>10.0</v>
      </c>
      <c r="EB464" s="19">
        <v>0.0</v>
      </c>
      <c r="EC464" s="19">
        <v>0.0</v>
      </c>
      <c r="ED464" s="19" t="s">
        <v>2174</v>
      </c>
      <c r="EE464" s="24">
        <v>45519.0</v>
      </c>
      <c r="EF464" s="19" t="s">
        <v>2174</v>
      </c>
      <c r="EG464" s="19" t="s">
        <v>2271</v>
      </c>
      <c r="EH464" s="19" t="s">
        <v>2183</v>
      </c>
      <c r="EI464" s="22">
        <v>12.0</v>
      </c>
      <c r="EJ464" s="19">
        <v>37.5</v>
      </c>
      <c r="EK464" s="19" t="s">
        <v>2113</v>
      </c>
      <c r="EL464" s="19" t="s">
        <v>2117</v>
      </c>
      <c r="EM464" s="19" t="s">
        <v>10019</v>
      </c>
      <c r="EN464" s="19" t="s">
        <v>1373</v>
      </c>
      <c r="EO464" s="19" t="s">
        <v>2196</v>
      </c>
      <c r="EP464" s="19" t="s">
        <v>2310</v>
      </c>
      <c r="EQ464" s="19" t="s">
        <v>2204</v>
      </c>
      <c r="ER464" s="19"/>
      <c r="ES464" s="19" t="s">
        <v>1373</v>
      </c>
      <c r="ET464" s="19" t="s">
        <v>1373</v>
      </c>
      <c r="EU464" s="19" t="s">
        <v>10017</v>
      </c>
      <c r="EV464" s="19">
        <v>10756.0</v>
      </c>
      <c r="EW464" s="19" t="s">
        <v>16</v>
      </c>
      <c r="EX464" s="19">
        <v>5.0</v>
      </c>
      <c r="EY464" s="25" t="s">
        <v>1372</v>
      </c>
      <c r="EZ464" s="19" t="s">
        <v>2154</v>
      </c>
      <c r="FA464" s="5" t="s">
        <v>10028</v>
      </c>
      <c r="FB464" s="26" t="s">
        <v>2156</v>
      </c>
      <c r="FC464" s="26"/>
    </row>
    <row r="465">
      <c r="A465" s="19" t="s">
        <v>2156</v>
      </c>
      <c r="B465" s="19"/>
      <c r="C465" s="19" t="s">
        <v>2113</v>
      </c>
      <c r="D465" s="19" t="s">
        <v>10029</v>
      </c>
      <c r="E465" s="19" t="s">
        <v>10030</v>
      </c>
      <c r="F465" s="19" t="s">
        <v>10031</v>
      </c>
      <c r="G465" s="19" t="s">
        <v>10032</v>
      </c>
      <c r="H465" s="19" t="s">
        <v>1374</v>
      </c>
      <c r="I465" s="19" t="s">
        <v>1376</v>
      </c>
      <c r="J465" s="19" t="s">
        <v>10033</v>
      </c>
      <c r="K465" s="19" t="s">
        <v>10034</v>
      </c>
      <c r="L465" s="20">
        <v>45443.0</v>
      </c>
      <c r="M465" s="20">
        <v>45446.0</v>
      </c>
      <c r="N465" s="20">
        <v>45446.0</v>
      </c>
      <c r="O465" s="19" t="s">
        <v>1375</v>
      </c>
      <c r="P465" s="19">
        <v>0.0</v>
      </c>
      <c r="Q465" s="19">
        <v>18.0</v>
      </c>
      <c r="R465" s="19">
        <v>6635.0</v>
      </c>
      <c r="S465" s="20" t="s">
        <v>10035</v>
      </c>
      <c r="T465" s="20">
        <v>45461.0</v>
      </c>
      <c r="U465" s="19" t="s">
        <v>10031</v>
      </c>
      <c r="V465" s="19"/>
      <c r="W465" s="19"/>
      <c r="X465" s="21">
        <v>0.0</v>
      </c>
      <c r="Y465" s="21">
        <v>10.0</v>
      </c>
      <c r="Z465" s="21">
        <v>2.0</v>
      </c>
      <c r="AA465" s="21">
        <v>0.0</v>
      </c>
      <c r="AB465" s="5">
        <v>12.0</v>
      </c>
      <c r="AC465" s="19">
        <v>4.0</v>
      </c>
      <c r="AD465" s="19">
        <v>3.0</v>
      </c>
      <c r="AE465" s="19">
        <v>5.0</v>
      </c>
      <c r="AF465" s="19">
        <v>4.0</v>
      </c>
      <c r="AG465" s="19">
        <v>4.0</v>
      </c>
      <c r="AH465" s="19">
        <v>5.0</v>
      </c>
      <c r="AI465" s="22">
        <v>12.46875</v>
      </c>
      <c r="AJ465" s="19">
        <v>15.0</v>
      </c>
      <c r="AK465" s="19">
        <v>13.0</v>
      </c>
      <c r="AL465" s="19">
        <v>12.0</v>
      </c>
      <c r="AM465" s="19">
        <v>40.0</v>
      </c>
      <c r="AN465" s="19">
        <v>52.5</v>
      </c>
      <c r="AO465" s="19">
        <v>64.5</v>
      </c>
      <c r="AP465" s="19">
        <v>907.0</v>
      </c>
      <c r="AQ465" s="23">
        <v>457.0</v>
      </c>
      <c r="AR465" s="23">
        <v>51.0</v>
      </c>
      <c r="AS465" s="22"/>
      <c r="AT465" s="19" t="s">
        <v>2163</v>
      </c>
      <c r="AU465" s="19" t="s">
        <v>10036</v>
      </c>
      <c r="AV465" s="19" t="s">
        <v>10037</v>
      </c>
      <c r="AW465" s="19" t="s">
        <v>3269</v>
      </c>
      <c r="AX465" s="20">
        <v>38826.0</v>
      </c>
      <c r="AY465" s="19" t="s">
        <v>9214</v>
      </c>
      <c r="AZ465" s="19" t="s">
        <v>2122</v>
      </c>
      <c r="BA465" s="19" t="s">
        <v>10038</v>
      </c>
      <c r="BB465" s="19" t="s">
        <v>10039</v>
      </c>
      <c r="BC465" s="19" t="s">
        <v>10040</v>
      </c>
      <c r="BD465" s="19" t="s">
        <v>10041</v>
      </c>
      <c r="BE465" s="19"/>
      <c r="BF465" s="19"/>
      <c r="BG465" s="19" t="s">
        <v>2127</v>
      </c>
      <c r="BH465" s="19" t="s">
        <v>2128</v>
      </c>
      <c r="BI465" s="19"/>
      <c r="BJ465" s="19" t="s">
        <v>2128</v>
      </c>
      <c r="BK465" s="19" t="s">
        <v>17</v>
      </c>
      <c r="BL465" s="19"/>
      <c r="BM465" s="19" t="s">
        <v>5563</v>
      </c>
      <c r="BN465" s="19" t="s">
        <v>2172</v>
      </c>
      <c r="BO465" s="19" t="s">
        <v>3199</v>
      </c>
      <c r="BP465" s="19" t="s">
        <v>10042</v>
      </c>
      <c r="BQ465" s="19" t="s">
        <v>2133</v>
      </c>
      <c r="BR465" s="19" t="s">
        <v>2133</v>
      </c>
      <c r="BS465" s="19" t="s">
        <v>2134</v>
      </c>
      <c r="BT465" s="19" t="s">
        <v>15</v>
      </c>
      <c r="BU465" s="19"/>
      <c r="BV465" s="19"/>
      <c r="BW465" s="19" t="s">
        <v>2113</v>
      </c>
      <c r="BX465" s="19"/>
      <c r="BY465" s="19"/>
      <c r="BZ465" s="19"/>
      <c r="CA465" s="19"/>
      <c r="CB465" s="19"/>
      <c r="CC465" s="19"/>
      <c r="CD465" s="19" t="s">
        <v>2137</v>
      </c>
      <c r="CE465" s="19" t="s">
        <v>16</v>
      </c>
      <c r="CF465" s="19"/>
      <c r="CG465" s="19"/>
      <c r="CH465" s="19" t="s">
        <v>16</v>
      </c>
      <c r="CI465" s="21">
        <v>0.0</v>
      </c>
      <c r="CJ465" s="19" t="s">
        <v>17</v>
      </c>
      <c r="CK465" s="19"/>
      <c r="CL465" s="19"/>
      <c r="CM465" s="19" t="s">
        <v>2138</v>
      </c>
      <c r="CN465" s="19" t="s">
        <v>5128</v>
      </c>
      <c r="CO465" s="19"/>
      <c r="CP465" s="19" t="s">
        <v>2134</v>
      </c>
      <c r="CQ465" s="19"/>
      <c r="CR465" s="19"/>
      <c r="CS465" s="19"/>
      <c r="CT465" s="19" t="s">
        <v>2113</v>
      </c>
      <c r="CU465" s="19" t="s">
        <v>2113</v>
      </c>
      <c r="CV465" s="19" t="s">
        <v>2141</v>
      </c>
      <c r="CW465" s="19" t="s">
        <v>2113</v>
      </c>
      <c r="CX465" s="19" t="s">
        <v>2113</v>
      </c>
      <c r="CY465" s="19" t="s">
        <v>2113</v>
      </c>
      <c r="CZ465" s="19" t="s">
        <v>2113</v>
      </c>
      <c r="DA465" s="19" t="s">
        <v>16</v>
      </c>
      <c r="DB465" s="19" t="s">
        <v>17</v>
      </c>
      <c r="DC465" s="19" t="s">
        <v>5129</v>
      </c>
      <c r="DD465" s="19" t="s">
        <v>2113</v>
      </c>
      <c r="DE465" s="19" t="s">
        <v>2113</v>
      </c>
      <c r="DF465" s="19" t="s">
        <v>2826</v>
      </c>
      <c r="DG465" s="19" t="s">
        <v>4120</v>
      </c>
      <c r="DH465" s="19" t="s">
        <v>2580</v>
      </c>
      <c r="DI465" s="24">
        <v>45517.0</v>
      </c>
      <c r="DJ465" s="19" t="s">
        <v>2133</v>
      </c>
      <c r="DK465" s="19" t="s">
        <v>2145</v>
      </c>
      <c r="DL465" s="19" t="s">
        <v>2146</v>
      </c>
      <c r="DM465" s="19" t="s">
        <v>3021</v>
      </c>
      <c r="DN465" s="19">
        <v>1.0</v>
      </c>
      <c r="DO465" s="19">
        <v>1.0</v>
      </c>
      <c r="DP465" s="19" t="s">
        <v>10043</v>
      </c>
      <c r="DQ465" s="19" t="s">
        <v>10044</v>
      </c>
      <c r="DR465" s="19" t="s">
        <v>10045</v>
      </c>
      <c r="DS465" s="19" t="s">
        <v>2365</v>
      </c>
      <c r="DT465" s="19" t="s">
        <v>2366</v>
      </c>
      <c r="DU465" s="19"/>
      <c r="DV465" s="19"/>
      <c r="DW465" s="19" t="s">
        <v>2153</v>
      </c>
      <c r="DX465" s="19">
        <v>7.0</v>
      </c>
      <c r="DY465" s="19">
        <v>10.0</v>
      </c>
      <c r="DZ465" s="19">
        <v>0.0</v>
      </c>
      <c r="EA465" s="19">
        <v>10.0</v>
      </c>
      <c r="EB465" s="19">
        <v>0.0</v>
      </c>
      <c r="EC465" s="19">
        <v>0.0</v>
      </c>
      <c r="ED465" s="19" t="s">
        <v>2133</v>
      </c>
      <c r="EE465" s="24">
        <v>45517.0</v>
      </c>
      <c r="EF465" s="19" t="s">
        <v>2133</v>
      </c>
      <c r="EG465" s="19" t="s">
        <v>2145</v>
      </c>
      <c r="EH465" s="19" t="s">
        <v>2146</v>
      </c>
      <c r="EI465" s="22">
        <v>12.46875</v>
      </c>
      <c r="EJ465" s="19">
        <v>40.0</v>
      </c>
      <c r="EK465" s="19" t="s">
        <v>2113</v>
      </c>
      <c r="EL465" s="19" t="s">
        <v>2163</v>
      </c>
      <c r="EM465" s="19" t="s">
        <v>10036</v>
      </c>
      <c r="EN465" s="19" t="s">
        <v>1376</v>
      </c>
      <c r="EO465" s="19" t="s">
        <v>9214</v>
      </c>
      <c r="EP465" s="19" t="s">
        <v>2122</v>
      </c>
      <c r="EQ465" s="19" t="s">
        <v>5128</v>
      </c>
      <c r="ER465" s="19"/>
      <c r="ES465" s="19" t="s">
        <v>1376</v>
      </c>
      <c r="ET465" s="19" t="s">
        <v>1376</v>
      </c>
      <c r="EU465" s="19" t="s">
        <v>10034</v>
      </c>
      <c r="EV465" s="19">
        <v>6635.0</v>
      </c>
      <c r="EW465" s="19" t="s">
        <v>16</v>
      </c>
      <c r="EX465" s="19">
        <v>2.0</v>
      </c>
      <c r="EY465" s="25" t="s">
        <v>1375</v>
      </c>
      <c r="EZ465" s="19" t="s">
        <v>2154</v>
      </c>
      <c r="FA465" s="5" t="s">
        <v>10046</v>
      </c>
      <c r="FB465" s="26" t="s">
        <v>2156</v>
      </c>
      <c r="FC465" s="26"/>
    </row>
    <row r="466">
      <c r="A466" s="19" t="s">
        <v>2156</v>
      </c>
      <c r="B466" s="19"/>
      <c r="C466" s="19" t="s">
        <v>2113</v>
      </c>
      <c r="D466" s="19" t="s">
        <v>10047</v>
      </c>
      <c r="E466" s="19" t="s">
        <v>10048</v>
      </c>
      <c r="F466" s="19" t="s">
        <v>10049</v>
      </c>
      <c r="G466" s="19" t="s">
        <v>10050</v>
      </c>
      <c r="H466" s="19" t="s">
        <v>1377</v>
      </c>
      <c r="I466" s="19" t="s">
        <v>1379</v>
      </c>
      <c r="J466" s="19" t="s">
        <v>10051</v>
      </c>
      <c r="K466" s="19" t="s">
        <v>10052</v>
      </c>
      <c r="L466" s="20">
        <v>45394.0</v>
      </c>
      <c r="M466" s="20">
        <v>45404.0</v>
      </c>
      <c r="N466" s="20">
        <v>45404.0</v>
      </c>
      <c r="O466" s="19" t="s">
        <v>1378</v>
      </c>
      <c r="P466" s="19">
        <v>0.0</v>
      </c>
      <c r="Q466" s="19">
        <v>25.0</v>
      </c>
      <c r="R466" s="19">
        <v>9220.0</v>
      </c>
      <c r="S466" s="20" t="s">
        <v>10053</v>
      </c>
      <c r="T466" s="20">
        <v>45461.0</v>
      </c>
      <c r="U466" s="19" t="s">
        <v>10049</v>
      </c>
      <c r="V466" s="19"/>
      <c r="W466" s="19"/>
      <c r="X466" s="21">
        <v>0.0</v>
      </c>
      <c r="Y466" s="21">
        <v>10.0</v>
      </c>
      <c r="Z466" s="21">
        <v>5.0</v>
      </c>
      <c r="AA466" s="21">
        <v>0.0</v>
      </c>
      <c r="AB466" s="5">
        <v>15.0</v>
      </c>
      <c r="AC466" s="19">
        <v>2.5</v>
      </c>
      <c r="AD466" s="19">
        <v>3.0</v>
      </c>
      <c r="AE466" s="19">
        <v>3.0</v>
      </c>
      <c r="AF466" s="19">
        <v>2.5</v>
      </c>
      <c r="AG466" s="19">
        <v>3.0</v>
      </c>
      <c r="AH466" s="19">
        <v>2.5</v>
      </c>
      <c r="AI466" s="22">
        <v>8.390625</v>
      </c>
      <c r="AJ466" s="19">
        <v>13.0</v>
      </c>
      <c r="AK466" s="19">
        <v>14.0</v>
      </c>
      <c r="AL466" s="19">
        <v>14.0</v>
      </c>
      <c r="AM466" s="19">
        <v>41.0</v>
      </c>
      <c r="AN466" s="19">
        <v>49.4</v>
      </c>
      <c r="AO466" s="19">
        <v>64.4</v>
      </c>
      <c r="AP466" s="19">
        <v>425.0</v>
      </c>
      <c r="AQ466" s="23">
        <v>458.0</v>
      </c>
      <c r="AR466" s="23">
        <v>41.0</v>
      </c>
      <c r="AS466" s="22"/>
      <c r="AT466" s="19" t="s">
        <v>2117</v>
      </c>
      <c r="AU466" s="19" t="s">
        <v>10054</v>
      </c>
      <c r="AV466" s="19" t="s">
        <v>10055</v>
      </c>
      <c r="AW466" s="19" t="s">
        <v>2166</v>
      </c>
      <c r="AX466" s="20">
        <v>36241.0</v>
      </c>
      <c r="AY466" s="19" t="s">
        <v>2487</v>
      </c>
      <c r="AZ466" s="19" t="s">
        <v>2122</v>
      </c>
      <c r="BA466" s="19" t="s">
        <v>10056</v>
      </c>
      <c r="BB466" s="19" t="s">
        <v>10057</v>
      </c>
      <c r="BC466" s="19" t="s">
        <v>10058</v>
      </c>
      <c r="BD466" s="19" t="s">
        <v>10059</v>
      </c>
      <c r="BE466" s="19" t="s">
        <v>10051</v>
      </c>
      <c r="BF466" s="19" t="s">
        <v>10060</v>
      </c>
      <c r="BG466" s="19" t="s">
        <v>2127</v>
      </c>
      <c r="BH466" s="19" t="s">
        <v>2128</v>
      </c>
      <c r="BI466" s="19"/>
      <c r="BJ466" s="19"/>
      <c r="BK466" s="19" t="s">
        <v>16</v>
      </c>
      <c r="BL466" s="19" t="s">
        <v>2113</v>
      </c>
      <c r="BM466" s="19" t="s">
        <v>5563</v>
      </c>
      <c r="BN466" s="19" t="s">
        <v>3121</v>
      </c>
      <c r="BO466" s="19" t="s">
        <v>2132</v>
      </c>
      <c r="BP466" s="19"/>
      <c r="BQ466" s="19" t="s">
        <v>2325</v>
      </c>
      <c r="BR466" s="19" t="s">
        <v>2325</v>
      </c>
      <c r="BS466" s="19" t="s">
        <v>2134</v>
      </c>
      <c r="BT466" s="19" t="s">
        <v>59</v>
      </c>
      <c r="BU466" s="19" t="s">
        <v>10061</v>
      </c>
      <c r="BV466" s="19"/>
      <c r="BW466" s="19"/>
      <c r="BX466" s="19"/>
      <c r="BY466" s="19"/>
      <c r="BZ466" s="19"/>
      <c r="CA466" s="19"/>
      <c r="CB466" s="19"/>
      <c r="CC466" s="19"/>
      <c r="CD466" s="19" t="s">
        <v>2137</v>
      </c>
      <c r="CE466" s="19" t="s">
        <v>16</v>
      </c>
      <c r="CF466" s="19"/>
      <c r="CG466" s="19"/>
      <c r="CH466" s="19" t="s">
        <v>16</v>
      </c>
      <c r="CI466" s="21">
        <v>0.0</v>
      </c>
      <c r="CJ466" s="19" t="s">
        <v>17</v>
      </c>
      <c r="CK466" s="19"/>
      <c r="CL466" s="19"/>
      <c r="CM466" s="19" t="s">
        <v>2138</v>
      </c>
      <c r="CN466" s="19" t="s">
        <v>2431</v>
      </c>
      <c r="CO466" s="19"/>
      <c r="CP466" s="19" t="s">
        <v>2134</v>
      </c>
      <c r="CQ466" s="19"/>
      <c r="CR466" s="19" t="s">
        <v>2113</v>
      </c>
      <c r="CS466" s="19" t="s">
        <v>2113</v>
      </c>
      <c r="CT466" s="19" t="s">
        <v>2113</v>
      </c>
      <c r="CU466" s="19" t="s">
        <v>2113</v>
      </c>
      <c r="CV466" s="19" t="s">
        <v>2141</v>
      </c>
      <c r="CW466" s="19"/>
      <c r="CX466" s="19"/>
      <c r="CY466" s="19"/>
      <c r="CZ466" s="19"/>
      <c r="DA466" s="19" t="s">
        <v>16</v>
      </c>
      <c r="DB466" s="19" t="s">
        <v>17</v>
      </c>
      <c r="DC466" s="19" t="s">
        <v>2562</v>
      </c>
      <c r="DD466" s="19" t="s">
        <v>2113</v>
      </c>
      <c r="DE466" s="19" t="s">
        <v>2113</v>
      </c>
      <c r="DF466" s="19" t="s">
        <v>4903</v>
      </c>
      <c r="DG466" s="19" t="s">
        <v>2870</v>
      </c>
      <c r="DH466" s="19" t="s">
        <v>2144</v>
      </c>
      <c r="DI466" s="24">
        <v>45518.0</v>
      </c>
      <c r="DJ466" s="19" t="s">
        <v>2325</v>
      </c>
      <c r="DK466" s="19" t="s">
        <v>2145</v>
      </c>
      <c r="DL466" s="19" t="s">
        <v>2326</v>
      </c>
      <c r="DM466" s="19"/>
      <c r="DN466" s="19">
        <v>3.0</v>
      </c>
      <c r="DO466" s="19">
        <v>3.0</v>
      </c>
      <c r="DP466" s="19" t="s">
        <v>10062</v>
      </c>
      <c r="DQ466" s="19" t="s">
        <v>10063</v>
      </c>
      <c r="DR466" s="19" t="s">
        <v>10064</v>
      </c>
      <c r="DS466" s="19" t="s">
        <v>2185</v>
      </c>
      <c r="DT466" s="19" t="s">
        <v>2350</v>
      </c>
      <c r="DU466" s="19"/>
      <c r="DV466" s="19"/>
      <c r="DW466" s="19" t="s">
        <v>2153</v>
      </c>
      <c r="DX466" s="19">
        <v>3.0</v>
      </c>
      <c r="DY466" s="19">
        <v>10.0</v>
      </c>
      <c r="DZ466" s="19">
        <v>0.0</v>
      </c>
      <c r="EA466" s="19">
        <v>10.0</v>
      </c>
      <c r="EB466" s="19">
        <v>0.0</v>
      </c>
      <c r="EC466" s="19">
        <v>0.0</v>
      </c>
      <c r="ED466" s="19" t="s">
        <v>2325</v>
      </c>
      <c r="EE466" s="24">
        <v>45518.0</v>
      </c>
      <c r="EF466" s="19" t="s">
        <v>2325</v>
      </c>
      <c r="EG466" s="19" t="s">
        <v>2145</v>
      </c>
      <c r="EH466" s="19" t="s">
        <v>2326</v>
      </c>
      <c r="EI466" s="22">
        <v>8.390625</v>
      </c>
      <c r="EJ466" s="19">
        <v>41.0</v>
      </c>
      <c r="EK466" s="19" t="s">
        <v>2113</v>
      </c>
      <c r="EL466" s="19" t="s">
        <v>2117</v>
      </c>
      <c r="EM466" s="19" t="s">
        <v>10054</v>
      </c>
      <c r="EN466" s="19" t="s">
        <v>1379</v>
      </c>
      <c r="EO466" s="19" t="s">
        <v>2487</v>
      </c>
      <c r="EP466" s="19" t="s">
        <v>2122</v>
      </c>
      <c r="EQ466" s="19" t="s">
        <v>2431</v>
      </c>
      <c r="ER466" s="19"/>
      <c r="ES466" s="19" t="s">
        <v>1379</v>
      </c>
      <c r="ET466" s="19" t="s">
        <v>1379</v>
      </c>
      <c r="EU466" s="19" t="s">
        <v>10052</v>
      </c>
      <c r="EV466" s="19">
        <v>9220.0</v>
      </c>
      <c r="EW466" s="19" t="s">
        <v>16</v>
      </c>
      <c r="EX466" s="19">
        <v>5.0</v>
      </c>
      <c r="EY466" s="25" t="s">
        <v>1378</v>
      </c>
      <c r="EZ466" s="19" t="s">
        <v>2154</v>
      </c>
      <c r="FA466" s="5" t="s">
        <v>10065</v>
      </c>
      <c r="FB466" s="26" t="s">
        <v>2156</v>
      </c>
      <c r="FC466" s="26"/>
    </row>
    <row r="467">
      <c r="A467" s="19" t="s">
        <v>2112</v>
      </c>
      <c r="B467" s="19"/>
      <c r="C467" s="19" t="s">
        <v>2113</v>
      </c>
      <c r="D467" s="19" t="s">
        <v>10066</v>
      </c>
      <c r="E467" s="19" t="s">
        <v>10066</v>
      </c>
      <c r="F467" s="19" t="s">
        <v>10066</v>
      </c>
      <c r="G467" s="19"/>
      <c r="H467" s="19" t="s">
        <v>1380</v>
      </c>
      <c r="I467" s="19" t="s">
        <v>1382</v>
      </c>
      <c r="J467" s="19" t="s">
        <v>10067</v>
      </c>
      <c r="K467" s="19" t="s">
        <v>10068</v>
      </c>
      <c r="L467" s="20">
        <v>45445.0</v>
      </c>
      <c r="M467" s="20">
        <v>45446.0</v>
      </c>
      <c r="N467" s="20">
        <v>45446.0</v>
      </c>
      <c r="O467" s="19" t="s">
        <v>1381</v>
      </c>
      <c r="P467" s="19">
        <v>0.0</v>
      </c>
      <c r="Q467" s="19">
        <v>19.0</v>
      </c>
      <c r="R467" s="19">
        <v>7249.0</v>
      </c>
      <c r="S467" s="20" t="s">
        <v>10069</v>
      </c>
      <c r="T467" s="20">
        <v>45461.0</v>
      </c>
      <c r="U467" s="19" t="s">
        <v>10066</v>
      </c>
      <c r="V467" s="19"/>
      <c r="W467" s="19"/>
      <c r="X467" s="21">
        <v>0.0</v>
      </c>
      <c r="Y467" s="21">
        <v>10.0</v>
      </c>
      <c r="Z467" s="21">
        <v>3.0</v>
      </c>
      <c r="AA467" s="21">
        <v>0.0</v>
      </c>
      <c r="AB467" s="5">
        <v>13.0</v>
      </c>
      <c r="AC467" s="19">
        <v>4.0</v>
      </c>
      <c r="AD467" s="19">
        <v>4.0</v>
      </c>
      <c r="AE467" s="19">
        <v>4.0</v>
      </c>
      <c r="AF467" s="19">
        <v>4.0</v>
      </c>
      <c r="AG467" s="19">
        <v>4.0</v>
      </c>
      <c r="AH467" s="19">
        <v>5.0</v>
      </c>
      <c r="AI467" s="22">
        <v>12.375</v>
      </c>
      <c r="AJ467" s="19">
        <v>15.0</v>
      </c>
      <c r="AK467" s="19">
        <v>13.0</v>
      </c>
      <c r="AL467" s="19">
        <v>11.0</v>
      </c>
      <c r="AM467" s="19">
        <v>39.0</v>
      </c>
      <c r="AN467" s="19">
        <v>51.4</v>
      </c>
      <c r="AO467" s="19">
        <v>64.4</v>
      </c>
      <c r="AP467" s="19">
        <v>778.0</v>
      </c>
      <c r="AQ467" s="23">
        <v>459.0</v>
      </c>
      <c r="AR467" s="23">
        <v>62.0</v>
      </c>
      <c r="AS467" s="22"/>
      <c r="AT467" s="19" t="s">
        <v>2282</v>
      </c>
      <c r="AU467" s="19" t="s">
        <v>10070</v>
      </c>
      <c r="AV467" s="19" t="s">
        <v>10071</v>
      </c>
      <c r="AW467" s="19"/>
      <c r="AX467" s="20">
        <v>38212.0</v>
      </c>
      <c r="AY467" s="19" t="s">
        <v>5729</v>
      </c>
      <c r="AZ467" s="19" t="s">
        <v>2310</v>
      </c>
      <c r="BA467" s="19" t="s">
        <v>10072</v>
      </c>
      <c r="BB467" s="19" t="s">
        <v>3907</v>
      </c>
      <c r="BC467" s="19" t="s">
        <v>10073</v>
      </c>
      <c r="BD467" s="19" t="s">
        <v>10074</v>
      </c>
      <c r="BE467" s="19" t="s">
        <v>10075</v>
      </c>
      <c r="BF467" s="19">
        <v>1.1971434488E10</v>
      </c>
      <c r="BG467" s="19" t="s">
        <v>2127</v>
      </c>
      <c r="BH467" s="19" t="s">
        <v>2649</v>
      </c>
      <c r="BI467" s="19"/>
      <c r="BJ467" s="19"/>
      <c r="BK467" s="19" t="s">
        <v>16</v>
      </c>
      <c r="BL467" s="19"/>
      <c r="BM467" s="19" t="s">
        <v>5796</v>
      </c>
      <c r="BN467" s="19" t="s">
        <v>4099</v>
      </c>
      <c r="BO467" s="19" t="s">
        <v>2473</v>
      </c>
      <c r="BP467" s="19" t="s">
        <v>10076</v>
      </c>
      <c r="BQ467" s="19" t="s">
        <v>2133</v>
      </c>
      <c r="BR467" s="19" t="s">
        <v>2133</v>
      </c>
      <c r="BS467" s="19" t="s">
        <v>2134</v>
      </c>
      <c r="BT467" s="19" t="s">
        <v>38</v>
      </c>
      <c r="BU467" s="19"/>
      <c r="BV467" s="19"/>
      <c r="BW467" s="19" t="s">
        <v>2113</v>
      </c>
      <c r="BX467" s="19"/>
      <c r="BY467" s="19"/>
      <c r="BZ467" s="19"/>
      <c r="CA467" s="19"/>
      <c r="CB467" s="19"/>
      <c r="CC467" s="19"/>
      <c r="CD467" s="19" t="s">
        <v>2137</v>
      </c>
      <c r="CE467" s="19" t="s">
        <v>16</v>
      </c>
      <c r="CF467" s="19"/>
      <c r="CG467" s="19"/>
      <c r="CH467" s="19" t="s">
        <v>16</v>
      </c>
      <c r="CI467" s="21">
        <v>0.0</v>
      </c>
      <c r="CJ467" s="19" t="s">
        <v>16</v>
      </c>
      <c r="CK467" s="19"/>
      <c r="CL467" s="19"/>
      <c r="CM467" s="19" t="s">
        <v>2926</v>
      </c>
      <c r="CN467" s="19" t="s">
        <v>3020</v>
      </c>
      <c r="CO467" s="19"/>
      <c r="CP467" s="19"/>
      <c r="CQ467" s="19"/>
      <c r="CR467" s="19"/>
      <c r="CS467" s="19"/>
      <c r="CT467" s="19" t="s">
        <v>2113</v>
      </c>
      <c r="CU467" s="19" t="s">
        <v>2113</v>
      </c>
      <c r="CV467" s="19" t="s">
        <v>2141</v>
      </c>
      <c r="CW467" s="19"/>
      <c r="CX467" s="19"/>
      <c r="CY467" s="19"/>
      <c r="CZ467" s="19"/>
      <c r="DA467" s="19" t="s">
        <v>16</v>
      </c>
      <c r="DB467" s="19" t="s">
        <v>16</v>
      </c>
      <c r="DC467" s="19" t="s">
        <v>2143</v>
      </c>
      <c r="DD467" s="19" t="s">
        <v>2113</v>
      </c>
      <c r="DE467" s="19" t="s">
        <v>2113</v>
      </c>
      <c r="DF467" s="19" t="s">
        <v>2142</v>
      </c>
      <c r="DG467" s="19" t="s">
        <v>2477</v>
      </c>
      <c r="DH467" s="19" t="s">
        <v>2144</v>
      </c>
      <c r="DI467" s="24">
        <v>45532.0</v>
      </c>
      <c r="DJ467" s="19" t="s">
        <v>2133</v>
      </c>
      <c r="DK467" s="19" t="s">
        <v>2145</v>
      </c>
      <c r="DL467" s="19" t="s">
        <v>2146</v>
      </c>
      <c r="DM467" s="19" t="s">
        <v>4101</v>
      </c>
      <c r="DN467" s="19">
        <v>15.0</v>
      </c>
      <c r="DO467" s="19">
        <v>15.0</v>
      </c>
      <c r="DP467" s="19" t="s">
        <v>10077</v>
      </c>
      <c r="DQ467" s="19" t="s">
        <v>10078</v>
      </c>
      <c r="DR467" s="19" t="s">
        <v>10079</v>
      </c>
      <c r="DS467" s="19" t="s">
        <v>2365</v>
      </c>
      <c r="DT467" s="19" t="s">
        <v>2152</v>
      </c>
      <c r="DU467" s="19"/>
      <c r="DV467" s="19"/>
      <c r="DW467" s="19" t="s">
        <v>2153</v>
      </c>
      <c r="DX467" s="19">
        <v>9.0</v>
      </c>
      <c r="DY467" s="19">
        <v>10.0</v>
      </c>
      <c r="DZ467" s="19">
        <v>0.0</v>
      </c>
      <c r="EA467" s="19">
        <v>10.0</v>
      </c>
      <c r="EB467" s="19">
        <v>0.0</v>
      </c>
      <c r="EC467" s="19">
        <v>0.0</v>
      </c>
      <c r="ED467" s="19" t="s">
        <v>2133</v>
      </c>
      <c r="EE467" s="24">
        <v>45532.0</v>
      </c>
      <c r="EF467" s="19" t="s">
        <v>2133</v>
      </c>
      <c r="EG467" s="19" t="s">
        <v>2145</v>
      </c>
      <c r="EH467" s="19" t="s">
        <v>2146</v>
      </c>
      <c r="EI467" s="22">
        <v>12.375</v>
      </c>
      <c r="EJ467" s="19">
        <v>39.0</v>
      </c>
      <c r="EK467" s="19"/>
      <c r="EL467" s="19" t="s">
        <v>2282</v>
      </c>
      <c r="EM467" s="19" t="s">
        <v>10070</v>
      </c>
      <c r="EN467" s="19" t="s">
        <v>1382</v>
      </c>
      <c r="EO467" s="19" t="s">
        <v>5729</v>
      </c>
      <c r="EP467" s="19" t="s">
        <v>2310</v>
      </c>
      <c r="EQ467" s="19" t="s">
        <v>3020</v>
      </c>
      <c r="ER467" s="19"/>
      <c r="ES467" s="19" t="s">
        <v>1382</v>
      </c>
      <c r="ET467" s="19" t="s">
        <v>1382</v>
      </c>
      <c r="EU467" s="19" t="s">
        <v>10068</v>
      </c>
      <c r="EV467" s="19">
        <v>7249.0</v>
      </c>
      <c r="EW467" s="19" t="s">
        <v>16</v>
      </c>
      <c r="EX467" s="19">
        <v>3.0</v>
      </c>
      <c r="EY467" s="25" t="s">
        <v>1381</v>
      </c>
      <c r="EZ467" s="19" t="s">
        <v>2154</v>
      </c>
      <c r="FA467" s="5" t="s">
        <v>10080</v>
      </c>
      <c r="FB467" s="26" t="s">
        <v>2156</v>
      </c>
      <c r="FC467" s="26"/>
    </row>
    <row r="468">
      <c r="A468" s="19" t="s">
        <v>2112</v>
      </c>
      <c r="B468" s="19"/>
      <c r="C468" s="19" t="s">
        <v>2113</v>
      </c>
      <c r="D468" s="19" t="s">
        <v>1383</v>
      </c>
      <c r="E468" s="19" t="s">
        <v>1383</v>
      </c>
      <c r="F468" s="19" t="s">
        <v>1383</v>
      </c>
      <c r="G468" s="19"/>
      <c r="H468" s="19" t="s">
        <v>1383</v>
      </c>
      <c r="I468" s="19" t="s">
        <v>1385</v>
      </c>
      <c r="J468" s="19" t="s">
        <v>10081</v>
      </c>
      <c r="K468" s="19" t="s">
        <v>10082</v>
      </c>
      <c r="L468" s="20">
        <v>45394.0</v>
      </c>
      <c r="M468" s="20">
        <v>45404.0</v>
      </c>
      <c r="N468" s="20">
        <v>45404.0</v>
      </c>
      <c r="O468" s="19" t="s">
        <v>1384</v>
      </c>
      <c r="P468" s="19">
        <v>0.0</v>
      </c>
      <c r="Q468" s="19">
        <v>27.0</v>
      </c>
      <c r="R468" s="19">
        <v>10117.0</v>
      </c>
      <c r="S468" s="20" t="s">
        <v>10083</v>
      </c>
      <c r="T468" s="20">
        <v>45461.0</v>
      </c>
      <c r="U468" s="19" t="s">
        <v>1383</v>
      </c>
      <c r="V468" s="19"/>
      <c r="W468" s="19" t="s">
        <v>4</v>
      </c>
      <c r="X468" s="21">
        <v>0.0</v>
      </c>
      <c r="Y468" s="21">
        <v>5.0</v>
      </c>
      <c r="Z468" s="21">
        <v>5.0</v>
      </c>
      <c r="AA468" s="21">
        <v>0.0</v>
      </c>
      <c r="AB468" s="5">
        <v>10.0</v>
      </c>
      <c r="AC468" s="19">
        <v>3.0</v>
      </c>
      <c r="AD468" s="19">
        <v>4.0</v>
      </c>
      <c r="AE468" s="19">
        <v>3.0</v>
      </c>
      <c r="AF468" s="19">
        <v>3.0</v>
      </c>
      <c r="AG468" s="19">
        <v>3.0</v>
      </c>
      <c r="AH468" s="19">
        <v>2.0</v>
      </c>
      <c r="AI468" s="22">
        <v>9.28125</v>
      </c>
      <c r="AJ468" s="19">
        <v>15.0</v>
      </c>
      <c r="AK468" s="19">
        <v>15.0</v>
      </c>
      <c r="AL468" s="19">
        <v>15.0</v>
      </c>
      <c r="AM468" s="19">
        <v>45.0</v>
      </c>
      <c r="AN468" s="19">
        <v>54.3</v>
      </c>
      <c r="AO468" s="19">
        <v>64.3</v>
      </c>
      <c r="AP468" s="19">
        <v>954.0</v>
      </c>
      <c r="AQ468" s="23">
        <v>460.0</v>
      </c>
      <c r="AR468" s="23">
        <v>63.0</v>
      </c>
      <c r="AS468" s="22"/>
      <c r="AT468" s="19" t="s">
        <v>2282</v>
      </c>
      <c r="AU468" s="19" t="s">
        <v>2592</v>
      </c>
      <c r="AV468" s="19" t="s">
        <v>10084</v>
      </c>
      <c r="AW468" s="19" t="s">
        <v>10085</v>
      </c>
      <c r="AX468" s="20">
        <v>35344.0</v>
      </c>
      <c r="AY468" s="19" t="s">
        <v>2286</v>
      </c>
      <c r="AZ468" s="19" t="s">
        <v>2310</v>
      </c>
      <c r="BA468" s="19" t="s">
        <v>10086</v>
      </c>
      <c r="BB468" s="19" t="s">
        <v>10087</v>
      </c>
      <c r="BC468" s="19" t="s">
        <v>10088</v>
      </c>
      <c r="BD468" s="19" t="s">
        <v>10089</v>
      </c>
      <c r="BE468" s="19" t="s">
        <v>10090</v>
      </c>
      <c r="BF468" s="19">
        <v>1.1915865212E10</v>
      </c>
      <c r="BG468" s="19" t="s">
        <v>3518</v>
      </c>
      <c r="BH468" s="19" t="s">
        <v>2128</v>
      </c>
      <c r="BI468" s="19"/>
      <c r="BJ468" s="19" t="s">
        <v>2427</v>
      </c>
      <c r="BK468" s="19" t="s">
        <v>17</v>
      </c>
      <c r="BL468" s="19"/>
      <c r="BM468" s="19" t="s">
        <v>5411</v>
      </c>
      <c r="BN468" s="19" t="s">
        <v>17</v>
      </c>
      <c r="BO468" s="19" t="s">
        <v>2132</v>
      </c>
      <c r="BP468" s="19" t="s">
        <v>10091</v>
      </c>
      <c r="BQ468" s="19" t="s">
        <v>2133</v>
      </c>
      <c r="BR468" s="19" t="s">
        <v>2133</v>
      </c>
      <c r="BS468" s="19" t="s">
        <v>2243</v>
      </c>
      <c r="BT468" s="19" t="s">
        <v>38</v>
      </c>
      <c r="BU468" s="19" t="s">
        <v>10092</v>
      </c>
      <c r="BV468" s="19"/>
      <c r="BW468" s="19"/>
      <c r="BX468" s="19"/>
      <c r="BY468" s="19"/>
      <c r="BZ468" s="19"/>
      <c r="CA468" s="19"/>
      <c r="CB468" s="19"/>
      <c r="CC468" s="19" t="s">
        <v>2113</v>
      </c>
      <c r="CD468" s="19" t="s">
        <v>2137</v>
      </c>
      <c r="CE468" s="19" t="s">
        <v>17</v>
      </c>
      <c r="CF468" s="19"/>
      <c r="CG468" s="19"/>
      <c r="CH468" s="19" t="s">
        <v>16</v>
      </c>
      <c r="CI468" s="21">
        <v>0.0</v>
      </c>
      <c r="CJ468" s="19" t="s">
        <v>16</v>
      </c>
      <c r="CK468" s="19"/>
      <c r="CL468" s="19"/>
      <c r="CM468" s="19" t="s">
        <v>2138</v>
      </c>
      <c r="CN468" s="19" t="s">
        <v>2294</v>
      </c>
      <c r="CO468" s="19" t="s">
        <v>3932</v>
      </c>
      <c r="CP468" s="19" t="s">
        <v>2246</v>
      </c>
      <c r="CQ468" s="19"/>
      <c r="CR468" s="19"/>
      <c r="CS468" s="19"/>
      <c r="CT468" s="19"/>
      <c r="CU468" s="19"/>
      <c r="CV468" s="19" t="s">
        <v>2141</v>
      </c>
      <c r="CW468" s="19" t="s">
        <v>2113</v>
      </c>
      <c r="CX468" s="19" t="s">
        <v>2113</v>
      </c>
      <c r="CY468" s="19"/>
      <c r="CZ468" s="19"/>
      <c r="DA468" s="19" t="s">
        <v>17</v>
      </c>
      <c r="DB468" s="19" t="s">
        <v>16</v>
      </c>
      <c r="DC468" s="19" t="s">
        <v>2578</v>
      </c>
      <c r="DD468" s="19"/>
      <c r="DE468" s="19"/>
      <c r="DF468" s="19" t="s">
        <v>3874</v>
      </c>
      <c r="DG468" s="19" t="s">
        <v>2296</v>
      </c>
      <c r="DH468" s="19" t="s">
        <v>2144</v>
      </c>
      <c r="DI468" s="24">
        <v>45531.0</v>
      </c>
      <c r="DJ468" s="19" t="s">
        <v>2133</v>
      </c>
      <c r="DK468" s="19" t="s">
        <v>2271</v>
      </c>
      <c r="DL468" s="19" t="s">
        <v>2146</v>
      </c>
      <c r="DM468" s="19" t="s">
        <v>2827</v>
      </c>
      <c r="DN468" s="19">
        <v>14.0</v>
      </c>
      <c r="DO468" s="19">
        <v>14.0</v>
      </c>
      <c r="DP468" s="19" t="s">
        <v>10093</v>
      </c>
      <c r="DQ468" s="19" t="s">
        <v>10094</v>
      </c>
      <c r="DR468" s="19" t="s">
        <v>10095</v>
      </c>
      <c r="DS468" s="19" t="s">
        <v>2365</v>
      </c>
      <c r="DT468" s="19" t="s">
        <v>2152</v>
      </c>
      <c r="DU468" s="19"/>
      <c r="DV468" s="19"/>
      <c r="DW468" s="19" t="s">
        <v>2153</v>
      </c>
      <c r="DX468" s="19">
        <v>9.0</v>
      </c>
      <c r="DY468" s="19">
        <v>5.0</v>
      </c>
      <c r="DZ468" s="19">
        <v>0.0</v>
      </c>
      <c r="EA468" s="19">
        <v>5.0</v>
      </c>
      <c r="EB468" s="19">
        <v>0.0</v>
      </c>
      <c r="EC468" s="19">
        <v>0.0</v>
      </c>
      <c r="ED468" s="19" t="s">
        <v>2133</v>
      </c>
      <c r="EE468" s="24">
        <v>45531.0</v>
      </c>
      <c r="EF468" s="19" t="s">
        <v>2133</v>
      </c>
      <c r="EG468" s="19" t="s">
        <v>2271</v>
      </c>
      <c r="EH468" s="19" t="s">
        <v>2146</v>
      </c>
      <c r="EI468" s="22">
        <v>9.28125</v>
      </c>
      <c r="EJ468" s="19">
        <v>45.0</v>
      </c>
      <c r="EK468" s="19"/>
      <c r="EL468" s="19" t="s">
        <v>2282</v>
      </c>
      <c r="EM468" s="19" t="s">
        <v>2592</v>
      </c>
      <c r="EN468" s="19" t="s">
        <v>1385</v>
      </c>
      <c r="EO468" s="19" t="s">
        <v>2286</v>
      </c>
      <c r="EP468" s="19" t="s">
        <v>2310</v>
      </c>
      <c r="EQ468" s="19" t="s">
        <v>2294</v>
      </c>
      <c r="ER468" s="19" t="s">
        <v>3932</v>
      </c>
      <c r="ES468" s="19" t="s">
        <v>1385</v>
      </c>
      <c r="ET468" s="19" t="s">
        <v>1385</v>
      </c>
      <c r="EU468" s="19" t="s">
        <v>10082</v>
      </c>
      <c r="EV468" s="19">
        <v>10117.0</v>
      </c>
      <c r="EW468" s="19" t="s">
        <v>17</v>
      </c>
      <c r="EX468" s="19">
        <v>5.0</v>
      </c>
      <c r="EY468" s="25" t="s">
        <v>1384</v>
      </c>
      <c r="EZ468" s="19" t="s">
        <v>9985</v>
      </c>
      <c r="FA468" s="5" t="s">
        <v>10096</v>
      </c>
      <c r="FB468" s="26" t="s">
        <v>2156</v>
      </c>
      <c r="FC468" s="26"/>
    </row>
    <row r="469">
      <c r="A469" s="19"/>
      <c r="B469" s="19"/>
      <c r="C469" s="19" t="s">
        <v>2113</v>
      </c>
      <c r="D469" s="19" t="s">
        <v>1386</v>
      </c>
      <c r="E469" s="19" t="s">
        <v>10097</v>
      </c>
      <c r="F469" s="19" t="s">
        <v>1386</v>
      </c>
      <c r="G469" s="19"/>
      <c r="H469" s="19" t="s">
        <v>1386</v>
      </c>
      <c r="I469" s="19" t="s">
        <v>1388</v>
      </c>
      <c r="J469" s="19" t="s">
        <v>10098</v>
      </c>
      <c r="K469" s="19" t="s">
        <v>10099</v>
      </c>
      <c r="L469" s="20">
        <v>45446.0</v>
      </c>
      <c r="M469" s="20">
        <v>45446.0</v>
      </c>
      <c r="N469" s="20">
        <v>45446.0</v>
      </c>
      <c r="O469" s="19" t="s">
        <v>1387</v>
      </c>
      <c r="P469" s="19">
        <v>1.0</v>
      </c>
      <c r="Q469" s="19">
        <v>20.0</v>
      </c>
      <c r="R469" s="19">
        <v>7519.0</v>
      </c>
      <c r="S469" s="20" t="s">
        <v>10100</v>
      </c>
      <c r="T469" s="20">
        <v>45461.0</v>
      </c>
      <c r="U469" s="19" t="s">
        <v>1386</v>
      </c>
      <c r="V469" s="19"/>
      <c r="W469" s="19"/>
      <c r="X469" s="21">
        <v>0.0</v>
      </c>
      <c r="Y469" s="21">
        <v>5.0</v>
      </c>
      <c r="Z469" s="21">
        <v>2.0</v>
      </c>
      <c r="AA469" s="21">
        <v>0.0</v>
      </c>
      <c r="AB469" s="5">
        <v>7.0</v>
      </c>
      <c r="AC469" s="19">
        <v>4.0</v>
      </c>
      <c r="AD469" s="19">
        <v>4.0</v>
      </c>
      <c r="AE469" s="19">
        <v>5.0</v>
      </c>
      <c r="AF469" s="19">
        <v>4.5</v>
      </c>
      <c r="AG469" s="19">
        <v>4.0</v>
      </c>
      <c r="AH469" s="19">
        <v>5.0</v>
      </c>
      <c r="AI469" s="22">
        <v>13.3125</v>
      </c>
      <c r="AJ469" s="19">
        <v>15.0</v>
      </c>
      <c r="AK469" s="19">
        <v>14.3</v>
      </c>
      <c r="AL469" s="19">
        <v>14.7</v>
      </c>
      <c r="AM469" s="19">
        <v>44.0</v>
      </c>
      <c r="AN469" s="19">
        <v>57.3</v>
      </c>
      <c r="AO469" s="19">
        <v>64.3</v>
      </c>
      <c r="AP469" s="19">
        <v>1005.0</v>
      </c>
      <c r="AQ469" s="23">
        <v>461.0</v>
      </c>
      <c r="AR469" s="23">
        <v>38.0</v>
      </c>
      <c r="AS469" s="22"/>
      <c r="AT469" s="19" t="s">
        <v>2163</v>
      </c>
      <c r="AU469" s="19" t="s">
        <v>10101</v>
      </c>
      <c r="AV469" s="19" t="s">
        <v>10102</v>
      </c>
      <c r="AW469" s="19" t="s">
        <v>2466</v>
      </c>
      <c r="AX469" s="20">
        <v>37942.0</v>
      </c>
      <c r="AY469" s="19" t="s">
        <v>9945</v>
      </c>
      <c r="AZ469" s="19" t="s">
        <v>2310</v>
      </c>
      <c r="BA469" s="19" t="s">
        <v>10103</v>
      </c>
      <c r="BB469" s="19" t="s">
        <v>10104</v>
      </c>
      <c r="BC469" s="19" t="s">
        <v>10105</v>
      </c>
      <c r="BD469" s="19" t="s">
        <v>10106</v>
      </c>
      <c r="BE469" s="19" t="s">
        <v>10107</v>
      </c>
      <c r="BF469" s="19">
        <v>1.1967257406E10</v>
      </c>
      <c r="BG469" s="19" t="s">
        <v>3518</v>
      </c>
      <c r="BH469" s="19" t="s">
        <v>2128</v>
      </c>
      <c r="BI469" s="19"/>
      <c r="BJ469" s="19" t="s">
        <v>2427</v>
      </c>
      <c r="BK469" s="19" t="s">
        <v>17</v>
      </c>
      <c r="BL469" s="19"/>
      <c r="BM469" s="19" t="s">
        <v>5411</v>
      </c>
      <c r="BN469" s="19" t="s">
        <v>3888</v>
      </c>
      <c r="BO469" s="19" t="s">
        <v>3199</v>
      </c>
      <c r="BP469" s="19" t="s">
        <v>10108</v>
      </c>
      <c r="BQ469" s="19" t="s">
        <v>2325</v>
      </c>
      <c r="BR469" s="19" t="s">
        <v>2325</v>
      </c>
      <c r="BS469" s="19" t="s">
        <v>2134</v>
      </c>
      <c r="BT469" s="19" t="s">
        <v>118</v>
      </c>
      <c r="BU469" s="19" t="s">
        <v>10109</v>
      </c>
      <c r="BV469" s="19"/>
      <c r="BW469" s="19"/>
      <c r="BX469" s="19" t="s">
        <v>2113</v>
      </c>
      <c r="BY469" s="19"/>
      <c r="BZ469" s="19"/>
      <c r="CA469" s="19"/>
      <c r="CB469" s="19" t="s">
        <v>2113</v>
      </c>
      <c r="CC469" s="19"/>
      <c r="CD469" s="19" t="s">
        <v>2137</v>
      </c>
      <c r="CE469" s="19" t="s">
        <v>16</v>
      </c>
      <c r="CF469" s="19"/>
      <c r="CG469" s="19"/>
      <c r="CH469" s="19" t="s">
        <v>16</v>
      </c>
      <c r="CI469" s="21">
        <v>0.0</v>
      </c>
      <c r="CJ469" s="19" t="s">
        <v>17</v>
      </c>
      <c r="CK469" s="19"/>
      <c r="CL469" s="19"/>
      <c r="CM469" s="19" t="s">
        <v>2344</v>
      </c>
      <c r="CN469" s="19" t="s">
        <v>3220</v>
      </c>
      <c r="CO469" s="19"/>
      <c r="CP469" s="19" t="s">
        <v>2246</v>
      </c>
      <c r="CQ469" s="19"/>
      <c r="CR469" s="19" t="s">
        <v>2113</v>
      </c>
      <c r="CS469" s="19" t="s">
        <v>2113</v>
      </c>
      <c r="CT469" s="19"/>
      <c r="CU469" s="19"/>
      <c r="CV469" s="19" t="s">
        <v>2179</v>
      </c>
      <c r="CW469" s="19"/>
      <c r="CX469" s="19"/>
      <c r="CY469" s="19" t="s">
        <v>2113</v>
      </c>
      <c r="CZ469" s="19" t="s">
        <v>2113</v>
      </c>
      <c r="DA469" s="19" t="s">
        <v>16</v>
      </c>
      <c r="DB469" s="19" t="s">
        <v>17</v>
      </c>
      <c r="DC469" s="19" t="s">
        <v>3892</v>
      </c>
      <c r="DD469" s="19"/>
      <c r="DE469" s="19"/>
      <c r="DF469" s="19" t="s">
        <v>3221</v>
      </c>
      <c r="DG469" s="19" t="s">
        <v>4903</v>
      </c>
      <c r="DH469" s="19" t="s">
        <v>2144</v>
      </c>
      <c r="DI469" s="24">
        <v>45524.0</v>
      </c>
      <c r="DJ469" s="19" t="s">
        <v>2325</v>
      </c>
      <c r="DK469" s="19" t="s">
        <v>2145</v>
      </c>
      <c r="DL469" s="19" t="s">
        <v>2326</v>
      </c>
      <c r="DM469" s="19"/>
      <c r="DN469" s="19">
        <v>7.0</v>
      </c>
      <c r="DO469" s="19">
        <v>7.0</v>
      </c>
      <c r="DP469" s="19"/>
      <c r="DQ469" s="19"/>
      <c r="DR469" s="19"/>
      <c r="DS469" s="19" t="s">
        <v>2185</v>
      </c>
      <c r="DT469" s="19" t="s">
        <v>2350</v>
      </c>
      <c r="DU469" s="19" t="s">
        <v>10110</v>
      </c>
      <c r="DV469" s="19"/>
      <c r="DW469" s="19" t="s">
        <v>3306</v>
      </c>
      <c r="DX469" s="19">
        <v>4.0</v>
      </c>
      <c r="DY469" s="19">
        <v>5.0</v>
      </c>
      <c r="DZ469" s="19">
        <v>0.0</v>
      </c>
      <c r="EA469" s="19">
        <v>5.0</v>
      </c>
      <c r="EB469" s="19">
        <v>0.0</v>
      </c>
      <c r="EC469" s="19">
        <v>0.0</v>
      </c>
      <c r="ED469" s="19" t="s">
        <v>2325</v>
      </c>
      <c r="EE469" s="24">
        <v>45524.0</v>
      </c>
      <c r="EF469" s="19" t="s">
        <v>2325</v>
      </c>
      <c r="EG469" s="19" t="s">
        <v>2145</v>
      </c>
      <c r="EH469" s="19" t="s">
        <v>2326</v>
      </c>
      <c r="EI469" s="22">
        <v>13.3125</v>
      </c>
      <c r="EJ469" s="19">
        <v>44.0</v>
      </c>
      <c r="EK469" s="19" t="s">
        <v>2113</v>
      </c>
      <c r="EL469" s="19" t="s">
        <v>2163</v>
      </c>
      <c r="EM469" s="19" t="s">
        <v>10101</v>
      </c>
      <c r="EN469" s="19" t="s">
        <v>1388</v>
      </c>
      <c r="EO469" s="19" t="s">
        <v>9945</v>
      </c>
      <c r="EP469" s="19" t="s">
        <v>2310</v>
      </c>
      <c r="EQ469" s="19" t="s">
        <v>3220</v>
      </c>
      <c r="ER469" s="19"/>
      <c r="ES469" s="19" t="s">
        <v>1388</v>
      </c>
      <c r="ET469" s="19" t="s">
        <v>1388</v>
      </c>
      <c r="EU469" s="19" t="s">
        <v>10099</v>
      </c>
      <c r="EV469" s="19">
        <v>7519.0</v>
      </c>
      <c r="EW469" s="19" t="s">
        <v>16</v>
      </c>
      <c r="EX469" s="19">
        <v>2.0</v>
      </c>
      <c r="EY469" s="25" t="s">
        <v>1387</v>
      </c>
      <c r="EZ469" s="19" t="s">
        <v>2154</v>
      </c>
      <c r="FA469" s="5" t="s">
        <v>10111</v>
      </c>
      <c r="FB469" s="26" t="s">
        <v>2156</v>
      </c>
      <c r="FC469" s="26"/>
    </row>
    <row r="470">
      <c r="A470" s="19" t="s">
        <v>2112</v>
      </c>
      <c r="B470" s="19"/>
      <c r="C470" s="19" t="s">
        <v>2113</v>
      </c>
      <c r="D470" s="19" t="s">
        <v>10112</v>
      </c>
      <c r="E470" s="19" t="s">
        <v>10113</v>
      </c>
      <c r="F470" s="19" t="s">
        <v>1389</v>
      </c>
      <c r="G470" s="19" t="s">
        <v>10113</v>
      </c>
      <c r="H470" s="19" t="s">
        <v>1389</v>
      </c>
      <c r="I470" s="19" t="s">
        <v>1391</v>
      </c>
      <c r="J470" s="19" t="s">
        <v>10114</v>
      </c>
      <c r="K470" s="19" t="s">
        <v>10115</v>
      </c>
      <c r="L470" s="20">
        <v>45446.0</v>
      </c>
      <c r="M470" s="20">
        <v>45447.0</v>
      </c>
      <c r="N470" s="20">
        <v>45447.0</v>
      </c>
      <c r="O470" s="19" t="s">
        <v>1390</v>
      </c>
      <c r="P470" s="19">
        <v>0.0</v>
      </c>
      <c r="Q470" s="19">
        <v>23.0</v>
      </c>
      <c r="R470" s="19">
        <v>8738.0</v>
      </c>
      <c r="S470" s="20" t="s">
        <v>10116</v>
      </c>
      <c r="T470" s="20">
        <v>45461.0</v>
      </c>
      <c r="U470" s="19" t="s">
        <v>1389</v>
      </c>
      <c r="V470" s="19"/>
      <c r="W470" s="19"/>
      <c r="X470" s="21">
        <v>0.0</v>
      </c>
      <c r="Y470" s="21">
        <v>0.0</v>
      </c>
      <c r="Z470" s="21">
        <v>5.0</v>
      </c>
      <c r="AA470" s="21">
        <v>0.0</v>
      </c>
      <c r="AB470" s="5">
        <v>5.0</v>
      </c>
      <c r="AC470" s="19">
        <v>4.8</v>
      </c>
      <c r="AD470" s="19">
        <v>4.6</v>
      </c>
      <c r="AE470" s="19">
        <v>5.0</v>
      </c>
      <c r="AF470" s="19">
        <v>4.4</v>
      </c>
      <c r="AG470" s="19">
        <v>4.8</v>
      </c>
      <c r="AH470" s="19">
        <v>4.4</v>
      </c>
      <c r="AI470" s="22">
        <v>14.118749999999999</v>
      </c>
      <c r="AJ470" s="19">
        <v>15.0</v>
      </c>
      <c r="AK470" s="19">
        <v>15.0</v>
      </c>
      <c r="AL470" s="19">
        <v>15.0</v>
      </c>
      <c r="AM470" s="19">
        <v>45.0</v>
      </c>
      <c r="AN470" s="19">
        <v>59.1</v>
      </c>
      <c r="AO470" s="19">
        <v>64.1</v>
      </c>
      <c r="AP470" s="19">
        <v>1065.0</v>
      </c>
      <c r="AQ470" s="23">
        <v>462.0</v>
      </c>
      <c r="AR470" s="23">
        <v>38.0</v>
      </c>
      <c r="AS470" s="22"/>
      <c r="AT470" s="19" t="s">
        <v>2282</v>
      </c>
      <c r="AU470" s="19" t="s">
        <v>3789</v>
      </c>
      <c r="AV470" s="19" t="s">
        <v>10117</v>
      </c>
      <c r="AW470" s="19"/>
      <c r="AX470" s="20">
        <v>36723.0</v>
      </c>
      <c r="AY470" s="19" t="s">
        <v>2358</v>
      </c>
      <c r="AZ470" s="19" t="s">
        <v>2122</v>
      </c>
      <c r="BA470" s="19" t="s">
        <v>10118</v>
      </c>
      <c r="BB470" s="19" t="s">
        <v>10119</v>
      </c>
      <c r="BC470" s="19" t="s">
        <v>10120</v>
      </c>
      <c r="BD470" s="19" t="s">
        <v>10121</v>
      </c>
      <c r="BE470" s="19" t="s">
        <v>10114</v>
      </c>
      <c r="BF470" s="19">
        <v>1.1944657074E10</v>
      </c>
      <c r="BG470" s="19" t="s">
        <v>4038</v>
      </c>
      <c r="BH470" s="19" t="s">
        <v>2128</v>
      </c>
      <c r="BI470" s="19"/>
      <c r="BJ470" s="19" t="s">
        <v>2128</v>
      </c>
      <c r="BK470" s="19" t="s">
        <v>17</v>
      </c>
      <c r="BL470" s="19"/>
      <c r="BM470" s="19" t="s">
        <v>5411</v>
      </c>
      <c r="BN470" s="19" t="s">
        <v>17</v>
      </c>
      <c r="BO470" s="19" t="s">
        <v>2132</v>
      </c>
      <c r="BP470" s="19" t="s">
        <v>10122</v>
      </c>
      <c r="BQ470" s="19" t="s">
        <v>2174</v>
      </c>
      <c r="BR470" s="19" t="s">
        <v>2174</v>
      </c>
      <c r="BS470" s="19" t="s">
        <v>2243</v>
      </c>
      <c r="BT470" s="19" t="s">
        <v>34</v>
      </c>
      <c r="BU470" s="19" t="s">
        <v>10123</v>
      </c>
      <c r="BV470" s="19"/>
      <c r="BW470" s="19"/>
      <c r="BX470" s="19" t="s">
        <v>2113</v>
      </c>
      <c r="BY470" s="19" t="s">
        <v>2113</v>
      </c>
      <c r="BZ470" s="19" t="s">
        <v>2113</v>
      </c>
      <c r="CA470" s="19" t="s">
        <v>2113</v>
      </c>
      <c r="CB470" s="19" t="s">
        <v>2113</v>
      </c>
      <c r="CC470" s="19" t="s">
        <v>2113</v>
      </c>
      <c r="CD470" s="19" t="s">
        <v>2137</v>
      </c>
      <c r="CE470" s="19" t="s">
        <v>16</v>
      </c>
      <c r="CF470" s="19"/>
      <c r="CG470" s="19"/>
      <c r="CH470" s="19" t="s">
        <v>16</v>
      </c>
      <c r="CI470" s="21">
        <v>0.0</v>
      </c>
      <c r="CJ470" s="19" t="s">
        <v>16</v>
      </c>
      <c r="CK470" s="19"/>
      <c r="CL470" s="19"/>
      <c r="CM470" s="19" t="s">
        <v>2138</v>
      </c>
      <c r="CN470" s="19" t="s">
        <v>2266</v>
      </c>
      <c r="CO470" s="19"/>
      <c r="CP470" s="19" t="s">
        <v>2246</v>
      </c>
      <c r="CQ470" s="19"/>
      <c r="CR470" s="19" t="s">
        <v>2113</v>
      </c>
      <c r="CS470" s="19" t="s">
        <v>2113</v>
      </c>
      <c r="CT470" s="19" t="s">
        <v>2113</v>
      </c>
      <c r="CU470" s="19" t="s">
        <v>2113</v>
      </c>
      <c r="CV470" s="19" t="s">
        <v>2141</v>
      </c>
      <c r="CW470" s="19"/>
      <c r="CX470" s="19"/>
      <c r="CY470" s="19"/>
      <c r="CZ470" s="19"/>
      <c r="DA470" s="19" t="s">
        <v>16</v>
      </c>
      <c r="DB470" s="19" t="s">
        <v>16</v>
      </c>
      <c r="DC470" s="19" t="s">
        <v>2539</v>
      </c>
      <c r="DD470" s="19" t="s">
        <v>2113</v>
      </c>
      <c r="DE470" s="19" t="s">
        <v>2113</v>
      </c>
      <c r="DF470" s="19" t="s">
        <v>2268</v>
      </c>
      <c r="DG470" s="19" t="s">
        <v>3222</v>
      </c>
      <c r="DH470" s="19" t="s">
        <v>2144</v>
      </c>
      <c r="DI470" s="24">
        <v>45519.0</v>
      </c>
      <c r="DJ470" s="19" t="s">
        <v>2174</v>
      </c>
      <c r="DK470" s="19" t="s">
        <v>2145</v>
      </c>
      <c r="DL470" s="19" t="s">
        <v>2183</v>
      </c>
      <c r="DM470" s="19" t="s">
        <v>4885</v>
      </c>
      <c r="DN470" s="19">
        <v>5.0</v>
      </c>
      <c r="DO470" s="19">
        <v>5.0</v>
      </c>
      <c r="DP470" s="19" t="s">
        <v>10124</v>
      </c>
      <c r="DQ470" s="19" t="s">
        <v>10125</v>
      </c>
      <c r="DR470" s="19" t="s">
        <v>10126</v>
      </c>
      <c r="DS470" s="19" t="s">
        <v>2151</v>
      </c>
      <c r="DT470" s="19" t="s">
        <v>2152</v>
      </c>
      <c r="DU470" s="19"/>
      <c r="DV470" s="19"/>
      <c r="DW470" s="19" t="s">
        <v>2153</v>
      </c>
      <c r="DX470" s="19">
        <v>13.0</v>
      </c>
      <c r="DY470" s="19">
        <v>0.0</v>
      </c>
      <c r="DZ470" s="19">
        <v>0.0</v>
      </c>
      <c r="EA470" s="19">
        <v>0.0</v>
      </c>
      <c r="EB470" s="19">
        <v>0.0</v>
      </c>
      <c r="EC470" s="19">
        <v>0.0</v>
      </c>
      <c r="ED470" s="19" t="s">
        <v>2174</v>
      </c>
      <c r="EE470" s="24">
        <v>45519.0</v>
      </c>
      <c r="EF470" s="19" t="s">
        <v>2174</v>
      </c>
      <c r="EG470" s="19" t="s">
        <v>2145</v>
      </c>
      <c r="EH470" s="19" t="s">
        <v>2183</v>
      </c>
      <c r="EI470" s="22">
        <v>14.118749999999999</v>
      </c>
      <c r="EJ470" s="19">
        <v>45.0</v>
      </c>
      <c r="EK470" s="19"/>
      <c r="EL470" s="19" t="s">
        <v>2282</v>
      </c>
      <c r="EM470" s="19" t="s">
        <v>3789</v>
      </c>
      <c r="EN470" s="19" t="s">
        <v>1391</v>
      </c>
      <c r="EO470" s="19" t="s">
        <v>2358</v>
      </c>
      <c r="EP470" s="19" t="s">
        <v>2122</v>
      </c>
      <c r="EQ470" s="19" t="s">
        <v>2266</v>
      </c>
      <c r="ER470" s="19"/>
      <c r="ES470" s="19" t="s">
        <v>1391</v>
      </c>
      <c r="ET470" s="19" t="s">
        <v>1391</v>
      </c>
      <c r="EU470" s="19" t="s">
        <v>10115</v>
      </c>
      <c r="EV470" s="19">
        <v>8738.0</v>
      </c>
      <c r="EW470" s="19" t="s">
        <v>16</v>
      </c>
      <c r="EX470" s="19">
        <v>5.0</v>
      </c>
      <c r="EY470" s="25" t="s">
        <v>1390</v>
      </c>
      <c r="EZ470" s="19" t="s">
        <v>2154</v>
      </c>
      <c r="FA470" s="5" t="s">
        <v>10127</v>
      </c>
      <c r="FB470" s="26" t="s">
        <v>2156</v>
      </c>
      <c r="FC470" s="26"/>
    </row>
    <row r="471">
      <c r="A471" s="19" t="s">
        <v>2112</v>
      </c>
      <c r="B471" s="19"/>
      <c r="C471" s="19" t="s">
        <v>2113</v>
      </c>
      <c r="D471" s="19" t="s">
        <v>1392</v>
      </c>
      <c r="E471" s="19" t="s">
        <v>10128</v>
      </c>
      <c r="F471" s="19" t="s">
        <v>1392</v>
      </c>
      <c r="G471" s="19"/>
      <c r="H471" s="19" t="s">
        <v>1392</v>
      </c>
      <c r="I471" s="19" t="s">
        <v>1394</v>
      </c>
      <c r="J471" s="19" t="s">
        <v>10129</v>
      </c>
      <c r="K471" s="19" t="s">
        <v>10130</v>
      </c>
      <c r="L471" s="20">
        <v>45446.0</v>
      </c>
      <c r="M471" s="20">
        <v>45446.0</v>
      </c>
      <c r="N471" s="20">
        <v>45446.0</v>
      </c>
      <c r="O471" s="19" t="s">
        <v>1393</v>
      </c>
      <c r="P471" s="19">
        <v>0.0</v>
      </c>
      <c r="Q471" s="19">
        <v>18.0</v>
      </c>
      <c r="R471" s="19">
        <v>6671.0</v>
      </c>
      <c r="S471" s="20" t="s">
        <v>10131</v>
      </c>
      <c r="T471" s="20">
        <v>45461.0</v>
      </c>
      <c r="U471" s="19" t="s">
        <v>1392</v>
      </c>
      <c r="V471" s="19"/>
      <c r="W471" s="19"/>
      <c r="X471" s="21">
        <v>0.0</v>
      </c>
      <c r="Y471" s="21">
        <v>0.0</v>
      </c>
      <c r="Z471" s="21">
        <v>3.0</v>
      </c>
      <c r="AA471" s="21">
        <v>3.0</v>
      </c>
      <c r="AB471" s="5">
        <v>6.0</v>
      </c>
      <c r="AC471" s="19">
        <v>5.0</v>
      </c>
      <c r="AD471" s="19">
        <v>5.0</v>
      </c>
      <c r="AE471" s="19">
        <v>4.0</v>
      </c>
      <c r="AF471" s="19">
        <v>4.0</v>
      </c>
      <c r="AG471" s="19">
        <v>4.0</v>
      </c>
      <c r="AH471" s="19">
        <v>4.0</v>
      </c>
      <c r="AI471" s="22">
        <v>13.125</v>
      </c>
      <c r="AJ471" s="19">
        <v>15.0</v>
      </c>
      <c r="AK471" s="19">
        <v>15.0</v>
      </c>
      <c r="AL471" s="19">
        <v>15.0</v>
      </c>
      <c r="AM471" s="19">
        <v>45.0</v>
      </c>
      <c r="AN471" s="19">
        <v>58.1</v>
      </c>
      <c r="AO471" s="19">
        <v>64.1</v>
      </c>
      <c r="AP471" s="19">
        <v>1026.0</v>
      </c>
      <c r="AQ471" s="23">
        <v>463.0</v>
      </c>
      <c r="AR471" s="23">
        <v>35.0</v>
      </c>
      <c r="AS471" s="22"/>
      <c r="AT471" s="19" t="s">
        <v>2282</v>
      </c>
      <c r="AU471" s="19" t="s">
        <v>10132</v>
      </c>
      <c r="AV471" s="19" t="s">
        <v>10133</v>
      </c>
      <c r="AW471" s="19"/>
      <c r="AX471" s="20">
        <v>38790.0</v>
      </c>
      <c r="AY471" s="19" t="s">
        <v>4661</v>
      </c>
      <c r="AZ471" s="19" t="s">
        <v>2122</v>
      </c>
      <c r="BA471" s="19" t="s">
        <v>10134</v>
      </c>
      <c r="BB471" s="19" t="s">
        <v>6705</v>
      </c>
      <c r="BC471" s="19" t="s">
        <v>10135</v>
      </c>
      <c r="BD471" s="19" t="s">
        <v>10136</v>
      </c>
      <c r="BE471" s="19" t="s">
        <v>10129</v>
      </c>
      <c r="BF471" s="19">
        <v>1.1959436737E10</v>
      </c>
      <c r="BG471" s="19" t="s">
        <v>4038</v>
      </c>
      <c r="BH471" s="19" t="s">
        <v>2128</v>
      </c>
      <c r="BI471" s="19"/>
      <c r="BJ471" s="19" t="s">
        <v>2128</v>
      </c>
      <c r="BK471" s="19" t="s">
        <v>17</v>
      </c>
      <c r="BL471" s="19"/>
      <c r="BM471" s="19" t="s">
        <v>5411</v>
      </c>
      <c r="BN471" s="19" t="s">
        <v>17</v>
      </c>
      <c r="BO471" s="19" t="s">
        <v>2473</v>
      </c>
      <c r="BP471" s="19" t="s">
        <v>10137</v>
      </c>
      <c r="BQ471" s="19" t="s">
        <v>2133</v>
      </c>
      <c r="BR471" s="19" t="s">
        <v>2133</v>
      </c>
      <c r="BS471" s="19" t="s">
        <v>2134</v>
      </c>
      <c r="BT471" s="19" t="s">
        <v>52</v>
      </c>
      <c r="BU471" s="19" t="s">
        <v>10138</v>
      </c>
      <c r="BV471" s="19"/>
      <c r="BW471" s="19"/>
      <c r="BX471" s="19"/>
      <c r="BY471" s="19" t="s">
        <v>2113</v>
      </c>
      <c r="BZ471" s="19"/>
      <c r="CA471" s="19" t="s">
        <v>2113</v>
      </c>
      <c r="CB471" s="19" t="s">
        <v>2113</v>
      </c>
      <c r="CC471" s="19"/>
      <c r="CD471" s="19" t="s">
        <v>2137</v>
      </c>
      <c r="CE471" s="19" t="s">
        <v>16</v>
      </c>
      <c r="CF471" s="19"/>
      <c r="CG471" s="19"/>
      <c r="CH471" s="19" t="s">
        <v>17</v>
      </c>
      <c r="CI471" s="21">
        <v>3.0</v>
      </c>
      <c r="CJ471" s="19" t="s">
        <v>16</v>
      </c>
      <c r="CK471" s="19"/>
      <c r="CL471" s="19" t="s">
        <v>2113</v>
      </c>
      <c r="CM471" s="19" t="s">
        <v>2926</v>
      </c>
      <c r="CN471" s="19" t="s">
        <v>3544</v>
      </c>
      <c r="CO471" s="19"/>
      <c r="CP471" s="19" t="s">
        <v>2140</v>
      </c>
      <c r="CQ471" s="19"/>
      <c r="CR471" s="19" t="s">
        <v>2113</v>
      </c>
      <c r="CS471" s="19" t="s">
        <v>2113</v>
      </c>
      <c r="CT471" s="19" t="s">
        <v>2113</v>
      </c>
      <c r="CU471" s="19" t="s">
        <v>2113</v>
      </c>
      <c r="CV471" s="19" t="s">
        <v>2141</v>
      </c>
      <c r="CW471" s="19" t="s">
        <v>2113</v>
      </c>
      <c r="CX471" s="19" t="s">
        <v>2113</v>
      </c>
      <c r="CY471" s="19" t="s">
        <v>2113</v>
      </c>
      <c r="CZ471" s="19" t="s">
        <v>2113</v>
      </c>
      <c r="DA471" s="19" t="s">
        <v>16</v>
      </c>
      <c r="DB471" s="19" t="s">
        <v>16</v>
      </c>
      <c r="DC471" s="19" t="s">
        <v>2579</v>
      </c>
      <c r="DD471" s="19" t="s">
        <v>2113</v>
      </c>
      <c r="DE471" s="19" t="s">
        <v>2113</v>
      </c>
      <c r="DF471" s="19" t="s">
        <v>2146</v>
      </c>
      <c r="DG471" s="19" t="s">
        <v>2433</v>
      </c>
      <c r="DH471" s="19" t="s">
        <v>2144</v>
      </c>
      <c r="DI471" s="24">
        <v>45526.0</v>
      </c>
      <c r="DJ471" s="19" t="s">
        <v>2133</v>
      </c>
      <c r="DK471" s="19" t="s">
        <v>2271</v>
      </c>
      <c r="DL471" s="19" t="s">
        <v>2146</v>
      </c>
      <c r="DM471" s="19" t="s">
        <v>2805</v>
      </c>
      <c r="DN471" s="19">
        <v>12.0</v>
      </c>
      <c r="DO471" s="19">
        <v>12.0</v>
      </c>
      <c r="DP471" s="19" t="s">
        <v>10139</v>
      </c>
      <c r="DQ471" s="19" t="s">
        <v>10140</v>
      </c>
      <c r="DR471" s="19" t="s">
        <v>10141</v>
      </c>
      <c r="DS471" s="19" t="s">
        <v>2365</v>
      </c>
      <c r="DT471" s="19" t="s">
        <v>2186</v>
      </c>
      <c r="DU471" s="19"/>
      <c r="DV471" s="19"/>
      <c r="DW471" s="19" t="s">
        <v>2188</v>
      </c>
      <c r="DX471" s="19">
        <v>10.0</v>
      </c>
      <c r="DY471" s="19">
        <v>0.0</v>
      </c>
      <c r="DZ471" s="19">
        <v>0.0</v>
      </c>
      <c r="EA471" s="19">
        <v>0.0</v>
      </c>
      <c r="EB471" s="19">
        <v>3.0</v>
      </c>
      <c r="EC471" s="19">
        <v>0.0</v>
      </c>
      <c r="ED471" s="19" t="s">
        <v>2133</v>
      </c>
      <c r="EE471" s="24">
        <v>45526.0</v>
      </c>
      <c r="EF471" s="19" t="s">
        <v>2133</v>
      </c>
      <c r="EG471" s="19" t="s">
        <v>2271</v>
      </c>
      <c r="EH471" s="19" t="s">
        <v>2146</v>
      </c>
      <c r="EI471" s="22">
        <v>13.125</v>
      </c>
      <c r="EJ471" s="19">
        <v>45.0</v>
      </c>
      <c r="EK471" s="19"/>
      <c r="EL471" s="19" t="s">
        <v>2282</v>
      </c>
      <c r="EM471" s="19" t="s">
        <v>10132</v>
      </c>
      <c r="EN471" s="19" t="s">
        <v>1394</v>
      </c>
      <c r="EO471" s="19" t="s">
        <v>4661</v>
      </c>
      <c r="EP471" s="19" t="s">
        <v>2122</v>
      </c>
      <c r="EQ471" s="19" t="s">
        <v>3544</v>
      </c>
      <c r="ER471" s="19"/>
      <c r="ES471" s="19" t="s">
        <v>1394</v>
      </c>
      <c r="ET471" s="19" t="s">
        <v>1394</v>
      </c>
      <c r="EU471" s="19" t="s">
        <v>10130</v>
      </c>
      <c r="EV471" s="19">
        <v>6671.0</v>
      </c>
      <c r="EW471" s="19" t="s">
        <v>16</v>
      </c>
      <c r="EX471" s="19">
        <v>3.0</v>
      </c>
      <c r="EY471" s="25" t="s">
        <v>1393</v>
      </c>
      <c r="EZ471" s="19" t="s">
        <v>2154</v>
      </c>
      <c r="FA471" s="5" t="s">
        <v>10142</v>
      </c>
      <c r="FB471" s="26" t="s">
        <v>2156</v>
      </c>
      <c r="FC471" s="26"/>
    </row>
    <row r="472">
      <c r="A472" s="19" t="s">
        <v>2112</v>
      </c>
      <c r="B472" s="19" t="s">
        <v>2113</v>
      </c>
      <c r="C472" s="19" t="s">
        <v>2113</v>
      </c>
      <c r="D472" s="19" t="s">
        <v>1395</v>
      </c>
      <c r="E472" s="19" t="s">
        <v>1395</v>
      </c>
      <c r="F472" s="19" t="s">
        <v>1395</v>
      </c>
      <c r="G472" s="19"/>
      <c r="H472" s="19" t="s">
        <v>1395</v>
      </c>
      <c r="I472" s="19" t="s">
        <v>1397</v>
      </c>
      <c r="J472" s="19" t="s">
        <v>10143</v>
      </c>
      <c r="K472" s="19" t="s">
        <v>10144</v>
      </c>
      <c r="L472" s="20">
        <v>45399.0</v>
      </c>
      <c r="M472" s="20">
        <v>45411.0</v>
      </c>
      <c r="N472" s="20">
        <v>45411.0</v>
      </c>
      <c r="O472" s="19" t="s">
        <v>1396</v>
      </c>
      <c r="P472" s="19">
        <v>0.0</v>
      </c>
      <c r="Q472" s="19">
        <v>26.0</v>
      </c>
      <c r="R472" s="19">
        <v>9731.0</v>
      </c>
      <c r="S472" s="20" t="s">
        <v>10145</v>
      </c>
      <c r="T472" s="20">
        <v>45461.0</v>
      </c>
      <c r="U472" s="19" t="s">
        <v>1395</v>
      </c>
      <c r="V472" s="19"/>
      <c r="W472" s="19"/>
      <c r="X472" s="21">
        <v>20.0</v>
      </c>
      <c r="Y472" s="21">
        <v>0.0</v>
      </c>
      <c r="Z472" s="21">
        <v>5.0</v>
      </c>
      <c r="AA472" s="21">
        <v>0.0</v>
      </c>
      <c r="AB472" s="5">
        <v>25.0</v>
      </c>
      <c r="AC472" s="19">
        <v>4.2</v>
      </c>
      <c r="AD472" s="19">
        <v>5.0</v>
      </c>
      <c r="AE472" s="19">
        <v>4.8</v>
      </c>
      <c r="AF472" s="19">
        <v>4.4</v>
      </c>
      <c r="AG472" s="19">
        <v>4.4</v>
      </c>
      <c r="AH472" s="19">
        <v>4.8</v>
      </c>
      <c r="AI472" s="22">
        <v>13.95</v>
      </c>
      <c r="AJ472" s="19">
        <v>5.0</v>
      </c>
      <c r="AK472" s="19">
        <v>10.0</v>
      </c>
      <c r="AL472" s="19">
        <v>10.0</v>
      </c>
      <c r="AM472" s="19">
        <v>25.0</v>
      </c>
      <c r="AN472" s="19">
        <v>39.0</v>
      </c>
      <c r="AO472" s="19">
        <v>64.0</v>
      </c>
      <c r="AP472" s="19">
        <v>266.0</v>
      </c>
      <c r="AQ472" s="23">
        <v>464.0</v>
      </c>
      <c r="AR472" s="23">
        <v>36.0</v>
      </c>
      <c r="AS472" s="22"/>
      <c r="AT472" s="19" t="s">
        <v>2282</v>
      </c>
      <c r="AU472" s="19" t="s">
        <v>10146</v>
      </c>
      <c r="AV472" s="19" t="s">
        <v>10147</v>
      </c>
      <c r="AW472" s="19"/>
      <c r="AX472" s="20">
        <v>35730.0</v>
      </c>
      <c r="AY472" s="19" t="s">
        <v>2529</v>
      </c>
      <c r="AZ472" s="19" t="s">
        <v>2122</v>
      </c>
      <c r="BA472" s="19" t="s">
        <v>10148</v>
      </c>
      <c r="BB472" s="19" t="s">
        <v>2531</v>
      </c>
      <c r="BC472" s="19" t="s">
        <v>10149</v>
      </c>
      <c r="BD472" s="19" t="s">
        <v>10150</v>
      </c>
      <c r="BE472" s="19"/>
      <c r="BF472" s="19"/>
      <c r="BG472" s="19" t="s">
        <v>2127</v>
      </c>
      <c r="BH472" s="19" t="s">
        <v>2128</v>
      </c>
      <c r="BI472" s="19"/>
      <c r="BJ472" s="19"/>
      <c r="BK472" s="19" t="s">
        <v>16</v>
      </c>
      <c r="BL472" s="19"/>
      <c r="BM472" s="19" t="s">
        <v>2130</v>
      </c>
      <c r="BN472" s="19" t="s">
        <v>17</v>
      </c>
      <c r="BO472" s="19" t="s">
        <v>2132</v>
      </c>
      <c r="BP472" s="19"/>
      <c r="BQ472" s="19" t="s">
        <v>2174</v>
      </c>
      <c r="BR472" s="19" t="s">
        <v>2174</v>
      </c>
      <c r="BS472" s="19" t="s">
        <v>3521</v>
      </c>
      <c r="BT472" s="19" t="s">
        <v>75</v>
      </c>
      <c r="BU472" s="19" t="s">
        <v>10151</v>
      </c>
      <c r="BV472" s="19" t="s">
        <v>10152</v>
      </c>
      <c r="BW472" s="19"/>
      <c r="BX472" s="19"/>
      <c r="BY472" s="19"/>
      <c r="BZ472" s="19"/>
      <c r="CA472" s="19" t="s">
        <v>2113</v>
      </c>
      <c r="CB472" s="19" t="s">
        <v>2113</v>
      </c>
      <c r="CC472" s="19"/>
      <c r="CD472" s="19" t="s">
        <v>2137</v>
      </c>
      <c r="CE472" s="19" t="s">
        <v>16</v>
      </c>
      <c r="CF472" s="19"/>
      <c r="CG472" s="19"/>
      <c r="CH472" s="19" t="s">
        <v>16</v>
      </c>
      <c r="CI472" s="21">
        <v>0.0</v>
      </c>
      <c r="CJ472" s="19" t="s">
        <v>16</v>
      </c>
      <c r="CK472" s="19"/>
      <c r="CL472" s="19"/>
      <c r="CM472" s="19" t="s">
        <v>2138</v>
      </c>
      <c r="CN472" s="19" t="s">
        <v>2537</v>
      </c>
      <c r="CO472" s="19" t="s">
        <v>2177</v>
      </c>
      <c r="CP472" s="19"/>
      <c r="CQ472" s="19"/>
      <c r="CR472" s="19" t="s">
        <v>2113</v>
      </c>
      <c r="CS472" s="19" t="s">
        <v>2113</v>
      </c>
      <c r="CT472" s="19"/>
      <c r="CU472" s="19"/>
      <c r="CV472" s="19" t="s">
        <v>2141</v>
      </c>
      <c r="CW472" s="19" t="s">
        <v>2113</v>
      </c>
      <c r="CX472" s="19" t="s">
        <v>2113</v>
      </c>
      <c r="CY472" s="19" t="s">
        <v>2113</v>
      </c>
      <c r="CZ472" s="19" t="s">
        <v>2113</v>
      </c>
      <c r="DA472" s="19" t="s">
        <v>16</v>
      </c>
      <c r="DB472" s="19" t="s">
        <v>16</v>
      </c>
      <c r="DC472" s="19" t="s">
        <v>3562</v>
      </c>
      <c r="DD472" s="19" t="s">
        <v>2113</v>
      </c>
      <c r="DE472" s="19" t="s">
        <v>2113</v>
      </c>
      <c r="DF472" s="19" t="s">
        <v>2247</v>
      </c>
      <c r="DG472" s="19" t="s">
        <v>3163</v>
      </c>
      <c r="DH472" s="19" t="s">
        <v>2144</v>
      </c>
      <c r="DI472" s="24">
        <v>45517.0</v>
      </c>
      <c r="DJ472" s="19" t="s">
        <v>2174</v>
      </c>
      <c r="DK472" s="19" t="s">
        <v>2145</v>
      </c>
      <c r="DL472" s="19" t="s">
        <v>2183</v>
      </c>
      <c r="DM472" s="19" t="s">
        <v>2184</v>
      </c>
      <c r="DN472" s="19">
        <v>1.0</v>
      </c>
      <c r="DO472" s="19">
        <v>1.0</v>
      </c>
      <c r="DP472" s="19" t="s">
        <v>10153</v>
      </c>
      <c r="DQ472" s="19" t="s">
        <v>10154</v>
      </c>
      <c r="DR472" s="19" t="s">
        <v>10155</v>
      </c>
      <c r="DS472" s="19" t="s">
        <v>2185</v>
      </c>
      <c r="DT472" s="19" t="s">
        <v>2366</v>
      </c>
      <c r="DU472" s="19"/>
      <c r="DV472" s="19"/>
      <c r="DW472" s="19" t="s">
        <v>2153</v>
      </c>
      <c r="DX472" s="19">
        <v>2.0</v>
      </c>
      <c r="DY472" s="19">
        <v>0.0</v>
      </c>
      <c r="DZ472" s="19">
        <v>0.0</v>
      </c>
      <c r="EA472" s="19">
        <v>0.0</v>
      </c>
      <c r="EB472" s="19">
        <v>0.0</v>
      </c>
      <c r="EC472" s="19">
        <v>20.0</v>
      </c>
      <c r="ED472" s="19" t="s">
        <v>2174</v>
      </c>
      <c r="EE472" s="24">
        <v>45517.0</v>
      </c>
      <c r="EF472" s="19" t="s">
        <v>2174</v>
      </c>
      <c r="EG472" s="19" t="s">
        <v>2145</v>
      </c>
      <c r="EH472" s="19" t="s">
        <v>2183</v>
      </c>
      <c r="EI472" s="22">
        <v>13.95</v>
      </c>
      <c r="EJ472" s="19">
        <v>25.0</v>
      </c>
      <c r="EK472" s="19"/>
      <c r="EL472" s="19" t="s">
        <v>2282</v>
      </c>
      <c r="EM472" s="19" t="s">
        <v>10146</v>
      </c>
      <c r="EN472" s="19" t="s">
        <v>1397</v>
      </c>
      <c r="EO472" s="19" t="s">
        <v>2529</v>
      </c>
      <c r="EP472" s="19" t="s">
        <v>2122</v>
      </c>
      <c r="EQ472" s="19" t="s">
        <v>2537</v>
      </c>
      <c r="ER472" s="19" t="s">
        <v>2177</v>
      </c>
      <c r="ES472" s="19" t="s">
        <v>1397</v>
      </c>
      <c r="ET472" s="19" t="s">
        <v>1397</v>
      </c>
      <c r="EU472" s="19" t="s">
        <v>10144</v>
      </c>
      <c r="EV472" s="19">
        <v>9731.0</v>
      </c>
      <c r="EW472" s="19" t="s">
        <v>16</v>
      </c>
      <c r="EX472" s="19">
        <v>5.0</v>
      </c>
      <c r="EY472" s="25" t="s">
        <v>1396</v>
      </c>
      <c r="EZ472" s="19" t="s">
        <v>2154</v>
      </c>
      <c r="FA472" s="5" t="s">
        <v>10156</v>
      </c>
      <c r="FB472" s="26" t="s">
        <v>2156</v>
      </c>
      <c r="FC472" s="26"/>
    </row>
    <row r="473">
      <c r="A473" s="19" t="s">
        <v>2112</v>
      </c>
      <c r="B473" s="19"/>
      <c r="C473" s="19" t="s">
        <v>2113</v>
      </c>
      <c r="D473" s="19" t="s">
        <v>10157</v>
      </c>
      <c r="E473" s="19" t="s">
        <v>10157</v>
      </c>
      <c r="F473" s="19" t="s">
        <v>1398</v>
      </c>
      <c r="G473" s="19" t="s">
        <v>10157</v>
      </c>
      <c r="H473" s="19" t="s">
        <v>1398</v>
      </c>
      <c r="I473" s="19" t="s">
        <v>1400</v>
      </c>
      <c r="J473" s="19" t="s">
        <v>10158</v>
      </c>
      <c r="K473" s="19" t="s">
        <v>10159</v>
      </c>
      <c r="L473" s="20">
        <v>45429.0</v>
      </c>
      <c r="M473" s="20">
        <v>45429.0</v>
      </c>
      <c r="N473" s="20">
        <v>45429.0</v>
      </c>
      <c r="O473" s="19" t="s">
        <v>1399</v>
      </c>
      <c r="P473" s="19">
        <v>0.0</v>
      </c>
      <c r="Q473" s="19">
        <v>21.0</v>
      </c>
      <c r="R473" s="19">
        <v>7942.0</v>
      </c>
      <c r="S473" s="20" t="s">
        <v>10160</v>
      </c>
      <c r="T473" s="20">
        <v>45461.0</v>
      </c>
      <c r="U473" s="19" t="s">
        <v>1398</v>
      </c>
      <c r="V473" s="19"/>
      <c r="W473" s="23"/>
      <c r="X473" s="21">
        <v>0.0</v>
      </c>
      <c r="Y473" s="21">
        <v>10.0</v>
      </c>
      <c r="Z473" s="21">
        <v>3.0</v>
      </c>
      <c r="AA473" s="21">
        <v>0.0</v>
      </c>
      <c r="AB473" s="5">
        <v>13.0</v>
      </c>
      <c r="AC473" s="19">
        <v>5.0</v>
      </c>
      <c r="AD473" s="19">
        <v>5.0</v>
      </c>
      <c r="AE473" s="19">
        <v>5.0</v>
      </c>
      <c r="AF473" s="19">
        <v>5.0</v>
      </c>
      <c r="AG473" s="19">
        <v>5.0</v>
      </c>
      <c r="AH473" s="19">
        <v>5.0</v>
      </c>
      <c r="AI473" s="22">
        <v>15.0</v>
      </c>
      <c r="AJ473" s="19">
        <v>10.0</v>
      </c>
      <c r="AK473" s="19">
        <v>11.0</v>
      </c>
      <c r="AL473" s="19">
        <v>15.0</v>
      </c>
      <c r="AM473" s="19">
        <v>36.0</v>
      </c>
      <c r="AN473" s="19">
        <v>51.0</v>
      </c>
      <c r="AO473" s="19">
        <v>64.0</v>
      </c>
      <c r="AP473" s="19">
        <v>749.0</v>
      </c>
      <c r="AQ473" s="23">
        <v>465.0</v>
      </c>
      <c r="AR473" s="23">
        <v>36.0</v>
      </c>
      <c r="AS473" s="22"/>
      <c r="AT473" s="19" t="s">
        <v>2163</v>
      </c>
      <c r="AU473" s="19" t="s">
        <v>10161</v>
      </c>
      <c r="AV473" s="19" t="s">
        <v>10162</v>
      </c>
      <c r="AW473" s="19" t="s">
        <v>2166</v>
      </c>
      <c r="AX473" s="20">
        <v>37519.0</v>
      </c>
      <c r="AY473" s="19" t="s">
        <v>6385</v>
      </c>
      <c r="AZ473" s="19" t="s">
        <v>2310</v>
      </c>
      <c r="BA473" s="19" t="s">
        <v>10163</v>
      </c>
      <c r="BB473" s="19" t="s">
        <v>10164</v>
      </c>
      <c r="BC473" s="19" t="s">
        <v>10165</v>
      </c>
      <c r="BD473" s="19" t="s">
        <v>10166</v>
      </c>
      <c r="BE473" s="19" t="s">
        <v>10167</v>
      </c>
      <c r="BF473" s="19">
        <v>1.1990216022E10</v>
      </c>
      <c r="BG473" s="19" t="s">
        <v>2127</v>
      </c>
      <c r="BH473" s="19" t="s">
        <v>2128</v>
      </c>
      <c r="BI473" s="19"/>
      <c r="BJ473" s="19" t="s">
        <v>2128</v>
      </c>
      <c r="BK473" s="19" t="s">
        <v>17</v>
      </c>
      <c r="BL473" s="19"/>
      <c r="BM473" s="19" t="s">
        <v>5411</v>
      </c>
      <c r="BN473" s="19" t="s">
        <v>2112</v>
      </c>
      <c r="BO473" s="19" t="s">
        <v>2473</v>
      </c>
      <c r="BP473" s="19"/>
      <c r="BQ473" s="19" t="s">
        <v>2133</v>
      </c>
      <c r="BR473" s="19" t="s">
        <v>2133</v>
      </c>
      <c r="BS473" s="19" t="s">
        <v>2243</v>
      </c>
      <c r="BT473" s="19" t="s">
        <v>52</v>
      </c>
      <c r="BU473" s="19" t="s">
        <v>10168</v>
      </c>
      <c r="BV473" s="19"/>
      <c r="BW473" s="19" t="s">
        <v>2113</v>
      </c>
      <c r="BX473" s="19"/>
      <c r="BY473" s="19"/>
      <c r="BZ473" s="19"/>
      <c r="CA473" s="19"/>
      <c r="CB473" s="19"/>
      <c r="CC473" s="19"/>
      <c r="CD473" s="19" t="s">
        <v>2137</v>
      </c>
      <c r="CE473" s="19" t="s">
        <v>16</v>
      </c>
      <c r="CF473" s="19"/>
      <c r="CG473" s="19"/>
      <c r="CH473" s="19" t="s">
        <v>16</v>
      </c>
      <c r="CI473" s="21">
        <v>0.0</v>
      </c>
      <c r="CJ473" s="19" t="s">
        <v>17</v>
      </c>
      <c r="CK473" s="19"/>
      <c r="CL473" s="19"/>
      <c r="CM473" s="19" t="s">
        <v>3102</v>
      </c>
      <c r="CN473" s="19" t="s">
        <v>6390</v>
      </c>
      <c r="CO473" s="19"/>
      <c r="CP473" s="19" t="s">
        <v>2246</v>
      </c>
      <c r="CQ473" s="19"/>
      <c r="CR473" s="19" t="s">
        <v>2113</v>
      </c>
      <c r="CS473" s="19" t="s">
        <v>2113</v>
      </c>
      <c r="CT473" s="19" t="s">
        <v>2113</v>
      </c>
      <c r="CU473" s="19" t="s">
        <v>2113</v>
      </c>
      <c r="CV473" s="19" t="s">
        <v>2141</v>
      </c>
      <c r="CW473" s="19"/>
      <c r="CX473" s="19"/>
      <c r="CY473" s="19" t="s">
        <v>2113</v>
      </c>
      <c r="CZ473" s="19" t="s">
        <v>2113</v>
      </c>
      <c r="DA473" s="19" t="s">
        <v>16</v>
      </c>
      <c r="DB473" s="19" t="s">
        <v>17</v>
      </c>
      <c r="DC473" s="19" t="s">
        <v>2146</v>
      </c>
      <c r="DD473" s="19" t="s">
        <v>2113</v>
      </c>
      <c r="DE473" s="19" t="s">
        <v>2113</v>
      </c>
      <c r="DF473" s="19" t="s">
        <v>2207</v>
      </c>
      <c r="DG473" s="19" t="s">
        <v>3223</v>
      </c>
      <c r="DH473" s="19" t="s">
        <v>2144</v>
      </c>
      <c r="DI473" s="24">
        <v>45532.0</v>
      </c>
      <c r="DJ473" s="19" t="s">
        <v>2133</v>
      </c>
      <c r="DK473" s="19" t="s">
        <v>2145</v>
      </c>
      <c r="DL473" s="19" t="s">
        <v>2146</v>
      </c>
      <c r="DM473" s="19" t="s">
        <v>4101</v>
      </c>
      <c r="DN473" s="19">
        <v>15.0</v>
      </c>
      <c r="DO473" s="19">
        <v>15.0</v>
      </c>
      <c r="DP473" s="19" t="s">
        <v>10169</v>
      </c>
      <c r="DQ473" s="19" t="s">
        <v>10170</v>
      </c>
      <c r="DR473" s="19" t="s">
        <v>10171</v>
      </c>
      <c r="DS473" s="19" t="s">
        <v>2151</v>
      </c>
      <c r="DT473" s="19" t="s">
        <v>2229</v>
      </c>
      <c r="DU473" s="19"/>
      <c r="DV473" s="19"/>
      <c r="DW473" s="19" t="s">
        <v>2153</v>
      </c>
      <c r="DX473" s="19">
        <v>12.0</v>
      </c>
      <c r="DY473" s="19">
        <v>10.0</v>
      </c>
      <c r="DZ473" s="19">
        <v>0.0</v>
      </c>
      <c r="EA473" s="19">
        <v>10.0</v>
      </c>
      <c r="EB473" s="19">
        <v>0.0</v>
      </c>
      <c r="EC473" s="19">
        <v>0.0</v>
      </c>
      <c r="ED473" s="19" t="s">
        <v>2133</v>
      </c>
      <c r="EE473" s="24">
        <v>45532.0</v>
      </c>
      <c r="EF473" s="19" t="s">
        <v>2133</v>
      </c>
      <c r="EG473" s="19" t="s">
        <v>2145</v>
      </c>
      <c r="EH473" s="19" t="s">
        <v>2146</v>
      </c>
      <c r="EI473" s="22">
        <v>15.0</v>
      </c>
      <c r="EJ473" s="19">
        <v>36.0</v>
      </c>
      <c r="EK473" s="19" t="s">
        <v>2113</v>
      </c>
      <c r="EL473" s="19" t="s">
        <v>2163</v>
      </c>
      <c r="EM473" s="19" t="s">
        <v>10161</v>
      </c>
      <c r="EN473" s="19" t="s">
        <v>1400</v>
      </c>
      <c r="EO473" s="19" t="s">
        <v>6385</v>
      </c>
      <c r="EP473" s="19" t="s">
        <v>2310</v>
      </c>
      <c r="EQ473" s="19" t="s">
        <v>6390</v>
      </c>
      <c r="ER473" s="19"/>
      <c r="ES473" s="19" t="s">
        <v>1400</v>
      </c>
      <c r="ET473" s="19" t="s">
        <v>1400</v>
      </c>
      <c r="EU473" s="19" t="s">
        <v>10159</v>
      </c>
      <c r="EV473" s="19">
        <v>7942.0</v>
      </c>
      <c r="EW473" s="19" t="s">
        <v>16</v>
      </c>
      <c r="EX473" s="19">
        <v>3.0</v>
      </c>
      <c r="EY473" s="25" t="s">
        <v>1399</v>
      </c>
      <c r="EZ473" s="19" t="s">
        <v>2154</v>
      </c>
      <c r="FA473" s="5" t="s">
        <v>10172</v>
      </c>
      <c r="FB473" s="26" t="s">
        <v>2156</v>
      </c>
      <c r="FC473" s="26"/>
    </row>
    <row r="474">
      <c r="A474" s="19" t="s">
        <v>2112</v>
      </c>
      <c r="B474" s="19"/>
      <c r="C474" s="19" t="s">
        <v>2113</v>
      </c>
      <c r="D474" s="19" t="s">
        <v>1401</v>
      </c>
      <c r="E474" s="19" t="s">
        <v>10173</v>
      </c>
      <c r="F474" s="19" t="s">
        <v>1401</v>
      </c>
      <c r="G474" s="19"/>
      <c r="H474" s="19" t="s">
        <v>1401</v>
      </c>
      <c r="I474" s="19" t="s">
        <v>1403</v>
      </c>
      <c r="J474" s="19" t="s">
        <v>10174</v>
      </c>
      <c r="K474" s="19" t="s">
        <v>10175</v>
      </c>
      <c r="L474" s="20">
        <v>45403.0</v>
      </c>
      <c r="M474" s="20">
        <v>45411.0</v>
      </c>
      <c r="N474" s="20">
        <v>45411.0</v>
      </c>
      <c r="O474" s="19" t="s">
        <v>1402</v>
      </c>
      <c r="P474" s="19">
        <v>0.0</v>
      </c>
      <c r="Q474" s="19">
        <v>19.0</v>
      </c>
      <c r="R474" s="19">
        <v>7128.0</v>
      </c>
      <c r="S474" s="20" t="s">
        <v>10176</v>
      </c>
      <c r="T474" s="20">
        <v>45461.0</v>
      </c>
      <c r="U474" s="19" t="s">
        <v>1401</v>
      </c>
      <c r="V474" s="19"/>
      <c r="W474" s="19"/>
      <c r="X474" s="21">
        <v>0.0</v>
      </c>
      <c r="Y474" s="21">
        <v>10.0</v>
      </c>
      <c r="Z474" s="21">
        <v>3.0</v>
      </c>
      <c r="AA474" s="21">
        <v>0.0</v>
      </c>
      <c r="AB474" s="5">
        <v>13.0</v>
      </c>
      <c r="AC474" s="19">
        <v>5.0</v>
      </c>
      <c r="AD474" s="19">
        <v>5.0</v>
      </c>
      <c r="AE474" s="19">
        <v>5.0</v>
      </c>
      <c r="AF474" s="19">
        <v>5.0</v>
      </c>
      <c r="AG474" s="19">
        <v>5.0</v>
      </c>
      <c r="AH474" s="19">
        <v>5.0</v>
      </c>
      <c r="AI474" s="22">
        <v>15.0</v>
      </c>
      <c r="AJ474" s="19">
        <v>12.0</v>
      </c>
      <c r="AK474" s="19">
        <v>12.0</v>
      </c>
      <c r="AL474" s="19">
        <v>12.0</v>
      </c>
      <c r="AM474" s="19">
        <v>36.0</v>
      </c>
      <c r="AN474" s="19">
        <v>51.0</v>
      </c>
      <c r="AO474" s="19">
        <v>64.0</v>
      </c>
      <c r="AP474" s="19">
        <v>785.0</v>
      </c>
      <c r="AQ474" s="23">
        <v>466.0</v>
      </c>
      <c r="AR474" s="23">
        <v>64.0</v>
      </c>
      <c r="AS474" s="22"/>
      <c r="AT474" s="19" t="s">
        <v>2163</v>
      </c>
      <c r="AU474" s="19" t="s">
        <v>8614</v>
      </c>
      <c r="AV474" s="19" t="s">
        <v>10177</v>
      </c>
      <c r="AW474" s="19"/>
      <c r="AX474" s="20">
        <v>38333.0</v>
      </c>
      <c r="AY474" s="19" t="s">
        <v>2467</v>
      </c>
      <c r="AZ474" s="19" t="s">
        <v>2310</v>
      </c>
      <c r="BA474" s="19" t="s">
        <v>10178</v>
      </c>
      <c r="BB474" s="19" t="s">
        <v>9811</v>
      </c>
      <c r="BC474" s="19" t="s">
        <v>10179</v>
      </c>
      <c r="BD474" s="19" t="s">
        <v>10180</v>
      </c>
      <c r="BE474" s="19" t="s">
        <v>10181</v>
      </c>
      <c r="BF474" s="19">
        <v>1.1964659515E10</v>
      </c>
      <c r="BG474" s="19" t="s">
        <v>2127</v>
      </c>
      <c r="BH474" s="19" t="s">
        <v>2128</v>
      </c>
      <c r="BI474" s="19"/>
      <c r="BJ474" s="19" t="s">
        <v>2128</v>
      </c>
      <c r="BK474" s="19" t="s">
        <v>16</v>
      </c>
      <c r="BL474" s="19"/>
      <c r="BM474" s="19" t="s">
        <v>5411</v>
      </c>
      <c r="BN474" s="19" t="s">
        <v>10182</v>
      </c>
      <c r="BO474" s="19" t="s">
        <v>2473</v>
      </c>
      <c r="BP474" s="19"/>
      <c r="BQ474" s="19" t="s">
        <v>2133</v>
      </c>
      <c r="BR474" s="19" t="s">
        <v>2133</v>
      </c>
      <c r="BS474" s="19" t="s">
        <v>2134</v>
      </c>
      <c r="BT474" s="19" t="s">
        <v>38</v>
      </c>
      <c r="BU474" s="19" t="s">
        <v>10183</v>
      </c>
      <c r="BV474" s="19"/>
      <c r="BW474" s="19"/>
      <c r="BX474" s="19" t="s">
        <v>2113</v>
      </c>
      <c r="BY474" s="19"/>
      <c r="BZ474" s="19" t="s">
        <v>2113</v>
      </c>
      <c r="CA474" s="19"/>
      <c r="CB474" s="19"/>
      <c r="CC474" s="19"/>
      <c r="CD474" s="19" t="s">
        <v>2137</v>
      </c>
      <c r="CE474" s="19" t="s">
        <v>16</v>
      </c>
      <c r="CF474" s="19"/>
      <c r="CG474" s="19"/>
      <c r="CH474" s="19" t="s">
        <v>16</v>
      </c>
      <c r="CI474" s="21">
        <v>0.0</v>
      </c>
      <c r="CJ474" s="19" t="s">
        <v>17</v>
      </c>
      <c r="CK474" s="19"/>
      <c r="CL474" s="19"/>
      <c r="CM474" s="19" t="s">
        <v>2749</v>
      </c>
      <c r="CN474" s="19" t="s">
        <v>2475</v>
      </c>
      <c r="CO474" s="19"/>
      <c r="CP474" s="19" t="s">
        <v>2134</v>
      </c>
      <c r="CQ474" s="19"/>
      <c r="CR474" s="19" t="s">
        <v>2113</v>
      </c>
      <c r="CS474" s="19" t="s">
        <v>2113</v>
      </c>
      <c r="CT474" s="19" t="s">
        <v>2113</v>
      </c>
      <c r="CU474" s="19" t="s">
        <v>2113</v>
      </c>
      <c r="CV474" s="19" t="s">
        <v>2179</v>
      </c>
      <c r="CW474" s="19"/>
      <c r="CX474" s="19"/>
      <c r="CY474" s="19"/>
      <c r="CZ474" s="19"/>
      <c r="DA474" s="19" t="s">
        <v>16</v>
      </c>
      <c r="DB474" s="19" t="s">
        <v>17</v>
      </c>
      <c r="DC474" s="19" t="s">
        <v>3545</v>
      </c>
      <c r="DD474" s="19"/>
      <c r="DE474" s="19"/>
      <c r="DF474" s="19" t="s">
        <v>2433</v>
      </c>
      <c r="DG474" s="19" t="s">
        <v>2602</v>
      </c>
      <c r="DH474" s="19" t="s">
        <v>2144</v>
      </c>
      <c r="DI474" s="24">
        <v>45525.0</v>
      </c>
      <c r="DJ474" s="19" t="s">
        <v>2133</v>
      </c>
      <c r="DK474" s="19" t="s">
        <v>2145</v>
      </c>
      <c r="DL474" s="19" t="s">
        <v>2146</v>
      </c>
      <c r="DM474" s="19" t="s">
        <v>3003</v>
      </c>
      <c r="DN474" s="19">
        <v>9.0</v>
      </c>
      <c r="DO474" s="19">
        <v>9.0</v>
      </c>
      <c r="DP474" s="19"/>
      <c r="DQ474" s="19"/>
      <c r="DR474" s="19"/>
      <c r="DS474" s="19" t="s">
        <v>2185</v>
      </c>
      <c r="DT474" s="19" t="s">
        <v>2301</v>
      </c>
      <c r="DU474" s="19" t="s">
        <v>10184</v>
      </c>
      <c r="DV474" s="19"/>
      <c r="DW474" s="19" t="s">
        <v>2479</v>
      </c>
      <c r="DX474" s="19">
        <v>6.0</v>
      </c>
      <c r="DY474" s="19">
        <v>10.0</v>
      </c>
      <c r="DZ474" s="19">
        <v>0.0</v>
      </c>
      <c r="EA474" s="19">
        <v>10.0</v>
      </c>
      <c r="EB474" s="19">
        <v>0.0</v>
      </c>
      <c r="EC474" s="19">
        <v>0.0</v>
      </c>
      <c r="ED474" s="19" t="s">
        <v>2133</v>
      </c>
      <c r="EE474" s="24">
        <v>45525.0</v>
      </c>
      <c r="EF474" s="19" t="s">
        <v>2133</v>
      </c>
      <c r="EG474" s="19" t="s">
        <v>2145</v>
      </c>
      <c r="EH474" s="19" t="s">
        <v>2146</v>
      </c>
      <c r="EI474" s="22">
        <v>15.0</v>
      </c>
      <c r="EJ474" s="19">
        <v>36.0</v>
      </c>
      <c r="EK474" s="19" t="s">
        <v>2113</v>
      </c>
      <c r="EL474" s="19" t="s">
        <v>2163</v>
      </c>
      <c r="EM474" s="19" t="s">
        <v>8614</v>
      </c>
      <c r="EN474" s="19" t="s">
        <v>1403</v>
      </c>
      <c r="EO474" s="19" t="s">
        <v>2467</v>
      </c>
      <c r="EP474" s="19" t="s">
        <v>2310</v>
      </c>
      <c r="EQ474" s="19" t="s">
        <v>2475</v>
      </c>
      <c r="ER474" s="19"/>
      <c r="ES474" s="19" t="s">
        <v>1403</v>
      </c>
      <c r="ET474" s="19" t="s">
        <v>1403</v>
      </c>
      <c r="EU474" s="19" t="s">
        <v>10175</v>
      </c>
      <c r="EV474" s="19">
        <v>7128.0</v>
      </c>
      <c r="EW474" s="19" t="s">
        <v>16</v>
      </c>
      <c r="EX474" s="19">
        <v>3.0</v>
      </c>
      <c r="EY474" s="25" t="s">
        <v>1402</v>
      </c>
      <c r="EZ474" s="19" t="s">
        <v>2154</v>
      </c>
      <c r="FA474" s="5" t="s">
        <v>10185</v>
      </c>
      <c r="FB474" s="26" t="s">
        <v>2156</v>
      </c>
      <c r="FC474" s="26"/>
    </row>
    <row r="475">
      <c r="A475" s="19" t="s">
        <v>2156</v>
      </c>
      <c r="B475" s="19"/>
      <c r="C475" s="19" t="s">
        <v>2113</v>
      </c>
      <c r="D475" s="19" t="s">
        <v>10186</v>
      </c>
      <c r="E475" s="19" t="s">
        <v>10187</v>
      </c>
      <c r="F475" s="19" t="s">
        <v>1404</v>
      </c>
      <c r="G475" s="19"/>
      <c r="H475" s="19" t="s">
        <v>1404</v>
      </c>
      <c r="I475" s="19" t="s">
        <v>1406</v>
      </c>
      <c r="J475" s="19" t="s">
        <v>10188</v>
      </c>
      <c r="K475" s="19" t="s">
        <v>10189</v>
      </c>
      <c r="L475" s="20">
        <v>45460.0</v>
      </c>
      <c r="M475" s="20">
        <v>45460.0</v>
      </c>
      <c r="N475" s="20">
        <v>45460.0</v>
      </c>
      <c r="O475" s="19" t="s">
        <v>1405</v>
      </c>
      <c r="P475" s="19">
        <v>0.0</v>
      </c>
      <c r="Q475" s="19">
        <v>21.0</v>
      </c>
      <c r="R475" s="19">
        <v>7709.0</v>
      </c>
      <c r="S475" s="20" t="s">
        <v>10190</v>
      </c>
      <c r="T475" s="20">
        <v>45461.0</v>
      </c>
      <c r="U475" s="19" t="s">
        <v>1404</v>
      </c>
      <c r="V475" s="19"/>
      <c r="W475" s="19"/>
      <c r="X475" s="21">
        <v>0.0</v>
      </c>
      <c r="Y475" s="21">
        <v>0.0</v>
      </c>
      <c r="Z475" s="21">
        <v>5.0</v>
      </c>
      <c r="AA475" s="21">
        <v>0.0</v>
      </c>
      <c r="AB475" s="5">
        <v>5.0</v>
      </c>
      <c r="AC475" s="19">
        <v>5.0</v>
      </c>
      <c r="AD475" s="19">
        <v>4.0</v>
      </c>
      <c r="AE475" s="19">
        <v>5.0</v>
      </c>
      <c r="AF475" s="19">
        <v>5.0</v>
      </c>
      <c r="AG475" s="19">
        <v>4.0</v>
      </c>
      <c r="AH475" s="19">
        <v>5.0</v>
      </c>
      <c r="AI475" s="22">
        <v>13.96875</v>
      </c>
      <c r="AJ475" s="19">
        <v>15.0</v>
      </c>
      <c r="AK475" s="19">
        <v>15.0</v>
      </c>
      <c r="AL475" s="19">
        <v>15.0</v>
      </c>
      <c r="AM475" s="19">
        <v>45.0</v>
      </c>
      <c r="AN475" s="19">
        <v>59.0</v>
      </c>
      <c r="AO475" s="19">
        <v>64.0</v>
      </c>
      <c r="AP475" s="19">
        <v>1108.0</v>
      </c>
      <c r="AQ475" s="23">
        <v>467.0</v>
      </c>
      <c r="AR475" s="23">
        <v>42.0</v>
      </c>
      <c r="AS475" s="22"/>
      <c r="AT475" s="19" t="s">
        <v>2117</v>
      </c>
      <c r="AU475" s="19" t="s">
        <v>10191</v>
      </c>
      <c r="AV475" s="19" t="s">
        <v>10192</v>
      </c>
      <c r="AW475" s="19" t="s">
        <v>10193</v>
      </c>
      <c r="AX475" s="20">
        <v>37752.0</v>
      </c>
      <c r="AY475" s="19" t="s">
        <v>2487</v>
      </c>
      <c r="AZ475" s="19" t="s">
        <v>2122</v>
      </c>
      <c r="BA475" s="19" t="s">
        <v>10194</v>
      </c>
      <c r="BB475" s="19" t="s">
        <v>4755</v>
      </c>
      <c r="BC475" s="19" t="s">
        <v>10195</v>
      </c>
      <c r="BD475" s="19" t="s">
        <v>10196</v>
      </c>
      <c r="BE475" s="19" t="s">
        <v>10188</v>
      </c>
      <c r="BF475" s="19" t="s">
        <v>10197</v>
      </c>
      <c r="BG475" s="19" t="s">
        <v>4038</v>
      </c>
      <c r="BH475" s="19" t="s">
        <v>2128</v>
      </c>
      <c r="BI475" s="19"/>
      <c r="BJ475" s="19" t="s">
        <v>2427</v>
      </c>
      <c r="BK475" s="19" t="s">
        <v>17</v>
      </c>
      <c r="BL475" s="19"/>
      <c r="BM475" s="19" t="s">
        <v>5563</v>
      </c>
      <c r="BN475" s="19" t="s">
        <v>4275</v>
      </c>
      <c r="BO475" s="19" t="s">
        <v>2132</v>
      </c>
      <c r="BP475" s="19"/>
      <c r="BQ475" s="19" t="s">
        <v>2325</v>
      </c>
      <c r="BR475" s="19" t="s">
        <v>2325</v>
      </c>
      <c r="BS475" s="19" t="s">
        <v>2134</v>
      </c>
      <c r="BT475" s="19" t="s">
        <v>59</v>
      </c>
      <c r="BU475" s="19" t="s">
        <v>10198</v>
      </c>
      <c r="BV475" s="19"/>
      <c r="BW475" s="19" t="s">
        <v>2113</v>
      </c>
      <c r="BX475" s="19"/>
      <c r="BY475" s="19"/>
      <c r="BZ475" s="19"/>
      <c r="CA475" s="19"/>
      <c r="CB475" s="19" t="s">
        <v>2113</v>
      </c>
      <c r="CC475" s="19"/>
      <c r="CD475" s="19" t="s">
        <v>2137</v>
      </c>
      <c r="CE475" s="19" t="s">
        <v>16</v>
      </c>
      <c r="CF475" s="19"/>
      <c r="CG475" s="19"/>
      <c r="CH475" s="19" t="s">
        <v>16</v>
      </c>
      <c r="CI475" s="21">
        <v>0.0</v>
      </c>
      <c r="CJ475" s="19" t="s">
        <v>16</v>
      </c>
      <c r="CK475" s="19"/>
      <c r="CL475" s="19"/>
      <c r="CM475" s="19" t="s">
        <v>2138</v>
      </c>
      <c r="CN475" s="19" t="s">
        <v>2431</v>
      </c>
      <c r="CO475" s="19"/>
      <c r="CP475" s="19" t="s">
        <v>2246</v>
      </c>
      <c r="CQ475" s="19"/>
      <c r="CR475" s="19" t="s">
        <v>2113</v>
      </c>
      <c r="CS475" s="19" t="s">
        <v>2113</v>
      </c>
      <c r="CT475" s="19" t="s">
        <v>2113</v>
      </c>
      <c r="CU475" s="19" t="s">
        <v>2113</v>
      </c>
      <c r="CV475" s="19" t="s">
        <v>2141</v>
      </c>
      <c r="CW475" s="19"/>
      <c r="CX475" s="19"/>
      <c r="CY475" s="19"/>
      <c r="CZ475" s="19"/>
      <c r="DA475" s="19" t="s">
        <v>16</v>
      </c>
      <c r="DB475" s="19" t="s">
        <v>16</v>
      </c>
      <c r="DC475" s="19" t="s">
        <v>2653</v>
      </c>
      <c r="DD475" s="19" t="s">
        <v>2113</v>
      </c>
      <c r="DE475" s="19" t="s">
        <v>2113</v>
      </c>
      <c r="DF475" s="19" t="s">
        <v>2496</v>
      </c>
      <c r="DG475" s="19" t="s">
        <v>3914</v>
      </c>
      <c r="DH475" s="19" t="s">
        <v>2144</v>
      </c>
      <c r="DI475" s="24">
        <v>45519.0</v>
      </c>
      <c r="DJ475" s="19" t="s">
        <v>2325</v>
      </c>
      <c r="DK475" s="19" t="s">
        <v>2145</v>
      </c>
      <c r="DL475" s="19" t="s">
        <v>2326</v>
      </c>
      <c r="DM475" s="19"/>
      <c r="DN475" s="19">
        <v>5.0</v>
      </c>
      <c r="DO475" s="19">
        <v>5.0</v>
      </c>
      <c r="DP475" s="19" t="s">
        <v>10199</v>
      </c>
      <c r="DQ475" s="19" t="s">
        <v>10200</v>
      </c>
      <c r="DR475" s="19" t="s">
        <v>10201</v>
      </c>
      <c r="DS475" s="19" t="s">
        <v>2185</v>
      </c>
      <c r="DT475" s="19" t="s">
        <v>2209</v>
      </c>
      <c r="DU475" s="19"/>
      <c r="DV475" s="19"/>
      <c r="DW475" s="19" t="s">
        <v>2153</v>
      </c>
      <c r="DX475" s="19">
        <v>3.0</v>
      </c>
      <c r="DY475" s="19">
        <v>0.0</v>
      </c>
      <c r="DZ475" s="19">
        <v>0.0</v>
      </c>
      <c r="EA475" s="19">
        <v>0.0</v>
      </c>
      <c r="EB475" s="19">
        <v>0.0</v>
      </c>
      <c r="EC475" s="19">
        <v>0.0</v>
      </c>
      <c r="ED475" s="19" t="s">
        <v>2325</v>
      </c>
      <c r="EE475" s="24">
        <v>45519.0</v>
      </c>
      <c r="EF475" s="19" t="s">
        <v>2325</v>
      </c>
      <c r="EG475" s="19" t="s">
        <v>2145</v>
      </c>
      <c r="EH475" s="19" t="s">
        <v>2326</v>
      </c>
      <c r="EI475" s="22">
        <v>13.96875</v>
      </c>
      <c r="EJ475" s="19">
        <v>45.0</v>
      </c>
      <c r="EK475" s="19"/>
      <c r="EL475" s="19" t="s">
        <v>2117</v>
      </c>
      <c r="EM475" s="19" t="s">
        <v>10191</v>
      </c>
      <c r="EN475" s="19" t="s">
        <v>1406</v>
      </c>
      <c r="EO475" s="19" t="s">
        <v>2487</v>
      </c>
      <c r="EP475" s="19" t="s">
        <v>2122</v>
      </c>
      <c r="EQ475" s="19" t="s">
        <v>2431</v>
      </c>
      <c r="ER475" s="19"/>
      <c r="ES475" s="19" t="s">
        <v>1406</v>
      </c>
      <c r="ET475" s="19" t="s">
        <v>1406</v>
      </c>
      <c r="EU475" s="19" t="s">
        <v>10189</v>
      </c>
      <c r="EV475" s="19">
        <v>7709.0</v>
      </c>
      <c r="EW475" s="19" t="s">
        <v>16</v>
      </c>
      <c r="EX475" s="19">
        <v>5.0</v>
      </c>
      <c r="EY475" s="25" t="s">
        <v>1405</v>
      </c>
      <c r="EZ475" s="19" t="s">
        <v>2154</v>
      </c>
      <c r="FA475" s="5" t="s">
        <v>10202</v>
      </c>
      <c r="FB475" s="26" t="s">
        <v>2156</v>
      </c>
      <c r="FC475" s="26"/>
    </row>
    <row r="476">
      <c r="A476" s="19" t="s">
        <v>2156</v>
      </c>
      <c r="B476" s="19"/>
      <c r="C476" s="19" t="s">
        <v>2113</v>
      </c>
      <c r="D476" s="19" t="s">
        <v>1407</v>
      </c>
      <c r="E476" s="19" t="s">
        <v>10203</v>
      </c>
      <c r="F476" s="19" t="s">
        <v>10204</v>
      </c>
      <c r="G476" s="19" t="s">
        <v>10205</v>
      </c>
      <c r="H476" s="19" t="s">
        <v>1407</v>
      </c>
      <c r="I476" s="19" t="s">
        <v>1409</v>
      </c>
      <c r="J476" s="19" t="s">
        <v>10206</v>
      </c>
      <c r="K476" s="19" t="s">
        <v>10207</v>
      </c>
      <c r="L476" s="20">
        <v>45456.0</v>
      </c>
      <c r="M476" s="20">
        <v>45457.0</v>
      </c>
      <c r="N476" s="20">
        <v>45457.0</v>
      </c>
      <c r="O476" s="19" t="s">
        <v>1408</v>
      </c>
      <c r="P476" s="19">
        <v>0.0</v>
      </c>
      <c r="Q476" s="19">
        <v>20.0</v>
      </c>
      <c r="R476" s="19">
        <v>7433.0</v>
      </c>
      <c r="S476" s="20" t="s">
        <v>10208</v>
      </c>
      <c r="T476" s="20">
        <v>45461.0</v>
      </c>
      <c r="U476" s="19" t="s">
        <v>10204</v>
      </c>
      <c r="V476" s="19"/>
      <c r="W476" s="19"/>
      <c r="X476" s="21">
        <v>0.0</v>
      </c>
      <c r="Y476" s="21">
        <v>10.0</v>
      </c>
      <c r="Z476" s="21">
        <v>2.0</v>
      </c>
      <c r="AA476" s="21">
        <v>0.0</v>
      </c>
      <c r="AB476" s="5">
        <v>12.0</v>
      </c>
      <c r="AC476" s="19">
        <v>4.0</v>
      </c>
      <c r="AD476" s="19">
        <v>4.0</v>
      </c>
      <c r="AE476" s="19">
        <v>5.0</v>
      </c>
      <c r="AF476" s="19">
        <v>5.0</v>
      </c>
      <c r="AG476" s="19">
        <v>5.0</v>
      </c>
      <c r="AH476" s="19">
        <v>5.0</v>
      </c>
      <c r="AI476" s="22">
        <v>13.875</v>
      </c>
      <c r="AJ476" s="23">
        <v>15.0</v>
      </c>
      <c r="AK476" s="23">
        <v>11.0</v>
      </c>
      <c r="AL476" s="23">
        <v>12.0</v>
      </c>
      <c r="AM476" s="23">
        <v>38.0</v>
      </c>
      <c r="AN476" s="23">
        <v>51.9</v>
      </c>
      <c r="AO476" s="19">
        <f>AN476+AB476</f>
        <v>63.9</v>
      </c>
      <c r="AP476" s="19">
        <v>879.0</v>
      </c>
      <c r="AQ476" s="23">
        <v>468.0</v>
      </c>
      <c r="AR476" s="23">
        <v>52.0</v>
      </c>
      <c r="AS476" s="22"/>
      <c r="AT476" s="19" t="s">
        <v>2117</v>
      </c>
      <c r="AU476" s="19" t="s">
        <v>7441</v>
      </c>
      <c r="AV476" s="19" t="s">
        <v>10209</v>
      </c>
      <c r="AW476" s="19"/>
      <c r="AX476" s="20">
        <v>38028.0</v>
      </c>
      <c r="AY476" s="19" t="s">
        <v>3193</v>
      </c>
      <c r="AZ476" s="19" t="s">
        <v>2310</v>
      </c>
      <c r="BA476" s="19" t="s">
        <v>10210</v>
      </c>
      <c r="BB476" s="19" t="s">
        <v>4683</v>
      </c>
      <c r="BC476" s="19" t="s">
        <v>10211</v>
      </c>
      <c r="BD476" s="19" t="s">
        <v>10212</v>
      </c>
      <c r="BE476" s="19"/>
      <c r="BF476" s="19"/>
      <c r="BG476" s="19" t="s">
        <v>2127</v>
      </c>
      <c r="BH476" s="19" t="s">
        <v>2128</v>
      </c>
      <c r="BI476" s="19"/>
      <c r="BJ476" s="19" t="s">
        <v>2128</v>
      </c>
      <c r="BK476" s="19" t="s">
        <v>16</v>
      </c>
      <c r="BL476" s="19"/>
      <c r="BM476" s="19" t="s">
        <v>5411</v>
      </c>
      <c r="BN476" s="19" t="s">
        <v>10213</v>
      </c>
      <c r="BO476" s="19" t="s">
        <v>3199</v>
      </c>
      <c r="BP476" s="19" t="s">
        <v>10214</v>
      </c>
      <c r="BQ476" s="19" t="s">
        <v>2133</v>
      </c>
      <c r="BR476" s="19" t="s">
        <v>2133</v>
      </c>
      <c r="BS476" s="19" t="s">
        <v>2243</v>
      </c>
      <c r="BT476" s="19" t="s">
        <v>15</v>
      </c>
      <c r="BU476" s="19" t="s">
        <v>10215</v>
      </c>
      <c r="BV476" s="19"/>
      <c r="BW476" s="19"/>
      <c r="BX476" s="19"/>
      <c r="BY476" s="19"/>
      <c r="BZ476" s="19"/>
      <c r="CA476" s="19" t="s">
        <v>2113</v>
      </c>
      <c r="CB476" s="19"/>
      <c r="CC476" s="19"/>
      <c r="CD476" s="19" t="s">
        <v>2137</v>
      </c>
      <c r="CE476" s="19" t="s">
        <v>16</v>
      </c>
      <c r="CF476" s="19"/>
      <c r="CG476" s="19"/>
      <c r="CH476" s="19" t="s">
        <v>16</v>
      </c>
      <c r="CI476" s="21">
        <v>0.0</v>
      </c>
      <c r="CJ476" s="19" t="s">
        <v>17</v>
      </c>
      <c r="CK476" s="19"/>
      <c r="CL476" s="19"/>
      <c r="CM476" s="19" t="s">
        <v>2344</v>
      </c>
      <c r="CN476" s="19" t="s">
        <v>3202</v>
      </c>
      <c r="CO476" s="19"/>
      <c r="CP476" s="19" t="s">
        <v>2267</v>
      </c>
      <c r="CQ476" s="19"/>
      <c r="CR476" s="19" t="s">
        <v>2113</v>
      </c>
      <c r="CS476" s="19" t="s">
        <v>2113</v>
      </c>
      <c r="CT476" s="19" t="s">
        <v>2113</v>
      </c>
      <c r="CU476" s="19" t="s">
        <v>2113</v>
      </c>
      <c r="CV476" s="19" t="s">
        <v>2141</v>
      </c>
      <c r="CW476" s="19"/>
      <c r="CX476" s="19"/>
      <c r="CY476" s="19" t="s">
        <v>2113</v>
      </c>
      <c r="CZ476" s="19" t="s">
        <v>2113</v>
      </c>
      <c r="DA476" s="19" t="s">
        <v>16</v>
      </c>
      <c r="DB476" s="19" t="s">
        <v>17</v>
      </c>
      <c r="DC476" s="19" t="s">
        <v>3337</v>
      </c>
      <c r="DD476" s="19" t="s">
        <v>2113</v>
      </c>
      <c r="DE476" s="19" t="s">
        <v>2113</v>
      </c>
      <c r="DF476" s="19" t="s">
        <v>10010</v>
      </c>
      <c r="DG476" s="19" t="s">
        <v>2405</v>
      </c>
      <c r="DH476" s="19" t="s">
        <v>2580</v>
      </c>
      <c r="DI476" s="24">
        <v>45517.0</v>
      </c>
      <c r="DJ476" s="19" t="s">
        <v>2133</v>
      </c>
      <c r="DK476" s="19" t="s">
        <v>2145</v>
      </c>
      <c r="DL476" s="19" t="s">
        <v>2146</v>
      </c>
      <c r="DM476" s="19" t="s">
        <v>3021</v>
      </c>
      <c r="DN476" s="19">
        <v>1.0</v>
      </c>
      <c r="DO476" s="19">
        <v>1.0</v>
      </c>
      <c r="DP476" s="19" t="s">
        <v>10216</v>
      </c>
      <c r="DQ476" s="19" t="s">
        <v>10217</v>
      </c>
      <c r="DR476" s="19" t="s">
        <v>10218</v>
      </c>
      <c r="DS476" s="19" t="s">
        <v>2365</v>
      </c>
      <c r="DT476" s="19" t="s">
        <v>2366</v>
      </c>
      <c r="DU476" s="19"/>
      <c r="DV476" s="19"/>
      <c r="DW476" s="19" t="s">
        <v>2153</v>
      </c>
      <c r="DX476" s="19">
        <v>7.0</v>
      </c>
      <c r="DY476" s="19">
        <v>10.0</v>
      </c>
      <c r="DZ476" s="23">
        <v>0.0</v>
      </c>
      <c r="EA476" s="19" t="e">
        <v>#REF!</v>
      </c>
      <c r="EB476" s="23">
        <v>0.0</v>
      </c>
      <c r="EC476" s="19" t="e">
        <v>#REF!</v>
      </c>
      <c r="ED476" s="19" t="s">
        <v>2133</v>
      </c>
      <c r="EE476" s="24">
        <v>45517.0</v>
      </c>
      <c r="EF476" s="19" t="s">
        <v>2133</v>
      </c>
      <c r="EG476" s="19" t="s">
        <v>2145</v>
      </c>
      <c r="EH476" s="19" t="s">
        <v>2146</v>
      </c>
      <c r="EI476" s="22">
        <v>13.875</v>
      </c>
      <c r="EJ476" s="19" t="e">
        <v>#REF!</v>
      </c>
      <c r="EK476" s="19" t="s">
        <v>2113</v>
      </c>
      <c r="EL476" s="19" t="s">
        <v>2117</v>
      </c>
      <c r="EM476" s="19" t="s">
        <v>7441</v>
      </c>
      <c r="EN476" s="19" t="s">
        <v>1409</v>
      </c>
      <c r="EO476" s="19" t="s">
        <v>3193</v>
      </c>
      <c r="EP476" s="19" t="s">
        <v>2310</v>
      </c>
      <c r="EQ476" s="19" t="s">
        <v>3202</v>
      </c>
      <c r="ER476" s="19"/>
      <c r="ES476" s="19" t="s">
        <v>1409</v>
      </c>
      <c r="ET476" s="19" t="s">
        <v>1409</v>
      </c>
      <c r="EU476" s="19" t="s">
        <v>10207</v>
      </c>
      <c r="EV476" s="19" t="e">
        <v>#REF!</v>
      </c>
      <c r="EW476" s="19" t="s">
        <v>16</v>
      </c>
      <c r="EX476" s="19" t="e">
        <v>#REF!</v>
      </c>
      <c r="EY476" s="25" t="s">
        <v>1408</v>
      </c>
      <c r="EZ476" s="19" t="s">
        <v>2154</v>
      </c>
      <c r="FA476" s="5" t="s">
        <v>10219</v>
      </c>
      <c r="FB476" s="26" t="s">
        <v>2156</v>
      </c>
      <c r="FC476" s="26"/>
    </row>
    <row r="477">
      <c r="A477" s="19" t="s">
        <v>2112</v>
      </c>
      <c r="B477" s="19"/>
      <c r="C477" s="19" t="s">
        <v>2113</v>
      </c>
      <c r="D477" s="19" t="s">
        <v>1410</v>
      </c>
      <c r="E477" s="19" t="s">
        <v>10220</v>
      </c>
      <c r="F477" s="19" t="s">
        <v>10221</v>
      </c>
      <c r="G477" s="19" t="s">
        <v>10220</v>
      </c>
      <c r="H477" s="19" t="s">
        <v>1410</v>
      </c>
      <c r="I477" s="19" t="s">
        <v>1412</v>
      </c>
      <c r="J477" s="19" t="s">
        <v>10222</v>
      </c>
      <c r="K477" s="19" t="s">
        <v>10223</v>
      </c>
      <c r="L477" s="20">
        <v>45460.0</v>
      </c>
      <c r="M477" s="20">
        <v>45462.0</v>
      </c>
      <c r="N477" s="20">
        <v>45462.0</v>
      </c>
      <c r="O477" s="19" t="s">
        <v>1411</v>
      </c>
      <c r="P477" s="19">
        <v>0.0</v>
      </c>
      <c r="Q477" s="19">
        <v>23.0</v>
      </c>
      <c r="R477" s="19">
        <v>8504.0</v>
      </c>
      <c r="S477" s="20" t="s">
        <v>10224</v>
      </c>
      <c r="T477" s="20">
        <v>45461.0</v>
      </c>
      <c r="U477" s="19" t="s">
        <v>10221</v>
      </c>
      <c r="V477" s="19"/>
      <c r="W477" s="19"/>
      <c r="X477" s="21">
        <v>0.0</v>
      </c>
      <c r="Y477" s="21">
        <v>0.0</v>
      </c>
      <c r="Z477" s="21">
        <v>5.0</v>
      </c>
      <c r="AA477" s="21">
        <v>0.0</v>
      </c>
      <c r="AB477" s="5">
        <v>5.0</v>
      </c>
      <c r="AC477" s="19">
        <v>4.4</v>
      </c>
      <c r="AD477" s="19">
        <v>4.6</v>
      </c>
      <c r="AE477" s="19">
        <v>4.6</v>
      </c>
      <c r="AF477" s="19">
        <v>4.4</v>
      </c>
      <c r="AG477" s="19">
        <v>5.0</v>
      </c>
      <c r="AH477" s="19">
        <v>4.8</v>
      </c>
      <c r="AI477" s="22">
        <v>13.856249999999998</v>
      </c>
      <c r="AJ477" s="19">
        <v>15.0</v>
      </c>
      <c r="AK477" s="19">
        <v>15.0</v>
      </c>
      <c r="AL477" s="19">
        <v>15.0</v>
      </c>
      <c r="AM477" s="19">
        <v>45.0</v>
      </c>
      <c r="AN477" s="19">
        <v>58.9</v>
      </c>
      <c r="AO477" s="19">
        <v>63.9</v>
      </c>
      <c r="AP477" s="19">
        <v>1076.0</v>
      </c>
      <c r="AQ477" s="23">
        <v>469.0</v>
      </c>
      <c r="AR477" s="23">
        <v>55.0</v>
      </c>
      <c r="AS477" s="22"/>
      <c r="AT477" s="19" t="s">
        <v>2163</v>
      </c>
      <c r="AU477" s="19" t="s">
        <v>7074</v>
      </c>
      <c r="AV477" s="19" t="s">
        <v>10225</v>
      </c>
      <c r="AW477" s="19" t="s">
        <v>2166</v>
      </c>
      <c r="AX477" s="20">
        <v>36957.0</v>
      </c>
      <c r="AY477" s="19" t="s">
        <v>5516</v>
      </c>
      <c r="AZ477" s="19" t="s">
        <v>2122</v>
      </c>
      <c r="BA477" s="19" t="s">
        <v>10226</v>
      </c>
      <c r="BB477" s="19" t="s">
        <v>7193</v>
      </c>
      <c r="BC477" s="19" t="s">
        <v>10227</v>
      </c>
      <c r="BD477" s="19" t="s">
        <v>10228</v>
      </c>
      <c r="BE477" s="19"/>
      <c r="BF477" s="19"/>
      <c r="BG477" s="19" t="s">
        <v>4038</v>
      </c>
      <c r="BH477" s="19" t="s">
        <v>2128</v>
      </c>
      <c r="BI477" s="19"/>
      <c r="BJ477" s="19" t="s">
        <v>2427</v>
      </c>
      <c r="BK477" s="19" t="s">
        <v>17</v>
      </c>
      <c r="BL477" s="19"/>
      <c r="BM477" s="19" t="s">
        <v>5411</v>
      </c>
      <c r="BN477" s="19" t="s">
        <v>2172</v>
      </c>
      <c r="BO477" s="19" t="s">
        <v>2132</v>
      </c>
      <c r="BP477" s="19" t="s">
        <v>10229</v>
      </c>
      <c r="BQ477" s="19" t="s">
        <v>2174</v>
      </c>
      <c r="BR477" s="19" t="s">
        <v>2174</v>
      </c>
      <c r="BS477" s="19" t="s">
        <v>2134</v>
      </c>
      <c r="BT477" s="19" t="s">
        <v>21</v>
      </c>
      <c r="BU477" s="19"/>
      <c r="BV477" s="19"/>
      <c r="BW477" s="19"/>
      <c r="BX477" s="19"/>
      <c r="BY477" s="19"/>
      <c r="BZ477" s="19"/>
      <c r="CA477" s="19"/>
      <c r="CB477" s="19" t="s">
        <v>2113</v>
      </c>
      <c r="CC477" s="19"/>
      <c r="CD477" s="19" t="s">
        <v>2137</v>
      </c>
      <c r="CE477" s="19" t="s">
        <v>16</v>
      </c>
      <c r="CF477" s="19"/>
      <c r="CG477" s="19"/>
      <c r="CH477" s="19" t="s">
        <v>16</v>
      </c>
      <c r="CI477" s="21">
        <v>0.0</v>
      </c>
      <c r="CJ477" s="19" t="s">
        <v>17</v>
      </c>
      <c r="CK477" s="19"/>
      <c r="CL477" s="19" t="s">
        <v>2113</v>
      </c>
      <c r="CM477" s="19" t="s">
        <v>2138</v>
      </c>
      <c r="CN477" s="19" t="s">
        <v>2176</v>
      </c>
      <c r="CO477" s="19" t="s">
        <v>2177</v>
      </c>
      <c r="CP477" s="19" t="s">
        <v>2246</v>
      </c>
      <c r="CQ477" s="19"/>
      <c r="CR477" s="19"/>
      <c r="CS477" s="19"/>
      <c r="CT477" s="19" t="s">
        <v>2113</v>
      </c>
      <c r="CU477" s="19" t="s">
        <v>2113</v>
      </c>
      <c r="CV477" s="19" t="s">
        <v>2179</v>
      </c>
      <c r="CW477" s="19" t="s">
        <v>2113</v>
      </c>
      <c r="CX477" s="19" t="s">
        <v>2113</v>
      </c>
      <c r="CY477" s="19" t="s">
        <v>2113</v>
      </c>
      <c r="CZ477" s="19" t="s">
        <v>2113</v>
      </c>
      <c r="DA477" s="19" t="s">
        <v>16</v>
      </c>
      <c r="DB477" s="19" t="s">
        <v>17</v>
      </c>
      <c r="DC477" s="19" t="s">
        <v>2345</v>
      </c>
      <c r="DD477" s="19" t="s">
        <v>2113</v>
      </c>
      <c r="DE477" s="19" t="s">
        <v>2113</v>
      </c>
      <c r="DF477" s="19" t="s">
        <v>2769</v>
      </c>
      <c r="DG477" s="19" t="s">
        <v>7081</v>
      </c>
      <c r="DH477" s="19" t="s">
        <v>2144</v>
      </c>
      <c r="DI477" s="24">
        <v>45517.0</v>
      </c>
      <c r="DJ477" s="19" t="s">
        <v>2174</v>
      </c>
      <c r="DK477" s="19" t="s">
        <v>2145</v>
      </c>
      <c r="DL477" s="19" t="s">
        <v>2183</v>
      </c>
      <c r="DM477" s="19" t="s">
        <v>2184</v>
      </c>
      <c r="DN477" s="19">
        <v>1.0</v>
      </c>
      <c r="DO477" s="19">
        <v>1.0</v>
      </c>
      <c r="DP477" s="19"/>
      <c r="DQ477" s="19"/>
      <c r="DR477" s="19"/>
      <c r="DS477" s="19" t="s">
        <v>2185</v>
      </c>
      <c r="DT477" s="19" t="s">
        <v>2186</v>
      </c>
      <c r="DU477" s="19" t="s">
        <v>10230</v>
      </c>
      <c r="DV477" s="19"/>
      <c r="DW477" s="19" t="s">
        <v>2188</v>
      </c>
      <c r="DX477" s="19">
        <v>5.0</v>
      </c>
      <c r="DY477" s="19">
        <v>0.0</v>
      </c>
      <c r="DZ477" s="19">
        <v>0.0</v>
      </c>
      <c r="EA477" s="19">
        <v>0.0</v>
      </c>
      <c r="EB477" s="19">
        <v>0.0</v>
      </c>
      <c r="EC477" s="19">
        <v>0.0</v>
      </c>
      <c r="ED477" s="19" t="s">
        <v>2174</v>
      </c>
      <c r="EE477" s="24">
        <v>45517.0</v>
      </c>
      <c r="EF477" s="19" t="s">
        <v>2174</v>
      </c>
      <c r="EG477" s="19" t="s">
        <v>2145</v>
      </c>
      <c r="EH477" s="19" t="s">
        <v>2183</v>
      </c>
      <c r="EI477" s="22">
        <v>13.856249999999998</v>
      </c>
      <c r="EJ477" s="19">
        <v>45.0</v>
      </c>
      <c r="EK477" s="19" t="s">
        <v>2113</v>
      </c>
      <c r="EL477" s="19" t="s">
        <v>2163</v>
      </c>
      <c r="EM477" s="19" t="s">
        <v>7074</v>
      </c>
      <c r="EN477" s="19" t="s">
        <v>1412</v>
      </c>
      <c r="EO477" s="19" t="s">
        <v>5516</v>
      </c>
      <c r="EP477" s="19" t="s">
        <v>2122</v>
      </c>
      <c r="EQ477" s="19" t="s">
        <v>2176</v>
      </c>
      <c r="ER477" s="19" t="s">
        <v>2177</v>
      </c>
      <c r="ES477" s="19" t="s">
        <v>1412</v>
      </c>
      <c r="ET477" s="19" t="s">
        <v>1412</v>
      </c>
      <c r="EU477" s="19" t="s">
        <v>10223</v>
      </c>
      <c r="EV477" s="19">
        <v>8504.0</v>
      </c>
      <c r="EW477" s="19" t="s">
        <v>16</v>
      </c>
      <c r="EX477" s="19">
        <v>5.0</v>
      </c>
      <c r="EY477" s="25" t="s">
        <v>1411</v>
      </c>
      <c r="EZ477" s="19" t="s">
        <v>2154</v>
      </c>
      <c r="FA477" s="5" t="s">
        <v>10231</v>
      </c>
      <c r="FB477" s="26" t="s">
        <v>2156</v>
      </c>
      <c r="FC477" s="26"/>
    </row>
    <row r="478">
      <c r="A478" s="19" t="s">
        <v>2112</v>
      </c>
      <c r="B478" s="19"/>
      <c r="C478" s="19" t="s">
        <v>2113</v>
      </c>
      <c r="D478" s="19" t="s">
        <v>10232</v>
      </c>
      <c r="E478" s="19" t="s">
        <v>10233</v>
      </c>
      <c r="F478" s="19" t="s">
        <v>10232</v>
      </c>
      <c r="G478" s="19"/>
      <c r="H478" s="19" t="s">
        <v>1413</v>
      </c>
      <c r="I478" s="19" t="s">
        <v>1415</v>
      </c>
      <c r="J478" s="19" t="s">
        <v>10234</v>
      </c>
      <c r="K478" s="19" t="s">
        <v>10235</v>
      </c>
      <c r="L478" s="20">
        <v>45445.0</v>
      </c>
      <c r="M478" s="20">
        <v>45446.0</v>
      </c>
      <c r="N478" s="20">
        <v>45446.0</v>
      </c>
      <c r="O478" s="19" t="s">
        <v>1414</v>
      </c>
      <c r="P478" s="19">
        <v>0.0</v>
      </c>
      <c r="Q478" s="19">
        <v>18.0</v>
      </c>
      <c r="R478" s="19">
        <v>6913.0</v>
      </c>
      <c r="S478" s="20" t="s">
        <v>10236</v>
      </c>
      <c r="T478" s="20">
        <v>45461.0</v>
      </c>
      <c r="U478" s="19" t="s">
        <v>10232</v>
      </c>
      <c r="V478" s="19"/>
      <c r="W478" s="19"/>
      <c r="X478" s="21">
        <v>0.0</v>
      </c>
      <c r="Y478" s="21">
        <v>10.0</v>
      </c>
      <c r="Z478" s="21">
        <v>2.0</v>
      </c>
      <c r="AA478" s="21">
        <v>0.0</v>
      </c>
      <c r="AB478" s="5">
        <v>12.0</v>
      </c>
      <c r="AC478" s="19">
        <v>3.5</v>
      </c>
      <c r="AD478" s="19">
        <v>2.5</v>
      </c>
      <c r="AE478" s="19">
        <v>4.0</v>
      </c>
      <c r="AF478" s="19">
        <v>3.0</v>
      </c>
      <c r="AG478" s="19">
        <v>3.0</v>
      </c>
      <c r="AH478" s="19">
        <v>3.5</v>
      </c>
      <c r="AI478" s="22">
        <v>9.84375</v>
      </c>
      <c r="AJ478" s="19">
        <v>15.0</v>
      </c>
      <c r="AK478" s="19">
        <v>15.0</v>
      </c>
      <c r="AL478" s="19">
        <v>12.0</v>
      </c>
      <c r="AM478" s="19">
        <v>42.0</v>
      </c>
      <c r="AN478" s="19">
        <v>51.8</v>
      </c>
      <c r="AO478" s="19">
        <v>63.8</v>
      </c>
      <c r="AP478" s="19">
        <v>898.0</v>
      </c>
      <c r="AQ478" s="23">
        <v>470.0</v>
      </c>
      <c r="AR478" s="23">
        <v>15.0</v>
      </c>
      <c r="AS478" s="19" t="s">
        <v>10237</v>
      </c>
      <c r="AT478" s="19" t="s">
        <v>2282</v>
      </c>
      <c r="AU478" s="19" t="s">
        <v>10238</v>
      </c>
      <c r="AV478" s="19" t="s">
        <v>10239</v>
      </c>
      <c r="AW478" s="19" t="s">
        <v>10240</v>
      </c>
      <c r="AX478" s="20">
        <v>38548.0</v>
      </c>
      <c r="AY478" s="19" t="s">
        <v>177</v>
      </c>
      <c r="AZ478" s="19" t="s">
        <v>2310</v>
      </c>
      <c r="BA478" s="19" t="s">
        <v>10241</v>
      </c>
      <c r="BB478" s="19" t="s">
        <v>3195</v>
      </c>
      <c r="BC478" s="19" t="s">
        <v>10242</v>
      </c>
      <c r="BD478" s="19" t="s">
        <v>10243</v>
      </c>
      <c r="BE478" s="19" t="s">
        <v>10244</v>
      </c>
      <c r="BF478" s="19">
        <v>1.1944403484E10</v>
      </c>
      <c r="BG478" s="19" t="s">
        <v>2127</v>
      </c>
      <c r="BH478" s="19" t="s">
        <v>2649</v>
      </c>
      <c r="BI478" s="19"/>
      <c r="BJ478" s="19"/>
      <c r="BK478" s="19" t="s">
        <v>16</v>
      </c>
      <c r="BL478" s="19"/>
      <c r="BM478" s="19" t="s">
        <v>5411</v>
      </c>
      <c r="BN478" s="19" t="s">
        <v>2172</v>
      </c>
      <c r="BO478" s="19" t="s">
        <v>3199</v>
      </c>
      <c r="BP478" s="19" t="s">
        <v>10245</v>
      </c>
      <c r="BQ478" s="19" t="s">
        <v>3251</v>
      </c>
      <c r="BR478" s="19" t="s">
        <v>3251</v>
      </c>
      <c r="BS478" s="19" t="s">
        <v>2134</v>
      </c>
      <c r="BT478" s="19" t="s">
        <v>177</v>
      </c>
      <c r="BU478" s="19"/>
      <c r="BV478" s="19"/>
      <c r="BW478" s="19" t="s">
        <v>2113</v>
      </c>
      <c r="BX478" s="19"/>
      <c r="BY478" s="19"/>
      <c r="BZ478" s="19"/>
      <c r="CA478" s="19"/>
      <c r="CB478" s="19"/>
      <c r="CC478" s="19"/>
      <c r="CD478" s="19" t="s">
        <v>2137</v>
      </c>
      <c r="CE478" s="19" t="s">
        <v>16</v>
      </c>
      <c r="CF478" s="19"/>
      <c r="CG478" s="19"/>
      <c r="CH478" s="19" t="s">
        <v>16</v>
      </c>
      <c r="CI478" s="21">
        <v>0.0</v>
      </c>
      <c r="CJ478" s="19" t="s">
        <v>16</v>
      </c>
      <c r="CK478" s="19"/>
      <c r="CL478" s="19"/>
      <c r="CM478" s="19" t="s">
        <v>2926</v>
      </c>
      <c r="CN478" s="19" t="s">
        <v>3253</v>
      </c>
      <c r="CO478" s="19"/>
      <c r="CP478" s="19" t="s">
        <v>2134</v>
      </c>
      <c r="CQ478" s="19"/>
      <c r="CR478" s="19" t="s">
        <v>2113</v>
      </c>
      <c r="CS478" s="19" t="s">
        <v>2113</v>
      </c>
      <c r="CT478" s="19"/>
      <c r="CU478" s="19"/>
      <c r="CV478" s="19" t="s">
        <v>2179</v>
      </c>
      <c r="CW478" s="19" t="s">
        <v>2113</v>
      </c>
      <c r="CX478" s="19" t="s">
        <v>2113</v>
      </c>
      <c r="CY478" s="19" t="s">
        <v>2113</v>
      </c>
      <c r="CZ478" s="19" t="s">
        <v>2113</v>
      </c>
      <c r="DA478" s="19" t="s">
        <v>16</v>
      </c>
      <c r="DB478" s="19" t="s">
        <v>16</v>
      </c>
      <c r="DC478" s="19" t="s">
        <v>2804</v>
      </c>
      <c r="DD478" s="19"/>
      <c r="DE478" s="19"/>
      <c r="DF478" s="19" t="s">
        <v>2248</v>
      </c>
      <c r="DG478" s="19" t="s">
        <v>2433</v>
      </c>
      <c r="DH478" s="19" t="s">
        <v>2144</v>
      </c>
      <c r="DI478" s="24">
        <v>45533.0</v>
      </c>
      <c r="DJ478" s="19" t="s">
        <v>3257</v>
      </c>
      <c r="DK478" s="19" t="s">
        <v>2271</v>
      </c>
      <c r="DL478" s="19" t="s">
        <v>2207</v>
      </c>
      <c r="DM478" s="19" t="s">
        <v>4927</v>
      </c>
      <c r="DN478" s="19">
        <v>2.0</v>
      </c>
      <c r="DO478" s="19">
        <v>2.0</v>
      </c>
      <c r="DP478" s="19"/>
      <c r="DQ478" s="19"/>
      <c r="DR478" s="19"/>
      <c r="DS478" s="19" t="s">
        <v>2365</v>
      </c>
      <c r="DT478" s="19" t="s">
        <v>2209</v>
      </c>
      <c r="DU478" s="19" t="s">
        <v>10246</v>
      </c>
      <c r="DV478" s="19" t="s">
        <v>3357</v>
      </c>
      <c r="DW478" s="19" t="s">
        <v>2188</v>
      </c>
      <c r="DX478" s="19">
        <v>10.0</v>
      </c>
      <c r="DY478" s="19">
        <v>10.0</v>
      </c>
      <c r="DZ478" s="19">
        <v>0.0</v>
      </c>
      <c r="EA478" s="19">
        <v>10.0</v>
      </c>
      <c r="EB478" s="19">
        <v>0.0</v>
      </c>
      <c r="EC478" s="19">
        <v>0.0</v>
      </c>
      <c r="ED478" s="19" t="s">
        <v>3257</v>
      </c>
      <c r="EE478" s="24">
        <v>45533.0</v>
      </c>
      <c r="EF478" s="19" t="s">
        <v>3257</v>
      </c>
      <c r="EG478" s="19" t="s">
        <v>2271</v>
      </c>
      <c r="EH478" s="19" t="s">
        <v>2207</v>
      </c>
      <c r="EI478" s="22">
        <v>9.84375</v>
      </c>
      <c r="EJ478" s="19">
        <v>42.0</v>
      </c>
      <c r="EK478" s="19"/>
      <c r="EL478" s="19" t="s">
        <v>2282</v>
      </c>
      <c r="EM478" s="19" t="s">
        <v>10238</v>
      </c>
      <c r="EN478" s="19" t="s">
        <v>1415</v>
      </c>
      <c r="EO478" s="19" t="s">
        <v>177</v>
      </c>
      <c r="EP478" s="19" t="s">
        <v>2310</v>
      </c>
      <c r="EQ478" s="19" t="s">
        <v>3253</v>
      </c>
      <c r="ER478" s="19"/>
      <c r="ES478" s="19" t="s">
        <v>1415</v>
      </c>
      <c r="ET478" s="19" t="s">
        <v>1415</v>
      </c>
      <c r="EU478" s="19" t="s">
        <v>10235</v>
      </c>
      <c r="EV478" s="19">
        <v>6913.0</v>
      </c>
      <c r="EW478" s="19" t="s">
        <v>16</v>
      </c>
      <c r="EX478" s="19">
        <v>2.0</v>
      </c>
      <c r="EY478" s="25" t="s">
        <v>1414</v>
      </c>
      <c r="EZ478" s="19" t="s">
        <v>2154</v>
      </c>
      <c r="FA478" s="5" t="s">
        <v>10247</v>
      </c>
      <c r="FB478" s="26" t="s">
        <v>2156</v>
      </c>
      <c r="FC478" s="26"/>
    </row>
    <row r="479">
      <c r="A479" s="19" t="s">
        <v>2112</v>
      </c>
      <c r="B479" s="19"/>
      <c r="C479" s="19" t="s">
        <v>2113</v>
      </c>
      <c r="D479" s="19" t="s">
        <v>10248</v>
      </c>
      <c r="E479" s="19" t="s">
        <v>10249</v>
      </c>
      <c r="F479" s="19" t="s">
        <v>10248</v>
      </c>
      <c r="G479" s="19"/>
      <c r="H479" s="19" t="s">
        <v>1416</v>
      </c>
      <c r="I479" s="19" t="s">
        <v>1418</v>
      </c>
      <c r="J479" s="19" t="s">
        <v>10250</v>
      </c>
      <c r="K479" s="19" t="s">
        <v>10251</v>
      </c>
      <c r="L479" s="20">
        <v>45419.0</v>
      </c>
      <c r="M479" s="20">
        <v>45428.0</v>
      </c>
      <c r="N479" s="20">
        <v>45428.0</v>
      </c>
      <c r="O479" s="19" t="s">
        <v>1417</v>
      </c>
      <c r="P479" s="19">
        <v>0.0</v>
      </c>
      <c r="Q479" s="19">
        <v>18.0</v>
      </c>
      <c r="R479" s="19">
        <v>6690.0</v>
      </c>
      <c r="S479" s="20" t="s">
        <v>10252</v>
      </c>
      <c r="T479" s="20">
        <v>45461.0</v>
      </c>
      <c r="U479" s="19" t="s">
        <v>10248</v>
      </c>
      <c r="V479" s="19"/>
      <c r="W479" s="19"/>
      <c r="X479" s="21">
        <v>0.0</v>
      </c>
      <c r="Y479" s="21">
        <v>10.0</v>
      </c>
      <c r="Z479" s="21">
        <v>5.0</v>
      </c>
      <c r="AA479" s="21">
        <v>0.0</v>
      </c>
      <c r="AB479" s="5">
        <v>15.0</v>
      </c>
      <c r="AC479" s="19">
        <v>3.2</v>
      </c>
      <c r="AD479" s="19">
        <v>3.0</v>
      </c>
      <c r="AE479" s="19">
        <v>2.4</v>
      </c>
      <c r="AF479" s="19">
        <v>3.4</v>
      </c>
      <c r="AG479" s="19">
        <v>3.0</v>
      </c>
      <c r="AH479" s="19">
        <v>2.8</v>
      </c>
      <c r="AI479" s="22">
        <v>8.71875</v>
      </c>
      <c r="AJ479" s="19">
        <v>15.0</v>
      </c>
      <c r="AK479" s="19">
        <v>13.0</v>
      </c>
      <c r="AL479" s="19">
        <v>12.0</v>
      </c>
      <c r="AM479" s="19">
        <v>40.0</v>
      </c>
      <c r="AN479" s="19">
        <v>48.7</v>
      </c>
      <c r="AO479" s="19">
        <v>63.7</v>
      </c>
      <c r="AP479" s="19">
        <v>556.0</v>
      </c>
      <c r="AQ479" s="23">
        <v>471.0</v>
      </c>
      <c r="AR479" s="23">
        <v>56.0</v>
      </c>
      <c r="AS479" s="22"/>
      <c r="AT479" s="19" t="s">
        <v>2117</v>
      </c>
      <c r="AU479" s="19" t="s">
        <v>10253</v>
      </c>
      <c r="AV479" s="19" t="s">
        <v>10254</v>
      </c>
      <c r="AW479" s="19"/>
      <c r="AX479" s="20">
        <v>38771.0</v>
      </c>
      <c r="AY479" s="19" t="s">
        <v>2196</v>
      </c>
      <c r="AZ479" s="19" t="s">
        <v>2310</v>
      </c>
      <c r="BA479" s="19" t="s">
        <v>10255</v>
      </c>
      <c r="BB479" s="19" t="s">
        <v>10256</v>
      </c>
      <c r="BC479" s="19" t="s">
        <v>10257</v>
      </c>
      <c r="BD479" s="19" t="s">
        <v>10258</v>
      </c>
      <c r="BE479" s="19" t="s">
        <v>10250</v>
      </c>
      <c r="BF479" s="19">
        <v>1.1972548637E10</v>
      </c>
      <c r="BG479" s="19" t="s">
        <v>2127</v>
      </c>
      <c r="BH479" s="19" t="s">
        <v>2128</v>
      </c>
      <c r="BI479" s="19"/>
      <c r="BJ479" s="19"/>
      <c r="BK479" s="19" t="s">
        <v>16</v>
      </c>
      <c r="BL479" s="19"/>
      <c r="BM479" s="19" t="s">
        <v>5411</v>
      </c>
      <c r="BN479" s="19" t="s">
        <v>2172</v>
      </c>
      <c r="BO479" s="19" t="s">
        <v>2132</v>
      </c>
      <c r="BP479" s="19"/>
      <c r="BQ479" s="19" t="s">
        <v>2174</v>
      </c>
      <c r="BR479" s="19" t="s">
        <v>2174</v>
      </c>
      <c r="BS479" s="19" t="s">
        <v>2134</v>
      </c>
      <c r="BT479" s="19" t="s">
        <v>21</v>
      </c>
      <c r="BU479" s="19"/>
      <c r="BV479" s="19"/>
      <c r="BW479" s="19"/>
      <c r="BX479" s="19"/>
      <c r="BY479" s="19"/>
      <c r="BZ479" s="19"/>
      <c r="CA479" s="19"/>
      <c r="CB479" s="19" t="s">
        <v>2113</v>
      </c>
      <c r="CC479" s="19"/>
      <c r="CD479" s="19" t="s">
        <v>2137</v>
      </c>
      <c r="CE479" s="19" t="s">
        <v>16</v>
      </c>
      <c r="CF479" s="19" t="s">
        <v>2113</v>
      </c>
      <c r="CG479" s="19"/>
      <c r="CH479" s="19" t="s">
        <v>16</v>
      </c>
      <c r="CI479" s="21">
        <v>0.0</v>
      </c>
      <c r="CJ479" s="19" t="s">
        <v>17</v>
      </c>
      <c r="CK479" s="19"/>
      <c r="CL479" s="19"/>
      <c r="CM479" s="19"/>
      <c r="CN479" s="19" t="s">
        <v>2204</v>
      </c>
      <c r="CO479" s="19"/>
      <c r="CP479" s="19"/>
      <c r="CQ479" s="19"/>
      <c r="CR479" s="19" t="s">
        <v>2113</v>
      </c>
      <c r="CS479" s="19" t="s">
        <v>2113</v>
      </c>
      <c r="CT479" s="19"/>
      <c r="CU479" s="19"/>
      <c r="CV479" s="19" t="s">
        <v>2141</v>
      </c>
      <c r="CW479" s="19" t="s">
        <v>2113</v>
      </c>
      <c r="CX479" s="19" t="s">
        <v>2113</v>
      </c>
      <c r="CY479" s="19" t="s">
        <v>2113</v>
      </c>
      <c r="CZ479" s="19" t="s">
        <v>2113</v>
      </c>
      <c r="DA479" s="19" t="s">
        <v>16</v>
      </c>
      <c r="DB479" s="19" t="s">
        <v>17</v>
      </c>
      <c r="DC479" s="19" t="s">
        <v>2514</v>
      </c>
      <c r="DD479" s="19" t="s">
        <v>2113</v>
      </c>
      <c r="DE479" s="19" t="s">
        <v>2113</v>
      </c>
      <c r="DF479" s="19" t="s">
        <v>2247</v>
      </c>
      <c r="DG479" s="19" t="s">
        <v>3856</v>
      </c>
      <c r="DH479" s="19" t="s">
        <v>2144</v>
      </c>
      <c r="DI479" s="24">
        <v>45525.0</v>
      </c>
      <c r="DJ479" s="19" t="s">
        <v>2174</v>
      </c>
      <c r="DK479" s="19" t="s">
        <v>2271</v>
      </c>
      <c r="DL479" s="19" t="s">
        <v>2183</v>
      </c>
      <c r="DM479" s="19" t="s">
        <v>2249</v>
      </c>
      <c r="DN479" s="19">
        <v>10.0</v>
      </c>
      <c r="DO479" s="19">
        <v>10.0</v>
      </c>
      <c r="DP479" s="19" t="s">
        <v>10259</v>
      </c>
      <c r="DQ479" s="19" t="s">
        <v>10260</v>
      </c>
      <c r="DR479" s="19" t="s">
        <v>10261</v>
      </c>
      <c r="DS479" s="19" t="s">
        <v>2151</v>
      </c>
      <c r="DT479" s="19" t="s">
        <v>2350</v>
      </c>
      <c r="DU479" s="19"/>
      <c r="DV479" s="19"/>
      <c r="DW479" s="19" t="s">
        <v>2188</v>
      </c>
      <c r="DX479" s="19">
        <v>15.0</v>
      </c>
      <c r="DY479" s="19">
        <v>10.0</v>
      </c>
      <c r="DZ479" s="19">
        <v>0.0</v>
      </c>
      <c r="EA479" s="19">
        <v>10.0</v>
      </c>
      <c r="EB479" s="19">
        <v>0.0</v>
      </c>
      <c r="EC479" s="19">
        <v>0.0</v>
      </c>
      <c r="ED479" s="19" t="s">
        <v>2174</v>
      </c>
      <c r="EE479" s="24">
        <v>45525.0</v>
      </c>
      <c r="EF479" s="19" t="s">
        <v>2174</v>
      </c>
      <c r="EG479" s="19" t="s">
        <v>2271</v>
      </c>
      <c r="EH479" s="19" t="s">
        <v>2183</v>
      </c>
      <c r="EI479" s="22">
        <v>8.71875</v>
      </c>
      <c r="EJ479" s="19">
        <v>40.0</v>
      </c>
      <c r="EK479" s="19" t="s">
        <v>2113</v>
      </c>
      <c r="EL479" s="19" t="s">
        <v>2117</v>
      </c>
      <c r="EM479" s="19" t="s">
        <v>10253</v>
      </c>
      <c r="EN479" s="19" t="s">
        <v>1418</v>
      </c>
      <c r="EO479" s="19" t="s">
        <v>2196</v>
      </c>
      <c r="EP479" s="19" t="s">
        <v>2310</v>
      </c>
      <c r="EQ479" s="19" t="s">
        <v>2204</v>
      </c>
      <c r="ER479" s="19"/>
      <c r="ES479" s="19" t="s">
        <v>1418</v>
      </c>
      <c r="ET479" s="19" t="s">
        <v>1418</v>
      </c>
      <c r="EU479" s="19" t="s">
        <v>10251</v>
      </c>
      <c r="EV479" s="19">
        <v>6690.0</v>
      </c>
      <c r="EW479" s="19" t="s">
        <v>16</v>
      </c>
      <c r="EX479" s="19">
        <v>5.0</v>
      </c>
      <c r="EY479" s="25" t="s">
        <v>1417</v>
      </c>
      <c r="EZ479" s="19" t="s">
        <v>2154</v>
      </c>
      <c r="FA479" s="5" t="s">
        <v>10262</v>
      </c>
      <c r="FB479" s="26" t="s">
        <v>2156</v>
      </c>
      <c r="FC479" s="26"/>
    </row>
    <row r="480">
      <c r="A480" s="19" t="s">
        <v>2112</v>
      </c>
      <c r="B480" s="19"/>
      <c r="C480" s="19" t="s">
        <v>2113</v>
      </c>
      <c r="D480" s="19" t="s">
        <v>1419</v>
      </c>
      <c r="E480" s="19" t="s">
        <v>10263</v>
      </c>
      <c r="F480" s="19" t="s">
        <v>1419</v>
      </c>
      <c r="G480" s="19" t="s">
        <v>10264</v>
      </c>
      <c r="H480" s="19" t="s">
        <v>1419</v>
      </c>
      <c r="I480" s="19" t="s">
        <v>1421</v>
      </c>
      <c r="J480" s="19" t="s">
        <v>10265</v>
      </c>
      <c r="K480" s="19" t="s">
        <v>10266</v>
      </c>
      <c r="L480" s="20">
        <v>45454.0</v>
      </c>
      <c r="M480" s="20">
        <v>45455.0</v>
      </c>
      <c r="N480" s="20">
        <v>45455.0</v>
      </c>
      <c r="O480" s="19" t="s">
        <v>1420</v>
      </c>
      <c r="P480" s="19">
        <v>0.0</v>
      </c>
      <c r="Q480" s="19">
        <v>19.0</v>
      </c>
      <c r="R480" s="19">
        <v>7211.0</v>
      </c>
      <c r="S480" s="20" t="s">
        <v>10267</v>
      </c>
      <c r="T480" s="20">
        <v>45461.0</v>
      </c>
      <c r="U480" s="19" t="s">
        <v>10268</v>
      </c>
      <c r="V480" s="19"/>
      <c r="W480" s="19"/>
      <c r="X480" s="21">
        <v>0.0</v>
      </c>
      <c r="Y480" s="21">
        <v>10.0</v>
      </c>
      <c r="Z480" s="21">
        <v>5.0</v>
      </c>
      <c r="AA480" s="21">
        <v>0.0</v>
      </c>
      <c r="AB480" s="5">
        <v>15.0</v>
      </c>
      <c r="AC480" s="19">
        <v>3.5</v>
      </c>
      <c r="AD480" s="19">
        <v>3.0</v>
      </c>
      <c r="AE480" s="19">
        <v>2.0</v>
      </c>
      <c r="AF480" s="19">
        <v>3.0</v>
      </c>
      <c r="AG480" s="19">
        <v>2.5</v>
      </c>
      <c r="AH480" s="19">
        <v>4.0</v>
      </c>
      <c r="AI480" s="22">
        <v>8.671875</v>
      </c>
      <c r="AJ480" s="19">
        <v>15.0</v>
      </c>
      <c r="AK480" s="19">
        <v>15.0</v>
      </c>
      <c r="AL480" s="19">
        <v>10.0</v>
      </c>
      <c r="AM480" s="19">
        <v>40.0</v>
      </c>
      <c r="AN480" s="19">
        <v>48.7</v>
      </c>
      <c r="AO480" s="19">
        <v>63.7</v>
      </c>
      <c r="AP480" s="19">
        <v>523.0</v>
      </c>
      <c r="AQ480" s="23">
        <v>472.0</v>
      </c>
      <c r="AR480" s="23">
        <v>57.0</v>
      </c>
      <c r="AS480" s="19"/>
      <c r="AT480" s="19" t="s">
        <v>2117</v>
      </c>
      <c r="AU480" s="19" t="s">
        <v>4017</v>
      </c>
      <c r="AV480" s="19" t="s">
        <v>10269</v>
      </c>
      <c r="AW480" s="19" t="s">
        <v>3923</v>
      </c>
      <c r="AX480" s="20">
        <v>38250.0</v>
      </c>
      <c r="AY480" s="19" t="s">
        <v>2196</v>
      </c>
      <c r="AZ480" s="19" t="s">
        <v>2122</v>
      </c>
      <c r="BA480" s="19" t="s">
        <v>10270</v>
      </c>
      <c r="BB480" s="19" t="s">
        <v>4844</v>
      </c>
      <c r="BC480" s="19" t="s">
        <v>10271</v>
      </c>
      <c r="BD480" s="19" t="s">
        <v>10272</v>
      </c>
      <c r="BE480" s="19" t="s">
        <v>10273</v>
      </c>
      <c r="BF480" s="19">
        <v>1.1961997662E10</v>
      </c>
      <c r="BG480" s="19" t="s">
        <v>2127</v>
      </c>
      <c r="BH480" s="19" t="s">
        <v>2128</v>
      </c>
      <c r="BI480" s="19"/>
      <c r="BJ480" s="19"/>
      <c r="BK480" s="19" t="s">
        <v>16</v>
      </c>
      <c r="BL480" s="19"/>
      <c r="BM480" s="19" t="s">
        <v>5411</v>
      </c>
      <c r="BN480" s="19" t="s">
        <v>2172</v>
      </c>
      <c r="BO480" s="19" t="s">
        <v>2132</v>
      </c>
      <c r="BP480" s="19" t="s">
        <v>10274</v>
      </c>
      <c r="BQ480" s="19" t="s">
        <v>2174</v>
      </c>
      <c r="BR480" s="19" t="s">
        <v>2174</v>
      </c>
      <c r="BS480" s="19" t="s">
        <v>2134</v>
      </c>
      <c r="BT480" s="19" t="s">
        <v>21</v>
      </c>
      <c r="BU480" s="19"/>
      <c r="BV480" s="19"/>
      <c r="BW480" s="19"/>
      <c r="BX480" s="19"/>
      <c r="BY480" s="19"/>
      <c r="BZ480" s="19"/>
      <c r="CA480" s="19"/>
      <c r="CB480" s="19"/>
      <c r="CC480" s="19"/>
      <c r="CD480" s="19" t="s">
        <v>2137</v>
      </c>
      <c r="CE480" s="19" t="s">
        <v>16</v>
      </c>
      <c r="CF480" s="19"/>
      <c r="CG480" s="19"/>
      <c r="CH480" s="19" t="s">
        <v>16</v>
      </c>
      <c r="CI480" s="21">
        <v>0.0</v>
      </c>
      <c r="CJ480" s="19" t="s">
        <v>17</v>
      </c>
      <c r="CK480" s="19" t="s">
        <v>2113</v>
      </c>
      <c r="CL480" s="19"/>
      <c r="CM480" s="19" t="s">
        <v>2138</v>
      </c>
      <c r="CN480" s="19" t="s">
        <v>2204</v>
      </c>
      <c r="CO480" s="19"/>
      <c r="CP480" s="19" t="s">
        <v>2134</v>
      </c>
      <c r="CQ480" s="19"/>
      <c r="CR480" s="19" t="s">
        <v>2113</v>
      </c>
      <c r="CS480" s="19" t="s">
        <v>2113</v>
      </c>
      <c r="CT480" s="19" t="s">
        <v>2113</v>
      </c>
      <c r="CU480" s="19" t="s">
        <v>2113</v>
      </c>
      <c r="CV480" s="19" t="s">
        <v>2141</v>
      </c>
      <c r="CW480" s="19"/>
      <c r="CX480" s="19"/>
      <c r="CY480" s="19"/>
      <c r="CZ480" s="19"/>
      <c r="DA480" s="19" t="s">
        <v>16</v>
      </c>
      <c r="DB480" s="19" t="s">
        <v>17</v>
      </c>
      <c r="DC480" s="19" t="s">
        <v>10275</v>
      </c>
      <c r="DD480" s="19" t="s">
        <v>2113</v>
      </c>
      <c r="DE480" s="19" t="s">
        <v>2113</v>
      </c>
      <c r="DF480" s="19" t="s">
        <v>2247</v>
      </c>
      <c r="DG480" s="19" t="s">
        <v>2182</v>
      </c>
      <c r="DH480" s="19" t="s">
        <v>2144</v>
      </c>
      <c r="DI480" s="24">
        <v>45533.0</v>
      </c>
      <c r="DJ480" s="19" t="s">
        <v>2174</v>
      </c>
      <c r="DK480" s="19" t="s">
        <v>2145</v>
      </c>
      <c r="DL480" s="19" t="s">
        <v>2207</v>
      </c>
      <c r="DM480" s="19" t="s">
        <v>3353</v>
      </c>
      <c r="DN480" s="19">
        <v>4.0</v>
      </c>
      <c r="DO480" s="19">
        <v>4.0</v>
      </c>
      <c r="DP480" s="19" t="s">
        <v>10276</v>
      </c>
      <c r="DQ480" s="19" t="s">
        <v>10277</v>
      </c>
      <c r="DR480" s="19" t="s">
        <v>10278</v>
      </c>
      <c r="DS480" s="19" t="s">
        <v>2151</v>
      </c>
      <c r="DT480" s="19" t="s">
        <v>2350</v>
      </c>
      <c r="DU480" s="19"/>
      <c r="DV480" s="19" t="s">
        <v>6971</v>
      </c>
      <c r="DW480" s="19" t="s">
        <v>2153</v>
      </c>
      <c r="DX480" s="19">
        <v>13.0</v>
      </c>
      <c r="DY480" s="19">
        <v>10.0</v>
      </c>
      <c r="DZ480" s="19">
        <v>0.0</v>
      </c>
      <c r="EA480" s="19">
        <v>10.0</v>
      </c>
      <c r="EB480" s="19">
        <v>0.0</v>
      </c>
      <c r="EC480" s="19">
        <v>0.0</v>
      </c>
      <c r="ED480" s="19" t="s">
        <v>2174</v>
      </c>
      <c r="EE480" s="24">
        <v>45533.0</v>
      </c>
      <c r="EF480" s="19" t="s">
        <v>2174</v>
      </c>
      <c r="EG480" s="19" t="s">
        <v>2145</v>
      </c>
      <c r="EH480" s="19" t="s">
        <v>2207</v>
      </c>
      <c r="EI480" s="22">
        <v>8.671875</v>
      </c>
      <c r="EJ480" s="19">
        <v>40.0</v>
      </c>
      <c r="EK480" s="19" t="s">
        <v>2113</v>
      </c>
      <c r="EL480" s="19" t="s">
        <v>2117</v>
      </c>
      <c r="EM480" s="19" t="s">
        <v>4017</v>
      </c>
      <c r="EN480" s="19" t="s">
        <v>1421</v>
      </c>
      <c r="EO480" s="19" t="s">
        <v>2196</v>
      </c>
      <c r="EP480" s="19" t="s">
        <v>2122</v>
      </c>
      <c r="EQ480" s="19" t="s">
        <v>2204</v>
      </c>
      <c r="ER480" s="19"/>
      <c r="ES480" s="19" t="s">
        <v>1421</v>
      </c>
      <c r="ET480" s="19" t="s">
        <v>1421</v>
      </c>
      <c r="EU480" s="19" t="s">
        <v>10266</v>
      </c>
      <c r="EV480" s="19">
        <v>7211.0</v>
      </c>
      <c r="EW480" s="19" t="s">
        <v>16</v>
      </c>
      <c r="EX480" s="19">
        <v>5.0</v>
      </c>
      <c r="EY480" s="25" t="s">
        <v>1420</v>
      </c>
      <c r="EZ480" s="19" t="s">
        <v>2154</v>
      </c>
      <c r="FA480" s="5" t="s">
        <v>10279</v>
      </c>
      <c r="FB480" s="26" t="s">
        <v>2156</v>
      </c>
      <c r="FC480" s="26"/>
    </row>
    <row r="481">
      <c r="A481" s="19" t="s">
        <v>2156</v>
      </c>
      <c r="B481" s="19"/>
      <c r="C481" s="19" t="s">
        <v>2113</v>
      </c>
      <c r="D481" s="19" t="s">
        <v>1422</v>
      </c>
      <c r="E481" s="19" t="s">
        <v>10280</v>
      </c>
      <c r="F481" s="19" t="s">
        <v>1422</v>
      </c>
      <c r="G481" s="19"/>
      <c r="H481" s="19" t="s">
        <v>1422</v>
      </c>
      <c r="I481" s="19" t="s">
        <v>1424</v>
      </c>
      <c r="J481" s="19" t="s">
        <v>10281</v>
      </c>
      <c r="K481" s="19" t="s">
        <v>10282</v>
      </c>
      <c r="L481" s="20">
        <v>45460.0</v>
      </c>
      <c r="M481" s="20">
        <v>45460.0</v>
      </c>
      <c r="N481" s="20">
        <v>45460.0</v>
      </c>
      <c r="O481" s="19" t="s">
        <v>1423</v>
      </c>
      <c r="P481" s="19">
        <v>0.0</v>
      </c>
      <c r="Q481" s="19">
        <v>23.0</v>
      </c>
      <c r="R481" s="19">
        <v>8625.0</v>
      </c>
      <c r="S481" s="20" t="s">
        <v>10283</v>
      </c>
      <c r="T481" s="20">
        <v>45461.0</v>
      </c>
      <c r="U481" s="19" t="s">
        <v>1422</v>
      </c>
      <c r="V481" s="19"/>
      <c r="W481" s="19"/>
      <c r="X481" s="21">
        <v>0.0</v>
      </c>
      <c r="Y481" s="21">
        <v>10.0</v>
      </c>
      <c r="Z481" s="21">
        <v>5.0</v>
      </c>
      <c r="AA481" s="21">
        <v>0.0</v>
      </c>
      <c r="AB481" s="5">
        <v>15.0</v>
      </c>
      <c r="AC481" s="19">
        <v>4.0</v>
      </c>
      <c r="AD481" s="19">
        <v>4.0</v>
      </c>
      <c r="AE481" s="19">
        <v>4.5</v>
      </c>
      <c r="AF481" s="19">
        <v>4.0</v>
      </c>
      <c r="AG481" s="19">
        <v>3.5</v>
      </c>
      <c r="AH481" s="19">
        <v>5.0</v>
      </c>
      <c r="AI481" s="22">
        <v>12.5625</v>
      </c>
      <c r="AJ481" s="19">
        <v>12.0</v>
      </c>
      <c r="AK481" s="19">
        <v>12.0</v>
      </c>
      <c r="AL481" s="19">
        <v>12.0</v>
      </c>
      <c r="AM481" s="19">
        <v>36.0</v>
      </c>
      <c r="AN481" s="19">
        <v>48.6</v>
      </c>
      <c r="AO481" s="19">
        <v>63.6</v>
      </c>
      <c r="AP481" s="19">
        <v>446.0</v>
      </c>
      <c r="AQ481" s="23">
        <v>473.0</v>
      </c>
      <c r="AR481" s="23">
        <v>43.0</v>
      </c>
      <c r="AS481" s="22"/>
      <c r="AT481" s="19" t="s">
        <v>2117</v>
      </c>
      <c r="AU481" s="19" t="s">
        <v>2551</v>
      </c>
      <c r="AV481" s="19" t="s">
        <v>10284</v>
      </c>
      <c r="AW481" s="19"/>
      <c r="AX481" s="20">
        <v>36836.0</v>
      </c>
      <c r="AY481" s="19" t="s">
        <v>2421</v>
      </c>
      <c r="AZ481" s="19" t="s">
        <v>2122</v>
      </c>
      <c r="BA481" s="19" t="s">
        <v>10285</v>
      </c>
      <c r="BB481" s="19" t="s">
        <v>7906</v>
      </c>
      <c r="BC481" s="19" t="s">
        <v>10286</v>
      </c>
      <c r="BD481" s="19" t="s">
        <v>10287</v>
      </c>
      <c r="BE481" s="19" t="s">
        <v>10281</v>
      </c>
      <c r="BF481" s="19">
        <v>1.1986826906E10</v>
      </c>
      <c r="BG481" s="19" t="s">
        <v>2127</v>
      </c>
      <c r="BH481" s="19" t="s">
        <v>4080</v>
      </c>
      <c r="BI481" s="19"/>
      <c r="BJ481" s="19"/>
      <c r="BK481" s="19" t="s">
        <v>16</v>
      </c>
      <c r="BL481" s="19"/>
      <c r="BM481" s="19" t="s">
        <v>5411</v>
      </c>
      <c r="BN481" s="19" t="s">
        <v>17</v>
      </c>
      <c r="BO481" s="19" t="s">
        <v>2132</v>
      </c>
      <c r="BP481" s="19" t="s">
        <v>10288</v>
      </c>
      <c r="BQ481" s="19" t="s">
        <v>2325</v>
      </c>
      <c r="BR481" s="19" t="s">
        <v>2325</v>
      </c>
      <c r="BS481" s="19" t="s">
        <v>2134</v>
      </c>
      <c r="BT481" s="19" t="s">
        <v>59</v>
      </c>
      <c r="BU481" s="19" t="s">
        <v>10289</v>
      </c>
      <c r="BV481" s="19"/>
      <c r="BW481" s="19" t="s">
        <v>2113</v>
      </c>
      <c r="BX481" s="19"/>
      <c r="BY481" s="19"/>
      <c r="BZ481" s="19"/>
      <c r="CA481" s="19"/>
      <c r="CB481" s="19" t="s">
        <v>2113</v>
      </c>
      <c r="CC481" s="19"/>
      <c r="CD481" s="19" t="s">
        <v>2137</v>
      </c>
      <c r="CE481" s="19" t="s">
        <v>16</v>
      </c>
      <c r="CF481" s="19"/>
      <c r="CG481" s="19"/>
      <c r="CH481" s="19" t="s">
        <v>16</v>
      </c>
      <c r="CI481" s="21">
        <v>0.0</v>
      </c>
      <c r="CJ481" s="19" t="s">
        <v>17</v>
      </c>
      <c r="CK481" s="19"/>
      <c r="CL481" s="19"/>
      <c r="CM481" s="19" t="s">
        <v>2344</v>
      </c>
      <c r="CN481" s="19" t="s">
        <v>2431</v>
      </c>
      <c r="CO481" s="19"/>
      <c r="CP481" s="19"/>
      <c r="CQ481" s="19"/>
      <c r="CR481" s="19" t="s">
        <v>2113</v>
      </c>
      <c r="CS481" s="19" t="s">
        <v>2113</v>
      </c>
      <c r="CT481" s="19" t="s">
        <v>2113</v>
      </c>
      <c r="CU481" s="19" t="s">
        <v>2113</v>
      </c>
      <c r="CV481" s="19" t="s">
        <v>2141</v>
      </c>
      <c r="CW481" s="19" t="s">
        <v>2113</v>
      </c>
      <c r="CX481" s="19" t="s">
        <v>2113</v>
      </c>
      <c r="CY481" s="19" t="s">
        <v>2113</v>
      </c>
      <c r="CZ481" s="19" t="s">
        <v>2113</v>
      </c>
      <c r="DA481" s="19" t="s">
        <v>16</v>
      </c>
      <c r="DB481" s="19" t="s">
        <v>17</v>
      </c>
      <c r="DC481" s="19" t="s">
        <v>2496</v>
      </c>
      <c r="DD481" s="19" t="s">
        <v>2113</v>
      </c>
      <c r="DE481" s="19" t="s">
        <v>2113</v>
      </c>
      <c r="DF481" s="19" t="s">
        <v>2432</v>
      </c>
      <c r="DG481" s="19" t="s">
        <v>2497</v>
      </c>
      <c r="DH481" s="19" t="s">
        <v>2144</v>
      </c>
      <c r="DI481" s="24">
        <v>45519.0</v>
      </c>
      <c r="DJ481" s="19" t="s">
        <v>2325</v>
      </c>
      <c r="DK481" s="19" t="s">
        <v>2271</v>
      </c>
      <c r="DL481" s="19" t="s">
        <v>2326</v>
      </c>
      <c r="DM481" s="19"/>
      <c r="DN481" s="19">
        <v>6.0</v>
      </c>
      <c r="DO481" s="19">
        <v>6.0</v>
      </c>
      <c r="DP481" s="19" t="s">
        <v>10290</v>
      </c>
      <c r="DQ481" s="19" t="s">
        <v>10291</v>
      </c>
      <c r="DR481" s="19" t="s">
        <v>10292</v>
      </c>
      <c r="DS481" s="19" t="s">
        <v>2185</v>
      </c>
      <c r="DT481" s="19" t="s">
        <v>2152</v>
      </c>
      <c r="DU481" s="19"/>
      <c r="DV481" s="19"/>
      <c r="DW481" s="19" t="s">
        <v>2188</v>
      </c>
      <c r="DX481" s="19">
        <v>5.0</v>
      </c>
      <c r="DY481" s="19">
        <v>10.0</v>
      </c>
      <c r="DZ481" s="19">
        <v>0.0</v>
      </c>
      <c r="EA481" s="19">
        <v>10.0</v>
      </c>
      <c r="EB481" s="19">
        <v>0.0</v>
      </c>
      <c r="EC481" s="19">
        <v>0.0</v>
      </c>
      <c r="ED481" s="19" t="s">
        <v>2325</v>
      </c>
      <c r="EE481" s="24">
        <v>45519.0</v>
      </c>
      <c r="EF481" s="19" t="s">
        <v>2325</v>
      </c>
      <c r="EG481" s="19" t="s">
        <v>2271</v>
      </c>
      <c r="EH481" s="19" t="s">
        <v>2326</v>
      </c>
      <c r="EI481" s="22">
        <v>12.5625</v>
      </c>
      <c r="EJ481" s="19">
        <v>36.0</v>
      </c>
      <c r="EK481" s="19" t="s">
        <v>2113</v>
      </c>
      <c r="EL481" s="19" t="s">
        <v>2117</v>
      </c>
      <c r="EM481" s="19" t="s">
        <v>2551</v>
      </c>
      <c r="EN481" s="19" t="s">
        <v>1424</v>
      </c>
      <c r="EO481" s="19" t="s">
        <v>2421</v>
      </c>
      <c r="EP481" s="19" t="s">
        <v>2122</v>
      </c>
      <c r="EQ481" s="19" t="s">
        <v>2431</v>
      </c>
      <c r="ER481" s="19"/>
      <c r="ES481" s="19" t="s">
        <v>1424</v>
      </c>
      <c r="ET481" s="19" t="s">
        <v>1424</v>
      </c>
      <c r="EU481" s="19" t="s">
        <v>10282</v>
      </c>
      <c r="EV481" s="19">
        <v>8625.0</v>
      </c>
      <c r="EW481" s="19" t="s">
        <v>16</v>
      </c>
      <c r="EX481" s="19">
        <v>5.0</v>
      </c>
      <c r="EY481" s="25" t="s">
        <v>1423</v>
      </c>
      <c r="EZ481" s="19" t="s">
        <v>2154</v>
      </c>
      <c r="FA481" s="5" t="s">
        <v>10293</v>
      </c>
      <c r="FB481" s="26" t="s">
        <v>2156</v>
      </c>
      <c r="FC481" s="26"/>
    </row>
    <row r="482">
      <c r="A482" s="19" t="s">
        <v>2112</v>
      </c>
      <c r="B482" s="19"/>
      <c r="C482" s="19" t="s">
        <v>2113</v>
      </c>
      <c r="D482" s="19" t="s">
        <v>1425</v>
      </c>
      <c r="E482" s="19" t="s">
        <v>10294</v>
      </c>
      <c r="F482" s="19" t="s">
        <v>1425</v>
      </c>
      <c r="G482" s="19"/>
      <c r="H482" s="19" t="s">
        <v>1425</v>
      </c>
      <c r="I482" s="19" t="s">
        <v>1427</v>
      </c>
      <c r="J482" s="19" t="s">
        <v>10295</v>
      </c>
      <c r="K482" s="19" t="s">
        <v>10296</v>
      </c>
      <c r="L482" s="20">
        <v>45446.0</v>
      </c>
      <c r="M482" s="20">
        <v>45447.0</v>
      </c>
      <c r="N482" s="20">
        <v>45447.0</v>
      </c>
      <c r="O482" s="19" t="s">
        <v>1426</v>
      </c>
      <c r="P482" s="19">
        <v>0.0</v>
      </c>
      <c r="Q482" s="19">
        <v>23.0</v>
      </c>
      <c r="R482" s="19">
        <v>8670.0</v>
      </c>
      <c r="S482" s="20" t="s">
        <v>10297</v>
      </c>
      <c r="T482" s="20">
        <v>45461.0</v>
      </c>
      <c r="U482" s="19" t="s">
        <v>1425</v>
      </c>
      <c r="V482" s="19"/>
      <c r="W482" s="19"/>
      <c r="X482" s="21">
        <v>0.0</v>
      </c>
      <c r="Y482" s="21">
        <v>10.0</v>
      </c>
      <c r="Z482" s="21">
        <v>3.0</v>
      </c>
      <c r="AA482" s="21">
        <v>0.0</v>
      </c>
      <c r="AB482" s="5">
        <v>13.0</v>
      </c>
      <c r="AC482" s="19">
        <v>4.0</v>
      </c>
      <c r="AD482" s="19">
        <v>4.0</v>
      </c>
      <c r="AE482" s="19">
        <v>4.0</v>
      </c>
      <c r="AF482" s="19">
        <v>4.0</v>
      </c>
      <c r="AG482" s="19">
        <v>4.0</v>
      </c>
      <c r="AH482" s="19">
        <v>3.0</v>
      </c>
      <c r="AI482" s="22">
        <v>11.625</v>
      </c>
      <c r="AJ482" s="19">
        <v>12.0</v>
      </c>
      <c r="AK482" s="19">
        <v>13.0</v>
      </c>
      <c r="AL482" s="19">
        <v>14.0</v>
      </c>
      <c r="AM482" s="19">
        <v>39.0</v>
      </c>
      <c r="AN482" s="19">
        <v>50.6</v>
      </c>
      <c r="AO482" s="19">
        <v>63.6</v>
      </c>
      <c r="AP482" s="19">
        <v>712.0</v>
      </c>
      <c r="AQ482" s="23">
        <v>474.0</v>
      </c>
      <c r="AR482" s="23">
        <v>65.0</v>
      </c>
      <c r="AS482" s="22"/>
      <c r="AT482" s="19" t="s">
        <v>2117</v>
      </c>
      <c r="AU482" s="19" t="s">
        <v>10298</v>
      </c>
      <c r="AV482" s="19" t="s">
        <v>10299</v>
      </c>
      <c r="AW482" s="19" t="s">
        <v>2701</v>
      </c>
      <c r="AX482" s="20">
        <v>36791.0</v>
      </c>
      <c r="AY482" s="19" t="s">
        <v>2467</v>
      </c>
      <c r="AZ482" s="19" t="s">
        <v>2310</v>
      </c>
      <c r="BA482" s="19" t="s">
        <v>10300</v>
      </c>
      <c r="BB482" s="19" t="s">
        <v>6469</v>
      </c>
      <c r="BC482" s="19" t="s">
        <v>10301</v>
      </c>
      <c r="BD482" s="19" t="s">
        <v>10302</v>
      </c>
      <c r="BE482" s="19" t="s">
        <v>10303</v>
      </c>
      <c r="BF482" s="19">
        <v>1.1952934362E10</v>
      </c>
      <c r="BG482" s="19" t="s">
        <v>2127</v>
      </c>
      <c r="BH482" s="19" t="s">
        <v>2128</v>
      </c>
      <c r="BI482" s="19"/>
      <c r="BJ482" s="19"/>
      <c r="BK482" s="19" t="s">
        <v>16</v>
      </c>
      <c r="BL482" s="19"/>
      <c r="BM482" s="19" t="s">
        <v>5411</v>
      </c>
      <c r="BN482" s="19" t="s">
        <v>17</v>
      </c>
      <c r="BO482" s="19" t="s">
        <v>2473</v>
      </c>
      <c r="BP482" s="19" t="s">
        <v>10304</v>
      </c>
      <c r="BQ482" s="19" t="s">
        <v>2133</v>
      </c>
      <c r="BR482" s="19" t="s">
        <v>2133</v>
      </c>
      <c r="BS482" s="19" t="s">
        <v>2243</v>
      </c>
      <c r="BT482" s="19" t="s">
        <v>38</v>
      </c>
      <c r="BU482" s="19" t="s">
        <v>10305</v>
      </c>
      <c r="BV482" s="19"/>
      <c r="BW482" s="19"/>
      <c r="BX482" s="19"/>
      <c r="BY482" s="19"/>
      <c r="BZ482" s="19"/>
      <c r="CA482" s="19"/>
      <c r="CB482" s="19" t="s">
        <v>2113</v>
      </c>
      <c r="CC482" s="19"/>
      <c r="CD482" s="19" t="s">
        <v>2137</v>
      </c>
      <c r="CE482" s="19" t="s">
        <v>16</v>
      </c>
      <c r="CF482" s="19"/>
      <c r="CG482" s="19"/>
      <c r="CH482" s="19" t="s">
        <v>16</v>
      </c>
      <c r="CI482" s="21">
        <v>0.0</v>
      </c>
      <c r="CJ482" s="19" t="s">
        <v>16</v>
      </c>
      <c r="CK482" s="19"/>
      <c r="CL482" s="19"/>
      <c r="CM482" s="19"/>
      <c r="CN482" s="19" t="s">
        <v>2475</v>
      </c>
      <c r="CO482" s="19"/>
      <c r="CP482" s="19"/>
      <c r="CQ482" s="19"/>
      <c r="CR482" s="19" t="s">
        <v>2113</v>
      </c>
      <c r="CS482" s="19" t="s">
        <v>2113</v>
      </c>
      <c r="CT482" s="19" t="s">
        <v>2113</v>
      </c>
      <c r="CU482" s="19" t="s">
        <v>2113</v>
      </c>
      <c r="CV482" s="19" t="s">
        <v>2141</v>
      </c>
      <c r="CW482" s="19" t="s">
        <v>2113</v>
      </c>
      <c r="CX482" s="19" t="s">
        <v>2113</v>
      </c>
      <c r="CY482" s="19"/>
      <c r="CZ482" s="19"/>
      <c r="DA482" s="19" t="s">
        <v>16</v>
      </c>
      <c r="DB482" s="19" t="s">
        <v>16</v>
      </c>
      <c r="DC482" s="19" t="s">
        <v>2477</v>
      </c>
      <c r="DD482" s="19" t="s">
        <v>2113</v>
      </c>
      <c r="DE482" s="19" t="s">
        <v>2113</v>
      </c>
      <c r="DF482" s="19" t="s">
        <v>2142</v>
      </c>
      <c r="DG482" s="19" t="s">
        <v>2601</v>
      </c>
      <c r="DH482" s="19" t="s">
        <v>2144</v>
      </c>
      <c r="DI482" s="24">
        <v>45526.0</v>
      </c>
      <c r="DJ482" s="19" t="s">
        <v>2133</v>
      </c>
      <c r="DK482" s="19" t="s">
        <v>2145</v>
      </c>
      <c r="DL482" s="19" t="s">
        <v>2146</v>
      </c>
      <c r="DM482" s="19" t="s">
        <v>3338</v>
      </c>
      <c r="DN482" s="19">
        <v>11.0</v>
      </c>
      <c r="DO482" s="19">
        <v>11.0</v>
      </c>
      <c r="DP482" s="19" t="s">
        <v>10306</v>
      </c>
      <c r="DQ482" s="19" t="s">
        <v>10307</v>
      </c>
      <c r="DR482" s="19" t="s">
        <v>10308</v>
      </c>
      <c r="DS482" s="19" t="s">
        <v>2185</v>
      </c>
      <c r="DT482" s="19" t="s">
        <v>2209</v>
      </c>
      <c r="DU482" s="19"/>
      <c r="DV482" s="19"/>
      <c r="DW482" s="19" t="s">
        <v>2479</v>
      </c>
      <c r="DX482" s="19">
        <v>6.0</v>
      </c>
      <c r="DY482" s="19">
        <v>10.0</v>
      </c>
      <c r="DZ482" s="19">
        <v>0.0</v>
      </c>
      <c r="EA482" s="19">
        <v>10.0</v>
      </c>
      <c r="EB482" s="19">
        <v>0.0</v>
      </c>
      <c r="EC482" s="19">
        <v>0.0</v>
      </c>
      <c r="ED482" s="19" t="s">
        <v>2133</v>
      </c>
      <c r="EE482" s="24">
        <v>45526.0</v>
      </c>
      <c r="EF482" s="19" t="s">
        <v>2133</v>
      </c>
      <c r="EG482" s="19" t="s">
        <v>2145</v>
      </c>
      <c r="EH482" s="19" t="s">
        <v>2146</v>
      </c>
      <c r="EI482" s="22">
        <v>11.625</v>
      </c>
      <c r="EJ482" s="19">
        <v>39.0</v>
      </c>
      <c r="EK482" s="19"/>
      <c r="EL482" s="19" t="s">
        <v>2117</v>
      </c>
      <c r="EM482" s="19" t="s">
        <v>10298</v>
      </c>
      <c r="EN482" s="19" t="s">
        <v>1427</v>
      </c>
      <c r="EO482" s="19" t="s">
        <v>2467</v>
      </c>
      <c r="EP482" s="19" t="s">
        <v>2310</v>
      </c>
      <c r="EQ482" s="19" t="s">
        <v>2475</v>
      </c>
      <c r="ER482" s="19"/>
      <c r="ES482" s="19" t="s">
        <v>1427</v>
      </c>
      <c r="ET482" s="19" t="s">
        <v>1427</v>
      </c>
      <c r="EU482" s="19" t="s">
        <v>10296</v>
      </c>
      <c r="EV482" s="19">
        <v>8670.0</v>
      </c>
      <c r="EW482" s="19" t="s">
        <v>16</v>
      </c>
      <c r="EX482" s="19">
        <v>3.0</v>
      </c>
      <c r="EY482" s="25" t="s">
        <v>1426</v>
      </c>
      <c r="EZ482" s="19" t="s">
        <v>2154</v>
      </c>
      <c r="FA482" s="5" t="s">
        <v>10309</v>
      </c>
      <c r="FB482" s="26" t="s">
        <v>2156</v>
      </c>
      <c r="FC482" s="26"/>
    </row>
    <row r="483">
      <c r="A483" s="19" t="s">
        <v>2112</v>
      </c>
      <c r="B483" s="19"/>
      <c r="C483" s="19" t="s">
        <v>2113</v>
      </c>
      <c r="D483" s="19" t="s">
        <v>1428</v>
      </c>
      <c r="E483" s="19" t="s">
        <v>10310</v>
      </c>
      <c r="F483" s="19" t="s">
        <v>1428</v>
      </c>
      <c r="G483" s="19"/>
      <c r="H483" s="19" t="s">
        <v>1428</v>
      </c>
      <c r="I483" s="19" t="s">
        <v>1430</v>
      </c>
      <c r="J483" s="19" t="s">
        <v>10311</v>
      </c>
      <c r="K483" s="19" t="s">
        <v>10312</v>
      </c>
      <c r="L483" s="20">
        <v>45447.0</v>
      </c>
      <c r="M483" s="20">
        <v>45447.0</v>
      </c>
      <c r="N483" s="20">
        <v>45447.0</v>
      </c>
      <c r="O483" s="19" t="s">
        <v>1429</v>
      </c>
      <c r="P483" s="19">
        <v>0.0</v>
      </c>
      <c r="Q483" s="19">
        <v>23.0</v>
      </c>
      <c r="R483" s="19">
        <v>8444.0</v>
      </c>
      <c r="S483" s="20" t="s">
        <v>10313</v>
      </c>
      <c r="T483" s="20">
        <v>45461.0</v>
      </c>
      <c r="U483" s="19" t="s">
        <v>1428</v>
      </c>
      <c r="V483" s="19"/>
      <c r="W483" s="19" t="s">
        <v>2131</v>
      </c>
      <c r="X483" s="21">
        <v>0.0</v>
      </c>
      <c r="Y483" s="21">
        <v>0.0</v>
      </c>
      <c r="Z483" s="21">
        <v>5.0</v>
      </c>
      <c r="AA483" s="21">
        <v>0.0</v>
      </c>
      <c r="AB483" s="5">
        <v>5.0</v>
      </c>
      <c r="AC483" s="19">
        <v>4.6</v>
      </c>
      <c r="AD483" s="19">
        <v>4.6</v>
      </c>
      <c r="AE483" s="19">
        <v>4.6</v>
      </c>
      <c r="AF483" s="19">
        <v>4.6</v>
      </c>
      <c r="AG483" s="19">
        <v>4.1</v>
      </c>
      <c r="AH483" s="19">
        <v>4.6</v>
      </c>
      <c r="AI483" s="22">
        <v>13.612499999999999</v>
      </c>
      <c r="AJ483" s="19">
        <v>15.0</v>
      </c>
      <c r="AK483" s="19">
        <v>15.0</v>
      </c>
      <c r="AL483" s="19">
        <v>15.0</v>
      </c>
      <c r="AM483" s="19">
        <v>45.0</v>
      </c>
      <c r="AN483" s="19">
        <v>58.6</v>
      </c>
      <c r="AO483" s="19">
        <v>63.6</v>
      </c>
      <c r="AP483" s="19">
        <v>1079.0</v>
      </c>
      <c r="AQ483" s="23">
        <v>475.0</v>
      </c>
      <c r="AR483" s="23">
        <v>58.0</v>
      </c>
      <c r="AS483" s="22"/>
      <c r="AT483" s="19" t="s">
        <v>2117</v>
      </c>
      <c r="AU483" s="19" t="s">
        <v>10314</v>
      </c>
      <c r="AV483" s="19" t="s">
        <v>10315</v>
      </c>
      <c r="AW483" s="19" t="s">
        <v>2466</v>
      </c>
      <c r="AX483" s="20">
        <v>37017.0</v>
      </c>
      <c r="AY483" s="19" t="s">
        <v>2167</v>
      </c>
      <c r="AZ483" s="19" t="s">
        <v>2122</v>
      </c>
      <c r="BA483" s="19" t="s">
        <v>10316</v>
      </c>
      <c r="BB483" s="19" t="s">
        <v>10317</v>
      </c>
      <c r="BC483" s="19" t="s">
        <v>10318</v>
      </c>
      <c r="BD483" s="19" t="s">
        <v>10319</v>
      </c>
      <c r="BE483" s="19" t="s">
        <v>10311</v>
      </c>
      <c r="BF483" s="19">
        <v>1.1913363391E10</v>
      </c>
      <c r="BG483" s="19" t="s">
        <v>4038</v>
      </c>
      <c r="BH483" s="19" t="s">
        <v>2128</v>
      </c>
      <c r="BI483" s="19"/>
      <c r="BJ483" s="19" t="s">
        <v>2129</v>
      </c>
      <c r="BK483" s="19" t="s">
        <v>17</v>
      </c>
      <c r="BL483" s="19"/>
      <c r="BM483" s="19" t="s">
        <v>5411</v>
      </c>
      <c r="BN483" s="19" t="s">
        <v>17</v>
      </c>
      <c r="BO483" s="19" t="s">
        <v>2132</v>
      </c>
      <c r="BP483" s="19"/>
      <c r="BQ483" s="19" t="s">
        <v>2174</v>
      </c>
      <c r="BR483" s="19" t="s">
        <v>2174</v>
      </c>
      <c r="BS483" s="19" t="s">
        <v>2134</v>
      </c>
      <c r="BT483" s="19" t="s">
        <v>21</v>
      </c>
      <c r="BU483" s="19" t="s">
        <v>10320</v>
      </c>
      <c r="BV483" s="19"/>
      <c r="BW483" s="19"/>
      <c r="BX483" s="19"/>
      <c r="BY483" s="19" t="s">
        <v>2113</v>
      </c>
      <c r="BZ483" s="19"/>
      <c r="CA483" s="19"/>
      <c r="CB483" s="19" t="s">
        <v>2113</v>
      </c>
      <c r="CC483" s="19" t="s">
        <v>2113</v>
      </c>
      <c r="CD483" s="19" t="s">
        <v>2137</v>
      </c>
      <c r="CE483" s="19" t="s">
        <v>16</v>
      </c>
      <c r="CF483" s="19"/>
      <c r="CG483" s="19"/>
      <c r="CH483" s="19" t="s">
        <v>16</v>
      </c>
      <c r="CI483" s="21">
        <v>0.0</v>
      </c>
      <c r="CJ483" s="19" t="s">
        <v>17</v>
      </c>
      <c r="CK483" s="19"/>
      <c r="CL483" s="19" t="s">
        <v>2113</v>
      </c>
      <c r="CM483" s="19" t="s">
        <v>2138</v>
      </c>
      <c r="CN483" s="19" t="s">
        <v>2176</v>
      </c>
      <c r="CO483" s="19"/>
      <c r="CP483" s="19" t="s">
        <v>2140</v>
      </c>
      <c r="CQ483" s="19"/>
      <c r="CR483" s="19" t="s">
        <v>2113</v>
      </c>
      <c r="CS483" s="19" t="s">
        <v>2113</v>
      </c>
      <c r="CT483" s="19" t="s">
        <v>2113</v>
      </c>
      <c r="CU483" s="19" t="s">
        <v>2113</v>
      </c>
      <c r="CV483" s="19" t="s">
        <v>2141</v>
      </c>
      <c r="CW483" s="19"/>
      <c r="CX483" s="19"/>
      <c r="CY483" s="19"/>
      <c r="CZ483" s="19"/>
      <c r="DA483" s="19" t="s">
        <v>16</v>
      </c>
      <c r="DB483" s="19" t="s">
        <v>17</v>
      </c>
      <c r="DC483" s="19" t="s">
        <v>2181</v>
      </c>
      <c r="DD483" s="19" t="s">
        <v>2113</v>
      </c>
      <c r="DE483" s="19" t="s">
        <v>2113</v>
      </c>
      <c r="DF483" s="19" t="s">
        <v>2769</v>
      </c>
      <c r="DG483" s="19" t="s">
        <v>2433</v>
      </c>
      <c r="DH483" s="19" t="s">
        <v>2144</v>
      </c>
      <c r="DI483" s="24">
        <v>45526.0</v>
      </c>
      <c r="DJ483" s="19" t="s">
        <v>2174</v>
      </c>
      <c r="DK483" s="19" t="s">
        <v>2145</v>
      </c>
      <c r="DL483" s="19" t="s">
        <v>2183</v>
      </c>
      <c r="DM483" s="19"/>
      <c r="DN483" s="19">
        <v>11.0</v>
      </c>
      <c r="DO483" s="19">
        <v>11.0</v>
      </c>
      <c r="DP483" s="19" t="s">
        <v>10321</v>
      </c>
      <c r="DQ483" s="19" t="s">
        <v>10322</v>
      </c>
      <c r="DR483" s="19" t="s">
        <v>10323</v>
      </c>
      <c r="DS483" s="19" t="s">
        <v>2151</v>
      </c>
      <c r="DT483" s="19" t="s">
        <v>2152</v>
      </c>
      <c r="DU483" s="19"/>
      <c r="DV483" s="19"/>
      <c r="DW483" s="19" t="s">
        <v>2188</v>
      </c>
      <c r="DX483" s="19">
        <v>15.0</v>
      </c>
      <c r="DY483" s="19">
        <v>0.0</v>
      </c>
      <c r="DZ483" s="19">
        <v>0.0</v>
      </c>
      <c r="EA483" s="19">
        <v>0.0</v>
      </c>
      <c r="EB483" s="19">
        <v>0.0</v>
      </c>
      <c r="EC483" s="19">
        <v>0.0</v>
      </c>
      <c r="ED483" s="19" t="s">
        <v>2174</v>
      </c>
      <c r="EE483" s="24">
        <v>45526.0</v>
      </c>
      <c r="EF483" s="19" t="s">
        <v>2174</v>
      </c>
      <c r="EG483" s="19" t="s">
        <v>2145</v>
      </c>
      <c r="EH483" s="19" t="s">
        <v>2183</v>
      </c>
      <c r="EI483" s="22">
        <v>13.612499999999999</v>
      </c>
      <c r="EJ483" s="19">
        <v>45.0</v>
      </c>
      <c r="EK483" s="19" t="s">
        <v>2113</v>
      </c>
      <c r="EL483" s="19" t="s">
        <v>2117</v>
      </c>
      <c r="EM483" s="19" t="s">
        <v>10314</v>
      </c>
      <c r="EN483" s="19" t="s">
        <v>1430</v>
      </c>
      <c r="EO483" s="19" t="s">
        <v>2167</v>
      </c>
      <c r="EP483" s="19" t="s">
        <v>2122</v>
      </c>
      <c r="EQ483" s="19" t="s">
        <v>2176</v>
      </c>
      <c r="ER483" s="19"/>
      <c r="ES483" s="19" t="s">
        <v>1430</v>
      </c>
      <c r="ET483" s="19" t="s">
        <v>1430</v>
      </c>
      <c r="EU483" s="19" t="s">
        <v>10312</v>
      </c>
      <c r="EV483" s="19">
        <v>8444.0</v>
      </c>
      <c r="EW483" s="19" t="s">
        <v>16</v>
      </c>
      <c r="EX483" s="19">
        <v>5.0</v>
      </c>
      <c r="EY483" s="25" t="s">
        <v>1429</v>
      </c>
      <c r="EZ483" s="19" t="s">
        <v>2154</v>
      </c>
      <c r="FA483" s="5" t="s">
        <v>10324</v>
      </c>
      <c r="FB483" s="26" t="s">
        <v>2156</v>
      </c>
      <c r="FC483" s="26"/>
    </row>
    <row r="484">
      <c r="A484" s="19" t="s">
        <v>2112</v>
      </c>
      <c r="B484" s="19"/>
      <c r="C484" s="19" t="s">
        <v>2113</v>
      </c>
      <c r="D484" s="19" t="s">
        <v>1431</v>
      </c>
      <c r="E484" s="19" t="s">
        <v>10325</v>
      </c>
      <c r="F484" s="19" t="s">
        <v>1431</v>
      </c>
      <c r="G484" s="19"/>
      <c r="H484" s="19" t="s">
        <v>1431</v>
      </c>
      <c r="I484" s="19" t="s">
        <v>1433</v>
      </c>
      <c r="J484" s="19" t="s">
        <v>10326</v>
      </c>
      <c r="K484" s="19" t="s">
        <v>10327</v>
      </c>
      <c r="L484" s="20">
        <v>45394.0</v>
      </c>
      <c r="M484" s="20">
        <v>45404.0</v>
      </c>
      <c r="N484" s="20">
        <v>45404.0</v>
      </c>
      <c r="O484" s="19" t="s">
        <v>1432</v>
      </c>
      <c r="P484" s="19">
        <v>0.0</v>
      </c>
      <c r="Q484" s="19">
        <v>26.0</v>
      </c>
      <c r="R484" s="19">
        <v>9615.0</v>
      </c>
      <c r="S484" s="20" t="s">
        <v>10328</v>
      </c>
      <c r="T484" s="20">
        <v>45461.0</v>
      </c>
      <c r="U484" s="19" t="s">
        <v>1431</v>
      </c>
      <c r="V484" s="19"/>
      <c r="W484" s="19"/>
      <c r="X484" s="21">
        <v>0.0</v>
      </c>
      <c r="Y484" s="21">
        <v>0.0</v>
      </c>
      <c r="Z484" s="21">
        <v>5.0</v>
      </c>
      <c r="AA484" s="21">
        <v>0.0</v>
      </c>
      <c r="AB484" s="5">
        <v>5.0</v>
      </c>
      <c r="AC484" s="19">
        <v>5.0</v>
      </c>
      <c r="AD484" s="19">
        <v>4.0</v>
      </c>
      <c r="AE484" s="19">
        <v>5.0</v>
      </c>
      <c r="AF484" s="19">
        <v>5.0</v>
      </c>
      <c r="AG484" s="19">
        <v>4.0</v>
      </c>
      <c r="AH484" s="19">
        <v>4.0</v>
      </c>
      <c r="AI484" s="22">
        <v>13.59375</v>
      </c>
      <c r="AJ484" s="19">
        <v>15.0</v>
      </c>
      <c r="AK484" s="19">
        <v>15.0</v>
      </c>
      <c r="AL484" s="19">
        <v>15.0</v>
      </c>
      <c r="AM484" s="19">
        <v>45.0</v>
      </c>
      <c r="AN484" s="19">
        <v>58.6</v>
      </c>
      <c r="AO484" s="19">
        <v>63.6</v>
      </c>
      <c r="AP484" s="19">
        <v>1039.0</v>
      </c>
      <c r="AQ484" s="23">
        <v>476.0</v>
      </c>
      <c r="AR484" s="23">
        <v>59.0</v>
      </c>
      <c r="AS484" s="22"/>
      <c r="AT484" s="19" t="s">
        <v>2163</v>
      </c>
      <c r="AU484" s="19" t="s">
        <v>10329</v>
      </c>
      <c r="AV484" s="19" t="s">
        <v>10330</v>
      </c>
      <c r="AW484" s="19"/>
      <c r="AX484" s="20">
        <v>35846.0</v>
      </c>
      <c r="AY484" s="19" t="s">
        <v>2338</v>
      </c>
      <c r="AZ484" s="19" t="s">
        <v>2122</v>
      </c>
      <c r="BA484" s="19" t="s">
        <v>10331</v>
      </c>
      <c r="BB484" s="19" t="s">
        <v>5445</v>
      </c>
      <c r="BC484" s="19" t="s">
        <v>10332</v>
      </c>
      <c r="BD484" s="19" t="s">
        <v>10333</v>
      </c>
      <c r="BE484" s="19" t="s">
        <v>10326</v>
      </c>
      <c r="BF484" s="19">
        <v>1.1951621152E10</v>
      </c>
      <c r="BG484" s="19" t="s">
        <v>2127</v>
      </c>
      <c r="BH484" s="19" t="s">
        <v>2128</v>
      </c>
      <c r="BI484" s="19"/>
      <c r="BJ484" s="19"/>
      <c r="BK484" s="19" t="s">
        <v>16</v>
      </c>
      <c r="BL484" s="19"/>
      <c r="BM484" s="19" t="s">
        <v>5411</v>
      </c>
      <c r="BN484" s="19" t="s">
        <v>17</v>
      </c>
      <c r="BO484" s="19" t="s">
        <v>2132</v>
      </c>
      <c r="BP484" s="19"/>
      <c r="BQ484" s="19" t="s">
        <v>2174</v>
      </c>
      <c r="BR484" s="19" t="s">
        <v>2174</v>
      </c>
      <c r="BS484" s="19" t="s">
        <v>3521</v>
      </c>
      <c r="BT484" s="19" t="s">
        <v>21</v>
      </c>
      <c r="BU484" s="19" t="s">
        <v>10334</v>
      </c>
      <c r="BV484" s="19"/>
      <c r="BW484" s="19" t="s">
        <v>2113</v>
      </c>
      <c r="BX484" s="19"/>
      <c r="BY484" s="19"/>
      <c r="BZ484" s="19"/>
      <c r="CA484" s="19"/>
      <c r="CB484" s="19"/>
      <c r="CC484" s="19"/>
      <c r="CD484" s="19" t="s">
        <v>2137</v>
      </c>
      <c r="CE484" s="19" t="s">
        <v>16</v>
      </c>
      <c r="CF484" s="19"/>
      <c r="CG484" s="19"/>
      <c r="CH484" s="19" t="s">
        <v>16</v>
      </c>
      <c r="CI484" s="21">
        <v>0.0</v>
      </c>
      <c r="CJ484" s="19" t="s">
        <v>16</v>
      </c>
      <c r="CK484" s="19"/>
      <c r="CL484" s="19"/>
      <c r="CM484" s="19" t="s">
        <v>2138</v>
      </c>
      <c r="CN484" s="19" t="s">
        <v>2204</v>
      </c>
      <c r="CO484" s="19"/>
      <c r="CP484" s="19"/>
      <c r="CQ484" s="19"/>
      <c r="CR484" s="19" t="s">
        <v>2113</v>
      </c>
      <c r="CS484" s="19" t="s">
        <v>2113</v>
      </c>
      <c r="CT484" s="19" t="s">
        <v>2113</v>
      </c>
      <c r="CU484" s="19" t="s">
        <v>2113</v>
      </c>
      <c r="CV484" s="19" t="s">
        <v>2141</v>
      </c>
      <c r="CW484" s="19" t="s">
        <v>2113</v>
      </c>
      <c r="CX484" s="19" t="s">
        <v>2113</v>
      </c>
      <c r="CY484" s="19"/>
      <c r="CZ484" s="19"/>
      <c r="DA484" s="19" t="s">
        <v>16</v>
      </c>
      <c r="DB484" s="19" t="s">
        <v>16</v>
      </c>
      <c r="DC484" s="19" t="s">
        <v>2247</v>
      </c>
      <c r="DD484" s="19" t="s">
        <v>2113</v>
      </c>
      <c r="DE484" s="19" t="s">
        <v>2113</v>
      </c>
      <c r="DF484" s="19" t="s">
        <v>2181</v>
      </c>
      <c r="DG484" s="19" t="s">
        <v>2182</v>
      </c>
      <c r="DH484" s="19" t="s">
        <v>2144</v>
      </c>
      <c r="DI484" s="24">
        <v>45525.0</v>
      </c>
      <c r="DJ484" s="19" t="s">
        <v>2174</v>
      </c>
      <c r="DK484" s="19" t="s">
        <v>2271</v>
      </c>
      <c r="DL484" s="19" t="s">
        <v>2183</v>
      </c>
      <c r="DM484" s="19" t="s">
        <v>2249</v>
      </c>
      <c r="DN484" s="19">
        <v>10.0</v>
      </c>
      <c r="DO484" s="19">
        <v>10.0</v>
      </c>
      <c r="DP484" s="19" t="s">
        <v>10335</v>
      </c>
      <c r="DQ484" s="19" t="s">
        <v>10336</v>
      </c>
      <c r="DR484" s="19" t="s">
        <v>10337</v>
      </c>
      <c r="DS484" s="19" t="s">
        <v>2151</v>
      </c>
      <c r="DT484" s="19" t="s">
        <v>2350</v>
      </c>
      <c r="DU484" s="19"/>
      <c r="DV484" s="19"/>
      <c r="DW484" s="19" t="s">
        <v>2188</v>
      </c>
      <c r="DX484" s="19">
        <v>15.0</v>
      </c>
      <c r="DY484" s="19">
        <v>0.0</v>
      </c>
      <c r="DZ484" s="19">
        <v>0.0</v>
      </c>
      <c r="EA484" s="19">
        <v>0.0</v>
      </c>
      <c r="EB484" s="19">
        <v>0.0</v>
      </c>
      <c r="EC484" s="19">
        <v>0.0</v>
      </c>
      <c r="ED484" s="19" t="s">
        <v>2174</v>
      </c>
      <c r="EE484" s="24">
        <v>45525.0</v>
      </c>
      <c r="EF484" s="19" t="s">
        <v>2174</v>
      </c>
      <c r="EG484" s="19" t="s">
        <v>2271</v>
      </c>
      <c r="EH484" s="19" t="s">
        <v>2183</v>
      </c>
      <c r="EI484" s="22">
        <v>13.59375</v>
      </c>
      <c r="EJ484" s="19">
        <v>45.0</v>
      </c>
      <c r="EK484" s="19"/>
      <c r="EL484" s="19" t="s">
        <v>2163</v>
      </c>
      <c r="EM484" s="19" t="s">
        <v>10329</v>
      </c>
      <c r="EN484" s="19" t="s">
        <v>1433</v>
      </c>
      <c r="EO484" s="19" t="s">
        <v>2338</v>
      </c>
      <c r="EP484" s="19" t="s">
        <v>2122</v>
      </c>
      <c r="EQ484" s="19" t="s">
        <v>2204</v>
      </c>
      <c r="ER484" s="19"/>
      <c r="ES484" s="19" t="s">
        <v>1433</v>
      </c>
      <c r="ET484" s="19" t="s">
        <v>1433</v>
      </c>
      <c r="EU484" s="19" t="s">
        <v>10327</v>
      </c>
      <c r="EV484" s="19">
        <v>9615.0</v>
      </c>
      <c r="EW484" s="19" t="s">
        <v>16</v>
      </c>
      <c r="EX484" s="19">
        <v>5.0</v>
      </c>
      <c r="EY484" s="25" t="s">
        <v>1432</v>
      </c>
      <c r="EZ484" s="19" t="s">
        <v>2154</v>
      </c>
      <c r="FA484" s="5" t="s">
        <v>10338</v>
      </c>
      <c r="FB484" s="26" t="s">
        <v>2156</v>
      </c>
      <c r="FC484" s="26"/>
    </row>
    <row r="485">
      <c r="A485" s="19" t="s">
        <v>2156</v>
      </c>
      <c r="B485" s="19"/>
      <c r="C485" s="19" t="s">
        <v>2113</v>
      </c>
      <c r="D485" s="19" t="s">
        <v>1434</v>
      </c>
      <c r="E485" s="19" t="s">
        <v>10339</v>
      </c>
      <c r="F485" s="19" t="s">
        <v>1434</v>
      </c>
      <c r="G485" s="19"/>
      <c r="H485" s="19" t="s">
        <v>1434</v>
      </c>
      <c r="I485" s="19" t="s">
        <v>1436</v>
      </c>
      <c r="J485" s="19" t="s">
        <v>10340</v>
      </c>
      <c r="K485" s="19" t="s">
        <v>10341</v>
      </c>
      <c r="L485" s="20">
        <v>45444.0</v>
      </c>
      <c r="M485" s="20">
        <v>45446.0</v>
      </c>
      <c r="N485" s="20">
        <v>45446.0</v>
      </c>
      <c r="O485" s="19" t="s">
        <v>1435</v>
      </c>
      <c r="P485" s="19">
        <v>0.0</v>
      </c>
      <c r="Q485" s="19">
        <v>23.0</v>
      </c>
      <c r="R485" s="19">
        <v>8765.0</v>
      </c>
      <c r="S485" s="20" t="s">
        <v>10342</v>
      </c>
      <c r="T485" s="20">
        <v>45461.0</v>
      </c>
      <c r="U485" s="19" t="s">
        <v>1434</v>
      </c>
      <c r="V485" s="19"/>
      <c r="W485" s="19"/>
      <c r="X485" s="21">
        <v>0.0</v>
      </c>
      <c r="Y485" s="21">
        <v>0.0</v>
      </c>
      <c r="Z485" s="21">
        <v>4.0</v>
      </c>
      <c r="AA485" s="21">
        <v>0.0</v>
      </c>
      <c r="AB485" s="5">
        <v>4.0</v>
      </c>
      <c r="AC485" s="19">
        <v>5.0</v>
      </c>
      <c r="AD485" s="19">
        <v>5.0</v>
      </c>
      <c r="AE485" s="19">
        <v>5.0</v>
      </c>
      <c r="AF485" s="19">
        <v>4.0</v>
      </c>
      <c r="AG485" s="19">
        <v>5.0</v>
      </c>
      <c r="AH485" s="19">
        <v>5.0</v>
      </c>
      <c r="AI485" s="22">
        <v>14.625</v>
      </c>
      <c r="AJ485" s="19">
        <v>15.0</v>
      </c>
      <c r="AK485" s="19">
        <v>15.0</v>
      </c>
      <c r="AL485" s="19">
        <v>15.0</v>
      </c>
      <c r="AM485" s="19">
        <v>45.0</v>
      </c>
      <c r="AN485" s="19">
        <v>59.6</v>
      </c>
      <c r="AO485" s="19">
        <v>63.6</v>
      </c>
      <c r="AP485" s="19">
        <v>1176.0</v>
      </c>
      <c r="AQ485" s="23">
        <v>477.0</v>
      </c>
      <c r="AR485" s="23">
        <v>37.0</v>
      </c>
      <c r="AS485" s="22"/>
      <c r="AT485" s="19" t="s">
        <v>2117</v>
      </c>
      <c r="AU485" s="19" t="s">
        <v>5998</v>
      </c>
      <c r="AV485" s="19" t="s">
        <v>10343</v>
      </c>
      <c r="AW485" s="19" t="s">
        <v>4438</v>
      </c>
      <c r="AX485" s="20">
        <v>36696.0</v>
      </c>
      <c r="AY485" s="19" t="s">
        <v>2619</v>
      </c>
      <c r="AZ485" s="19" t="s">
        <v>2122</v>
      </c>
      <c r="BA485" s="19" t="s">
        <v>10344</v>
      </c>
      <c r="BB485" s="19" t="s">
        <v>3404</v>
      </c>
      <c r="BC485" s="19" t="s">
        <v>10345</v>
      </c>
      <c r="BD485" s="19" t="s">
        <v>10346</v>
      </c>
      <c r="BE485" s="19"/>
      <c r="BF485" s="19"/>
      <c r="BG485" s="19" t="s">
        <v>2127</v>
      </c>
      <c r="BH485" s="19" t="s">
        <v>2649</v>
      </c>
      <c r="BI485" s="19"/>
      <c r="BJ485" s="19"/>
      <c r="BK485" s="19" t="s">
        <v>16</v>
      </c>
      <c r="BL485" s="19"/>
      <c r="BM485" s="19" t="s">
        <v>5563</v>
      </c>
      <c r="BN485" s="19" t="s">
        <v>10347</v>
      </c>
      <c r="BO485" s="19" t="s">
        <v>2317</v>
      </c>
      <c r="BP485" s="19" t="s">
        <v>10348</v>
      </c>
      <c r="BQ485" s="19" t="s">
        <v>2133</v>
      </c>
      <c r="BR485" s="19" t="s">
        <v>2133</v>
      </c>
      <c r="BS485" s="19" t="s">
        <v>3521</v>
      </c>
      <c r="BT485" s="19" t="s">
        <v>52</v>
      </c>
      <c r="BU485" s="19" t="s">
        <v>10349</v>
      </c>
      <c r="BV485" s="19"/>
      <c r="BW485" s="19"/>
      <c r="BX485" s="19"/>
      <c r="BY485" s="19" t="s">
        <v>2113</v>
      </c>
      <c r="BZ485" s="19" t="s">
        <v>2113</v>
      </c>
      <c r="CA485" s="19"/>
      <c r="CB485" s="19" t="s">
        <v>2113</v>
      </c>
      <c r="CC485" s="19"/>
      <c r="CD485" s="19" t="s">
        <v>2137</v>
      </c>
      <c r="CE485" s="19" t="s">
        <v>16</v>
      </c>
      <c r="CF485" s="19"/>
      <c r="CG485" s="19"/>
      <c r="CH485" s="19" t="s">
        <v>16</v>
      </c>
      <c r="CI485" s="21">
        <v>0.0</v>
      </c>
      <c r="CJ485" s="19" t="s">
        <v>17</v>
      </c>
      <c r="CK485" s="19" t="s">
        <v>2113</v>
      </c>
      <c r="CL485" s="19"/>
      <c r="CM485" s="19" t="s">
        <v>2138</v>
      </c>
      <c r="CN485" s="19" t="s">
        <v>2626</v>
      </c>
      <c r="CO485" s="19"/>
      <c r="CP485" s="19"/>
      <c r="CQ485" s="19" t="s">
        <v>2113</v>
      </c>
      <c r="CR485" s="19" t="s">
        <v>2113</v>
      </c>
      <c r="CS485" s="19" t="s">
        <v>2113</v>
      </c>
      <c r="CT485" s="19" t="s">
        <v>2113</v>
      </c>
      <c r="CU485" s="19" t="s">
        <v>2113</v>
      </c>
      <c r="CV485" s="19" t="s">
        <v>2179</v>
      </c>
      <c r="CW485" s="19" t="s">
        <v>2113</v>
      </c>
      <c r="CX485" s="19" t="s">
        <v>2113</v>
      </c>
      <c r="CY485" s="19" t="s">
        <v>2113</v>
      </c>
      <c r="CZ485" s="19" t="s">
        <v>2113</v>
      </c>
      <c r="DA485" s="19" t="s">
        <v>16</v>
      </c>
      <c r="DB485" s="19" t="s">
        <v>17</v>
      </c>
      <c r="DC485" s="19" t="s">
        <v>2627</v>
      </c>
      <c r="DD485" s="19" t="s">
        <v>2113</v>
      </c>
      <c r="DE485" s="19" t="s">
        <v>2113</v>
      </c>
      <c r="DF485" s="19" t="s">
        <v>5270</v>
      </c>
      <c r="DG485" s="19" t="s">
        <v>2146</v>
      </c>
      <c r="DH485" s="19" t="s">
        <v>2580</v>
      </c>
      <c r="DI485" s="24">
        <v>45517.0</v>
      </c>
      <c r="DJ485" s="19" t="s">
        <v>2133</v>
      </c>
      <c r="DK485" s="19" t="s">
        <v>2145</v>
      </c>
      <c r="DL485" s="19" t="s">
        <v>2146</v>
      </c>
      <c r="DM485" s="19" t="s">
        <v>3021</v>
      </c>
      <c r="DN485" s="19">
        <v>1.0</v>
      </c>
      <c r="DO485" s="19">
        <v>1.0</v>
      </c>
      <c r="DP485" s="19"/>
      <c r="DQ485" s="19"/>
      <c r="DR485" s="19"/>
      <c r="DS485" s="19" t="s">
        <v>2365</v>
      </c>
      <c r="DT485" s="19" t="s">
        <v>2186</v>
      </c>
      <c r="DU485" s="19" t="s">
        <v>10350</v>
      </c>
      <c r="DV485" s="19"/>
      <c r="DW485" s="19" t="s">
        <v>2153</v>
      </c>
      <c r="DX485" s="19">
        <v>7.0</v>
      </c>
      <c r="DY485" s="19">
        <v>0.0</v>
      </c>
      <c r="DZ485" s="19">
        <v>0.0</v>
      </c>
      <c r="EA485" s="19">
        <v>0.0</v>
      </c>
      <c r="EB485" s="19">
        <v>0.0</v>
      </c>
      <c r="EC485" s="19">
        <v>0.0</v>
      </c>
      <c r="ED485" s="19" t="s">
        <v>2133</v>
      </c>
      <c r="EE485" s="24">
        <v>45517.0</v>
      </c>
      <c r="EF485" s="19" t="s">
        <v>2133</v>
      </c>
      <c r="EG485" s="19" t="s">
        <v>2145</v>
      </c>
      <c r="EH485" s="19" t="s">
        <v>2146</v>
      </c>
      <c r="EI485" s="22">
        <v>14.625</v>
      </c>
      <c r="EJ485" s="19">
        <v>45.0</v>
      </c>
      <c r="EK485" s="19" t="s">
        <v>2113</v>
      </c>
      <c r="EL485" s="19" t="s">
        <v>2117</v>
      </c>
      <c r="EM485" s="19" t="s">
        <v>5998</v>
      </c>
      <c r="EN485" s="19" t="s">
        <v>1436</v>
      </c>
      <c r="EO485" s="19" t="s">
        <v>2619</v>
      </c>
      <c r="EP485" s="19" t="s">
        <v>2122</v>
      </c>
      <c r="EQ485" s="19" t="s">
        <v>2626</v>
      </c>
      <c r="ER485" s="19"/>
      <c r="ES485" s="19" t="s">
        <v>1436</v>
      </c>
      <c r="ET485" s="19" t="s">
        <v>1436</v>
      </c>
      <c r="EU485" s="19" t="s">
        <v>10341</v>
      </c>
      <c r="EV485" s="19">
        <v>8765.0</v>
      </c>
      <c r="EW485" s="19" t="s">
        <v>16</v>
      </c>
      <c r="EX485" s="19">
        <v>4.0</v>
      </c>
      <c r="EY485" s="25" t="s">
        <v>1435</v>
      </c>
      <c r="EZ485" s="19" t="s">
        <v>2154</v>
      </c>
      <c r="FA485" s="5" t="s">
        <v>10351</v>
      </c>
      <c r="FB485" s="26" t="s">
        <v>2156</v>
      </c>
      <c r="FC485" s="26"/>
    </row>
    <row r="486">
      <c r="A486" s="19" t="s">
        <v>2156</v>
      </c>
      <c r="B486" s="19"/>
      <c r="C486" s="19" t="s">
        <v>2113</v>
      </c>
      <c r="D486" s="19" t="s">
        <v>1437</v>
      </c>
      <c r="E486" s="19" t="s">
        <v>10352</v>
      </c>
      <c r="F486" s="19" t="s">
        <v>1437</v>
      </c>
      <c r="G486" s="19"/>
      <c r="H486" s="19" t="s">
        <v>1437</v>
      </c>
      <c r="I486" s="19" t="s">
        <v>1439</v>
      </c>
      <c r="J486" s="19" t="s">
        <v>10353</v>
      </c>
      <c r="K486" s="19" t="s">
        <v>10354</v>
      </c>
      <c r="L486" s="20">
        <v>45408.0</v>
      </c>
      <c r="M486" s="20">
        <v>45411.0</v>
      </c>
      <c r="N486" s="20">
        <v>45411.0</v>
      </c>
      <c r="O486" s="19" t="s">
        <v>1438</v>
      </c>
      <c r="P486" s="19">
        <v>0.0</v>
      </c>
      <c r="Q486" s="19">
        <v>24.0</v>
      </c>
      <c r="R486" s="19">
        <v>8796.0</v>
      </c>
      <c r="S486" s="20" t="s">
        <v>10355</v>
      </c>
      <c r="T486" s="20">
        <v>45461.0</v>
      </c>
      <c r="U486" s="19" t="s">
        <v>1437</v>
      </c>
      <c r="V486" s="19"/>
      <c r="W486" s="19" t="s">
        <v>10356</v>
      </c>
      <c r="X486" s="21">
        <v>0.0</v>
      </c>
      <c r="Y486" s="21">
        <v>5.0</v>
      </c>
      <c r="Z486" s="21">
        <v>3.0</v>
      </c>
      <c r="AA486" s="21">
        <v>0.0</v>
      </c>
      <c r="AB486" s="5">
        <v>8.0</v>
      </c>
      <c r="AC486" s="19">
        <v>5.0</v>
      </c>
      <c r="AD486" s="19">
        <v>4.0</v>
      </c>
      <c r="AE486" s="19">
        <v>4.0</v>
      </c>
      <c r="AF486" s="19">
        <v>4.0</v>
      </c>
      <c r="AG486" s="19">
        <v>4.0</v>
      </c>
      <c r="AH486" s="19">
        <v>4.0</v>
      </c>
      <c r="AI486" s="22">
        <v>12.46875</v>
      </c>
      <c r="AJ486" s="19">
        <v>13.0</v>
      </c>
      <c r="AK486" s="19">
        <v>15.0</v>
      </c>
      <c r="AL486" s="19">
        <v>15.0</v>
      </c>
      <c r="AM486" s="19">
        <v>43.0</v>
      </c>
      <c r="AN486" s="19">
        <v>55.5</v>
      </c>
      <c r="AO486" s="19">
        <v>63.5</v>
      </c>
      <c r="AP486" s="19">
        <v>985.0</v>
      </c>
      <c r="AQ486" s="23">
        <v>478.0</v>
      </c>
      <c r="AR486" s="23">
        <v>32.0</v>
      </c>
      <c r="AS486" s="22" t="s">
        <v>10357</v>
      </c>
      <c r="AT486" s="19" t="s">
        <v>2282</v>
      </c>
      <c r="AU486" s="19" t="s">
        <v>10358</v>
      </c>
      <c r="AV486" s="19" t="s">
        <v>10359</v>
      </c>
      <c r="AW486" s="19" t="s">
        <v>10360</v>
      </c>
      <c r="AX486" s="20">
        <v>36665.0</v>
      </c>
      <c r="AY486" s="19" t="s">
        <v>3537</v>
      </c>
      <c r="AZ486" s="19" t="s">
        <v>2122</v>
      </c>
      <c r="BA486" s="19" t="s">
        <v>10361</v>
      </c>
      <c r="BB486" s="19" t="s">
        <v>10362</v>
      </c>
      <c r="BC486" s="19" t="s">
        <v>10363</v>
      </c>
      <c r="BD486" s="19" t="s">
        <v>10364</v>
      </c>
      <c r="BE486" s="19" t="s">
        <v>10353</v>
      </c>
      <c r="BF486" s="19">
        <v>1.1948154536E10</v>
      </c>
      <c r="BG486" s="19" t="s">
        <v>3518</v>
      </c>
      <c r="BH486" s="19" t="s">
        <v>2128</v>
      </c>
      <c r="BI486" s="19"/>
      <c r="BJ486" s="19" t="s">
        <v>2427</v>
      </c>
      <c r="BK486" s="19" t="s">
        <v>17</v>
      </c>
      <c r="BL486" s="19" t="s">
        <v>2113</v>
      </c>
      <c r="BM486" s="19" t="s">
        <v>5411</v>
      </c>
      <c r="BN486" s="19" t="s">
        <v>17</v>
      </c>
      <c r="BO486" s="19" t="s">
        <v>2473</v>
      </c>
      <c r="BP486" s="19" t="s">
        <v>10365</v>
      </c>
      <c r="BQ486" s="19" t="s">
        <v>2133</v>
      </c>
      <c r="BR486" s="19" t="s">
        <v>2133</v>
      </c>
      <c r="BS486" s="19" t="s">
        <v>2243</v>
      </c>
      <c r="BT486" s="19" t="s">
        <v>222</v>
      </c>
      <c r="BU486" s="19" t="s">
        <v>10366</v>
      </c>
      <c r="BV486" s="19"/>
      <c r="BW486" s="19"/>
      <c r="BX486" s="19"/>
      <c r="BY486" s="19" t="s">
        <v>2113</v>
      </c>
      <c r="BZ486" s="19" t="s">
        <v>2113</v>
      </c>
      <c r="CA486" s="19"/>
      <c r="CB486" s="19" t="s">
        <v>2113</v>
      </c>
      <c r="CC486" s="19"/>
      <c r="CD486" s="19" t="s">
        <v>2137</v>
      </c>
      <c r="CE486" s="19" t="s">
        <v>16</v>
      </c>
      <c r="CF486" s="19"/>
      <c r="CG486" s="19"/>
      <c r="CH486" s="19" t="s">
        <v>16</v>
      </c>
      <c r="CI486" s="21">
        <v>0.0</v>
      </c>
      <c r="CJ486" s="19" t="s">
        <v>16</v>
      </c>
      <c r="CK486" s="19"/>
      <c r="CL486" s="19"/>
      <c r="CM486" s="19" t="s">
        <v>2138</v>
      </c>
      <c r="CN486" s="19" t="s">
        <v>3544</v>
      </c>
      <c r="CO486" s="19"/>
      <c r="CP486" s="19" t="s">
        <v>2246</v>
      </c>
      <c r="CQ486" s="19" t="s">
        <v>2113</v>
      </c>
      <c r="CR486" s="19"/>
      <c r="CS486" s="19"/>
      <c r="CT486" s="19" t="s">
        <v>2113</v>
      </c>
      <c r="CU486" s="19" t="s">
        <v>2113</v>
      </c>
      <c r="CV486" s="19" t="s">
        <v>2179</v>
      </c>
      <c r="CW486" s="19" t="s">
        <v>2113</v>
      </c>
      <c r="CX486" s="19" t="s">
        <v>2113</v>
      </c>
      <c r="CY486" s="19" t="s">
        <v>2113</v>
      </c>
      <c r="CZ486" s="19" t="s">
        <v>2113</v>
      </c>
      <c r="DA486" s="19" t="s">
        <v>16</v>
      </c>
      <c r="DB486" s="19" t="s">
        <v>16</v>
      </c>
      <c r="DC486" s="19" t="s">
        <v>2579</v>
      </c>
      <c r="DD486" s="19" t="s">
        <v>2113</v>
      </c>
      <c r="DE486" s="19" t="s">
        <v>2113</v>
      </c>
      <c r="DF486" s="19" t="s">
        <v>2146</v>
      </c>
      <c r="DG486" s="19" t="s">
        <v>5270</v>
      </c>
      <c r="DH486" s="19" t="s">
        <v>2144</v>
      </c>
      <c r="DI486" s="24">
        <v>45518.0</v>
      </c>
      <c r="DJ486" s="19" t="s">
        <v>2133</v>
      </c>
      <c r="DK486" s="19" t="s">
        <v>2145</v>
      </c>
      <c r="DL486" s="19" t="s">
        <v>2146</v>
      </c>
      <c r="DM486" s="19" t="s">
        <v>2672</v>
      </c>
      <c r="DN486" s="19">
        <v>3.0</v>
      </c>
      <c r="DO486" s="19">
        <v>3.0</v>
      </c>
      <c r="DP486" s="19"/>
      <c r="DQ486" s="19"/>
      <c r="DR486" s="19"/>
      <c r="DS486" s="19" t="s">
        <v>2185</v>
      </c>
      <c r="DT486" s="19" t="s">
        <v>2301</v>
      </c>
      <c r="DU486" s="19" t="s">
        <v>10367</v>
      </c>
      <c r="DV486" s="19"/>
      <c r="DW486" s="19" t="s">
        <v>3306</v>
      </c>
      <c r="DX486" s="19">
        <v>4.0</v>
      </c>
      <c r="DY486" s="19">
        <v>5.0</v>
      </c>
      <c r="DZ486" s="19">
        <v>0.0</v>
      </c>
      <c r="EA486" s="19">
        <v>5.0</v>
      </c>
      <c r="EB486" s="19">
        <v>0.0</v>
      </c>
      <c r="EC486" s="19">
        <v>0.0</v>
      </c>
      <c r="ED486" s="19" t="s">
        <v>2133</v>
      </c>
      <c r="EE486" s="24">
        <v>45518.0</v>
      </c>
      <c r="EF486" s="19" t="s">
        <v>2133</v>
      </c>
      <c r="EG486" s="19" t="s">
        <v>2145</v>
      </c>
      <c r="EH486" s="19" t="s">
        <v>2146</v>
      </c>
      <c r="EI486" s="22">
        <v>12.46875</v>
      </c>
      <c r="EJ486" s="19">
        <v>43.0</v>
      </c>
      <c r="EK486" s="19"/>
      <c r="EL486" s="19" t="s">
        <v>2282</v>
      </c>
      <c r="EM486" s="19" t="s">
        <v>10358</v>
      </c>
      <c r="EN486" s="19" t="s">
        <v>1439</v>
      </c>
      <c r="EO486" s="19" t="s">
        <v>3537</v>
      </c>
      <c r="EP486" s="19" t="s">
        <v>2122</v>
      </c>
      <c r="EQ486" s="19" t="s">
        <v>3544</v>
      </c>
      <c r="ER486" s="19"/>
      <c r="ES486" s="19" t="s">
        <v>1439</v>
      </c>
      <c r="ET486" s="19" t="s">
        <v>1439</v>
      </c>
      <c r="EU486" s="19" t="s">
        <v>10354</v>
      </c>
      <c r="EV486" s="19">
        <v>8796.0</v>
      </c>
      <c r="EW486" s="19" t="s">
        <v>16</v>
      </c>
      <c r="EX486" s="19">
        <v>3.0</v>
      </c>
      <c r="EY486" s="25" t="s">
        <v>1438</v>
      </c>
      <c r="EZ486" s="19" t="s">
        <v>2154</v>
      </c>
      <c r="FA486" s="5" t="s">
        <v>10368</v>
      </c>
      <c r="FB486" s="26" t="s">
        <v>2156</v>
      </c>
      <c r="FC486" s="26"/>
    </row>
    <row r="487">
      <c r="A487" s="19" t="s">
        <v>2112</v>
      </c>
      <c r="B487" s="19"/>
      <c r="C487" s="19" t="s">
        <v>2113</v>
      </c>
      <c r="D487" s="19" t="s">
        <v>10369</v>
      </c>
      <c r="E487" s="19" t="s">
        <v>10370</v>
      </c>
      <c r="F487" s="19" t="s">
        <v>10369</v>
      </c>
      <c r="G487" s="19"/>
      <c r="H487" s="19" t="s">
        <v>1440</v>
      </c>
      <c r="I487" s="19" t="s">
        <v>1442</v>
      </c>
      <c r="J487" s="19" t="s">
        <v>10371</v>
      </c>
      <c r="K487" s="19" t="s">
        <v>10372</v>
      </c>
      <c r="L487" s="20">
        <v>45446.0</v>
      </c>
      <c r="M487" s="20">
        <v>45447.0</v>
      </c>
      <c r="N487" s="20">
        <v>45447.0</v>
      </c>
      <c r="O487" s="19" t="s">
        <v>1441</v>
      </c>
      <c r="P487" s="19">
        <v>0.0</v>
      </c>
      <c r="Q487" s="19">
        <v>22.0</v>
      </c>
      <c r="R487" s="19">
        <v>8313.0</v>
      </c>
      <c r="S487" s="20" t="s">
        <v>10373</v>
      </c>
      <c r="T487" s="20">
        <v>45461.0</v>
      </c>
      <c r="U487" s="19" t="s">
        <v>10369</v>
      </c>
      <c r="V487" s="19"/>
      <c r="W487" s="19"/>
      <c r="X487" s="21">
        <v>0.0</v>
      </c>
      <c r="Y487" s="21">
        <v>0.0</v>
      </c>
      <c r="Z487" s="21">
        <v>5.0</v>
      </c>
      <c r="AA487" s="21">
        <v>0.0</v>
      </c>
      <c r="AB487" s="5">
        <v>5.0</v>
      </c>
      <c r="AC487" s="19">
        <v>4.6</v>
      </c>
      <c r="AD487" s="19">
        <v>4.6</v>
      </c>
      <c r="AE487" s="19">
        <v>4.4</v>
      </c>
      <c r="AF487" s="19">
        <v>5.0</v>
      </c>
      <c r="AG487" s="19">
        <v>3.8</v>
      </c>
      <c r="AH487" s="19">
        <v>4.6</v>
      </c>
      <c r="AI487" s="22">
        <v>13.5</v>
      </c>
      <c r="AJ487" s="19">
        <v>15.0</v>
      </c>
      <c r="AK487" s="19">
        <v>15.0</v>
      </c>
      <c r="AL487" s="19">
        <v>15.0</v>
      </c>
      <c r="AM487" s="19">
        <v>45.0</v>
      </c>
      <c r="AN487" s="19">
        <v>58.5</v>
      </c>
      <c r="AO487" s="19">
        <v>63.5</v>
      </c>
      <c r="AP487" s="19">
        <v>1084.0</v>
      </c>
      <c r="AQ487" s="23">
        <v>479.0</v>
      </c>
      <c r="AR487" s="23">
        <v>60.0</v>
      </c>
      <c r="AS487" s="22"/>
      <c r="AT487" s="19" t="s">
        <v>2163</v>
      </c>
      <c r="AU487" s="19" t="s">
        <v>10374</v>
      </c>
      <c r="AV487" s="19" t="s">
        <v>10375</v>
      </c>
      <c r="AW487" s="19"/>
      <c r="AX487" s="20">
        <v>37148.0</v>
      </c>
      <c r="AY487" s="19" t="s">
        <v>2338</v>
      </c>
      <c r="AZ487" s="19" t="s">
        <v>2122</v>
      </c>
      <c r="BA487" s="19" t="s">
        <v>10376</v>
      </c>
      <c r="BB487" s="19" t="s">
        <v>8682</v>
      </c>
      <c r="BC487" s="19" t="s">
        <v>10377</v>
      </c>
      <c r="BD487" s="19" t="s">
        <v>10378</v>
      </c>
      <c r="BE487" s="19" t="s">
        <v>10371</v>
      </c>
      <c r="BF487" s="19">
        <v>1.195457331E10</v>
      </c>
      <c r="BG487" s="19" t="s">
        <v>4038</v>
      </c>
      <c r="BH487" s="19" t="s">
        <v>2128</v>
      </c>
      <c r="BI487" s="19"/>
      <c r="BJ487" s="19" t="s">
        <v>2128</v>
      </c>
      <c r="BK487" s="19" t="s">
        <v>17</v>
      </c>
      <c r="BL487" s="19"/>
      <c r="BM487" s="19" t="s">
        <v>5563</v>
      </c>
      <c r="BN487" s="19" t="s">
        <v>17</v>
      </c>
      <c r="BO487" s="19" t="s">
        <v>2132</v>
      </c>
      <c r="BP487" s="19"/>
      <c r="BQ487" s="19" t="s">
        <v>2174</v>
      </c>
      <c r="BR487" s="19" t="s">
        <v>2174</v>
      </c>
      <c r="BS487" s="19" t="s">
        <v>2134</v>
      </c>
      <c r="BT487" s="19" t="s">
        <v>21</v>
      </c>
      <c r="BU487" s="19" t="s">
        <v>10379</v>
      </c>
      <c r="BV487" s="19"/>
      <c r="BW487" s="19"/>
      <c r="BX487" s="19" t="s">
        <v>2113</v>
      </c>
      <c r="BY487" s="19" t="s">
        <v>2113</v>
      </c>
      <c r="BZ487" s="19" t="s">
        <v>2113</v>
      </c>
      <c r="CA487" s="19"/>
      <c r="CB487" s="19"/>
      <c r="CC487" s="19" t="s">
        <v>2113</v>
      </c>
      <c r="CD487" s="19" t="s">
        <v>2137</v>
      </c>
      <c r="CE487" s="19" t="s">
        <v>16</v>
      </c>
      <c r="CF487" s="19"/>
      <c r="CG487" s="19"/>
      <c r="CH487" s="19" t="s">
        <v>16</v>
      </c>
      <c r="CI487" s="21">
        <v>0.0</v>
      </c>
      <c r="CJ487" s="19" t="s">
        <v>17</v>
      </c>
      <c r="CK487" s="19"/>
      <c r="CL487" s="19"/>
      <c r="CM487" s="19" t="s">
        <v>2138</v>
      </c>
      <c r="CN487" s="19" t="s">
        <v>2204</v>
      </c>
      <c r="CO487" s="19"/>
      <c r="CP487" s="19" t="s">
        <v>2246</v>
      </c>
      <c r="CQ487" s="19"/>
      <c r="CR487" s="19" t="s">
        <v>2113</v>
      </c>
      <c r="CS487" s="19" t="s">
        <v>2113</v>
      </c>
      <c r="CT487" s="19" t="s">
        <v>2113</v>
      </c>
      <c r="CU487" s="19" t="s">
        <v>2113</v>
      </c>
      <c r="CV487" s="19" t="s">
        <v>2141</v>
      </c>
      <c r="CW487" s="19"/>
      <c r="CX487" s="19"/>
      <c r="CY487" s="19"/>
      <c r="CZ487" s="19"/>
      <c r="DA487" s="19" t="s">
        <v>16</v>
      </c>
      <c r="DB487" s="19" t="s">
        <v>17</v>
      </c>
      <c r="DC487" s="19" t="s">
        <v>2180</v>
      </c>
      <c r="DD487" s="19"/>
      <c r="DE487" s="19"/>
      <c r="DF487" s="19" t="s">
        <v>10380</v>
      </c>
      <c r="DG487" s="19" t="s">
        <v>4707</v>
      </c>
      <c r="DH487" s="19" t="s">
        <v>2144</v>
      </c>
      <c r="DI487" s="24">
        <v>45531.0</v>
      </c>
      <c r="DJ487" s="19" t="s">
        <v>2174</v>
      </c>
      <c r="DK487" s="19" t="s">
        <v>2271</v>
      </c>
      <c r="DL487" s="19" t="s">
        <v>2183</v>
      </c>
      <c r="DM487" s="19"/>
      <c r="DN487" s="19">
        <v>8.0</v>
      </c>
      <c r="DO487" s="19">
        <v>8.0</v>
      </c>
      <c r="DP487" s="19" t="s">
        <v>10381</v>
      </c>
      <c r="DQ487" s="19" t="s">
        <v>10382</v>
      </c>
      <c r="DR487" s="19" t="s">
        <v>10383</v>
      </c>
      <c r="DS487" s="19" t="s">
        <v>2151</v>
      </c>
      <c r="DT487" s="19" t="s">
        <v>2229</v>
      </c>
      <c r="DU487" s="19"/>
      <c r="DV487" s="19"/>
      <c r="DW487" s="19" t="s">
        <v>2188</v>
      </c>
      <c r="DX487" s="19">
        <v>15.0</v>
      </c>
      <c r="DY487" s="19">
        <v>0.0</v>
      </c>
      <c r="DZ487" s="19">
        <v>0.0</v>
      </c>
      <c r="EA487" s="19">
        <v>0.0</v>
      </c>
      <c r="EB487" s="19">
        <v>0.0</v>
      </c>
      <c r="EC487" s="19">
        <v>0.0</v>
      </c>
      <c r="ED487" s="19" t="s">
        <v>2174</v>
      </c>
      <c r="EE487" s="24">
        <v>45531.0</v>
      </c>
      <c r="EF487" s="19" t="s">
        <v>2174</v>
      </c>
      <c r="EG487" s="19" t="s">
        <v>2271</v>
      </c>
      <c r="EH487" s="19" t="s">
        <v>2183</v>
      </c>
      <c r="EI487" s="22">
        <v>13.5</v>
      </c>
      <c r="EJ487" s="19">
        <v>45.0</v>
      </c>
      <c r="EK487" s="19" t="s">
        <v>2113</v>
      </c>
      <c r="EL487" s="19" t="s">
        <v>2163</v>
      </c>
      <c r="EM487" s="19" t="s">
        <v>10374</v>
      </c>
      <c r="EN487" s="19" t="s">
        <v>1442</v>
      </c>
      <c r="EO487" s="19" t="s">
        <v>2338</v>
      </c>
      <c r="EP487" s="19" t="s">
        <v>2122</v>
      </c>
      <c r="EQ487" s="19" t="s">
        <v>2204</v>
      </c>
      <c r="ER487" s="19"/>
      <c r="ES487" s="19" t="s">
        <v>1442</v>
      </c>
      <c r="ET487" s="19" t="s">
        <v>1442</v>
      </c>
      <c r="EU487" s="19" t="s">
        <v>10372</v>
      </c>
      <c r="EV487" s="19">
        <v>8313.0</v>
      </c>
      <c r="EW487" s="19" t="s">
        <v>16</v>
      </c>
      <c r="EX487" s="19">
        <v>5.0</v>
      </c>
      <c r="EY487" s="25" t="s">
        <v>1441</v>
      </c>
      <c r="EZ487" s="19" t="s">
        <v>2154</v>
      </c>
      <c r="FA487" s="5" t="s">
        <v>10384</v>
      </c>
      <c r="FB487" s="26" t="s">
        <v>2156</v>
      </c>
      <c r="FC487" s="26"/>
    </row>
    <row r="488">
      <c r="A488" s="19" t="s">
        <v>2112</v>
      </c>
      <c r="B488" s="19"/>
      <c r="C488" s="19" t="s">
        <v>2113</v>
      </c>
      <c r="D488" s="19" t="s">
        <v>1443</v>
      </c>
      <c r="E488" s="19" t="s">
        <v>10385</v>
      </c>
      <c r="F488" s="19" t="s">
        <v>1443</v>
      </c>
      <c r="G488" s="19"/>
      <c r="H488" s="19" t="s">
        <v>1443</v>
      </c>
      <c r="I488" s="19" t="s">
        <v>1445</v>
      </c>
      <c r="J488" s="19" t="s">
        <v>10386</v>
      </c>
      <c r="K488" s="19" t="s">
        <v>10387</v>
      </c>
      <c r="L488" s="20">
        <v>45398.0</v>
      </c>
      <c r="M488" s="20">
        <v>45411.0</v>
      </c>
      <c r="N488" s="20">
        <v>45411.0</v>
      </c>
      <c r="O488" s="19" t="s">
        <v>1444</v>
      </c>
      <c r="P488" s="19">
        <v>0.0</v>
      </c>
      <c r="Q488" s="19">
        <v>22.0</v>
      </c>
      <c r="R488" s="19">
        <v>8074.0</v>
      </c>
      <c r="S488" s="20" t="s">
        <v>10388</v>
      </c>
      <c r="T488" s="20">
        <v>45461.0</v>
      </c>
      <c r="U488" s="19" t="s">
        <v>1443</v>
      </c>
      <c r="V488" s="19"/>
      <c r="W488" s="19"/>
      <c r="X488" s="21">
        <v>0.0</v>
      </c>
      <c r="Y488" s="21">
        <v>0.0</v>
      </c>
      <c r="Z488" s="21">
        <v>5.0</v>
      </c>
      <c r="AA488" s="21">
        <v>0.0</v>
      </c>
      <c r="AB488" s="5">
        <v>5.0</v>
      </c>
      <c r="AC488" s="19">
        <v>5.0</v>
      </c>
      <c r="AD488" s="19">
        <v>5.0</v>
      </c>
      <c r="AE488" s="19">
        <v>5.0</v>
      </c>
      <c r="AF488" s="19">
        <v>5.0</v>
      </c>
      <c r="AG488" s="19">
        <v>5.0</v>
      </c>
      <c r="AH488" s="19">
        <v>5.0</v>
      </c>
      <c r="AI488" s="22">
        <v>15.0</v>
      </c>
      <c r="AJ488" s="19">
        <v>13.5</v>
      </c>
      <c r="AK488" s="19">
        <v>15.0</v>
      </c>
      <c r="AL488" s="19">
        <v>15.0</v>
      </c>
      <c r="AM488" s="19">
        <v>43.5</v>
      </c>
      <c r="AN488" s="19">
        <v>58.5</v>
      </c>
      <c r="AO488" s="19">
        <v>63.5</v>
      </c>
      <c r="AP488" s="19">
        <v>1097.0</v>
      </c>
      <c r="AQ488" s="23">
        <v>480.0</v>
      </c>
      <c r="AR488" s="23">
        <v>66.0</v>
      </c>
      <c r="AS488" s="22"/>
      <c r="AT488" s="19" t="s">
        <v>2163</v>
      </c>
      <c r="AU488" s="19" t="s">
        <v>5366</v>
      </c>
      <c r="AV488" s="19" t="s">
        <v>10389</v>
      </c>
      <c r="AW488" s="19" t="s">
        <v>2466</v>
      </c>
      <c r="AX488" s="20">
        <v>37387.0</v>
      </c>
      <c r="AY488" s="19" t="s">
        <v>2817</v>
      </c>
      <c r="AZ488" s="19" t="s">
        <v>2122</v>
      </c>
      <c r="BA488" s="19" t="s">
        <v>10390</v>
      </c>
      <c r="BB488" s="19" t="s">
        <v>10391</v>
      </c>
      <c r="BC488" s="19" t="s">
        <v>10392</v>
      </c>
      <c r="BD488" s="19" t="s">
        <v>10393</v>
      </c>
      <c r="BE488" s="19" t="s">
        <v>10394</v>
      </c>
      <c r="BF488" s="19">
        <v>1.1988130492E10</v>
      </c>
      <c r="BG488" s="19" t="s">
        <v>4038</v>
      </c>
      <c r="BH488" s="19" t="s">
        <v>2128</v>
      </c>
      <c r="BI488" s="19"/>
      <c r="BJ488" s="19" t="s">
        <v>2129</v>
      </c>
      <c r="BK488" s="19" t="s">
        <v>17</v>
      </c>
      <c r="BL488" s="19"/>
      <c r="BM488" s="19" t="s">
        <v>5411</v>
      </c>
      <c r="BN488" s="19" t="s">
        <v>2131</v>
      </c>
      <c r="BO488" s="19" t="s">
        <v>2132</v>
      </c>
      <c r="BP488" s="19" t="s">
        <v>10395</v>
      </c>
      <c r="BQ488" s="19" t="s">
        <v>2133</v>
      </c>
      <c r="BR488" s="19" t="s">
        <v>2133</v>
      </c>
      <c r="BS488" s="19" t="s">
        <v>2134</v>
      </c>
      <c r="BT488" s="19" t="s">
        <v>38</v>
      </c>
      <c r="BU488" s="19" t="s">
        <v>4319</v>
      </c>
      <c r="BV488" s="19"/>
      <c r="BW488" s="19"/>
      <c r="BX488" s="19"/>
      <c r="BY488" s="19" t="s">
        <v>2113</v>
      </c>
      <c r="BZ488" s="19" t="s">
        <v>2113</v>
      </c>
      <c r="CA488" s="19"/>
      <c r="CB488" s="19" t="s">
        <v>2113</v>
      </c>
      <c r="CC488" s="19"/>
      <c r="CD488" s="19" t="s">
        <v>2137</v>
      </c>
      <c r="CE488" s="19" t="s">
        <v>16</v>
      </c>
      <c r="CF488" s="19"/>
      <c r="CG488" s="19"/>
      <c r="CH488" s="19" t="s">
        <v>16</v>
      </c>
      <c r="CI488" s="21">
        <v>0.0</v>
      </c>
      <c r="CJ488" s="19" t="s">
        <v>17</v>
      </c>
      <c r="CK488" s="19"/>
      <c r="CL488" s="19" t="s">
        <v>2113</v>
      </c>
      <c r="CM488" s="19" t="s">
        <v>2344</v>
      </c>
      <c r="CN488" s="19" t="s">
        <v>2294</v>
      </c>
      <c r="CO488" s="19"/>
      <c r="CP488" s="19" t="s">
        <v>2246</v>
      </c>
      <c r="CQ488" s="19"/>
      <c r="CR488" s="19" t="s">
        <v>2113</v>
      </c>
      <c r="CS488" s="19" t="s">
        <v>2113</v>
      </c>
      <c r="CT488" s="19" t="s">
        <v>2113</v>
      </c>
      <c r="CU488" s="19" t="s">
        <v>2113</v>
      </c>
      <c r="CV488" s="19" t="s">
        <v>2179</v>
      </c>
      <c r="CW488" s="19" t="s">
        <v>2113</v>
      </c>
      <c r="CX488" s="19" t="s">
        <v>2113</v>
      </c>
      <c r="CY488" s="19" t="s">
        <v>2113</v>
      </c>
      <c r="CZ488" s="19" t="s">
        <v>2113</v>
      </c>
      <c r="DA488" s="19" t="s">
        <v>16</v>
      </c>
      <c r="DB488" s="19" t="s">
        <v>17</v>
      </c>
      <c r="DC488" s="19" t="s">
        <v>2407</v>
      </c>
      <c r="DD488" s="19" t="s">
        <v>2113</v>
      </c>
      <c r="DE488" s="19" t="s">
        <v>2113</v>
      </c>
      <c r="DF488" s="19" t="s">
        <v>2826</v>
      </c>
      <c r="DG488" s="19" t="s">
        <v>2433</v>
      </c>
      <c r="DH488" s="19" t="s">
        <v>2144</v>
      </c>
      <c r="DI488" s="24">
        <v>45524.0</v>
      </c>
      <c r="DJ488" s="19" t="s">
        <v>2133</v>
      </c>
      <c r="DK488" s="19" t="s">
        <v>2145</v>
      </c>
      <c r="DL488" s="19" t="s">
        <v>2146</v>
      </c>
      <c r="DM488" s="19" t="s">
        <v>3302</v>
      </c>
      <c r="DN488" s="19">
        <v>7.0</v>
      </c>
      <c r="DO488" s="19">
        <v>7.0</v>
      </c>
      <c r="DP488" s="19"/>
      <c r="DQ488" s="19"/>
      <c r="DR488" s="19"/>
      <c r="DS488" s="19" t="s">
        <v>2185</v>
      </c>
      <c r="DT488" s="19" t="s">
        <v>2152</v>
      </c>
      <c r="DU488" s="19" t="s">
        <v>10396</v>
      </c>
      <c r="DV488" s="19"/>
      <c r="DW488" s="19" t="s">
        <v>3306</v>
      </c>
      <c r="DX488" s="19">
        <v>4.0</v>
      </c>
      <c r="DY488" s="19">
        <v>0.0</v>
      </c>
      <c r="DZ488" s="19">
        <v>0.0</v>
      </c>
      <c r="EA488" s="19">
        <v>0.0</v>
      </c>
      <c r="EB488" s="19">
        <v>0.0</v>
      </c>
      <c r="EC488" s="19">
        <v>0.0</v>
      </c>
      <c r="ED488" s="19" t="s">
        <v>2133</v>
      </c>
      <c r="EE488" s="24">
        <v>45524.0</v>
      </c>
      <c r="EF488" s="19" t="s">
        <v>2133</v>
      </c>
      <c r="EG488" s="19" t="s">
        <v>2145</v>
      </c>
      <c r="EH488" s="19" t="s">
        <v>2146</v>
      </c>
      <c r="EI488" s="22">
        <v>15.0</v>
      </c>
      <c r="EJ488" s="19">
        <v>43.5</v>
      </c>
      <c r="EK488" s="19" t="s">
        <v>2113</v>
      </c>
      <c r="EL488" s="19" t="s">
        <v>2163</v>
      </c>
      <c r="EM488" s="19" t="s">
        <v>5366</v>
      </c>
      <c r="EN488" s="19" t="s">
        <v>1445</v>
      </c>
      <c r="EO488" s="19" t="s">
        <v>2817</v>
      </c>
      <c r="EP488" s="19" t="s">
        <v>2122</v>
      </c>
      <c r="EQ488" s="19" t="s">
        <v>2294</v>
      </c>
      <c r="ER488" s="19"/>
      <c r="ES488" s="19" t="s">
        <v>1445</v>
      </c>
      <c r="ET488" s="19" t="s">
        <v>1445</v>
      </c>
      <c r="EU488" s="19" t="s">
        <v>10387</v>
      </c>
      <c r="EV488" s="19">
        <v>8074.0</v>
      </c>
      <c r="EW488" s="19" t="s">
        <v>16</v>
      </c>
      <c r="EX488" s="19">
        <v>5.0</v>
      </c>
      <c r="EY488" s="25" t="s">
        <v>1444</v>
      </c>
      <c r="EZ488" s="19" t="s">
        <v>2154</v>
      </c>
      <c r="FA488" s="5" t="s">
        <v>10397</v>
      </c>
      <c r="FB488" s="26" t="s">
        <v>2156</v>
      </c>
      <c r="FC488" s="26"/>
    </row>
    <row r="489">
      <c r="A489" s="19" t="s">
        <v>2156</v>
      </c>
      <c r="B489" s="19"/>
      <c r="C489" s="19" t="s">
        <v>2113</v>
      </c>
      <c r="D489" s="19" t="s">
        <v>1446</v>
      </c>
      <c r="E489" s="19" t="s">
        <v>10398</v>
      </c>
      <c r="F489" s="19" t="s">
        <v>1446</v>
      </c>
      <c r="G489" s="19"/>
      <c r="H489" s="19" t="s">
        <v>1446</v>
      </c>
      <c r="I489" s="19" t="s">
        <v>1448</v>
      </c>
      <c r="J489" s="19" t="s">
        <v>10399</v>
      </c>
      <c r="K489" s="19" t="s">
        <v>10400</v>
      </c>
      <c r="L489" s="20">
        <v>45446.0</v>
      </c>
      <c r="M489" s="20">
        <v>45447.0</v>
      </c>
      <c r="N489" s="20">
        <v>45447.0</v>
      </c>
      <c r="O489" s="19" t="s">
        <v>1447</v>
      </c>
      <c r="P489" s="19">
        <v>0.0</v>
      </c>
      <c r="Q489" s="19">
        <v>20.0</v>
      </c>
      <c r="R489" s="19">
        <v>7400.0</v>
      </c>
      <c r="S489" s="20" t="s">
        <v>10401</v>
      </c>
      <c r="T489" s="20">
        <v>45461.0</v>
      </c>
      <c r="U489" s="19" t="s">
        <v>1446</v>
      </c>
      <c r="V489" s="19"/>
      <c r="W489" s="19"/>
      <c r="X489" s="21">
        <v>0.0</v>
      </c>
      <c r="Y489" s="21">
        <v>10.0</v>
      </c>
      <c r="Z489" s="21">
        <v>5.0</v>
      </c>
      <c r="AA489" s="21">
        <v>0.0</v>
      </c>
      <c r="AB489" s="5">
        <v>15.0</v>
      </c>
      <c r="AC489" s="19">
        <v>4.0</v>
      </c>
      <c r="AD489" s="19">
        <v>5.0</v>
      </c>
      <c r="AE489" s="19">
        <v>5.0</v>
      </c>
      <c r="AF489" s="19">
        <v>4.0</v>
      </c>
      <c r="AG489" s="19">
        <v>4.0</v>
      </c>
      <c r="AH489" s="19">
        <v>4.0</v>
      </c>
      <c r="AI489" s="22">
        <v>13.40625</v>
      </c>
      <c r="AJ489" s="19">
        <v>5.0</v>
      </c>
      <c r="AK489" s="19">
        <v>15.0</v>
      </c>
      <c r="AL489" s="19">
        <v>15.0</v>
      </c>
      <c r="AM489" s="19">
        <v>35.0</v>
      </c>
      <c r="AN489" s="19">
        <v>48.4</v>
      </c>
      <c r="AO489" s="19">
        <v>63.4</v>
      </c>
      <c r="AP489" s="19">
        <v>509.0</v>
      </c>
      <c r="AQ489" s="23">
        <v>481.0</v>
      </c>
      <c r="AR489" s="23">
        <v>53.0</v>
      </c>
      <c r="AS489" s="22"/>
      <c r="AT489" s="19" t="s">
        <v>2117</v>
      </c>
      <c r="AU489" s="19" t="s">
        <v>10402</v>
      </c>
      <c r="AV489" s="19" t="s">
        <v>10403</v>
      </c>
      <c r="AW489" s="19"/>
      <c r="AX489" s="20">
        <v>38061.0</v>
      </c>
      <c r="AY489" s="19" t="s">
        <v>2121</v>
      </c>
      <c r="AZ489" s="19" t="s">
        <v>2122</v>
      </c>
      <c r="BA489" s="19" t="s">
        <v>10404</v>
      </c>
      <c r="BB489" s="19" t="s">
        <v>10405</v>
      </c>
      <c r="BC489" s="19" t="s">
        <v>10406</v>
      </c>
      <c r="BD489" s="19" t="s">
        <v>10407</v>
      </c>
      <c r="BE489" s="19" t="s">
        <v>10399</v>
      </c>
      <c r="BF489" s="19">
        <v>1.1949748863E10</v>
      </c>
      <c r="BG489" s="19" t="s">
        <v>2127</v>
      </c>
      <c r="BH489" s="19" t="s">
        <v>2128</v>
      </c>
      <c r="BI489" s="19"/>
      <c r="BJ489" s="19"/>
      <c r="BK489" s="19" t="s">
        <v>16</v>
      </c>
      <c r="BL489" s="19" t="s">
        <v>2113</v>
      </c>
      <c r="BM489" s="19" t="s">
        <v>5411</v>
      </c>
      <c r="BN489" s="19" t="s">
        <v>2172</v>
      </c>
      <c r="BO489" s="19" t="s">
        <v>2132</v>
      </c>
      <c r="BP489" s="19" t="s">
        <v>10408</v>
      </c>
      <c r="BQ489" s="19" t="s">
        <v>2133</v>
      </c>
      <c r="BR489" s="19" t="s">
        <v>2133</v>
      </c>
      <c r="BS489" s="19" t="s">
        <v>2134</v>
      </c>
      <c r="BT489" s="19" t="s">
        <v>15</v>
      </c>
      <c r="BU489" s="19"/>
      <c r="BV489" s="19"/>
      <c r="BW489" s="19"/>
      <c r="BX489" s="19"/>
      <c r="BY489" s="19" t="s">
        <v>2113</v>
      </c>
      <c r="BZ489" s="19"/>
      <c r="CA489" s="19"/>
      <c r="CB489" s="19" t="s">
        <v>2113</v>
      </c>
      <c r="CC489" s="19"/>
      <c r="CD489" s="19" t="s">
        <v>2137</v>
      </c>
      <c r="CE489" s="19" t="s">
        <v>16</v>
      </c>
      <c r="CF489" s="19"/>
      <c r="CG489" s="19"/>
      <c r="CH489" s="19" t="s">
        <v>16</v>
      </c>
      <c r="CI489" s="21">
        <v>0.0</v>
      </c>
      <c r="CJ489" s="19" t="s">
        <v>16</v>
      </c>
      <c r="CK489" s="19"/>
      <c r="CL489" s="19"/>
      <c r="CM489" s="19" t="s">
        <v>2138</v>
      </c>
      <c r="CN489" s="19" t="s">
        <v>2139</v>
      </c>
      <c r="CO489" s="19"/>
      <c r="CP489" s="19"/>
      <c r="CQ489" s="19"/>
      <c r="CR489" s="19" t="s">
        <v>2113</v>
      </c>
      <c r="CS489" s="19" t="s">
        <v>2113</v>
      </c>
      <c r="CT489" s="19" t="s">
        <v>2113</v>
      </c>
      <c r="CU489" s="19" t="s">
        <v>2113</v>
      </c>
      <c r="CV489" s="19" t="s">
        <v>2141</v>
      </c>
      <c r="CW489" s="19" t="s">
        <v>2113</v>
      </c>
      <c r="CX489" s="19" t="s">
        <v>2113</v>
      </c>
      <c r="CY489" s="19" t="s">
        <v>2113</v>
      </c>
      <c r="CZ489" s="19" t="s">
        <v>2113</v>
      </c>
      <c r="DA489" s="19" t="s">
        <v>16</v>
      </c>
      <c r="DB489" s="19" t="s">
        <v>16</v>
      </c>
      <c r="DC489" s="19" t="s">
        <v>2406</v>
      </c>
      <c r="DD489" s="19" t="s">
        <v>2113</v>
      </c>
      <c r="DE489" s="19" t="s">
        <v>2113</v>
      </c>
      <c r="DF489" s="19" t="s">
        <v>2142</v>
      </c>
      <c r="DG489" s="19" t="s">
        <v>2477</v>
      </c>
      <c r="DH489" s="19" t="s">
        <v>2144</v>
      </c>
      <c r="DI489" s="24">
        <v>45519.0</v>
      </c>
      <c r="DJ489" s="19" t="s">
        <v>2133</v>
      </c>
      <c r="DK489" s="19" t="s">
        <v>2271</v>
      </c>
      <c r="DL489" s="19" t="s">
        <v>2146</v>
      </c>
      <c r="DM489" s="19" t="s">
        <v>2751</v>
      </c>
      <c r="DN489" s="19">
        <v>6.0</v>
      </c>
      <c r="DO489" s="19">
        <v>6.0</v>
      </c>
      <c r="DP489" s="19" t="s">
        <v>10409</v>
      </c>
      <c r="DQ489" s="19" t="s">
        <v>10410</v>
      </c>
      <c r="DR489" s="19" t="s">
        <v>10411</v>
      </c>
      <c r="DS489" s="19" t="s">
        <v>2365</v>
      </c>
      <c r="DT489" s="19" t="s">
        <v>2301</v>
      </c>
      <c r="DU489" s="19"/>
      <c r="DV489" s="19"/>
      <c r="DW489" s="19" t="s">
        <v>2153</v>
      </c>
      <c r="DX489" s="19">
        <v>7.0</v>
      </c>
      <c r="DY489" s="19">
        <v>10.0</v>
      </c>
      <c r="DZ489" s="19">
        <v>0.0</v>
      </c>
      <c r="EA489" s="19">
        <v>10.0</v>
      </c>
      <c r="EB489" s="19">
        <v>0.0</v>
      </c>
      <c r="EC489" s="19">
        <v>0.0</v>
      </c>
      <c r="ED489" s="19" t="s">
        <v>2133</v>
      </c>
      <c r="EE489" s="24">
        <v>45519.0</v>
      </c>
      <c r="EF489" s="19" t="s">
        <v>2133</v>
      </c>
      <c r="EG489" s="19" t="s">
        <v>2271</v>
      </c>
      <c r="EH489" s="19" t="s">
        <v>2146</v>
      </c>
      <c r="EI489" s="22">
        <v>13.40625</v>
      </c>
      <c r="EJ489" s="19">
        <v>35.0</v>
      </c>
      <c r="EK489" s="19"/>
      <c r="EL489" s="19" t="s">
        <v>2117</v>
      </c>
      <c r="EM489" s="19" t="s">
        <v>10402</v>
      </c>
      <c r="EN489" s="19" t="s">
        <v>1448</v>
      </c>
      <c r="EO489" s="19" t="s">
        <v>2121</v>
      </c>
      <c r="EP489" s="19" t="s">
        <v>2122</v>
      </c>
      <c r="EQ489" s="19" t="s">
        <v>2139</v>
      </c>
      <c r="ER489" s="19"/>
      <c r="ES489" s="19" t="s">
        <v>1448</v>
      </c>
      <c r="ET489" s="19" t="s">
        <v>1448</v>
      </c>
      <c r="EU489" s="19" t="s">
        <v>10400</v>
      </c>
      <c r="EV489" s="19">
        <v>7400.0</v>
      </c>
      <c r="EW489" s="19" t="s">
        <v>16</v>
      </c>
      <c r="EX489" s="19">
        <v>5.0</v>
      </c>
      <c r="EY489" s="25" t="s">
        <v>1447</v>
      </c>
      <c r="EZ489" s="19" t="s">
        <v>2154</v>
      </c>
      <c r="FA489" s="5" t="s">
        <v>10412</v>
      </c>
      <c r="FB489" s="26" t="s">
        <v>2156</v>
      </c>
      <c r="FC489" s="26"/>
    </row>
    <row r="490">
      <c r="A490" s="19" t="s">
        <v>2112</v>
      </c>
      <c r="B490" s="19"/>
      <c r="C490" s="19" t="s">
        <v>2113</v>
      </c>
      <c r="D490" s="19" t="s">
        <v>1449</v>
      </c>
      <c r="E490" s="19" t="s">
        <v>10413</v>
      </c>
      <c r="F490" s="19" t="s">
        <v>10414</v>
      </c>
      <c r="G490" s="19" t="s">
        <v>10415</v>
      </c>
      <c r="H490" s="19" t="s">
        <v>1449</v>
      </c>
      <c r="I490" s="19" t="s">
        <v>1451</v>
      </c>
      <c r="J490" s="19" t="s">
        <v>10416</v>
      </c>
      <c r="K490" s="19" t="s">
        <v>10417</v>
      </c>
      <c r="L490" s="20">
        <v>45408.0</v>
      </c>
      <c r="M490" s="20">
        <v>45411.0</v>
      </c>
      <c r="N490" s="20">
        <v>45411.0</v>
      </c>
      <c r="O490" s="19" t="s">
        <v>1450</v>
      </c>
      <c r="P490" s="19">
        <v>0.0</v>
      </c>
      <c r="Q490" s="19">
        <v>21.0</v>
      </c>
      <c r="R490" s="19">
        <v>7917.0</v>
      </c>
      <c r="S490" s="20" t="s">
        <v>10418</v>
      </c>
      <c r="T490" s="20">
        <v>45461.0</v>
      </c>
      <c r="U490" s="19" t="s">
        <v>10414</v>
      </c>
      <c r="V490" s="19"/>
      <c r="W490" s="19" t="s">
        <v>10419</v>
      </c>
      <c r="X490" s="21">
        <v>0.0</v>
      </c>
      <c r="Y490" s="21">
        <v>10.0</v>
      </c>
      <c r="Z490" s="21">
        <v>3.0</v>
      </c>
      <c r="AA490" s="21">
        <v>0.0</v>
      </c>
      <c r="AB490" s="5">
        <v>13.0</v>
      </c>
      <c r="AC490" s="19">
        <v>4.0</v>
      </c>
      <c r="AD490" s="19">
        <v>3.0</v>
      </c>
      <c r="AE490" s="19">
        <v>4.0</v>
      </c>
      <c r="AF490" s="19">
        <v>4.0</v>
      </c>
      <c r="AG490" s="19">
        <v>4.0</v>
      </c>
      <c r="AH490" s="19">
        <v>4.0</v>
      </c>
      <c r="AI490" s="22">
        <v>11.34375</v>
      </c>
      <c r="AJ490" s="19">
        <v>15.0</v>
      </c>
      <c r="AK490" s="19">
        <v>12.0</v>
      </c>
      <c r="AL490" s="19">
        <v>12.0</v>
      </c>
      <c r="AM490" s="19">
        <v>39.0</v>
      </c>
      <c r="AN490" s="19">
        <v>50.3</v>
      </c>
      <c r="AO490" s="19">
        <v>63.3</v>
      </c>
      <c r="AP490" s="19">
        <v>750.0</v>
      </c>
      <c r="AQ490" s="23">
        <v>482.0</v>
      </c>
      <c r="AR490" s="23">
        <v>33.0</v>
      </c>
      <c r="AS490" s="22"/>
      <c r="AT490" s="19" t="s">
        <v>2282</v>
      </c>
      <c r="AU490" s="19" t="s">
        <v>2815</v>
      </c>
      <c r="AV490" s="19" t="s">
        <v>10420</v>
      </c>
      <c r="AW490" s="19" t="s">
        <v>2166</v>
      </c>
      <c r="AX490" s="20">
        <v>37544.0</v>
      </c>
      <c r="AY490" s="19" t="s">
        <v>3905</v>
      </c>
      <c r="AZ490" s="19" t="s">
        <v>2122</v>
      </c>
      <c r="BA490" s="19" t="s">
        <v>10421</v>
      </c>
      <c r="BB490" s="19" t="s">
        <v>7155</v>
      </c>
      <c r="BC490" s="19" t="s">
        <v>10422</v>
      </c>
      <c r="BD490" s="19" t="s">
        <v>10423</v>
      </c>
      <c r="BE490" s="19" t="s">
        <v>10424</v>
      </c>
      <c r="BF490" s="19">
        <v>1.1973943588E10</v>
      </c>
      <c r="BG490" s="19" t="s">
        <v>2127</v>
      </c>
      <c r="BH490" s="19" t="s">
        <v>2128</v>
      </c>
      <c r="BI490" s="19"/>
      <c r="BJ490" s="19" t="s">
        <v>2128</v>
      </c>
      <c r="BK490" s="19" t="s">
        <v>17</v>
      </c>
      <c r="BL490" s="19"/>
      <c r="BM490" s="19" t="s">
        <v>5563</v>
      </c>
      <c r="BN490" s="19" t="s">
        <v>17</v>
      </c>
      <c r="BO490" s="19" t="s">
        <v>2473</v>
      </c>
      <c r="BP490" s="19" t="s">
        <v>10425</v>
      </c>
      <c r="BQ490" s="19" t="s">
        <v>2133</v>
      </c>
      <c r="BR490" s="19" t="s">
        <v>2133</v>
      </c>
      <c r="BS490" s="19" t="s">
        <v>2243</v>
      </c>
      <c r="BT490" s="19" t="s">
        <v>222</v>
      </c>
      <c r="BU490" s="19" t="s">
        <v>10426</v>
      </c>
      <c r="BV490" s="19"/>
      <c r="BW490" s="19" t="s">
        <v>2113</v>
      </c>
      <c r="BX490" s="19"/>
      <c r="BY490" s="19"/>
      <c r="BZ490" s="19"/>
      <c r="CA490" s="19"/>
      <c r="CB490" s="19" t="s">
        <v>2113</v>
      </c>
      <c r="CC490" s="19"/>
      <c r="CD490" s="19" t="s">
        <v>2137</v>
      </c>
      <c r="CE490" s="19" t="s">
        <v>16</v>
      </c>
      <c r="CF490" s="19"/>
      <c r="CG490" s="19"/>
      <c r="CH490" s="19" t="s">
        <v>16</v>
      </c>
      <c r="CI490" s="21">
        <v>0.0</v>
      </c>
      <c r="CJ490" s="19" t="s">
        <v>16</v>
      </c>
      <c r="CK490" s="19"/>
      <c r="CL490" s="19"/>
      <c r="CM490" s="19" t="s">
        <v>2926</v>
      </c>
      <c r="CN490" s="19" t="s">
        <v>3544</v>
      </c>
      <c r="CO490" s="19"/>
      <c r="CP490" s="19" t="s">
        <v>2267</v>
      </c>
      <c r="CQ490" s="19"/>
      <c r="CR490" s="19"/>
      <c r="CS490" s="19"/>
      <c r="CT490" s="19"/>
      <c r="CU490" s="19"/>
      <c r="CV490" s="19" t="s">
        <v>2141</v>
      </c>
      <c r="CW490" s="19"/>
      <c r="CX490" s="19"/>
      <c r="CY490" s="19" t="s">
        <v>2113</v>
      </c>
      <c r="CZ490" s="19" t="s">
        <v>2113</v>
      </c>
      <c r="DA490" s="19" t="s">
        <v>16</v>
      </c>
      <c r="DB490" s="19" t="s">
        <v>16</v>
      </c>
      <c r="DC490" s="19" t="s">
        <v>2146</v>
      </c>
      <c r="DD490" s="19" t="s">
        <v>2113</v>
      </c>
      <c r="DE490" s="19" t="s">
        <v>2113</v>
      </c>
      <c r="DF490" s="19" t="s">
        <v>2433</v>
      </c>
      <c r="DG490" s="19" t="s">
        <v>3163</v>
      </c>
      <c r="DH490" s="19" t="s">
        <v>2144</v>
      </c>
      <c r="DI490" s="24">
        <v>45531.0</v>
      </c>
      <c r="DJ490" s="19" t="s">
        <v>2133</v>
      </c>
      <c r="DK490" s="19" t="s">
        <v>2271</v>
      </c>
      <c r="DL490" s="19" t="s">
        <v>2146</v>
      </c>
      <c r="DM490" s="19" t="s">
        <v>2827</v>
      </c>
      <c r="DN490" s="19">
        <v>14.0</v>
      </c>
      <c r="DO490" s="19">
        <v>14.0</v>
      </c>
      <c r="DP490" s="19" t="s">
        <v>10427</v>
      </c>
      <c r="DQ490" s="19" t="s">
        <v>10427</v>
      </c>
      <c r="DR490" s="19" t="s">
        <v>10428</v>
      </c>
      <c r="DS490" s="19" t="s">
        <v>2185</v>
      </c>
      <c r="DT490" s="19" t="s">
        <v>2301</v>
      </c>
      <c r="DU490" s="19"/>
      <c r="DV490" s="19"/>
      <c r="DW490" s="19" t="s">
        <v>3306</v>
      </c>
      <c r="DX490" s="19">
        <v>4.0</v>
      </c>
      <c r="DY490" s="19">
        <v>10.0</v>
      </c>
      <c r="DZ490" s="19">
        <v>0.0</v>
      </c>
      <c r="EA490" s="19">
        <v>10.0</v>
      </c>
      <c r="EB490" s="19">
        <v>0.0</v>
      </c>
      <c r="EC490" s="19">
        <v>0.0</v>
      </c>
      <c r="ED490" s="19" t="s">
        <v>2133</v>
      </c>
      <c r="EE490" s="24">
        <v>45531.0</v>
      </c>
      <c r="EF490" s="19" t="s">
        <v>2133</v>
      </c>
      <c r="EG490" s="19" t="s">
        <v>2271</v>
      </c>
      <c r="EH490" s="19" t="s">
        <v>2146</v>
      </c>
      <c r="EI490" s="22">
        <v>11.34375</v>
      </c>
      <c r="EJ490" s="19">
        <v>39.0</v>
      </c>
      <c r="EK490" s="19"/>
      <c r="EL490" s="19" t="s">
        <v>2282</v>
      </c>
      <c r="EM490" s="19" t="s">
        <v>2815</v>
      </c>
      <c r="EN490" s="19" t="s">
        <v>1451</v>
      </c>
      <c r="EO490" s="19" t="s">
        <v>3905</v>
      </c>
      <c r="EP490" s="19" t="s">
        <v>2122</v>
      </c>
      <c r="EQ490" s="19" t="s">
        <v>3544</v>
      </c>
      <c r="ER490" s="19"/>
      <c r="ES490" s="19" t="s">
        <v>1451</v>
      </c>
      <c r="ET490" s="19" t="s">
        <v>1451</v>
      </c>
      <c r="EU490" s="19" t="s">
        <v>10417</v>
      </c>
      <c r="EV490" s="19">
        <v>7917.0</v>
      </c>
      <c r="EW490" s="19" t="s">
        <v>16</v>
      </c>
      <c r="EX490" s="19">
        <v>3.0</v>
      </c>
      <c r="EY490" s="25" t="s">
        <v>1450</v>
      </c>
      <c r="EZ490" s="19" t="s">
        <v>2154</v>
      </c>
      <c r="FA490" s="5" t="s">
        <v>10429</v>
      </c>
      <c r="FB490" s="26" t="s">
        <v>2156</v>
      </c>
      <c r="FC490" s="26"/>
    </row>
    <row r="491">
      <c r="A491" s="19" t="s">
        <v>2112</v>
      </c>
      <c r="B491" s="19"/>
      <c r="C491" s="19" t="s">
        <v>2113</v>
      </c>
      <c r="D491" s="19" t="s">
        <v>1452</v>
      </c>
      <c r="E491" s="19" t="s">
        <v>10430</v>
      </c>
      <c r="F491" s="19" t="s">
        <v>1452</v>
      </c>
      <c r="G491" s="19"/>
      <c r="H491" s="19" t="s">
        <v>1452</v>
      </c>
      <c r="I491" s="19" t="s">
        <v>1454</v>
      </c>
      <c r="J491" s="19" t="s">
        <v>10431</v>
      </c>
      <c r="K491" s="19" t="s">
        <v>10432</v>
      </c>
      <c r="L491" s="20">
        <v>45398.0</v>
      </c>
      <c r="M491" s="20">
        <v>45411.0</v>
      </c>
      <c r="N491" s="20">
        <v>45411.0</v>
      </c>
      <c r="O491" s="19" t="s">
        <v>1453</v>
      </c>
      <c r="P491" s="19">
        <v>0.0</v>
      </c>
      <c r="Q491" s="19">
        <v>19.0</v>
      </c>
      <c r="R491" s="19">
        <v>7212.0</v>
      </c>
      <c r="S491" s="20" t="s">
        <v>10433</v>
      </c>
      <c r="T491" s="20">
        <v>45461.0</v>
      </c>
      <c r="U491" s="19" t="s">
        <v>1452</v>
      </c>
      <c r="V491" s="19"/>
      <c r="W491" s="19"/>
      <c r="X491" s="21">
        <v>0.0</v>
      </c>
      <c r="Y491" s="21">
        <v>5.0</v>
      </c>
      <c r="Z491" s="21">
        <v>4.0</v>
      </c>
      <c r="AA491" s="21">
        <v>0.0</v>
      </c>
      <c r="AB491" s="5">
        <v>9.0</v>
      </c>
      <c r="AC491" s="19">
        <v>4.6</v>
      </c>
      <c r="AD491" s="19">
        <v>4.2</v>
      </c>
      <c r="AE491" s="19">
        <v>4.4</v>
      </c>
      <c r="AF491" s="19">
        <v>4.2</v>
      </c>
      <c r="AG491" s="19">
        <v>4.0</v>
      </c>
      <c r="AH491" s="19">
        <v>4.0</v>
      </c>
      <c r="AI491" s="22">
        <v>12.787500000000001</v>
      </c>
      <c r="AJ491" s="19">
        <v>13.0</v>
      </c>
      <c r="AK491" s="19">
        <v>15.0</v>
      </c>
      <c r="AL491" s="19">
        <v>13.5</v>
      </c>
      <c r="AM491" s="19">
        <v>41.5</v>
      </c>
      <c r="AN491" s="19">
        <v>54.3</v>
      </c>
      <c r="AO491" s="19">
        <v>63.3</v>
      </c>
      <c r="AP491" s="19">
        <v>981.0</v>
      </c>
      <c r="AQ491" s="23">
        <v>483.0</v>
      </c>
      <c r="AR491" s="23">
        <v>39.0</v>
      </c>
      <c r="AS491" s="22"/>
      <c r="AT491" s="19" t="s">
        <v>2117</v>
      </c>
      <c r="AU491" s="19" t="s">
        <v>10434</v>
      </c>
      <c r="AV491" s="19" t="s">
        <v>10435</v>
      </c>
      <c r="AW491" s="19" t="s">
        <v>3269</v>
      </c>
      <c r="AX491" s="20">
        <v>38249.0</v>
      </c>
      <c r="AY491" s="19" t="s">
        <v>2858</v>
      </c>
      <c r="AZ491" s="19" t="s">
        <v>2310</v>
      </c>
      <c r="BA491" s="19" t="s">
        <v>10436</v>
      </c>
      <c r="BB491" s="19" t="s">
        <v>2764</v>
      </c>
      <c r="BC491" s="19" t="s">
        <v>10437</v>
      </c>
      <c r="BD491" s="19" t="s">
        <v>10438</v>
      </c>
      <c r="BE491" s="19" t="s">
        <v>10439</v>
      </c>
      <c r="BF491" s="19">
        <v>1.1947527938E10</v>
      </c>
      <c r="BG491" s="19" t="s">
        <v>3518</v>
      </c>
      <c r="BH491" s="19" t="s">
        <v>2128</v>
      </c>
      <c r="BI491" s="19"/>
      <c r="BJ491" s="19" t="s">
        <v>2427</v>
      </c>
      <c r="BK491" s="19" t="s">
        <v>17</v>
      </c>
      <c r="BL491" s="19" t="s">
        <v>2113</v>
      </c>
      <c r="BM491" s="19" t="s">
        <v>5563</v>
      </c>
      <c r="BN491" s="19" t="s">
        <v>3888</v>
      </c>
      <c r="BO491" s="19" t="s">
        <v>2317</v>
      </c>
      <c r="BP491" s="19" t="s">
        <v>10440</v>
      </c>
      <c r="BQ491" s="19" t="s">
        <v>2325</v>
      </c>
      <c r="BR491" s="19" t="s">
        <v>2325</v>
      </c>
      <c r="BS491" s="19" t="s">
        <v>2134</v>
      </c>
      <c r="BT491" s="19" t="s">
        <v>118</v>
      </c>
      <c r="BU491" s="19" t="s">
        <v>9536</v>
      </c>
      <c r="BV491" s="19"/>
      <c r="BW491" s="19"/>
      <c r="BX491" s="19" t="s">
        <v>2113</v>
      </c>
      <c r="BY491" s="19" t="s">
        <v>2113</v>
      </c>
      <c r="BZ491" s="19" t="s">
        <v>2113</v>
      </c>
      <c r="CA491" s="19"/>
      <c r="CB491" s="19" t="s">
        <v>2113</v>
      </c>
      <c r="CC491" s="19" t="s">
        <v>2113</v>
      </c>
      <c r="CD491" s="19" t="s">
        <v>2137</v>
      </c>
      <c r="CE491" s="19" t="s">
        <v>16</v>
      </c>
      <c r="CF491" s="19"/>
      <c r="CG491" s="19"/>
      <c r="CH491" s="19" t="s">
        <v>16</v>
      </c>
      <c r="CI491" s="21">
        <v>0.0</v>
      </c>
      <c r="CJ491" s="19" t="s">
        <v>17</v>
      </c>
      <c r="CK491" s="19"/>
      <c r="CL491" s="19"/>
      <c r="CM491" s="19" t="s">
        <v>2344</v>
      </c>
      <c r="CN491" s="19" t="s">
        <v>2868</v>
      </c>
      <c r="CO491" s="19"/>
      <c r="CP491" s="19" t="s">
        <v>2246</v>
      </c>
      <c r="CQ491" s="19"/>
      <c r="CR491" s="19"/>
      <c r="CS491" s="19"/>
      <c r="CT491" s="19" t="s">
        <v>2113</v>
      </c>
      <c r="CU491" s="19" t="s">
        <v>2113</v>
      </c>
      <c r="CV491" s="19" t="s">
        <v>2141</v>
      </c>
      <c r="CW491" s="19" t="s">
        <v>2113</v>
      </c>
      <c r="CX491" s="19" t="s">
        <v>2113</v>
      </c>
      <c r="CY491" s="19"/>
      <c r="CZ491" s="19"/>
      <c r="DA491" s="19" t="s">
        <v>16</v>
      </c>
      <c r="DB491" s="19" t="s">
        <v>17</v>
      </c>
      <c r="DC491" s="19" t="s">
        <v>2498</v>
      </c>
      <c r="DD491" s="19" t="s">
        <v>2113</v>
      </c>
      <c r="DE491" s="19" t="s">
        <v>2113</v>
      </c>
      <c r="DF491" s="19" t="s">
        <v>2804</v>
      </c>
      <c r="DG491" s="19" t="s">
        <v>3255</v>
      </c>
      <c r="DH491" s="19" t="s">
        <v>2144</v>
      </c>
      <c r="DI491" s="24">
        <v>45525.0</v>
      </c>
      <c r="DJ491" s="19" t="s">
        <v>2325</v>
      </c>
      <c r="DK491" s="19" t="s">
        <v>2145</v>
      </c>
      <c r="DL491" s="19" t="s">
        <v>2326</v>
      </c>
      <c r="DM491" s="19"/>
      <c r="DN491" s="19">
        <v>9.0</v>
      </c>
      <c r="DO491" s="19">
        <v>9.0</v>
      </c>
      <c r="DP491" s="19" t="s">
        <v>10441</v>
      </c>
      <c r="DQ491" s="19" t="s">
        <v>10442</v>
      </c>
      <c r="DR491" s="19" t="s">
        <v>10443</v>
      </c>
      <c r="DS491" s="19" t="s">
        <v>2365</v>
      </c>
      <c r="DT491" s="19" t="s">
        <v>2366</v>
      </c>
      <c r="DU491" s="19"/>
      <c r="DV491" s="19"/>
      <c r="DW491" s="19" t="s">
        <v>2153</v>
      </c>
      <c r="DX491" s="19">
        <v>8.0</v>
      </c>
      <c r="DY491" s="19">
        <v>5.0</v>
      </c>
      <c r="DZ491" s="19">
        <v>0.0</v>
      </c>
      <c r="EA491" s="19">
        <v>5.0</v>
      </c>
      <c r="EB491" s="19">
        <v>0.0</v>
      </c>
      <c r="EC491" s="19">
        <v>0.0</v>
      </c>
      <c r="ED491" s="19" t="s">
        <v>2325</v>
      </c>
      <c r="EE491" s="24">
        <v>45525.0</v>
      </c>
      <c r="EF491" s="19" t="s">
        <v>2325</v>
      </c>
      <c r="EG491" s="19" t="s">
        <v>2145</v>
      </c>
      <c r="EH491" s="19" t="s">
        <v>2326</v>
      </c>
      <c r="EI491" s="22">
        <v>12.787500000000001</v>
      </c>
      <c r="EJ491" s="19">
        <v>41.5</v>
      </c>
      <c r="EK491" s="19" t="s">
        <v>2113</v>
      </c>
      <c r="EL491" s="19" t="s">
        <v>2117</v>
      </c>
      <c r="EM491" s="19" t="s">
        <v>10434</v>
      </c>
      <c r="EN491" s="19" t="s">
        <v>1454</v>
      </c>
      <c r="EO491" s="19" t="s">
        <v>2858</v>
      </c>
      <c r="EP491" s="19" t="s">
        <v>2310</v>
      </c>
      <c r="EQ491" s="19" t="s">
        <v>2868</v>
      </c>
      <c r="ER491" s="19"/>
      <c r="ES491" s="19" t="s">
        <v>1454</v>
      </c>
      <c r="ET491" s="19" t="s">
        <v>1454</v>
      </c>
      <c r="EU491" s="19" t="s">
        <v>10432</v>
      </c>
      <c r="EV491" s="19">
        <v>7212.0</v>
      </c>
      <c r="EW491" s="19" t="s">
        <v>16</v>
      </c>
      <c r="EX491" s="19">
        <v>4.0</v>
      </c>
      <c r="EY491" s="25" t="s">
        <v>1453</v>
      </c>
      <c r="EZ491" s="19" t="s">
        <v>2154</v>
      </c>
      <c r="FA491" s="5" t="s">
        <v>10444</v>
      </c>
      <c r="FB491" s="26" t="s">
        <v>2156</v>
      </c>
      <c r="FC491" s="26"/>
    </row>
    <row r="492">
      <c r="A492" s="19" t="s">
        <v>2156</v>
      </c>
      <c r="B492" s="19"/>
      <c r="C492" s="19" t="s">
        <v>2113</v>
      </c>
      <c r="D492" s="19" t="s">
        <v>1455</v>
      </c>
      <c r="E492" s="19" t="s">
        <v>10445</v>
      </c>
      <c r="F492" s="19" t="s">
        <v>1455</v>
      </c>
      <c r="G492" s="19"/>
      <c r="H492" s="19" t="s">
        <v>1455</v>
      </c>
      <c r="I492" s="19" t="s">
        <v>1456</v>
      </c>
      <c r="J492" s="19" t="s">
        <v>10446</v>
      </c>
      <c r="K492" s="19" t="s">
        <v>10447</v>
      </c>
      <c r="L492" s="20">
        <v>45446.0</v>
      </c>
      <c r="M492" s="20">
        <v>45447.0</v>
      </c>
      <c r="N492" s="20">
        <v>45447.0</v>
      </c>
      <c r="O492" s="19">
        <v>3.2835324E7</v>
      </c>
      <c r="P492" s="19">
        <v>0.0</v>
      </c>
      <c r="Q492" s="19">
        <v>22.0</v>
      </c>
      <c r="R492" s="19">
        <v>8342.0</v>
      </c>
      <c r="S492" s="20" t="s">
        <v>10448</v>
      </c>
      <c r="T492" s="20">
        <v>45461.0</v>
      </c>
      <c r="U492" s="19" t="s">
        <v>1455</v>
      </c>
      <c r="V492" s="19"/>
      <c r="W492" s="19"/>
      <c r="X492" s="21">
        <v>0.0</v>
      </c>
      <c r="Y492" s="21">
        <v>0.0</v>
      </c>
      <c r="Z492" s="21">
        <v>5.0</v>
      </c>
      <c r="AA492" s="21">
        <v>0.0</v>
      </c>
      <c r="AB492" s="5">
        <v>5.0</v>
      </c>
      <c r="AC492" s="19">
        <v>5.0</v>
      </c>
      <c r="AD492" s="19">
        <v>5.0</v>
      </c>
      <c r="AE492" s="19">
        <v>4.0</v>
      </c>
      <c r="AF492" s="19">
        <v>5.0</v>
      </c>
      <c r="AG492" s="19">
        <v>5.0</v>
      </c>
      <c r="AH492" s="19">
        <v>5.0</v>
      </c>
      <c r="AI492" s="22">
        <v>14.25</v>
      </c>
      <c r="AJ492" s="19">
        <v>15.0</v>
      </c>
      <c r="AK492" s="19">
        <v>14.0</v>
      </c>
      <c r="AL492" s="19">
        <v>15.0</v>
      </c>
      <c r="AM492" s="19">
        <v>44.0</v>
      </c>
      <c r="AN492" s="19">
        <v>58.3</v>
      </c>
      <c r="AO492" s="19">
        <v>63.3</v>
      </c>
      <c r="AP492" s="19">
        <v>1082.0</v>
      </c>
      <c r="AQ492" s="23">
        <v>484.0</v>
      </c>
      <c r="AR492" s="23">
        <v>67.0</v>
      </c>
      <c r="AS492" s="22"/>
      <c r="AT492" s="19" t="s">
        <v>2282</v>
      </c>
      <c r="AU492" s="19" t="s">
        <v>10449</v>
      </c>
      <c r="AV492" s="19" t="s">
        <v>10450</v>
      </c>
      <c r="AW492" s="19"/>
      <c r="AX492" s="20">
        <v>37119.0</v>
      </c>
      <c r="AY492" s="19" t="s">
        <v>2286</v>
      </c>
      <c r="AZ492" s="19" t="s">
        <v>2445</v>
      </c>
      <c r="BA492" s="19" t="s">
        <v>10451</v>
      </c>
      <c r="BB492" s="19">
        <v>142.0</v>
      </c>
      <c r="BC492" s="19">
        <v>5.51991355E8</v>
      </c>
      <c r="BD492" s="19" t="s">
        <v>10452</v>
      </c>
      <c r="BE492" s="19"/>
      <c r="BF492" s="19"/>
      <c r="BG492" s="19" t="s">
        <v>4038</v>
      </c>
      <c r="BH492" s="19" t="s">
        <v>2128</v>
      </c>
      <c r="BI492" s="19"/>
      <c r="BJ492" s="19" t="s">
        <v>2128</v>
      </c>
      <c r="BK492" s="19" t="s">
        <v>17</v>
      </c>
      <c r="BL492" s="19" t="s">
        <v>2113</v>
      </c>
      <c r="BM492" s="19" t="s">
        <v>5563</v>
      </c>
      <c r="BN492" s="19" t="s">
        <v>10453</v>
      </c>
      <c r="BO492" s="19">
        <v>5.0</v>
      </c>
      <c r="BP492" s="19"/>
      <c r="BQ492" s="19" t="s">
        <v>2133</v>
      </c>
      <c r="BR492" s="19" t="s">
        <v>2133</v>
      </c>
      <c r="BS492" s="19" t="s">
        <v>2134</v>
      </c>
      <c r="BT492" s="19" t="s">
        <v>38</v>
      </c>
      <c r="BU492" s="19" t="s">
        <v>4629</v>
      </c>
      <c r="BV492" s="19"/>
      <c r="BW492" s="19"/>
      <c r="BX492" s="19"/>
      <c r="BY492" s="19"/>
      <c r="BZ492" s="19" t="s">
        <v>2113</v>
      </c>
      <c r="CA492" s="19"/>
      <c r="CB492" s="19" t="s">
        <v>2113</v>
      </c>
      <c r="CC492" s="19"/>
      <c r="CD492" s="19" t="s">
        <v>2137</v>
      </c>
      <c r="CE492" s="19" t="s">
        <v>16</v>
      </c>
      <c r="CF492" s="19"/>
      <c r="CG492" s="19"/>
      <c r="CH492" s="19" t="s">
        <v>16</v>
      </c>
      <c r="CI492" s="21">
        <v>0.0</v>
      </c>
      <c r="CJ492" s="19" t="s">
        <v>16</v>
      </c>
      <c r="CK492" s="19"/>
      <c r="CL492" s="19"/>
      <c r="CM492" s="19" t="s">
        <v>2138</v>
      </c>
      <c r="CN492" s="19" t="s">
        <v>2294</v>
      </c>
      <c r="CO492" s="19"/>
      <c r="CP492" s="19" t="s">
        <v>2246</v>
      </c>
      <c r="CQ492" s="19"/>
      <c r="CR492" s="19" t="s">
        <v>2113</v>
      </c>
      <c r="CS492" s="19" t="s">
        <v>2113</v>
      </c>
      <c r="CT492" s="19"/>
      <c r="CU492" s="19"/>
      <c r="CV492" s="19" t="s">
        <v>2141</v>
      </c>
      <c r="CW492" s="19" t="s">
        <v>2113</v>
      </c>
      <c r="CX492" s="19" t="s">
        <v>2113</v>
      </c>
      <c r="CY492" s="19"/>
      <c r="CZ492" s="19"/>
      <c r="DA492" s="19" t="s">
        <v>16</v>
      </c>
      <c r="DB492" s="19" t="s">
        <v>16</v>
      </c>
      <c r="DC492" s="19" t="s">
        <v>2295</v>
      </c>
      <c r="DD492" s="19"/>
      <c r="DE492" s="19"/>
      <c r="DF492" s="19" t="s">
        <v>2296</v>
      </c>
      <c r="DG492" s="19" t="s">
        <v>2578</v>
      </c>
      <c r="DH492" s="19" t="s">
        <v>2580</v>
      </c>
      <c r="DI492" s="24">
        <v>45517.0</v>
      </c>
      <c r="DJ492" s="19" t="s">
        <v>2133</v>
      </c>
      <c r="DK492" s="19" t="s">
        <v>2271</v>
      </c>
      <c r="DL492" s="19" t="s">
        <v>2146</v>
      </c>
      <c r="DM492" s="19"/>
      <c r="DN492" s="19">
        <v>2.0</v>
      </c>
      <c r="DO492" s="19">
        <v>2.0</v>
      </c>
      <c r="DP492" s="19" t="s">
        <v>10454</v>
      </c>
      <c r="DQ492" s="19" t="s">
        <v>10455</v>
      </c>
      <c r="DR492" s="19" t="s">
        <v>10456</v>
      </c>
      <c r="DS492" s="19" t="s">
        <v>2185</v>
      </c>
      <c r="DT492" s="19" t="s">
        <v>2229</v>
      </c>
      <c r="DU492" s="19"/>
      <c r="DV492" s="19"/>
      <c r="DW492" s="19" t="s">
        <v>2153</v>
      </c>
      <c r="DX492" s="19">
        <v>1.0</v>
      </c>
      <c r="DY492" s="19">
        <v>0.0</v>
      </c>
      <c r="DZ492" s="19">
        <v>0.0</v>
      </c>
      <c r="EA492" s="19">
        <v>0.0</v>
      </c>
      <c r="EB492" s="19">
        <v>0.0</v>
      </c>
      <c r="EC492" s="19">
        <v>0.0</v>
      </c>
      <c r="ED492" s="19" t="s">
        <v>2133</v>
      </c>
      <c r="EE492" s="24">
        <v>45517.0</v>
      </c>
      <c r="EF492" s="19" t="s">
        <v>2133</v>
      </c>
      <c r="EG492" s="19" t="s">
        <v>2271</v>
      </c>
      <c r="EH492" s="19" t="s">
        <v>2146</v>
      </c>
      <c r="EI492" s="22">
        <v>14.25</v>
      </c>
      <c r="EJ492" s="19">
        <v>44.0</v>
      </c>
      <c r="EK492" s="19"/>
      <c r="EL492" s="19" t="s">
        <v>2282</v>
      </c>
      <c r="EM492" s="19" t="s">
        <v>10449</v>
      </c>
      <c r="EN492" s="19" t="s">
        <v>1456</v>
      </c>
      <c r="EO492" s="19" t="s">
        <v>2286</v>
      </c>
      <c r="EP492" s="19" t="s">
        <v>2445</v>
      </c>
      <c r="EQ492" s="19" t="s">
        <v>2294</v>
      </c>
      <c r="ER492" s="19"/>
      <c r="ES492" s="19" t="s">
        <v>1456</v>
      </c>
      <c r="ET492" s="19" t="s">
        <v>1456</v>
      </c>
      <c r="EU492" s="19" t="s">
        <v>10447</v>
      </c>
      <c r="EV492" s="19">
        <v>8342.0</v>
      </c>
      <c r="EW492" s="19" t="s">
        <v>16</v>
      </c>
      <c r="EX492" s="19">
        <v>5.0</v>
      </c>
      <c r="EY492" s="25" t="s">
        <v>10457</v>
      </c>
      <c r="EZ492" s="19" t="s">
        <v>2154</v>
      </c>
      <c r="FA492" s="5" t="s">
        <v>10458</v>
      </c>
      <c r="FB492" s="26" t="s">
        <v>2156</v>
      </c>
      <c r="FC492" s="26"/>
    </row>
    <row r="493">
      <c r="A493" s="19" t="s">
        <v>2112</v>
      </c>
      <c r="B493" s="19"/>
      <c r="C493" s="19" t="s">
        <v>2113</v>
      </c>
      <c r="D493" s="19" t="s">
        <v>1457</v>
      </c>
      <c r="E493" s="19" t="s">
        <v>10459</v>
      </c>
      <c r="F493" s="19" t="s">
        <v>1457</v>
      </c>
      <c r="G493" s="19"/>
      <c r="H493" s="19" t="s">
        <v>1457</v>
      </c>
      <c r="I493" s="19" t="s">
        <v>1459</v>
      </c>
      <c r="J493" s="19" t="s">
        <v>10460</v>
      </c>
      <c r="K493" s="19" t="s">
        <v>10461</v>
      </c>
      <c r="L493" s="20">
        <v>45394.0</v>
      </c>
      <c r="M493" s="20">
        <v>45404.0</v>
      </c>
      <c r="N493" s="20">
        <v>45404.0</v>
      </c>
      <c r="O493" s="19" t="s">
        <v>1458</v>
      </c>
      <c r="P493" s="19">
        <v>0.0</v>
      </c>
      <c r="Q493" s="19">
        <v>21.0</v>
      </c>
      <c r="R493" s="19">
        <v>7796.0</v>
      </c>
      <c r="S493" s="20" t="s">
        <v>10462</v>
      </c>
      <c r="T493" s="20">
        <v>45461.0</v>
      </c>
      <c r="U493" s="19" t="s">
        <v>1457</v>
      </c>
      <c r="V493" s="19"/>
      <c r="W493" s="19" t="s">
        <v>10463</v>
      </c>
      <c r="X493" s="21">
        <v>0.0</v>
      </c>
      <c r="Y493" s="21">
        <v>0.0</v>
      </c>
      <c r="Z493" s="21">
        <v>4.0</v>
      </c>
      <c r="AA493" s="21">
        <v>0.0</v>
      </c>
      <c r="AB493" s="5">
        <v>4.0</v>
      </c>
      <c r="AC493" s="19">
        <v>5.0</v>
      </c>
      <c r="AD493" s="19">
        <v>5.0</v>
      </c>
      <c r="AE493" s="19">
        <v>5.0</v>
      </c>
      <c r="AF493" s="19">
        <v>4.0</v>
      </c>
      <c r="AG493" s="19">
        <v>4.0</v>
      </c>
      <c r="AH493" s="19">
        <v>5.0</v>
      </c>
      <c r="AI493" s="22">
        <v>14.25</v>
      </c>
      <c r="AJ493" s="19">
        <v>15.0</v>
      </c>
      <c r="AK493" s="19">
        <v>15.0</v>
      </c>
      <c r="AL493" s="19">
        <v>15.0</v>
      </c>
      <c r="AM493" s="19">
        <v>45.0</v>
      </c>
      <c r="AN493" s="19">
        <v>59.3</v>
      </c>
      <c r="AO493" s="19">
        <v>63.3</v>
      </c>
      <c r="AP493" s="19">
        <v>1191.0</v>
      </c>
      <c r="AQ493" s="23">
        <v>485.0</v>
      </c>
      <c r="AR493" s="23">
        <v>38.0</v>
      </c>
      <c r="AS493" s="22"/>
      <c r="AT493" s="19" t="s">
        <v>2282</v>
      </c>
      <c r="AU493" s="19" t="s">
        <v>10464</v>
      </c>
      <c r="AV493" s="19" t="s">
        <v>10465</v>
      </c>
      <c r="AW493" s="19"/>
      <c r="AX493" s="20">
        <v>37665.0</v>
      </c>
      <c r="AY493" s="19" t="s">
        <v>2375</v>
      </c>
      <c r="AZ493" s="19" t="s">
        <v>2122</v>
      </c>
      <c r="BA493" s="19" t="s">
        <v>10466</v>
      </c>
      <c r="BB493" s="19" t="s">
        <v>5407</v>
      </c>
      <c r="BC493" s="19" t="s">
        <v>10467</v>
      </c>
      <c r="BD493" s="19" t="s">
        <v>10468</v>
      </c>
      <c r="BE493" s="19" t="s">
        <v>10469</v>
      </c>
      <c r="BF493" s="19">
        <v>1.1964663024E10</v>
      </c>
      <c r="BG493" s="19" t="s">
        <v>4038</v>
      </c>
      <c r="BH493" s="19" t="s">
        <v>2128</v>
      </c>
      <c r="BI493" s="19"/>
      <c r="BJ493" s="19" t="s">
        <v>2128</v>
      </c>
      <c r="BK493" s="19" t="s">
        <v>17</v>
      </c>
      <c r="BL493" s="19" t="s">
        <v>2113</v>
      </c>
      <c r="BM493" s="19" t="s">
        <v>5563</v>
      </c>
      <c r="BN493" s="19" t="s">
        <v>10470</v>
      </c>
      <c r="BO493" s="19" t="s">
        <v>2317</v>
      </c>
      <c r="BP493" s="19"/>
      <c r="BQ493" s="19" t="s">
        <v>2133</v>
      </c>
      <c r="BR493" s="19" t="s">
        <v>2133</v>
      </c>
      <c r="BS493" s="19" t="s">
        <v>2243</v>
      </c>
      <c r="BT493" s="19" t="s">
        <v>52</v>
      </c>
      <c r="BU493" s="19" t="s">
        <v>9664</v>
      </c>
      <c r="BV493" s="19"/>
      <c r="BW493" s="19"/>
      <c r="BX493" s="19" t="s">
        <v>2113</v>
      </c>
      <c r="BY493" s="19" t="s">
        <v>2113</v>
      </c>
      <c r="BZ493" s="19"/>
      <c r="CA493" s="19" t="s">
        <v>2113</v>
      </c>
      <c r="CB493" s="19" t="s">
        <v>2113</v>
      </c>
      <c r="CC493" s="19"/>
      <c r="CD493" s="19" t="s">
        <v>2137</v>
      </c>
      <c r="CE493" s="19" t="s">
        <v>16</v>
      </c>
      <c r="CF493" s="19"/>
      <c r="CG493" s="19"/>
      <c r="CH493" s="19" t="s">
        <v>16</v>
      </c>
      <c r="CI493" s="21">
        <v>0.0</v>
      </c>
      <c r="CJ493" s="19" t="s">
        <v>16</v>
      </c>
      <c r="CK493" s="19"/>
      <c r="CL493" s="19"/>
      <c r="CM493" s="19" t="s">
        <v>2926</v>
      </c>
      <c r="CN493" s="19" t="s">
        <v>2382</v>
      </c>
      <c r="CO493" s="19"/>
      <c r="CP493" s="19" t="s">
        <v>2246</v>
      </c>
      <c r="CQ493" s="19"/>
      <c r="CR493" s="19" t="s">
        <v>2113</v>
      </c>
      <c r="CS493" s="19" t="s">
        <v>2113</v>
      </c>
      <c r="CT493" s="19"/>
      <c r="CU493" s="19"/>
      <c r="CV493" s="19" t="s">
        <v>2141</v>
      </c>
      <c r="CW493" s="19"/>
      <c r="CX493" s="19"/>
      <c r="CY493" s="19"/>
      <c r="CZ493" s="19"/>
      <c r="DA493" s="19" t="s">
        <v>16</v>
      </c>
      <c r="DB493" s="19" t="s">
        <v>16</v>
      </c>
      <c r="DC493" s="19" t="s">
        <v>2383</v>
      </c>
      <c r="DD493" s="19" t="s">
        <v>2113</v>
      </c>
      <c r="DE493" s="19" t="s">
        <v>2113</v>
      </c>
      <c r="DF493" s="19" t="s">
        <v>8396</v>
      </c>
      <c r="DG493" s="19" t="s">
        <v>4424</v>
      </c>
      <c r="DH493" s="19" t="s">
        <v>2144</v>
      </c>
      <c r="DI493" s="24">
        <v>45524.0</v>
      </c>
      <c r="DJ493" s="19" t="s">
        <v>2133</v>
      </c>
      <c r="DK493" s="19" t="s">
        <v>2145</v>
      </c>
      <c r="DL493" s="19" t="s">
        <v>2146</v>
      </c>
      <c r="DM493" s="19" t="s">
        <v>3302</v>
      </c>
      <c r="DN493" s="19">
        <v>7.0</v>
      </c>
      <c r="DO493" s="19">
        <v>7.0</v>
      </c>
      <c r="DP493" s="19" t="s">
        <v>10471</v>
      </c>
      <c r="DQ493" s="19" t="s">
        <v>10472</v>
      </c>
      <c r="DR493" s="19" t="s">
        <v>10473</v>
      </c>
      <c r="DS493" s="19" t="s">
        <v>2365</v>
      </c>
      <c r="DT493" s="19" t="s">
        <v>2186</v>
      </c>
      <c r="DU493" s="19"/>
      <c r="DV493" s="19"/>
      <c r="DW493" s="19" t="s">
        <v>2153</v>
      </c>
      <c r="DX493" s="19">
        <v>9.0</v>
      </c>
      <c r="DY493" s="19">
        <v>0.0</v>
      </c>
      <c r="DZ493" s="19">
        <v>0.0</v>
      </c>
      <c r="EA493" s="19">
        <v>0.0</v>
      </c>
      <c r="EB493" s="19">
        <v>0.0</v>
      </c>
      <c r="EC493" s="19">
        <v>0.0</v>
      </c>
      <c r="ED493" s="19" t="s">
        <v>2133</v>
      </c>
      <c r="EE493" s="24">
        <v>45524.0</v>
      </c>
      <c r="EF493" s="19" t="s">
        <v>2133</v>
      </c>
      <c r="EG493" s="19" t="s">
        <v>2145</v>
      </c>
      <c r="EH493" s="19" t="s">
        <v>2146</v>
      </c>
      <c r="EI493" s="22">
        <v>14.25</v>
      </c>
      <c r="EJ493" s="19">
        <v>45.0</v>
      </c>
      <c r="EK493" s="19"/>
      <c r="EL493" s="19" t="s">
        <v>2282</v>
      </c>
      <c r="EM493" s="19" t="s">
        <v>10464</v>
      </c>
      <c r="EN493" s="19" t="s">
        <v>1459</v>
      </c>
      <c r="EO493" s="19" t="s">
        <v>2375</v>
      </c>
      <c r="EP493" s="19" t="s">
        <v>2122</v>
      </c>
      <c r="EQ493" s="19" t="s">
        <v>2382</v>
      </c>
      <c r="ER493" s="19"/>
      <c r="ES493" s="19" t="s">
        <v>1459</v>
      </c>
      <c r="ET493" s="19" t="s">
        <v>1459</v>
      </c>
      <c r="EU493" s="19" t="s">
        <v>10461</v>
      </c>
      <c r="EV493" s="19">
        <v>7796.0</v>
      </c>
      <c r="EW493" s="19" t="s">
        <v>16</v>
      </c>
      <c r="EX493" s="19">
        <v>4.0</v>
      </c>
      <c r="EY493" s="25" t="s">
        <v>1458</v>
      </c>
      <c r="EZ493" s="19" t="s">
        <v>2154</v>
      </c>
      <c r="FA493" s="5" t="s">
        <v>10474</v>
      </c>
      <c r="FB493" s="26" t="s">
        <v>2156</v>
      </c>
      <c r="FC493" s="26"/>
    </row>
    <row r="494">
      <c r="A494" s="19" t="s">
        <v>2112</v>
      </c>
      <c r="B494" s="19"/>
      <c r="C494" s="19" t="s">
        <v>2113</v>
      </c>
      <c r="D494" s="19" t="s">
        <v>1460</v>
      </c>
      <c r="E494" s="19" t="s">
        <v>10475</v>
      </c>
      <c r="F494" s="19" t="s">
        <v>1460</v>
      </c>
      <c r="G494" s="19"/>
      <c r="H494" s="19" t="s">
        <v>1460</v>
      </c>
      <c r="I494" s="19" t="s">
        <v>1462</v>
      </c>
      <c r="J494" s="19" t="s">
        <v>10476</v>
      </c>
      <c r="K494" s="19" t="s">
        <v>10477</v>
      </c>
      <c r="L494" s="20">
        <v>45444.0</v>
      </c>
      <c r="M494" s="20">
        <v>45446.0</v>
      </c>
      <c r="N494" s="20">
        <v>45446.0</v>
      </c>
      <c r="O494" s="19" t="s">
        <v>1461</v>
      </c>
      <c r="P494" s="19">
        <v>0.0</v>
      </c>
      <c r="Q494" s="19">
        <v>18.0</v>
      </c>
      <c r="R494" s="19">
        <v>6924.0</v>
      </c>
      <c r="S494" s="20" t="s">
        <v>10478</v>
      </c>
      <c r="T494" s="20">
        <v>45461.0</v>
      </c>
      <c r="U494" s="19" t="s">
        <v>1460</v>
      </c>
      <c r="V494" s="19"/>
      <c r="W494" s="19" t="s">
        <v>10479</v>
      </c>
      <c r="X494" s="21">
        <v>0.0</v>
      </c>
      <c r="Y494" s="21">
        <v>0.0</v>
      </c>
      <c r="Z494" s="21">
        <v>4.0</v>
      </c>
      <c r="AA494" s="21">
        <v>0.0</v>
      </c>
      <c r="AB494" s="5">
        <v>4.0</v>
      </c>
      <c r="AC494" s="19">
        <v>5.0</v>
      </c>
      <c r="AD494" s="19">
        <v>5.0</v>
      </c>
      <c r="AE494" s="19">
        <v>5.0</v>
      </c>
      <c r="AF494" s="19">
        <v>4.0</v>
      </c>
      <c r="AG494" s="19">
        <v>4.0</v>
      </c>
      <c r="AH494" s="19">
        <v>5.0</v>
      </c>
      <c r="AI494" s="22">
        <v>14.25</v>
      </c>
      <c r="AJ494" s="19">
        <v>15.0</v>
      </c>
      <c r="AK494" s="19">
        <v>15.0</v>
      </c>
      <c r="AL494" s="19">
        <v>15.0</v>
      </c>
      <c r="AM494" s="19">
        <v>45.0</v>
      </c>
      <c r="AN494" s="19">
        <v>59.3</v>
      </c>
      <c r="AO494" s="19">
        <v>63.3</v>
      </c>
      <c r="AP494" s="19">
        <v>1207.0</v>
      </c>
      <c r="AQ494" s="23">
        <v>486.0</v>
      </c>
      <c r="AR494" s="23">
        <v>39.0</v>
      </c>
      <c r="AS494" s="22"/>
      <c r="AT494" s="19" t="s">
        <v>2282</v>
      </c>
      <c r="AU494" s="19" t="s">
        <v>10480</v>
      </c>
      <c r="AV494" s="19" t="s">
        <v>10481</v>
      </c>
      <c r="AW494" s="19" t="s">
        <v>10482</v>
      </c>
      <c r="AX494" s="20">
        <v>38537.0</v>
      </c>
      <c r="AY494" s="19" t="s">
        <v>2619</v>
      </c>
      <c r="AZ494" s="19" t="s">
        <v>2122</v>
      </c>
      <c r="BA494" s="19" t="s">
        <v>10483</v>
      </c>
      <c r="BB494" s="19" t="s">
        <v>9616</v>
      </c>
      <c r="BC494" s="19" t="s">
        <v>10484</v>
      </c>
      <c r="BD494" s="19" t="s">
        <v>10485</v>
      </c>
      <c r="BE494" s="19" t="s">
        <v>10486</v>
      </c>
      <c r="BF494" s="19">
        <v>1.1995001452E10</v>
      </c>
      <c r="BG494" s="19" t="s">
        <v>4038</v>
      </c>
      <c r="BH494" s="19" t="s">
        <v>2128</v>
      </c>
      <c r="BI494" s="19"/>
      <c r="BJ494" s="19" t="s">
        <v>2129</v>
      </c>
      <c r="BK494" s="19" t="s">
        <v>17</v>
      </c>
      <c r="BL494" s="19" t="s">
        <v>2113</v>
      </c>
      <c r="BM494" s="19" t="s">
        <v>5411</v>
      </c>
      <c r="BN494" s="19" t="s">
        <v>2172</v>
      </c>
      <c r="BO494" s="19" t="s">
        <v>2317</v>
      </c>
      <c r="BP494" s="19" t="s">
        <v>10487</v>
      </c>
      <c r="BQ494" s="19" t="s">
        <v>2133</v>
      </c>
      <c r="BR494" s="19" t="s">
        <v>2133</v>
      </c>
      <c r="BS494" s="19" t="s">
        <v>2243</v>
      </c>
      <c r="BT494" s="19" t="s">
        <v>52</v>
      </c>
      <c r="BU494" s="19"/>
      <c r="BV494" s="19"/>
      <c r="BW494" s="19"/>
      <c r="BX494" s="19"/>
      <c r="BY494" s="19" t="s">
        <v>2113</v>
      </c>
      <c r="BZ494" s="19"/>
      <c r="CA494" s="19" t="s">
        <v>2113</v>
      </c>
      <c r="CB494" s="19" t="s">
        <v>2113</v>
      </c>
      <c r="CC494" s="19" t="s">
        <v>2113</v>
      </c>
      <c r="CD494" s="19" t="s">
        <v>2137</v>
      </c>
      <c r="CE494" s="19" t="s">
        <v>16</v>
      </c>
      <c r="CF494" s="19"/>
      <c r="CG494" s="19"/>
      <c r="CH494" s="19" t="s">
        <v>16</v>
      </c>
      <c r="CI494" s="21">
        <v>0.0</v>
      </c>
      <c r="CJ494" s="19" t="s">
        <v>16</v>
      </c>
      <c r="CK494" s="19"/>
      <c r="CL494" s="19"/>
      <c r="CM494" s="19" t="s">
        <v>2926</v>
      </c>
      <c r="CN494" s="19" t="s">
        <v>2626</v>
      </c>
      <c r="CO494" s="19"/>
      <c r="CP494" s="19" t="s">
        <v>2246</v>
      </c>
      <c r="CQ494" s="19"/>
      <c r="CR494" s="19" t="s">
        <v>2113</v>
      </c>
      <c r="CS494" s="19" t="s">
        <v>2113</v>
      </c>
      <c r="CT494" s="19" t="s">
        <v>2113</v>
      </c>
      <c r="CU494" s="19" t="s">
        <v>2113</v>
      </c>
      <c r="CV494" s="19" t="s">
        <v>2141</v>
      </c>
      <c r="CW494" s="19" t="s">
        <v>2113</v>
      </c>
      <c r="CX494" s="19" t="s">
        <v>2113</v>
      </c>
      <c r="CY494" s="19" t="s">
        <v>2113</v>
      </c>
      <c r="CZ494" s="19" t="s">
        <v>2113</v>
      </c>
      <c r="DA494" s="19" t="s">
        <v>16</v>
      </c>
      <c r="DB494" s="19" t="s">
        <v>16</v>
      </c>
      <c r="DC494" s="19" t="s">
        <v>2627</v>
      </c>
      <c r="DD494" s="19" t="s">
        <v>2113</v>
      </c>
      <c r="DE494" s="19" t="s">
        <v>2113</v>
      </c>
      <c r="DF494" s="19" t="s">
        <v>2383</v>
      </c>
      <c r="DG494" s="19" t="s">
        <v>10488</v>
      </c>
      <c r="DH494" s="19" t="s">
        <v>2144</v>
      </c>
      <c r="DI494" s="24">
        <v>45531.0</v>
      </c>
      <c r="DJ494" s="19" t="s">
        <v>2133</v>
      </c>
      <c r="DK494" s="19" t="s">
        <v>2145</v>
      </c>
      <c r="DL494" s="19" t="s">
        <v>2146</v>
      </c>
      <c r="DM494" s="19" t="s">
        <v>3183</v>
      </c>
      <c r="DN494" s="19">
        <v>13.0</v>
      </c>
      <c r="DO494" s="19">
        <v>13.0</v>
      </c>
      <c r="DP494" s="19" t="s">
        <v>10489</v>
      </c>
      <c r="DQ494" s="19" t="s">
        <v>10490</v>
      </c>
      <c r="DR494" s="19" t="s">
        <v>10491</v>
      </c>
      <c r="DS494" s="19" t="s">
        <v>2365</v>
      </c>
      <c r="DT494" s="19" t="s">
        <v>2229</v>
      </c>
      <c r="DU494" s="19"/>
      <c r="DV494" s="19"/>
      <c r="DW494" s="19" t="s">
        <v>2188</v>
      </c>
      <c r="DX494" s="19">
        <v>10.0</v>
      </c>
      <c r="DY494" s="19">
        <v>0.0</v>
      </c>
      <c r="DZ494" s="19">
        <v>0.0</v>
      </c>
      <c r="EA494" s="19">
        <v>0.0</v>
      </c>
      <c r="EB494" s="19">
        <v>0.0</v>
      </c>
      <c r="EC494" s="19">
        <v>0.0</v>
      </c>
      <c r="ED494" s="19" t="s">
        <v>2133</v>
      </c>
      <c r="EE494" s="24">
        <v>45531.0</v>
      </c>
      <c r="EF494" s="19" t="s">
        <v>2133</v>
      </c>
      <c r="EG494" s="19" t="s">
        <v>2145</v>
      </c>
      <c r="EH494" s="19" t="s">
        <v>2146</v>
      </c>
      <c r="EI494" s="22">
        <v>14.25</v>
      </c>
      <c r="EJ494" s="19">
        <v>45.0</v>
      </c>
      <c r="EK494" s="19"/>
      <c r="EL494" s="19" t="s">
        <v>2282</v>
      </c>
      <c r="EM494" s="19" t="s">
        <v>10480</v>
      </c>
      <c r="EN494" s="19" t="s">
        <v>1462</v>
      </c>
      <c r="EO494" s="19" t="s">
        <v>2619</v>
      </c>
      <c r="EP494" s="19" t="s">
        <v>2122</v>
      </c>
      <c r="EQ494" s="19" t="s">
        <v>2626</v>
      </c>
      <c r="ER494" s="19"/>
      <c r="ES494" s="19" t="s">
        <v>1462</v>
      </c>
      <c r="ET494" s="19" t="s">
        <v>1462</v>
      </c>
      <c r="EU494" s="19" t="s">
        <v>10477</v>
      </c>
      <c r="EV494" s="19">
        <v>6924.0</v>
      </c>
      <c r="EW494" s="19" t="s">
        <v>16</v>
      </c>
      <c r="EX494" s="19">
        <v>4.0</v>
      </c>
      <c r="EY494" s="25" t="s">
        <v>1461</v>
      </c>
      <c r="EZ494" s="19" t="s">
        <v>2154</v>
      </c>
      <c r="FA494" s="5" t="s">
        <v>10492</v>
      </c>
      <c r="FB494" s="26" t="s">
        <v>2156</v>
      </c>
      <c r="FC494" s="26"/>
    </row>
    <row r="495">
      <c r="A495" s="19" t="s">
        <v>2112</v>
      </c>
      <c r="B495" s="19"/>
      <c r="C495" s="19" t="s">
        <v>2113</v>
      </c>
      <c r="D495" s="19" t="s">
        <v>1463</v>
      </c>
      <c r="E495" s="19" t="s">
        <v>10493</v>
      </c>
      <c r="F495" s="19" t="s">
        <v>1463</v>
      </c>
      <c r="G495" s="19"/>
      <c r="H495" s="19" t="s">
        <v>1463</v>
      </c>
      <c r="I495" s="19" t="s">
        <v>71</v>
      </c>
      <c r="J495" s="19" t="s">
        <v>10494</v>
      </c>
      <c r="K495" s="19" t="s">
        <v>10495</v>
      </c>
      <c r="L495" s="20">
        <v>45439.0</v>
      </c>
      <c r="M495" s="20">
        <v>45439.0</v>
      </c>
      <c r="N495" s="20">
        <v>45439.0</v>
      </c>
      <c r="O495" s="19" t="s">
        <v>1464</v>
      </c>
      <c r="P495" s="19">
        <v>0.0</v>
      </c>
      <c r="Q495" s="19">
        <v>19.0</v>
      </c>
      <c r="R495" s="19">
        <v>6986.0</v>
      </c>
      <c r="S495" s="20" t="s">
        <v>10496</v>
      </c>
      <c r="T495" s="20">
        <v>45461.0</v>
      </c>
      <c r="U495" s="19" t="s">
        <v>1463</v>
      </c>
      <c r="V495" s="19"/>
      <c r="W495" s="19"/>
      <c r="X495" s="21">
        <v>0.0</v>
      </c>
      <c r="Y495" s="21">
        <v>10.0</v>
      </c>
      <c r="Z495" s="21">
        <v>2.0</v>
      </c>
      <c r="AA495" s="21">
        <v>0.0</v>
      </c>
      <c r="AB495" s="5">
        <v>12.0</v>
      </c>
      <c r="AC495" s="19">
        <v>3.4</v>
      </c>
      <c r="AD495" s="19">
        <v>3.6</v>
      </c>
      <c r="AE495" s="19">
        <v>4.0</v>
      </c>
      <c r="AF495" s="19">
        <v>4.2</v>
      </c>
      <c r="AG495" s="19">
        <v>3.2</v>
      </c>
      <c r="AH495" s="19">
        <v>3.8</v>
      </c>
      <c r="AI495" s="22">
        <v>11.15625</v>
      </c>
      <c r="AJ495" s="19">
        <v>15.0</v>
      </c>
      <c r="AK495" s="19">
        <v>15.0</v>
      </c>
      <c r="AL495" s="19">
        <v>10.0</v>
      </c>
      <c r="AM495" s="19">
        <v>40.0</v>
      </c>
      <c r="AN495" s="19">
        <v>51.2</v>
      </c>
      <c r="AO495" s="19">
        <v>63.2</v>
      </c>
      <c r="AP495" s="19">
        <v>894.0</v>
      </c>
      <c r="AQ495" s="23">
        <v>487.0</v>
      </c>
      <c r="AR495" s="23">
        <v>40.0</v>
      </c>
      <c r="AS495" s="22"/>
      <c r="AT495" s="19" t="s">
        <v>2282</v>
      </c>
      <c r="AU495" s="19" t="s">
        <v>10497</v>
      </c>
      <c r="AV495" s="19" t="s">
        <v>10498</v>
      </c>
      <c r="AW495" s="19" t="s">
        <v>10499</v>
      </c>
      <c r="AX495" s="20">
        <v>38475.0</v>
      </c>
      <c r="AY495" s="19" t="s">
        <v>9945</v>
      </c>
      <c r="AZ495" s="19" t="s">
        <v>2122</v>
      </c>
      <c r="BA495" s="19" t="s">
        <v>10500</v>
      </c>
      <c r="BB495" s="19" t="s">
        <v>5660</v>
      </c>
      <c r="BC495" s="19" t="s">
        <v>10501</v>
      </c>
      <c r="BD495" s="19" t="s">
        <v>10502</v>
      </c>
      <c r="BE495" s="19" t="s">
        <v>10503</v>
      </c>
      <c r="BF495" s="19">
        <v>1.1996361629E10</v>
      </c>
      <c r="BG495" s="19" t="s">
        <v>2127</v>
      </c>
      <c r="BH495" s="19" t="s">
        <v>2128</v>
      </c>
      <c r="BI495" s="19"/>
      <c r="BJ495" s="19" t="s">
        <v>2128</v>
      </c>
      <c r="BK495" s="19" t="s">
        <v>17</v>
      </c>
      <c r="BL495" s="19"/>
      <c r="BM495" s="19" t="s">
        <v>5563</v>
      </c>
      <c r="BN495" s="19" t="s">
        <v>2172</v>
      </c>
      <c r="BO495" s="19" t="s">
        <v>3199</v>
      </c>
      <c r="BP495" s="19"/>
      <c r="BQ495" s="19" t="s">
        <v>2325</v>
      </c>
      <c r="BR495" s="19" t="s">
        <v>2325</v>
      </c>
      <c r="BS495" s="19" t="s">
        <v>4723</v>
      </c>
      <c r="BT495" s="19" t="s">
        <v>118</v>
      </c>
      <c r="BU495" s="19" t="s">
        <v>2560</v>
      </c>
      <c r="BV495" s="19"/>
      <c r="BW495" s="19"/>
      <c r="BX495" s="19" t="s">
        <v>2113</v>
      </c>
      <c r="BY495" s="19"/>
      <c r="BZ495" s="19" t="s">
        <v>2113</v>
      </c>
      <c r="CA495" s="19"/>
      <c r="CB495" s="19" t="s">
        <v>2113</v>
      </c>
      <c r="CC495" s="19"/>
      <c r="CD495" s="19" t="s">
        <v>2137</v>
      </c>
      <c r="CE495" s="19" t="s">
        <v>16</v>
      </c>
      <c r="CF495" s="19"/>
      <c r="CG495" s="19"/>
      <c r="CH495" s="19" t="s">
        <v>16</v>
      </c>
      <c r="CI495" s="21">
        <v>0.0</v>
      </c>
      <c r="CJ495" s="19" t="s">
        <v>16</v>
      </c>
      <c r="CK495" s="19"/>
      <c r="CL495" s="19"/>
      <c r="CM495" s="19" t="s">
        <v>2344</v>
      </c>
      <c r="CN495" s="19" t="s">
        <v>3220</v>
      </c>
      <c r="CO495" s="19"/>
      <c r="CP495" s="19" t="s">
        <v>2267</v>
      </c>
      <c r="CQ495" s="19"/>
      <c r="CR495" s="19"/>
      <c r="CS495" s="19"/>
      <c r="CT495" s="19"/>
      <c r="CU495" s="19"/>
      <c r="CV495" s="19" t="s">
        <v>2141</v>
      </c>
      <c r="CW495" s="19" t="s">
        <v>2113</v>
      </c>
      <c r="CX495" s="19" t="s">
        <v>2113</v>
      </c>
      <c r="CY495" s="19"/>
      <c r="CZ495" s="19"/>
      <c r="DA495" s="19" t="s">
        <v>16</v>
      </c>
      <c r="DB495" s="19" t="s">
        <v>16</v>
      </c>
      <c r="DC495" s="19" t="s">
        <v>2870</v>
      </c>
      <c r="DD495" s="19"/>
      <c r="DE495" s="19"/>
      <c r="DF495" s="19" t="s">
        <v>3892</v>
      </c>
      <c r="DG495" s="19" t="s">
        <v>2455</v>
      </c>
      <c r="DH495" s="19" t="s">
        <v>2144</v>
      </c>
      <c r="DI495" s="24">
        <v>45525.0</v>
      </c>
      <c r="DJ495" s="19" t="s">
        <v>2325</v>
      </c>
      <c r="DK495" s="19" t="s">
        <v>2145</v>
      </c>
      <c r="DL495" s="19" t="s">
        <v>2326</v>
      </c>
      <c r="DM495" s="19"/>
      <c r="DN495" s="19">
        <v>9.0</v>
      </c>
      <c r="DO495" s="19">
        <v>9.0</v>
      </c>
      <c r="DP495" s="19" t="s">
        <v>10504</v>
      </c>
      <c r="DQ495" s="19" t="s">
        <v>10505</v>
      </c>
      <c r="DR495" s="19" t="s">
        <v>10506</v>
      </c>
      <c r="DS495" s="19" t="s">
        <v>2365</v>
      </c>
      <c r="DT495" s="19" t="s">
        <v>2366</v>
      </c>
      <c r="DU495" s="19"/>
      <c r="DV495" s="19"/>
      <c r="DW495" s="19" t="s">
        <v>2153</v>
      </c>
      <c r="DX495" s="19">
        <v>8.0</v>
      </c>
      <c r="DY495" s="19">
        <v>10.0</v>
      </c>
      <c r="DZ495" s="19">
        <v>0.0</v>
      </c>
      <c r="EA495" s="19">
        <v>10.0</v>
      </c>
      <c r="EB495" s="19">
        <v>0.0</v>
      </c>
      <c r="EC495" s="19">
        <v>0.0</v>
      </c>
      <c r="ED495" s="19" t="s">
        <v>2325</v>
      </c>
      <c r="EE495" s="24">
        <v>45525.0</v>
      </c>
      <c r="EF495" s="19" t="s">
        <v>2325</v>
      </c>
      <c r="EG495" s="19" t="s">
        <v>2145</v>
      </c>
      <c r="EH495" s="19" t="s">
        <v>2326</v>
      </c>
      <c r="EI495" s="22">
        <v>11.15625</v>
      </c>
      <c r="EJ495" s="19">
        <v>40.0</v>
      </c>
      <c r="EK495" s="19"/>
      <c r="EL495" s="19" t="s">
        <v>2282</v>
      </c>
      <c r="EM495" s="19" t="s">
        <v>10497</v>
      </c>
      <c r="EN495" s="19" t="s">
        <v>71</v>
      </c>
      <c r="EO495" s="19" t="s">
        <v>9945</v>
      </c>
      <c r="EP495" s="19" t="s">
        <v>2122</v>
      </c>
      <c r="EQ495" s="19" t="s">
        <v>3220</v>
      </c>
      <c r="ER495" s="19"/>
      <c r="ES495" s="19" t="s">
        <v>71</v>
      </c>
      <c r="ET495" s="19" t="s">
        <v>71</v>
      </c>
      <c r="EU495" s="19" t="s">
        <v>10495</v>
      </c>
      <c r="EV495" s="19">
        <v>6986.0</v>
      </c>
      <c r="EW495" s="19" t="s">
        <v>16</v>
      </c>
      <c r="EX495" s="19">
        <v>2.0</v>
      </c>
      <c r="EY495" s="25" t="s">
        <v>1464</v>
      </c>
      <c r="EZ495" s="19" t="s">
        <v>2154</v>
      </c>
      <c r="FA495" s="5" t="s">
        <v>10507</v>
      </c>
      <c r="FB495" s="26" t="s">
        <v>2156</v>
      </c>
      <c r="FC495" s="26"/>
    </row>
    <row r="496">
      <c r="A496" s="19" t="s">
        <v>2112</v>
      </c>
      <c r="B496" s="19"/>
      <c r="C496" s="19" t="s">
        <v>2113</v>
      </c>
      <c r="D496" s="19" t="s">
        <v>1465</v>
      </c>
      <c r="E496" s="19" t="s">
        <v>10508</v>
      </c>
      <c r="F496" s="19" t="s">
        <v>1465</v>
      </c>
      <c r="G496" s="19"/>
      <c r="H496" s="19" t="s">
        <v>1465</v>
      </c>
      <c r="I496" s="19" t="s">
        <v>1467</v>
      </c>
      <c r="J496" s="19" t="s">
        <v>10509</v>
      </c>
      <c r="K496" s="19" t="s">
        <v>10510</v>
      </c>
      <c r="L496" s="20">
        <v>45446.0</v>
      </c>
      <c r="M496" s="20">
        <v>45447.0</v>
      </c>
      <c r="N496" s="20">
        <v>45447.0</v>
      </c>
      <c r="O496" s="19" t="s">
        <v>1466</v>
      </c>
      <c r="P496" s="19">
        <v>0.0</v>
      </c>
      <c r="Q496" s="19">
        <v>24.0</v>
      </c>
      <c r="R496" s="19">
        <v>8888.0</v>
      </c>
      <c r="S496" s="20" t="s">
        <v>10511</v>
      </c>
      <c r="T496" s="20">
        <v>45461.0</v>
      </c>
      <c r="U496" s="19" t="s">
        <v>1465</v>
      </c>
      <c r="V496" s="19"/>
      <c r="W496" s="19"/>
      <c r="X496" s="21">
        <v>0.0</v>
      </c>
      <c r="Y496" s="21">
        <v>0.0</v>
      </c>
      <c r="Z496" s="21">
        <v>5.0</v>
      </c>
      <c r="AA496" s="21">
        <v>0.0</v>
      </c>
      <c r="AB496" s="5">
        <v>5.0</v>
      </c>
      <c r="AC496" s="19">
        <v>5.0</v>
      </c>
      <c r="AD496" s="19">
        <v>4.0</v>
      </c>
      <c r="AE496" s="19">
        <v>5.0</v>
      </c>
      <c r="AF496" s="19">
        <v>4.0</v>
      </c>
      <c r="AG496" s="19">
        <v>4.0</v>
      </c>
      <c r="AH496" s="19">
        <v>4.0</v>
      </c>
      <c r="AI496" s="22">
        <v>13.21875</v>
      </c>
      <c r="AJ496" s="19">
        <v>15.0</v>
      </c>
      <c r="AK496" s="19">
        <v>15.0</v>
      </c>
      <c r="AL496" s="19">
        <v>15.0</v>
      </c>
      <c r="AM496" s="19">
        <v>45.0</v>
      </c>
      <c r="AN496" s="19">
        <v>58.2</v>
      </c>
      <c r="AO496" s="19">
        <v>63.2</v>
      </c>
      <c r="AP496" s="19">
        <v>1059.0</v>
      </c>
      <c r="AQ496" s="23">
        <v>488.0</v>
      </c>
      <c r="AR496" s="23">
        <v>68.0</v>
      </c>
      <c r="AS496" s="22"/>
      <c r="AT496" s="19" t="s">
        <v>2117</v>
      </c>
      <c r="AU496" s="19" t="s">
        <v>10512</v>
      </c>
      <c r="AV496" s="19" t="s">
        <v>10513</v>
      </c>
      <c r="AW496" s="19" t="s">
        <v>10514</v>
      </c>
      <c r="AX496" s="20">
        <v>36573.0</v>
      </c>
      <c r="AY496" s="19" t="s">
        <v>2595</v>
      </c>
      <c r="AZ496" s="19" t="s">
        <v>2310</v>
      </c>
      <c r="BA496" s="19" t="s">
        <v>10515</v>
      </c>
      <c r="BB496" s="19" t="s">
        <v>10516</v>
      </c>
      <c r="BC496" s="19" t="s">
        <v>10517</v>
      </c>
      <c r="BD496" s="19" t="s">
        <v>10518</v>
      </c>
      <c r="BE496" s="19" t="s">
        <v>10519</v>
      </c>
      <c r="BF496" s="19">
        <v>1.1946636798E10</v>
      </c>
      <c r="BG496" s="19" t="s">
        <v>4038</v>
      </c>
      <c r="BH496" s="19" t="s">
        <v>2128</v>
      </c>
      <c r="BI496" s="19"/>
      <c r="BJ496" s="19" t="s">
        <v>2129</v>
      </c>
      <c r="BK496" s="19" t="s">
        <v>17</v>
      </c>
      <c r="BL496" s="19" t="s">
        <v>2113</v>
      </c>
      <c r="BM496" s="19" t="s">
        <v>5411</v>
      </c>
      <c r="BN496" s="19" t="s">
        <v>17</v>
      </c>
      <c r="BO496" s="19" t="s">
        <v>2132</v>
      </c>
      <c r="BP496" s="19"/>
      <c r="BQ496" s="19" t="s">
        <v>2133</v>
      </c>
      <c r="BR496" s="19" t="s">
        <v>2133</v>
      </c>
      <c r="BS496" s="19" t="s">
        <v>2134</v>
      </c>
      <c r="BT496" s="19" t="s">
        <v>38</v>
      </c>
      <c r="BU496" s="19" t="s">
        <v>10520</v>
      </c>
      <c r="BV496" s="19"/>
      <c r="BW496" s="19"/>
      <c r="BX496" s="19"/>
      <c r="BY496" s="19"/>
      <c r="BZ496" s="19"/>
      <c r="CA496" s="19"/>
      <c r="CB496" s="19" t="s">
        <v>2113</v>
      </c>
      <c r="CC496" s="19"/>
      <c r="CD496" s="19" t="s">
        <v>2137</v>
      </c>
      <c r="CE496" s="19" t="s">
        <v>16</v>
      </c>
      <c r="CF496" s="19"/>
      <c r="CG496" s="19"/>
      <c r="CH496" s="19" t="s">
        <v>16</v>
      </c>
      <c r="CI496" s="21">
        <v>0.0</v>
      </c>
      <c r="CJ496" s="19" t="s">
        <v>17</v>
      </c>
      <c r="CK496" s="19"/>
      <c r="CL496" s="19"/>
      <c r="CM496" s="19" t="s">
        <v>2344</v>
      </c>
      <c r="CN496" s="19" t="s">
        <v>2294</v>
      </c>
      <c r="CO496" s="19"/>
      <c r="CP496" s="19" t="s">
        <v>2246</v>
      </c>
      <c r="CQ496" s="19"/>
      <c r="CR496" s="19"/>
      <c r="CS496" s="19"/>
      <c r="CT496" s="19" t="s">
        <v>2113</v>
      </c>
      <c r="CU496" s="19" t="s">
        <v>2113</v>
      </c>
      <c r="CV496" s="19" t="s">
        <v>2141</v>
      </c>
      <c r="CW496" s="19"/>
      <c r="CX496" s="19"/>
      <c r="CY496" s="19" t="s">
        <v>2113</v>
      </c>
      <c r="CZ496" s="19" t="s">
        <v>2113</v>
      </c>
      <c r="DA496" s="19" t="s">
        <v>16</v>
      </c>
      <c r="DB496" s="19" t="s">
        <v>17</v>
      </c>
      <c r="DC496" s="19" t="s">
        <v>2142</v>
      </c>
      <c r="DD496" s="19" t="s">
        <v>2113</v>
      </c>
      <c r="DE496" s="19" t="s">
        <v>2113</v>
      </c>
      <c r="DF496" s="19" t="s">
        <v>3222</v>
      </c>
      <c r="DG496" s="19" t="s">
        <v>2578</v>
      </c>
      <c r="DH496" s="19" t="s">
        <v>2144</v>
      </c>
      <c r="DI496" s="24">
        <v>45526.0</v>
      </c>
      <c r="DJ496" s="19" t="s">
        <v>2133</v>
      </c>
      <c r="DK496" s="19" t="s">
        <v>2145</v>
      </c>
      <c r="DL496" s="19" t="s">
        <v>2146</v>
      </c>
      <c r="DM496" s="19" t="s">
        <v>3338</v>
      </c>
      <c r="DN496" s="19">
        <v>11.0</v>
      </c>
      <c r="DO496" s="19">
        <v>11.0</v>
      </c>
      <c r="DP496" s="19" t="s">
        <v>10521</v>
      </c>
      <c r="DQ496" s="19" t="s">
        <v>10522</v>
      </c>
      <c r="DR496" s="19" t="s">
        <v>10523</v>
      </c>
      <c r="DS496" s="19" t="s">
        <v>2185</v>
      </c>
      <c r="DT496" s="19" t="s">
        <v>2152</v>
      </c>
      <c r="DU496" s="19"/>
      <c r="DV496" s="19"/>
      <c r="DW496" s="19" t="s">
        <v>2479</v>
      </c>
      <c r="DX496" s="19">
        <v>6.0</v>
      </c>
      <c r="DY496" s="19">
        <v>0.0</v>
      </c>
      <c r="DZ496" s="19">
        <v>0.0</v>
      </c>
      <c r="EA496" s="19">
        <v>0.0</v>
      </c>
      <c r="EB496" s="19">
        <v>0.0</v>
      </c>
      <c r="EC496" s="19">
        <v>0.0</v>
      </c>
      <c r="ED496" s="19" t="s">
        <v>2133</v>
      </c>
      <c r="EE496" s="24">
        <v>45526.0</v>
      </c>
      <c r="EF496" s="19" t="s">
        <v>2133</v>
      </c>
      <c r="EG496" s="19" t="s">
        <v>2145</v>
      </c>
      <c r="EH496" s="19" t="s">
        <v>2146</v>
      </c>
      <c r="EI496" s="22">
        <v>13.21875</v>
      </c>
      <c r="EJ496" s="19">
        <v>45.0</v>
      </c>
      <c r="EK496" s="19" t="s">
        <v>2113</v>
      </c>
      <c r="EL496" s="19" t="s">
        <v>2117</v>
      </c>
      <c r="EM496" s="19" t="s">
        <v>10512</v>
      </c>
      <c r="EN496" s="19" t="s">
        <v>1467</v>
      </c>
      <c r="EO496" s="19" t="s">
        <v>2595</v>
      </c>
      <c r="EP496" s="19" t="s">
        <v>2310</v>
      </c>
      <c r="EQ496" s="19" t="s">
        <v>2294</v>
      </c>
      <c r="ER496" s="19"/>
      <c r="ES496" s="19" t="s">
        <v>1467</v>
      </c>
      <c r="ET496" s="19" t="s">
        <v>1467</v>
      </c>
      <c r="EU496" s="19" t="s">
        <v>10510</v>
      </c>
      <c r="EV496" s="19">
        <v>8888.0</v>
      </c>
      <c r="EW496" s="19" t="s">
        <v>16</v>
      </c>
      <c r="EX496" s="19">
        <v>5.0</v>
      </c>
      <c r="EY496" s="25" t="s">
        <v>1466</v>
      </c>
      <c r="EZ496" s="19" t="s">
        <v>2154</v>
      </c>
      <c r="FA496" s="5" t="s">
        <v>10524</v>
      </c>
      <c r="FB496" s="26" t="s">
        <v>2156</v>
      </c>
      <c r="FC496" s="26"/>
    </row>
    <row r="497">
      <c r="A497" s="19" t="s">
        <v>2112</v>
      </c>
      <c r="B497" s="19"/>
      <c r="C497" s="19" t="s">
        <v>2113</v>
      </c>
      <c r="D497" s="19" t="s">
        <v>1468</v>
      </c>
      <c r="E497" s="19" t="s">
        <v>10525</v>
      </c>
      <c r="F497" s="19" t="s">
        <v>1468</v>
      </c>
      <c r="G497" s="19" t="s">
        <v>10525</v>
      </c>
      <c r="H497" s="19" t="s">
        <v>1468</v>
      </c>
      <c r="I497" s="19" t="s">
        <v>1470</v>
      </c>
      <c r="J497" s="19" t="s">
        <v>10526</v>
      </c>
      <c r="K497" s="19" t="s">
        <v>10527</v>
      </c>
      <c r="L497" s="20">
        <v>45460.0</v>
      </c>
      <c r="M497" s="20">
        <v>45462.0</v>
      </c>
      <c r="N497" s="20">
        <v>45462.0</v>
      </c>
      <c r="O497" s="19" t="s">
        <v>1469</v>
      </c>
      <c r="P497" s="19">
        <v>0.0</v>
      </c>
      <c r="Q497" s="19">
        <v>22.0</v>
      </c>
      <c r="R497" s="19">
        <v>8065.0</v>
      </c>
      <c r="S497" s="20" t="s">
        <v>3208</v>
      </c>
      <c r="T497" s="20">
        <v>45461.0</v>
      </c>
      <c r="U497" s="19" t="s">
        <v>1468</v>
      </c>
      <c r="V497" s="19"/>
      <c r="W497" s="19"/>
      <c r="X497" s="21">
        <v>0.0</v>
      </c>
      <c r="Y497" s="21">
        <v>0.0</v>
      </c>
      <c r="Z497" s="21">
        <v>4.0</v>
      </c>
      <c r="AA497" s="21">
        <v>0.0</v>
      </c>
      <c r="AB497" s="5">
        <v>4.0</v>
      </c>
      <c r="AC497" s="19">
        <v>4.6</v>
      </c>
      <c r="AD497" s="19">
        <v>4.6</v>
      </c>
      <c r="AE497" s="19">
        <v>5.0</v>
      </c>
      <c r="AF497" s="19">
        <v>4.8</v>
      </c>
      <c r="AG497" s="19">
        <v>4.4</v>
      </c>
      <c r="AH497" s="19">
        <v>4.8</v>
      </c>
      <c r="AI497" s="22">
        <v>14.174999999999999</v>
      </c>
      <c r="AJ497" s="19">
        <v>15.0</v>
      </c>
      <c r="AK497" s="19">
        <v>15.0</v>
      </c>
      <c r="AL497" s="19">
        <v>15.0</v>
      </c>
      <c r="AM497" s="19">
        <v>45.0</v>
      </c>
      <c r="AN497" s="19">
        <v>59.2</v>
      </c>
      <c r="AO497" s="19">
        <v>63.2</v>
      </c>
      <c r="AP497" s="19">
        <v>1190.0</v>
      </c>
      <c r="AQ497" s="23">
        <v>489.0</v>
      </c>
      <c r="AR497" s="23">
        <v>41.0</v>
      </c>
      <c r="AS497" s="22"/>
      <c r="AT497" s="19" t="s">
        <v>2117</v>
      </c>
      <c r="AU497" s="19" t="s">
        <v>10528</v>
      </c>
      <c r="AV497" s="19" t="s">
        <v>10529</v>
      </c>
      <c r="AW497" s="19"/>
      <c r="AX497" s="20">
        <v>37396.0</v>
      </c>
      <c r="AY497" s="19" t="s">
        <v>3232</v>
      </c>
      <c r="AZ497" s="19" t="s">
        <v>2122</v>
      </c>
      <c r="BA497" s="19" t="s">
        <v>10530</v>
      </c>
      <c r="BB497" s="19" t="s">
        <v>10531</v>
      </c>
      <c r="BC497" s="19" t="s">
        <v>10532</v>
      </c>
      <c r="BD497" s="19" t="s">
        <v>10533</v>
      </c>
      <c r="BE497" s="19" t="s">
        <v>10534</v>
      </c>
      <c r="BF497" s="19">
        <v>1.19922304E10</v>
      </c>
      <c r="BG497" s="19" t="s">
        <v>4038</v>
      </c>
      <c r="BH497" s="19" t="s">
        <v>2128</v>
      </c>
      <c r="BI497" s="19"/>
      <c r="BJ497" s="19" t="s">
        <v>2128</v>
      </c>
      <c r="BK497" s="19" t="s">
        <v>17</v>
      </c>
      <c r="BL497" s="19"/>
      <c r="BM497" s="19" t="s">
        <v>5563</v>
      </c>
      <c r="BN497" s="19" t="s">
        <v>10535</v>
      </c>
      <c r="BO497" s="19" t="s">
        <v>2317</v>
      </c>
      <c r="BP497" s="19" t="s">
        <v>10536</v>
      </c>
      <c r="BQ497" s="19" t="s">
        <v>2325</v>
      </c>
      <c r="BR497" s="19" t="s">
        <v>2325</v>
      </c>
      <c r="BS497" s="19" t="s">
        <v>2243</v>
      </c>
      <c r="BT497" s="19" t="s">
        <v>118</v>
      </c>
      <c r="BU497" s="19" t="s">
        <v>10537</v>
      </c>
      <c r="BV497" s="19"/>
      <c r="BW497" s="19"/>
      <c r="BX497" s="19"/>
      <c r="BY497" s="19"/>
      <c r="BZ497" s="19"/>
      <c r="CA497" s="19"/>
      <c r="CB497" s="19" t="s">
        <v>2113</v>
      </c>
      <c r="CC497" s="19" t="s">
        <v>2113</v>
      </c>
      <c r="CD497" s="19" t="s">
        <v>2137</v>
      </c>
      <c r="CE497" s="19" t="s">
        <v>16</v>
      </c>
      <c r="CF497" s="19"/>
      <c r="CG497" s="19"/>
      <c r="CH497" s="19" t="s">
        <v>16</v>
      </c>
      <c r="CI497" s="21">
        <v>0.0</v>
      </c>
      <c r="CJ497" s="19" t="s">
        <v>17</v>
      </c>
      <c r="CK497" s="19"/>
      <c r="CL497" s="19"/>
      <c r="CM497" s="19" t="s">
        <v>2138</v>
      </c>
      <c r="CN497" s="19" t="s">
        <v>2868</v>
      </c>
      <c r="CO497" s="19"/>
      <c r="CP497" s="19" t="s">
        <v>2246</v>
      </c>
      <c r="CQ497" s="19"/>
      <c r="CR497" s="19" t="s">
        <v>2113</v>
      </c>
      <c r="CS497" s="19" t="s">
        <v>2113</v>
      </c>
      <c r="CT497" s="19" t="s">
        <v>2113</v>
      </c>
      <c r="CU497" s="19" t="s">
        <v>2113</v>
      </c>
      <c r="CV497" s="19" t="s">
        <v>2141</v>
      </c>
      <c r="CW497" s="19" t="s">
        <v>2113</v>
      </c>
      <c r="CX497" s="19" t="s">
        <v>2113</v>
      </c>
      <c r="CY497" s="19" t="s">
        <v>2113</v>
      </c>
      <c r="CZ497" s="19" t="s">
        <v>2113</v>
      </c>
      <c r="DA497" s="19" t="s">
        <v>16</v>
      </c>
      <c r="DB497" s="19" t="s">
        <v>17</v>
      </c>
      <c r="DC497" s="19" t="s">
        <v>2432</v>
      </c>
      <c r="DD497" s="19" t="s">
        <v>2113</v>
      </c>
      <c r="DE497" s="19" t="s">
        <v>2113</v>
      </c>
      <c r="DF497" s="19" t="s">
        <v>3103</v>
      </c>
      <c r="DG497" s="19" t="s">
        <v>3223</v>
      </c>
      <c r="DH497" s="19" t="s">
        <v>2144</v>
      </c>
      <c r="DI497" s="24">
        <v>45525.0</v>
      </c>
      <c r="DJ497" s="19" t="s">
        <v>2325</v>
      </c>
      <c r="DK497" s="19" t="s">
        <v>2145</v>
      </c>
      <c r="DL497" s="19" t="s">
        <v>2326</v>
      </c>
      <c r="DM497" s="19"/>
      <c r="DN497" s="19">
        <v>9.0</v>
      </c>
      <c r="DO497" s="19">
        <v>9.0</v>
      </c>
      <c r="DP497" s="19" t="s">
        <v>10538</v>
      </c>
      <c r="DQ497" s="19" t="s">
        <v>10539</v>
      </c>
      <c r="DR497" s="19" t="s">
        <v>10540</v>
      </c>
      <c r="DS497" s="19" t="s">
        <v>2365</v>
      </c>
      <c r="DT497" s="19" t="s">
        <v>2301</v>
      </c>
      <c r="DU497" s="19"/>
      <c r="DV497" s="19"/>
      <c r="DW497" s="19" t="s">
        <v>2479</v>
      </c>
      <c r="DX497" s="19">
        <v>11.0</v>
      </c>
      <c r="DY497" s="19">
        <v>0.0</v>
      </c>
      <c r="DZ497" s="19">
        <v>0.0</v>
      </c>
      <c r="EA497" s="19">
        <v>0.0</v>
      </c>
      <c r="EB497" s="19">
        <v>0.0</v>
      </c>
      <c r="EC497" s="19">
        <v>0.0</v>
      </c>
      <c r="ED497" s="19" t="s">
        <v>2325</v>
      </c>
      <c r="EE497" s="24">
        <v>45525.0</v>
      </c>
      <c r="EF497" s="19" t="s">
        <v>2325</v>
      </c>
      <c r="EG497" s="19" t="s">
        <v>2145</v>
      </c>
      <c r="EH497" s="19" t="s">
        <v>2326</v>
      </c>
      <c r="EI497" s="22">
        <v>14.174999999999999</v>
      </c>
      <c r="EJ497" s="19">
        <v>45.0</v>
      </c>
      <c r="EK497" s="19" t="s">
        <v>2113</v>
      </c>
      <c r="EL497" s="19" t="s">
        <v>2117</v>
      </c>
      <c r="EM497" s="19" t="s">
        <v>10528</v>
      </c>
      <c r="EN497" s="19" t="s">
        <v>1470</v>
      </c>
      <c r="EO497" s="19" t="s">
        <v>3232</v>
      </c>
      <c r="EP497" s="19" t="s">
        <v>2122</v>
      </c>
      <c r="EQ497" s="19" t="s">
        <v>2868</v>
      </c>
      <c r="ER497" s="19"/>
      <c r="ES497" s="19" t="s">
        <v>1470</v>
      </c>
      <c r="ET497" s="19" t="s">
        <v>1470</v>
      </c>
      <c r="EU497" s="19" t="s">
        <v>10527</v>
      </c>
      <c r="EV497" s="19">
        <v>8065.0</v>
      </c>
      <c r="EW497" s="19" t="s">
        <v>16</v>
      </c>
      <c r="EX497" s="19">
        <v>4.0</v>
      </c>
      <c r="EY497" s="25" t="s">
        <v>1469</v>
      </c>
      <c r="EZ497" s="19" t="s">
        <v>2154</v>
      </c>
      <c r="FA497" s="5" t="s">
        <v>10541</v>
      </c>
      <c r="FB497" s="26" t="s">
        <v>2156</v>
      </c>
      <c r="FC497" s="26"/>
    </row>
    <row r="498">
      <c r="A498" s="19" t="s">
        <v>2156</v>
      </c>
      <c r="B498" s="19"/>
      <c r="C498" s="19" t="s">
        <v>2113</v>
      </c>
      <c r="D498" s="19" t="s">
        <v>1471</v>
      </c>
      <c r="E498" s="19" t="s">
        <v>10542</v>
      </c>
      <c r="F498" s="19" t="s">
        <v>1471</v>
      </c>
      <c r="G498" s="19"/>
      <c r="H498" s="19" t="s">
        <v>1471</v>
      </c>
      <c r="I498" s="19" t="s">
        <v>1473</v>
      </c>
      <c r="J498" s="19" t="s">
        <v>10543</v>
      </c>
      <c r="K498" s="19" t="s">
        <v>10544</v>
      </c>
      <c r="L498" s="20">
        <v>45446.0</v>
      </c>
      <c r="M498" s="20">
        <v>45447.0</v>
      </c>
      <c r="N498" s="20">
        <v>45447.0</v>
      </c>
      <c r="O498" s="19" t="s">
        <v>1472</v>
      </c>
      <c r="P498" s="19">
        <v>0.0</v>
      </c>
      <c r="Q498" s="19">
        <v>27.0</v>
      </c>
      <c r="R498" s="19">
        <v>10210.0</v>
      </c>
      <c r="S498" s="20" t="s">
        <v>10545</v>
      </c>
      <c r="T498" s="20">
        <v>45461.0</v>
      </c>
      <c r="U498" s="19" t="s">
        <v>1471</v>
      </c>
      <c r="V498" s="19"/>
      <c r="W498" s="19"/>
      <c r="X498" s="21">
        <v>0.0</v>
      </c>
      <c r="Y498" s="21">
        <v>10.0</v>
      </c>
      <c r="Z498" s="21">
        <v>4.0</v>
      </c>
      <c r="AA498" s="21">
        <v>0.0</v>
      </c>
      <c r="AB498" s="5">
        <v>14.0</v>
      </c>
      <c r="AC498" s="19">
        <v>4.0</v>
      </c>
      <c r="AD498" s="19">
        <v>3.5</v>
      </c>
      <c r="AE498" s="19">
        <v>3.5</v>
      </c>
      <c r="AF498" s="19">
        <v>4.0</v>
      </c>
      <c r="AG498" s="19">
        <v>3.5</v>
      </c>
      <c r="AH498" s="19">
        <v>4.0</v>
      </c>
      <c r="AI498" s="22">
        <v>11.109375</v>
      </c>
      <c r="AJ498" s="19">
        <v>13.0</v>
      </c>
      <c r="AK498" s="19">
        <v>14.0</v>
      </c>
      <c r="AL498" s="19">
        <v>11.0</v>
      </c>
      <c r="AM498" s="19">
        <v>38.0</v>
      </c>
      <c r="AN498" s="19">
        <v>49.1</v>
      </c>
      <c r="AO498" s="19">
        <v>63.1</v>
      </c>
      <c r="AP498" s="19">
        <v>582.0</v>
      </c>
      <c r="AQ498" s="23">
        <v>490.0</v>
      </c>
      <c r="AR498" s="23">
        <v>42.0</v>
      </c>
      <c r="AS498" s="22"/>
      <c r="AT498" s="19" t="s">
        <v>2282</v>
      </c>
      <c r="AU498" s="19" t="s">
        <v>10546</v>
      </c>
      <c r="AV498" s="19" t="s">
        <v>10547</v>
      </c>
      <c r="AW498" s="19"/>
      <c r="AX498" s="20">
        <v>35251.0</v>
      </c>
      <c r="AY498" s="19" t="s">
        <v>2858</v>
      </c>
      <c r="AZ498" s="19" t="s">
        <v>2310</v>
      </c>
      <c r="BA498" s="19" t="s">
        <v>10548</v>
      </c>
      <c r="BB498" s="19" t="s">
        <v>3828</v>
      </c>
      <c r="BC498" s="19" t="s">
        <v>10549</v>
      </c>
      <c r="BD498" s="19" t="s">
        <v>10550</v>
      </c>
      <c r="BE498" s="19" t="s">
        <v>10551</v>
      </c>
      <c r="BF498" s="19" t="s">
        <v>10552</v>
      </c>
      <c r="BG498" s="19" t="s">
        <v>2127</v>
      </c>
      <c r="BH498" s="19" t="s">
        <v>2128</v>
      </c>
      <c r="BI498" s="19"/>
      <c r="BJ498" s="19"/>
      <c r="BK498" s="19" t="s">
        <v>16</v>
      </c>
      <c r="BL498" s="19" t="s">
        <v>2113</v>
      </c>
      <c r="BM498" s="19" t="s">
        <v>5411</v>
      </c>
      <c r="BN498" s="19" t="s">
        <v>17</v>
      </c>
      <c r="BO498" s="19" t="s">
        <v>2317</v>
      </c>
      <c r="BP498" s="19"/>
      <c r="BQ498" s="19" t="s">
        <v>2325</v>
      </c>
      <c r="BR498" s="19" t="s">
        <v>2325</v>
      </c>
      <c r="BS498" s="19" t="s">
        <v>2243</v>
      </c>
      <c r="BT498" s="19" t="s">
        <v>118</v>
      </c>
      <c r="BU498" s="19" t="s">
        <v>10553</v>
      </c>
      <c r="BV498" s="19"/>
      <c r="BW498" s="19"/>
      <c r="BX498" s="19" t="s">
        <v>2113</v>
      </c>
      <c r="BY498" s="19" t="s">
        <v>2113</v>
      </c>
      <c r="BZ498" s="19"/>
      <c r="CA498" s="19"/>
      <c r="CB498" s="19" t="s">
        <v>2113</v>
      </c>
      <c r="CC498" s="19"/>
      <c r="CD498" s="19" t="s">
        <v>2137</v>
      </c>
      <c r="CE498" s="19" t="s">
        <v>16</v>
      </c>
      <c r="CF498" s="19"/>
      <c r="CG498" s="19"/>
      <c r="CH498" s="19" t="s">
        <v>16</v>
      </c>
      <c r="CI498" s="21">
        <v>0.0</v>
      </c>
      <c r="CJ498" s="19" t="s">
        <v>16</v>
      </c>
      <c r="CK498" s="19"/>
      <c r="CL498" s="19"/>
      <c r="CM498" s="19" t="s">
        <v>2138</v>
      </c>
      <c r="CN498" s="19" t="s">
        <v>2868</v>
      </c>
      <c r="CO498" s="19"/>
      <c r="CP498" s="19"/>
      <c r="CQ498" s="19"/>
      <c r="CR498" s="19" t="s">
        <v>2113</v>
      </c>
      <c r="CS498" s="19" t="s">
        <v>2113</v>
      </c>
      <c r="CT498" s="19" t="s">
        <v>2113</v>
      </c>
      <c r="CU498" s="19" t="s">
        <v>2113</v>
      </c>
      <c r="CV498" s="19" t="s">
        <v>2179</v>
      </c>
      <c r="CW498" s="19" t="s">
        <v>2113</v>
      </c>
      <c r="CX498" s="19" t="s">
        <v>2113</v>
      </c>
      <c r="CY498" s="19" t="s">
        <v>2113</v>
      </c>
      <c r="CZ498" s="19" t="s">
        <v>2113</v>
      </c>
      <c r="DA498" s="19" t="s">
        <v>16</v>
      </c>
      <c r="DB498" s="19" t="s">
        <v>16</v>
      </c>
      <c r="DC498" s="19" t="s">
        <v>2869</v>
      </c>
      <c r="DD498" s="19" t="s">
        <v>2113</v>
      </c>
      <c r="DE498" s="19" t="s">
        <v>2113</v>
      </c>
      <c r="DF498" s="19" t="s">
        <v>2498</v>
      </c>
      <c r="DG498" s="19" t="s">
        <v>2432</v>
      </c>
      <c r="DH498" s="19" t="s">
        <v>2144</v>
      </c>
      <c r="DI498" s="24">
        <v>45518.0</v>
      </c>
      <c r="DJ498" s="19" t="s">
        <v>2325</v>
      </c>
      <c r="DK498" s="19" t="s">
        <v>2145</v>
      </c>
      <c r="DL498" s="19" t="s">
        <v>2326</v>
      </c>
      <c r="DM498" s="19"/>
      <c r="DN498" s="19">
        <v>3.0</v>
      </c>
      <c r="DO498" s="19">
        <v>3.0</v>
      </c>
      <c r="DP498" s="19"/>
      <c r="DQ498" s="19"/>
      <c r="DR498" s="19"/>
      <c r="DS498" s="19" t="s">
        <v>2185</v>
      </c>
      <c r="DT498" s="19" t="s">
        <v>2301</v>
      </c>
      <c r="DU498" s="19" t="s">
        <v>10554</v>
      </c>
      <c r="DV498" s="19"/>
      <c r="DW498" s="19" t="s">
        <v>2153</v>
      </c>
      <c r="DX498" s="19">
        <v>3.0</v>
      </c>
      <c r="DY498" s="19">
        <v>10.0</v>
      </c>
      <c r="DZ498" s="19">
        <v>0.0</v>
      </c>
      <c r="EA498" s="19">
        <v>10.0</v>
      </c>
      <c r="EB498" s="19">
        <v>0.0</v>
      </c>
      <c r="EC498" s="19">
        <v>0.0</v>
      </c>
      <c r="ED498" s="19" t="s">
        <v>2325</v>
      </c>
      <c r="EE498" s="24">
        <v>45518.0</v>
      </c>
      <c r="EF498" s="19" t="s">
        <v>2325</v>
      </c>
      <c r="EG498" s="19" t="s">
        <v>2145</v>
      </c>
      <c r="EH498" s="19" t="s">
        <v>2326</v>
      </c>
      <c r="EI498" s="22">
        <v>11.109375</v>
      </c>
      <c r="EJ498" s="19">
        <v>38.0</v>
      </c>
      <c r="EK498" s="19"/>
      <c r="EL498" s="19" t="s">
        <v>2282</v>
      </c>
      <c r="EM498" s="19" t="s">
        <v>10546</v>
      </c>
      <c r="EN498" s="19" t="s">
        <v>1473</v>
      </c>
      <c r="EO498" s="19" t="s">
        <v>2858</v>
      </c>
      <c r="EP498" s="19" t="s">
        <v>2310</v>
      </c>
      <c r="EQ498" s="19" t="s">
        <v>2868</v>
      </c>
      <c r="ER498" s="19"/>
      <c r="ES498" s="19" t="s">
        <v>1473</v>
      </c>
      <c r="ET498" s="19" t="s">
        <v>1473</v>
      </c>
      <c r="EU498" s="19" t="s">
        <v>10544</v>
      </c>
      <c r="EV498" s="19">
        <v>10210.0</v>
      </c>
      <c r="EW498" s="19" t="s">
        <v>16</v>
      </c>
      <c r="EX498" s="19">
        <v>4.0</v>
      </c>
      <c r="EY498" s="25" t="s">
        <v>1472</v>
      </c>
      <c r="EZ498" s="19" t="s">
        <v>2154</v>
      </c>
      <c r="FA498" s="5" t="s">
        <v>10555</v>
      </c>
      <c r="FB498" s="26" t="s">
        <v>2156</v>
      </c>
      <c r="FC498" s="26"/>
    </row>
    <row r="499">
      <c r="A499" s="19" t="s">
        <v>2112</v>
      </c>
      <c r="B499" s="19"/>
      <c r="C499" s="19" t="s">
        <v>2113</v>
      </c>
      <c r="D499" s="19" t="s">
        <v>1474</v>
      </c>
      <c r="E499" s="19" t="s">
        <v>10556</v>
      </c>
      <c r="F499" s="19" t="s">
        <v>10557</v>
      </c>
      <c r="G499" s="19" t="s">
        <v>10558</v>
      </c>
      <c r="H499" s="19" t="s">
        <v>1474</v>
      </c>
      <c r="I499" s="19" t="s">
        <v>1476</v>
      </c>
      <c r="J499" s="19" t="s">
        <v>10559</v>
      </c>
      <c r="K499" s="19" t="s">
        <v>10560</v>
      </c>
      <c r="L499" s="20">
        <v>45460.0</v>
      </c>
      <c r="M499" s="20">
        <v>45462.0</v>
      </c>
      <c r="N499" s="20">
        <v>45462.0</v>
      </c>
      <c r="O499" s="19" t="s">
        <v>1475</v>
      </c>
      <c r="P499" s="19">
        <v>0.0</v>
      </c>
      <c r="Q499" s="19">
        <v>21.0</v>
      </c>
      <c r="R499" s="19">
        <v>7784.0</v>
      </c>
      <c r="S499" s="20" t="s">
        <v>10561</v>
      </c>
      <c r="T499" s="20">
        <v>45461.0</v>
      </c>
      <c r="U499" s="19" t="s">
        <v>10557</v>
      </c>
      <c r="V499" s="19"/>
      <c r="W499" s="19" t="s">
        <v>10562</v>
      </c>
      <c r="X499" s="21">
        <v>0.0</v>
      </c>
      <c r="Y499" s="21">
        <v>0.0</v>
      </c>
      <c r="Z499" s="21">
        <v>5.0</v>
      </c>
      <c r="AA499" s="21">
        <v>0.0</v>
      </c>
      <c r="AB499" s="5">
        <v>5.0</v>
      </c>
      <c r="AC499" s="19">
        <v>4.4</v>
      </c>
      <c r="AD499" s="19">
        <v>4.2</v>
      </c>
      <c r="AE499" s="19">
        <v>4.6</v>
      </c>
      <c r="AF499" s="19">
        <v>4.4</v>
      </c>
      <c r="AG499" s="19">
        <v>4.6</v>
      </c>
      <c r="AH499" s="19">
        <v>4.0</v>
      </c>
      <c r="AI499" s="22">
        <v>13.143749999999999</v>
      </c>
      <c r="AJ499" s="19">
        <v>15.0</v>
      </c>
      <c r="AK499" s="19">
        <v>15.0</v>
      </c>
      <c r="AL499" s="19">
        <v>15.0</v>
      </c>
      <c r="AM499" s="19">
        <v>45.0</v>
      </c>
      <c r="AN499" s="19">
        <v>58.1</v>
      </c>
      <c r="AO499" s="19">
        <v>63.1</v>
      </c>
      <c r="AP499" s="19">
        <v>1103.0</v>
      </c>
      <c r="AQ499" s="23">
        <v>491.0</v>
      </c>
      <c r="AR499" s="23">
        <v>37.0</v>
      </c>
      <c r="AS499" s="22"/>
      <c r="AT499" s="19" t="s">
        <v>2163</v>
      </c>
      <c r="AU499" s="19" t="s">
        <v>10563</v>
      </c>
      <c r="AV499" s="19" t="s">
        <v>10564</v>
      </c>
      <c r="AW499" s="19"/>
      <c r="AX499" s="20">
        <v>37677.0</v>
      </c>
      <c r="AY499" s="19" t="s">
        <v>6195</v>
      </c>
      <c r="AZ499" s="19" t="s">
        <v>2122</v>
      </c>
      <c r="BA499" s="19" t="s">
        <v>10565</v>
      </c>
      <c r="BB499" s="19" t="s">
        <v>5841</v>
      </c>
      <c r="BC499" s="19" t="s">
        <v>10566</v>
      </c>
      <c r="BD499" s="19" t="s">
        <v>10567</v>
      </c>
      <c r="BE499" s="19" t="s">
        <v>10559</v>
      </c>
      <c r="BF499" s="19">
        <v>1.1913498483E10</v>
      </c>
      <c r="BG499" s="19" t="s">
        <v>4038</v>
      </c>
      <c r="BH499" s="19" t="s">
        <v>2128</v>
      </c>
      <c r="BI499" s="19"/>
      <c r="BJ499" s="19" t="s">
        <v>2427</v>
      </c>
      <c r="BK499" s="19" t="s">
        <v>17</v>
      </c>
      <c r="BL499" s="19" t="s">
        <v>2113</v>
      </c>
      <c r="BM499" s="19" t="s">
        <v>5411</v>
      </c>
      <c r="BN499" s="19" t="s">
        <v>17</v>
      </c>
      <c r="BO499" s="19" t="s">
        <v>2132</v>
      </c>
      <c r="BP499" s="19" t="s">
        <v>10568</v>
      </c>
      <c r="BQ499" s="19" t="s">
        <v>2174</v>
      </c>
      <c r="BR499" s="19" t="s">
        <v>2174</v>
      </c>
      <c r="BS499" s="19" t="s">
        <v>2134</v>
      </c>
      <c r="BT499" s="19" t="s">
        <v>75</v>
      </c>
      <c r="BU499" s="19" t="s">
        <v>10569</v>
      </c>
      <c r="BV499" s="19"/>
      <c r="BW499" s="19"/>
      <c r="BX499" s="19" t="s">
        <v>2113</v>
      </c>
      <c r="BY499" s="19" t="s">
        <v>2113</v>
      </c>
      <c r="BZ499" s="19" t="s">
        <v>2113</v>
      </c>
      <c r="CA499" s="19"/>
      <c r="CB499" s="19" t="s">
        <v>2113</v>
      </c>
      <c r="CC499" s="19" t="s">
        <v>2113</v>
      </c>
      <c r="CD499" s="19" t="s">
        <v>2137</v>
      </c>
      <c r="CE499" s="19" t="s">
        <v>16</v>
      </c>
      <c r="CF499" s="19"/>
      <c r="CG499" s="19"/>
      <c r="CH499" s="19" t="s">
        <v>16</v>
      </c>
      <c r="CI499" s="21">
        <v>0.0</v>
      </c>
      <c r="CJ499" s="19" t="s">
        <v>17</v>
      </c>
      <c r="CK499" s="19"/>
      <c r="CL499" s="19"/>
      <c r="CM499" s="19" t="s">
        <v>2138</v>
      </c>
      <c r="CN499" s="19" t="s">
        <v>2537</v>
      </c>
      <c r="CO499" s="19"/>
      <c r="CP499" s="19" t="s">
        <v>2246</v>
      </c>
      <c r="CQ499" s="19" t="s">
        <v>2113</v>
      </c>
      <c r="CR499" s="19"/>
      <c r="CS499" s="19"/>
      <c r="CT499" s="19"/>
      <c r="CU499" s="19"/>
      <c r="CV499" s="19" t="s">
        <v>2141</v>
      </c>
      <c r="CW499" s="19" t="s">
        <v>2113</v>
      </c>
      <c r="CX499" s="19" t="s">
        <v>2113</v>
      </c>
      <c r="CY499" s="19"/>
      <c r="CZ499" s="19"/>
      <c r="DA499" s="19" t="s">
        <v>16</v>
      </c>
      <c r="DB499" s="19" t="s">
        <v>17</v>
      </c>
      <c r="DC499" s="19" t="s">
        <v>2247</v>
      </c>
      <c r="DD499" s="19" t="s">
        <v>2113</v>
      </c>
      <c r="DE499" s="19" t="s">
        <v>2113</v>
      </c>
      <c r="DF499" s="19" t="s">
        <v>4043</v>
      </c>
      <c r="DG499" s="19" t="s">
        <v>2538</v>
      </c>
      <c r="DH499" s="19" t="s">
        <v>2144</v>
      </c>
      <c r="DI499" s="24">
        <v>45519.0</v>
      </c>
      <c r="DJ499" s="19" t="s">
        <v>2174</v>
      </c>
      <c r="DK499" s="19" t="s">
        <v>2145</v>
      </c>
      <c r="DL499" s="19" t="s">
        <v>2183</v>
      </c>
      <c r="DM499" s="19" t="s">
        <v>4885</v>
      </c>
      <c r="DN499" s="19">
        <v>5.0</v>
      </c>
      <c r="DO499" s="19">
        <v>5.0</v>
      </c>
      <c r="DP499" s="19" t="s">
        <v>10570</v>
      </c>
      <c r="DQ499" s="19" t="s">
        <v>10571</v>
      </c>
      <c r="DR499" s="19" t="s">
        <v>10572</v>
      </c>
      <c r="DS499" s="19" t="s">
        <v>2151</v>
      </c>
      <c r="DT499" s="19" t="s">
        <v>2350</v>
      </c>
      <c r="DU499" s="19"/>
      <c r="DV499" s="19"/>
      <c r="DW499" s="19" t="s">
        <v>2153</v>
      </c>
      <c r="DX499" s="19">
        <v>14.0</v>
      </c>
      <c r="DY499" s="19">
        <v>0.0</v>
      </c>
      <c r="DZ499" s="19">
        <v>0.0</v>
      </c>
      <c r="EA499" s="19">
        <v>0.0</v>
      </c>
      <c r="EB499" s="19">
        <v>0.0</v>
      </c>
      <c r="EC499" s="19">
        <v>0.0</v>
      </c>
      <c r="ED499" s="19" t="s">
        <v>2174</v>
      </c>
      <c r="EE499" s="24">
        <v>45519.0</v>
      </c>
      <c r="EF499" s="19" t="s">
        <v>2174</v>
      </c>
      <c r="EG499" s="19" t="s">
        <v>2145</v>
      </c>
      <c r="EH499" s="19" t="s">
        <v>2183</v>
      </c>
      <c r="EI499" s="22">
        <v>13.143749999999999</v>
      </c>
      <c r="EJ499" s="19">
        <v>45.0</v>
      </c>
      <c r="EK499" s="19" t="s">
        <v>2113</v>
      </c>
      <c r="EL499" s="19" t="s">
        <v>2163</v>
      </c>
      <c r="EM499" s="19" t="s">
        <v>10563</v>
      </c>
      <c r="EN499" s="19" t="s">
        <v>1476</v>
      </c>
      <c r="EO499" s="19" t="s">
        <v>6195</v>
      </c>
      <c r="EP499" s="19" t="s">
        <v>2122</v>
      </c>
      <c r="EQ499" s="19" t="s">
        <v>2537</v>
      </c>
      <c r="ER499" s="19"/>
      <c r="ES499" s="19" t="s">
        <v>1476</v>
      </c>
      <c r="ET499" s="19" t="s">
        <v>1476</v>
      </c>
      <c r="EU499" s="19" t="s">
        <v>10560</v>
      </c>
      <c r="EV499" s="19">
        <v>7784.0</v>
      </c>
      <c r="EW499" s="19" t="s">
        <v>16</v>
      </c>
      <c r="EX499" s="19">
        <v>5.0</v>
      </c>
      <c r="EY499" s="25" t="s">
        <v>1475</v>
      </c>
      <c r="EZ499" s="19" t="s">
        <v>2154</v>
      </c>
      <c r="FA499" s="5" t="s">
        <v>10573</v>
      </c>
      <c r="FB499" s="26" t="s">
        <v>2156</v>
      </c>
      <c r="FC499" s="26"/>
    </row>
    <row r="500">
      <c r="A500" s="19" t="s">
        <v>2156</v>
      </c>
      <c r="B500" s="19"/>
      <c r="C500" s="19" t="s">
        <v>2113</v>
      </c>
      <c r="D500" s="19" t="s">
        <v>10574</v>
      </c>
      <c r="E500" s="19" t="s">
        <v>10575</v>
      </c>
      <c r="F500" s="19" t="s">
        <v>1477</v>
      </c>
      <c r="G500" s="19"/>
      <c r="H500" s="19" t="s">
        <v>1477</v>
      </c>
      <c r="I500" s="19" t="s">
        <v>1479</v>
      </c>
      <c r="J500" s="19" t="s">
        <v>10576</v>
      </c>
      <c r="K500" s="19" t="s">
        <v>10577</v>
      </c>
      <c r="L500" s="20">
        <v>45417.0</v>
      </c>
      <c r="M500" s="20">
        <v>45428.0</v>
      </c>
      <c r="N500" s="20">
        <v>45428.0</v>
      </c>
      <c r="O500" s="19" t="s">
        <v>1478</v>
      </c>
      <c r="P500" s="19">
        <v>0.0</v>
      </c>
      <c r="Q500" s="19">
        <v>23.0</v>
      </c>
      <c r="R500" s="19">
        <v>8610.0</v>
      </c>
      <c r="S500" s="20" t="s">
        <v>10578</v>
      </c>
      <c r="T500" s="20">
        <v>45461.0</v>
      </c>
      <c r="U500" s="19" t="s">
        <v>1477</v>
      </c>
      <c r="V500" s="19"/>
      <c r="W500" s="19"/>
      <c r="X500" s="21">
        <v>0.0</v>
      </c>
      <c r="Y500" s="21">
        <v>0.0</v>
      </c>
      <c r="Z500" s="21">
        <v>5.0</v>
      </c>
      <c r="AA500" s="21">
        <v>0.0</v>
      </c>
      <c r="AB500" s="5">
        <v>5.0</v>
      </c>
      <c r="AC500" s="19">
        <v>4.5</v>
      </c>
      <c r="AD500" s="19">
        <v>4.5</v>
      </c>
      <c r="AE500" s="19">
        <v>4.5</v>
      </c>
      <c r="AF500" s="19">
        <v>4.0</v>
      </c>
      <c r="AG500" s="19">
        <v>4.0</v>
      </c>
      <c r="AH500" s="19">
        <v>4.5</v>
      </c>
      <c r="AI500" s="22">
        <v>13.125</v>
      </c>
      <c r="AJ500" s="19">
        <v>15.0</v>
      </c>
      <c r="AK500" s="19">
        <v>15.0</v>
      </c>
      <c r="AL500" s="19">
        <v>15.0</v>
      </c>
      <c r="AM500" s="19">
        <v>45.0</v>
      </c>
      <c r="AN500" s="19">
        <v>58.1</v>
      </c>
      <c r="AO500" s="19">
        <v>63.1</v>
      </c>
      <c r="AP500" s="19">
        <v>1071.0</v>
      </c>
      <c r="AQ500" s="23">
        <v>492.0</v>
      </c>
      <c r="AR500" s="23">
        <v>44.0</v>
      </c>
      <c r="AS500" s="22"/>
      <c r="AT500" s="19" t="s">
        <v>2163</v>
      </c>
      <c r="AU500" s="19" t="s">
        <v>5709</v>
      </c>
      <c r="AV500" s="19" t="s">
        <v>10579</v>
      </c>
      <c r="AW500" s="19"/>
      <c r="AX500" s="20">
        <v>36851.0</v>
      </c>
      <c r="AY500" s="19" t="s">
        <v>2421</v>
      </c>
      <c r="AZ500" s="19" t="s">
        <v>2122</v>
      </c>
      <c r="BA500" s="19" t="s">
        <v>10580</v>
      </c>
      <c r="BB500" s="19" t="s">
        <v>10581</v>
      </c>
      <c r="BC500" s="19" t="s">
        <v>10582</v>
      </c>
      <c r="BD500" s="19" t="s">
        <v>10583</v>
      </c>
      <c r="BE500" s="19"/>
      <c r="BF500" s="19"/>
      <c r="BG500" s="19" t="s">
        <v>2127</v>
      </c>
      <c r="BH500" s="19" t="s">
        <v>2128</v>
      </c>
      <c r="BI500" s="19"/>
      <c r="BJ500" s="19"/>
      <c r="BK500" s="19" t="s">
        <v>16</v>
      </c>
      <c r="BL500" s="19"/>
      <c r="BM500" s="19" t="s">
        <v>5563</v>
      </c>
      <c r="BN500" s="19" t="s">
        <v>17</v>
      </c>
      <c r="BO500" s="19" t="s">
        <v>2132</v>
      </c>
      <c r="BP500" s="19" t="s">
        <v>10584</v>
      </c>
      <c r="BQ500" s="19" t="s">
        <v>2325</v>
      </c>
      <c r="BR500" s="19" t="s">
        <v>2325</v>
      </c>
      <c r="BS500" s="19" t="s">
        <v>3521</v>
      </c>
      <c r="BT500" s="19" t="s">
        <v>59</v>
      </c>
      <c r="BU500" s="19" t="s">
        <v>4865</v>
      </c>
      <c r="BV500" s="19"/>
      <c r="BW500" s="19" t="s">
        <v>2113</v>
      </c>
      <c r="BX500" s="19"/>
      <c r="BY500" s="19"/>
      <c r="BZ500" s="19"/>
      <c r="CA500" s="19"/>
      <c r="CB500" s="19"/>
      <c r="CC500" s="19"/>
      <c r="CD500" s="19" t="s">
        <v>2137</v>
      </c>
      <c r="CE500" s="19" t="s">
        <v>16</v>
      </c>
      <c r="CF500" s="19"/>
      <c r="CG500" s="19"/>
      <c r="CH500" s="19" t="s">
        <v>16</v>
      </c>
      <c r="CI500" s="21">
        <v>0.0</v>
      </c>
      <c r="CJ500" s="19" t="s">
        <v>17</v>
      </c>
      <c r="CK500" s="19"/>
      <c r="CL500" s="19"/>
      <c r="CM500" s="19" t="s">
        <v>2344</v>
      </c>
      <c r="CN500" s="19" t="s">
        <v>2431</v>
      </c>
      <c r="CO500" s="19"/>
      <c r="CP500" s="19"/>
      <c r="CQ500" s="19"/>
      <c r="CR500" s="19"/>
      <c r="CS500" s="19"/>
      <c r="CT500" s="19" t="s">
        <v>2113</v>
      </c>
      <c r="CU500" s="19" t="s">
        <v>2113</v>
      </c>
      <c r="CV500" s="19" t="s">
        <v>2141</v>
      </c>
      <c r="CW500" s="19"/>
      <c r="CX500" s="19"/>
      <c r="CY500" s="19" t="s">
        <v>2113</v>
      </c>
      <c r="CZ500" s="19" t="s">
        <v>2113</v>
      </c>
      <c r="DA500" s="19" t="s">
        <v>16</v>
      </c>
      <c r="DB500" s="19" t="s">
        <v>17</v>
      </c>
      <c r="DC500" s="19" t="s">
        <v>2432</v>
      </c>
      <c r="DD500" s="19" t="s">
        <v>2113</v>
      </c>
      <c r="DE500" s="19" t="s">
        <v>2113</v>
      </c>
      <c r="DF500" s="19" t="s">
        <v>3223</v>
      </c>
      <c r="DG500" s="19" t="s">
        <v>4966</v>
      </c>
      <c r="DH500" s="19" t="s">
        <v>2144</v>
      </c>
      <c r="DI500" s="24">
        <v>45517.0</v>
      </c>
      <c r="DJ500" s="19" t="s">
        <v>2325</v>
      </c>
      <c r="DK500" s="19" t="s">
        <v>2271</v>
      </c>
      <c r="DL500" s="19" t="s">
        <v>2326</v>
      </c>
      <c r="DM500" s="19"/>
      <c r="DN500" s="19">
        <v>2.0</v>
      </c>
      <c r="DO500" s="19">
        <v>2.0</v>
      </c>
      <c r="DP500" s="19" t="s">
        <v>10585</v>
      </c>
      <c r="DQ500" s="19" t="s">
        <v>10586</v>
      </c>
      <c r="DR500" s="19" t="s">
        <v>10587</v>
      </c>
      <c r="DS500" s="19" t="s">
        <v>2185</v>
      </c>
      <c r="DT500" s="19" t="s">
        <v>2186</v>
      </c>
      <c r="DU500" s="19"/>
      <c r="DV500" s="19"/>
      <c r="DW500" s="19" t="s">
        <v>2153</v>
      </c>
      <c r="DX500" s="19">
        <v>3.0</v>
      </c>
      <c r="DY500" s="19">
        <v>0.0</v>
      </c>
      <c r="DZ500" s="19">
        <v>0.0</v>
      </c>
      <c r="EA500" s="19">
        <v>0.0</v>
      </c>
      <c r="EB500" s="19">
        <v>0.0</v>
      </c>
      <c r="EC500" s="19">
        <v>0.0</v>
      </c>
      <c r="ED500" s="19" t="s">
        <v>2325</v>
      </c>
      <c r="EE500" s="24">
        <v>45517.0</v>
      </c>
      <c r="EF500" s="19" t="s">
        <v>2325</v>
      </c>
      <c r="EG500" s="19" t="s">
        <v>2271</v>
      </c>
      <c r="EH500" s="19" t="s">
        <v>2326</v>
      </c>
      <c r="EI500" s="22">
        <v>13.125</v>
      </c>
      <c r="EJ500" s="19">
        <v>45.0</v>
      </c>
      <c r="EK500" s="19" t="s">
        <v>2113</v>
      </c>
      <c r="EL500" s="19" t="s">
        <v>2163</v>
      </c>
      <c r="EM500" s="19" t="s">
        <v>5709</v>
      </c>
      <c r="EN500" s="19" t="s">
        <v>1479</v>
      </c>
      <c r="EO500" s="19" t="s">
        <v>2421</v>
      </c>
      <c r="EP500" s="19" t="s">
        <v>2122</v>
      </c>
      <c r="EQ500" s="19" t="s">
        <v>2431</v>
      </c>
      <c r="ER500" s="19"/>
      <c r="ES500" s="19" t="s">
        <v>1479</v>
      </c>
      <c r="ET500" s="19" t="s">
        <v>1479</v>
      </c>
      <c r="EU500" s="19" t="s">
        <v>10577</v>
      </c>
      <c r="EV500" s="19">
        <v>8610.0</v>
      </c>
      <c r="EW500" s="19" t="s">
        <v>16</v>
      </c>
      <c r="EX500" s="19">
        <v>5.0</v>
      </c>
      <c r="EY500" s="25" t="s">
        <v>1478</v>
      </c>
      <c r="EZ500" s="19" t="s">
        <v>2154</v>
      </c>
      <c r="FA500" s="5" t="s">
        <v>10588</v>
      </c>
      <c r="FB500" s="26" t="s">
        <v>2156</v>
      </c>
      <c r="FC500" s="26"/>
    </row>
    <row r="501">
      <c r="A501" s="19" t="s">
        <v>2112</v>
      </c>
      <c r="B501" s="19"/>
      <c r="C501" s="19" t="s">
        <v>2113</v>
      </c>
      <c r="D501" s="19" t="s">
        <v>1480</v>
      </c>
      <c r="E501" s="19" t="s">
        <v>10589</v>
      </c>
      <c r="F501" s="19" t="s">
        <v>1480</v>
      </c>
      <c r="G501" s="19"/>
      <c r="H501" s="19" t="s">
        <v>1480</v>
      </c>
      <c r="I501" s="19" t="s">
        <v>769</v>
      </c>
      <c r="J501" s="19" t="s">
        <v>10590</v>
      </c>
      <c r="K501" s="19" t="s">
        <v>10591</v>
      </c>
      <c r="L501" s="20">
        <v>45446.0</v>
      </c>
      <c r="M501" s="20">
        <v>45447.0</v>
      </c>
      <c r="N501" s="20">
        <v>45447.0</v>
      </c>
      <c r="O501" s="19" t="s">
        <v>1481</v>
      </c>
      <c r="P501" s="19">
        <v>0.0</v>
      </c>
      <c r="Q501" s="19">
        <v>24.0</v>
      </c>
      <c r="R501" s="19">
        <v>8894.0</v>
      </c>
      <c r="S501" s="20" t="s">
        <v>10592</v>
      </c>
      <c r="T501" s="20">
        <v>45461.0</v>
      </c>
      <c r="U501" s="19" t="s">
        <v>1480</v>
      </c>
      <c r="V501" s="19"/>
      <c r="W501" s="19"/>
      <c r="X501" s="21">
        <v>0.0</v>
      </c>
      <c r="Y501" s="21">
        <v>0.0</v>
      </c>
      <c r="Z501" s="21">
        <v>3.0</v>
      </c>
      <c r="AA501" s="21">
        <v>2.0</v>
      </c>
      <c r="AB501" s="5">
        <v>5.0</v>
      </c>
      <c r="AC501" s="19">
        <v>5.0</v>
      </c>
      <c r="AD501" s="19">
        <v>5.0</v>
      </c>
      <c r="AE501" s="19">
        <v>4.0</v>
      </c>
      <c r="AF501" s="19">
        <v>4.0</v>
      </c>
      <c r="AG501" s="19">
        <v>4.0</v>
      </c>
      <c r="AH501" s="19">
        <v>4.0</v>
      </c>
      <c r="AI501" s="22">
        <v>13.125</v>
      </c>
      <c r="AJ501" s="19">
        <v>15.0</v>
      </c>
      <c r="AK501" s="19">
        <v>15.0</v>
      </c>
      <c r="AL501" s="19">
        <v>15.0</v>
      </c>
      <c r="AM501" s="19">
        <v>45.0</v>
      </c>
      <c r="AN501" s="19">
        <v>58.1</v>
      </c>
      <c r="AO501" s="19">
        <v>63.1</v>
      </c>
      <c r="AP501" s="19">
        <v>1152.0</v>
      </c>
      <c r="AQ501" s="23">
        <v>493.0</v>
      </c>
      <c r="AR501" s="23">
        <v>40.0</v>
      </c>
      <c r="AS501" s="22"/>
      <c r="AT501" s="19" t="s">
        <v>2117</v>
      </c>
      <c r="AU501" s="19" t="s">
        <v>4531</v>
      </c>
      <c r="AV501" s="19" t="s">
        <v>10593</v>
      </c>
      <c r="AW501" s="19" t="s">
        <v>3923</v>
      </c>
      <c r="AX501" s="20">
        <v>36567.0</v>
      </c>
      <c r="AY501" s="19" t="s">
        <v>3905</v>
      </c>
      <c r="AZ501" s="19" t="s">
        <v>3849</v>
      </c>
      <c r="BA501" s="19" t="s">
        <v>10594</v>
      </c>
      <c r="BB501" s="19" t="s">
        <v>10595</v>
      </c>
      <c r="BC501" s="19" t="s">
        <v>10596</v>
      </c>
      <c r="BD501" s="19" t="s">
        <v>10597</v>
      </c>
      <c r="BE501" s="19" t="s">
        <v>10590</v>
      </c>
      <c r="BF501" s="19">
        <v>1.6992155053E10</v>
      </c>
      <c r="BG501" s="19" t="s">
        <v>4038</v>
      </c>
      <c r="BH501" s="19" t="s">
        <v>2128</v>
      </c>
      <c r="BI501" s="19"/>
      <c r="BJ501" s="19" t="s">
        <v>2128</v>
      </c>
      <c r="BK501" s="19" t="s">
        <v>17</v>
      </c>
      <c r="BL501" s="19"/>
      <c r="BM501" s="19" t="s">
        <v>5411</v>
      </c>
      <c r="BN501" s="19" t="s">
        <v>17</v>
      </c>
      <c r="BO501" s="19" t="s">
        <v>2473</v>
      </c>
      <c r="BP501" s="19"/>
      <c r="BQ501" s="19" t="s">
        <v>2133</v>
      </c>
      <c r="BR501" s="19" t="s">
        <v>2133</v>
      </c>
      <c r="BS501" s="19" t="s">
        <v>2134</v>
      </c>
      <c r="BT501" s="19" t="s">
        <v>52</v>
      </c>
      <c r="BU501" s="19" t="s">
        <v>10598</v>
      </c>
      <c r="BV501" s="19"/>
      <c r="BW501" s="19"/>
      <c r="BX501" s="19"/>
      <c r="BY501" s="19"/>
      <c r="BZ501" s="19"/>
      <c r="CA501" s="19"/>
      <c r="CB501" s="19"/>
      <c r="CC501" s="19"/>
      <c r="CD501" s="19" t="s">
        <v>2137</v>
      </c>
      <c r="CE501" s="19" t="s">
        <v>16</v>
      </c>
      <c r="CF501" s="19"/>
      <c r="CG501" s="19"/>
      <c r="CH501" s="19" t="s">
        <v>16</v>
      </c>
      <c r="CI501" s="21">
        <v>0.0</v>
      </c>
      <c r="CJ501" s="19" t="s">
        <v>17</v>
      </c>
      <c r="CK501" s="19"/>
      <c r="CL501" s="19" t="s">
        <v>2113</v>
      </c>
      <c r="CM501" s="19" t="s">
        <v>2138</v>
      </c>
      <c r="CN501" s="19" t="s">
        <v>3544</v>
      </c>
      <c r="CO501" s="19"/>
      <c r="CP501" s="19" t="s">
        <v>2246</v>
      </c>
      <c r="CQ501" s="19"/>
      <c r="CR501" s="19" t="s">
        <v>2113</v>
      </c>
      <c r="CS501" s="19" t="s">
        <v>2113</v>
      </c>
      <c r="CT501" s="19" t="s">
        <v>2113</v>
      </c>
      <c r="CU501" s="19" t="s">
        <v>2113</v>
      </c>
      <c r="CV501" s="19" t="s">
        <v>2179</v>
      </c>
      <c r="CW501" s="19"/>
      <c r="CX501" s="19"/>
      <c r="CY501" s="19" t="s">
        <v>2113</v>
      </c>
      <c r="CZ501" s="19" t="s">
        <v>2113</v>
      </c>
      <c r="DA501" s="19" t="s">
        <v>16</v>
      </c>
      <c r="DB501" s="19" t="s">
        <v>17</v>
      </c>
      <c r="DC501" s="19" t="s">
        <v>2579</v>
      </c>
      <c r="DD501" s="19" t="s">
        <v>2113</v>
      </c>
      <c r="DE501" s="19" t="s">
        <v>2113</v>
      </c>
      <c r="DF501" s="19" t="s">
        <v>2671</v>
      </c>
      <c r="DG501" s="19" t="s">
        <v>2143</v>
      </c>
      <c r="DH501" s="19" t="s">
        <v>2144</v>
      </c>
      <c r="DI501" s="24">
        <v>45526.0</v>
      </c>
      <c r="DJ501" s="19" t="s">
        <v>2133</v>
      </c>
      <c r="DK501" s="19" t="s">
        <v>2271</v>
      </c>
      <c r="DL501" s="19" t="s">
        <v>2146</v>
      </c>
      <c r="DM501" s="19" t="s">
        <v>2805</v>
      </c>
      <c r="DN501" s="19">
        <v>12.0</v>
      </c>
      <c r="DO501" s="19">
        <v>12.0</v>
      </c>
      <c r="DP501" s="19"/>
      <c r="DQ501" s="19"/>
      <c r="DR501" s="19"/>
      <c r="DS501" s="19" t="s">
        <v>2365</v>
      </c>
      <c r="DT501" s="19" t="s">
        <v>2186</v>
      </c>
      <c r="DU501" s="19" t="s">
        <v>10599</v>
      </c>
      <c r="DV501" s="19"/>
      <c r="DW501" s="19" t="s">
        <v>2188</v>
      </c>
      <c r="DX501" s="19">
        <v>10.0</v>
      </c>
      <c r="DY501" s="19">
        <v>0.0</v>
      </c>
      <c r="DZ501" s="19">
        <v>2.0</v>
      </c>
      <c r="EA501" s="19">
        <v>0.0</v>
      </c>
      <c r="EB501" s="19">
        <v>0.0</v>
      </c>
      <c r="EC501" s="19">
        <v>0.0</v>
      </c>
      <c r="ED501" s="19" t="s">
        <v>2133</v>
      </c>
      <c r="EE501" s="24">
        <v>45526.0</v>
      </c>
      <c r="EF501" s="19" t="s">
        <v>2133</v>
      </c>
      <c r="EG501" s="19" t="s">
        <v>2271</v>
      </c>
      <c r="EH501" s="19" t="s">
        <v>2146</v>
      </c>
      <c r="EI501" s="22">
        <v>13.125</v>
      </c>
      <c r="EJ501" s="19">
        <v>45.0</v>
      </c>
      <c r="EK501" s="19" t="s">
        <v>2113</v>
      </c>
      <c r="EL501" s="19" t="s">
        <v>2117</v>
      </c>
      <c r="EM501" s="19" t="s">
        <v>4531</v>
      </c>
      <c r="EN501" s="19" t="s">
        <v>769</v>
      </c>
      <c r="EO501" s="19" t="s">
        <v>3905</v>
      </c>
      <c r="EP501" s="19" t="s">
        <v>3849</v>
      </c>
      <c r="EQ501" s="19" t="s">
        <v>3544</v>
      </c>
      <c r="ER501" s="19"/>
      <c r="ES501" s="19" t="s">
        <v>769</v>
      </c>
      <c r="ET501" s="19" t="s">
        <v>769</v>
      </c>
      <c r="EU501" s="19" t="s">
        <v>10591</v>
      </c>
      <c r="EV501" s="19">
        <v>8894.0</v>
      </c>
      <c r="EW501" s="19" t="s">
        <v>16</v>
      </c>
      <c r="EX501" s="19">
        <v>3.0</v>
      </c>
      <c r="EY501" s="25" t="s">
        <v>1481</v>
      </c>
      <c r="EZ501" s="19" t="s">
        <v>2154</v>
      </c>
      <c r="FA501" s="5" t="s">
        <v>10600</v>
      </c>
      <c r="FB501" s="26" t="s">
        <v>2156</v>
      </c>
      <c r="FC501" s="26"/>
    </row>
    <row r="502">
      <c r="A502" s="19"/>
      <c r="B502" s="19"/>
      <c r="C502" s="19" t="s">
        <v>2113</v>
      </c>
      <c r="D502" s="19" t="s">
        <v>1482</v>
      </c>
      <c r="E502" s="19" t="s">
        <v>10601</v>
      </c>
      <c r="F502" s="19" t="s">
        <v>1482</v>
      </c>
      <c r="G502" s="19"/>
      <c r="H502" s="19" t="s">
        <v>1482</v>
      </c>
      <c r="I502" s="19" t="s">
        <v>1484</v>
      </c>
      <c r="J502" s="19" t="s">
        <v>10602</v>
      </c>
      <c r="K502" s="19" t="s">
        <v>10603</v>
      </c>
      <c r="L502" s="20">
        <v>45414.0</v>
      </c>
      <c r="M502" s="20">
        <v>45414.0</v>
      </c>
      <c r="N502" s="20">
        <v>45414.0</v>
      </c>
      <c r="O502" s="19" t="s">
        <v>1483</v>
      </c>
      <c r="P502" s="19">
        <v>0.0</v>
      </c>
      <c r="Q502" s="19">
        <v>28.0</v>
      </c>
      <c r="R502" s="19">
        <v>10578.0</v>
      </c>
      <c r="S502" s="20" t="s">
        <v>10604</v>
      </c>
      <c r="T502" s="20">
        <v>45461.0</v>
      </c>
      <c r="U502" s="19" t="s">
        <v>1482</v>
      </c>
      <c r="V502" s="19"/>
      <c r="W502" s="19"/>
      <c r="X502" s="21">
        <v>0.0</v>
      </c>
      <c r="Y502" s="21">
        <v>10.0</v>
      </c>
      <c r="Z502" s="21">
        <v>4.0</v>
      </c>
      <c r="AA502" s="21">
        <v>0.0</v>
      </c>
      <c r="AB502" s="5">
        <v>14.0</v>
      </c>
      <c r="AC502" s="19">
        <v>4.0</v>
      </c>
      <c r="AD502" s="19">
        <v>4.0</v>
      </c>
      <c r="AE502" s="19">
        <v>4.0</v>
      </c>
      <c r="AF502" s="19">
        <v>4.0</v>
      </c>
      <c r="AG502" s="19">
        <v>4.0</v>
      </c>
      <c r="AH502" s="19">
        <v>4.0</v>
      </c>
      <c r="AI502" s="22">
        <v>12.0</v>
      </c>
      <c r="AJ502" s="19">
        <v>13.0</v>
      </c>
      <c r="AK502" s="19">
        <v>13.0</v>
      </c>
      <c r="AL502" s="19">
        <v>11.0</v>
      </c>
      <c r="AM502" s="19">
        <v>37.0</v>
      </c>
      <c r="AN502" s="19">
        <v>49.0</v>
      </c>
      <c r="AO502" s="19">
        <v>63.0</v>
      </c>
      <c r="AP502" s="19">
        <v>578.0</v>
      </c>
      <c r="AQ502" s="23">
        <v>494.0</v>
      </c>
      <c r="AR502" s="23">
        <v>41.0</v>
      </c>
      <c r="AS502" s="22"/>
      <c r="AT502" s="19" t="s">
        <v>2117</v>
      </c>
      <c r="AU502" s="19" t="s">
        <v>10480</v>
      </c>
      <c r="AV502" s="19" t="s">
        <v>10605</v>
      </c>
      <c r="AW502" s="19" t="s">
        <v>3923</v>
      </c>
      <c r="AX502" s="20">
        <v>34883.0</v>
      </c>
      <c r="AY502" s="19" t="s">
        <v>2619</v>
      </c>
      <c r="AZ502" s="19" t="s">
        <v>2122</v>
      </c>
      <c r="BA502" s="19" t="s">
        <v>10606</v>
      </c>
      <c r="BB502" s="19" t="s">
        <v>4020</v>
      </c>
      <c r="BC502" s="19" t="s">
        <v>10607</v>
      </c>
      <c r="BD502" s="19" t="s">
        <v>10608</v>
      </c>
      <c r="BE502" s="19" t="s">
        <v>10609</v>
      </c>
      <c r="BF502" s="19">
        <v>1.1962479322E10</v>
      </c>
      <c r="BG502" s="19" t="s">
        <v>2127</v>
      </c>
      <c r="BH502" s="19" t="s">
        <v>2128</v>
      </c>
      <c r="BI502" s="19"/>
      <c r="BJ502" s="19" t="s">
        <v>2427</v>
      </c>
      <c r="BK502" s="19" t="s">
        <v>17</v>
      </c>
      <c r="BL502" s="19"/>
      <c r="BM502" s="19" t="s">
        <v>5563</v>
      </c>
      <c r="BN502" s="19" t="s">
        <v>4443</v>
      </c>
      <c r="BO502" s="19" t="s">
        <v>2317</v>
      </c>
      <c r="BP502" s="19"/>
      <c r="BQ502" s="19" t="s">
        <v>2133</v>
      </c>
      <c r="BR502" s="19" t="s">
        <v>2133</v>
      </c>
      <c r="BS502" s="19" t="s">
        <v>2134</v>
      </c>
      <c r="BT502" s="19" t="s">
        <v>52</v>
      </c>
      <c r="BU502" s="19" t="s">
        <v>9698</v>
      </c>
      <c r="BV502" s="19"/>
      <c r="BW502" s="19" t="s">
        <v>2113</v>
      </c>
      <c r="BX502" s="19"/>
      <c r="BY502" s="19"/>
      <c r="BZ502" s="19"/>
      <c r="CA502" s="19"/>
      <c r="CB502" s="19" t="s">
        <v>2113</v>
      </c>
      <c r="CC502" s="19"/>
      <c r="CD502" s="19" t="s">
        <v>2137</v>
      </c>
      <c r="CE502" s="19" t="s">
        <v>16</v>
      </c>
      <c r="CF502" s="19"/>
      <c r="CG502" s="19"/>
      <c r="CH502" s="19" t="s">
        <v>16</v>
      </c>
      <c r="CI502" s="21">
        <v>0.0</v>
      </c>
      <c r="CJ502" s="19" t="s">
        <v>16</v>
      </c>
      <c r="CK502" s="19"/>
      <c r="CL502" s="19"/>
      <c r="CM502" s="19" t="s">
        <v>2138</v>
      </c>
      <c r="CN502" s="19" t="s">
        <v>2626</v>
      </c>
      <c r="CO502" s="19"/>
      <c r="CP502" s="19" t="s">
        <v>2225</v>
      </c>
      <c r="CQ502" s="19"/>
      <c r="CR502" s="19" t="s">
        <v>2113</v>
      </c>
      <c r="CS502" s="19" t="s">
        <v>2113</v>
      </c>
      <c r="CT502" s="19"/>
      <c r="CU502" s="19"/>
      <c r="CV502" s="19" t="s">
        <v>2141</v>
      </c>
      <c r="CW502" s="19" t="s">
        <v>2113</v>
      </c>
      <c r="CX502" s="19" t="s">
        <v>2113</v>
      </c>
      <c r="CY502" s="19"/>
      <c r="CZ502" s="19"/>
      <c r="DA502" s="19" t="s">
        <v>16</v>
      </c>
      <c r="DB502" s="19" t="s">
        <v>16</v>
      </c>
      <c r="DC502" s="19" t="s">
        <v>4424</v>
      </c>
      <c r="DD502" s="19"/>
      <c r="DE502" s="19"/>
      <c r="DF502" s="19" t="s">
        <v>2383</v>
      </c>
      <c r="DG502" s="19" t="s">
        <v>2297</v>
      </c>
      <c r="DH502" s="19" t="s">
        <v>2144</v>
      </c>
      <c r="DI502" s="24">
        <v>45525.0</v>
      </c>
      <c r="DJ502" s="19" t="s">
        <v>2133</v>
      </c>
      <c r="DK502" s="19" t="s">
        <v>2271</v>
      </c>
      <c r="DL502" s="19" t="s">
        <v>2146</v>
      </c>
      <c r="DM502" s="19" t="s">
        <v>2408</v>
      </c>
      <c r="DN502" s="19">
        <v>10.0</v>
      </c>
      <c r="DO502" s="19">
        <v>10.0</v>
      </c>
      <c r="DP502" s="19" t="s">
        <v>10610</v>
      </c>
      <c r="DQ502" s="19" t="s">
        <v>10611</v>
      </c>
      <c r="DR502" s="19" t="s">
        <v>10612</v>
      </c>
      <c r="DS502" s="19" t="s">
        <v>2365</v>
      </c>
      <c r="DT502" s="19" t="s">
        <v>2366</v>
      </c>
      <c r="DU502" s="19"/>
      <c r="DV502" s="19"/>
      <c r="DW502" s="19" t="s">
        <v>2188</v>
      </c>
      <c r="DX502" s="19">
        <v>10.0</v>
      </c>
      <c r="DY502" s="19">
        <v>10.0</v>
      </c>
      <c r="DZ502" s="19">
        <v>0.0</v>
      </c>
      <c r="EA502" s="19">
        <v>10.0</v>
      </c>
      <c r="EB502" s="19">
        <v>0.0</v>
      </c>
      <c r="EC502" s="19">
        <v>0.0</v>
      </c>
      <c r="ED502" s="19" t="s">
        <v>2133</v>
      </c>
      <c r="EE502" s="24">
        <v>45525.0</v>
      </c>
      <c r="EF502" s="19" t="s">
        <v>2133</v>
      </c>
      <c r="EG502" s="19" t="s">
        <v>2271</v>
      </c>
      <c r="EH502" s="19" t="s">
        <v>2146</v>
      </c>
      <c r="EI502" s="22">
        <v>12.0</v>
      </c>
      <c r="EJ502" s="19">
        <v>37.0</v>
      </c>
      <c r="EK502" s="19"/>
      <c r="EL502" s="19" t="s">
        <v>2117</v>
      </c>
      <c r="EM502" s="19" t="s">
        <v>10480</v>
      </c>
      <c r="EN502" s="19" t="s">
        <v>1484</v>
      </c>
      <c r="EO502" s="19" t="s">
        <v>2619</v>
      </c>
      <c r="EP502" s="19" t="s">
        <v>2122</v>
      </c>
      <c r="EQ502" s="19" t="s">
        <v>2626</v>
      </c>
      <c r="ER502" s="19"/>
      <c r="ES502" s="19" t="s">
        <v>1484</v>
      </c>
      <c r="ET502" s="19" t="s">
        <v>1484</v>
      </c>
      <c r="EU502" s="19" t="s">
        <v>10603</v>
      </c>
      <c r="EV502" s="19">
        <v>10578.0</v>
      </c>
      <c r="EW502" s="19" t="s">
        <v>16</v>
      </c>
      <c r="EX502" s="19">
        <v>4.0</v>
      </c>
      <c r="EY502" s="25" t="s">
        <v>1483</v>
      </c>
      <c r="EZ502" s="19" t="s">
        <v>2154</v>
      </c>
      <c r="FA502" s="5" t="s">
        <v>10613</v>
      </c>
      <c r="FB502" s="26" t="s">
        <v>2156</v>
      </c>
      <c r="FC502" s="26"/>
    </row>
    <row r="503">
      <c r="A503" s="19" t="s">
        <v>2112</v>
      </c>
      <c r="B503" s="19"/>
      <c r="C503" s="19" t="s">
        <v>2113</v>
      </c>
      <c r="D503" s="19" t="s">
        <v>1485</v>
      </c>
      <c r="E503" s="19" t="s">
        <v>10614</v>
      </c>
      <c r="F503" s="19" t="s">
        <v>1485</v>
      </c>
      <c r="G503" s="19"/>
      <c r="H503" s="19" t="s">
        <v>1485</v>
      </c>
      <c r="I503" s="19" t="s">
        <v>1487</v>
      </c>
      <c r="J503" s="19" t="s">
        <v>10615</v>
      </c>
      <c r="K503" s="19" t="s">
        <v>10616</v>
      </c>
      <c r="L503" s="20">
        <v>45440.0</v>
      </c>
      <c r="M503" s="20">
        <v>45441.0</v>
      </c>
      <c r="N503" s="20">
        <v>45441.0</v>
      </c>
      <c r="O503" s="19" t="s">
        <v>1486</v>
      </c>
      <c r="P503" s="19">
        <v>0.0</v>
      </c>
      <c r="Q503" s="19">
        <v>18.0</v>
      </c>
      <c r="R503" s="19">
        <v>6724.0</v>
      </c>
      <c r="S503" s="20" t="s">
        <v>10617</v>
      </c>
      <c r="T503" s="20">
        <v>45461.0</v>
      </c>
      <c r="U503" s="19" t="s">
        <v>1485</v>
      </c>
      <c r="V503" s="19"/>
      <c r="W503" s="19"/>
      <c r="X503" s="21">
        <v>0.0</v>
      </c>
      <c r="Y503" s="21">
        <v>10.0</v>
      </c>
      <c r="Z503" s="21">
        <v>3.0</v>
      </c>
      <c r="AA503" s="21">
        <v>0.0</v>
      </c>
      <c r="AB503" s="5">
        <v>13.0</v>
      </c>
      <c r="AC503" s="19">
        <v>3.0</v>
      </c>
      <c r="AD503" s="19">
        <v>3.0</v>
      </c>
      <c r="AE503" s="19">
        <v>3.0</v>
      </c>
      <c r="AF503" s="19">
        <v>3.0</v>
      </c>
      <c r="AG503" s="19">
        <v>3.0</v>
      </c>
      <c r="AH503" s="19">
        <v>3.0</v>
      </c>
      <c r="AI503" s="22">
        <v>9.0</v>
      </c>
      <c r="AJ503" s="19">
        <v>15.0</v>
      </c>
      <c r="AK503" s="19">
        <v>13.0</v>
      </c>
      <c r="AL503" s="19">
        <v>13.0</v>
      </c>
      <c r="AM503" s="19">
        <v>41.0</v>
      </c>
      <c r="AN503" s="19">
        <v>50.0</v>
      </c>
      <c r="AO503" s="19">
        <v>63.0</v>
      </c>
      <c r="AP503" s="19">
        <v>815.0</v>
      </c>
      <c r="AQ503" s="23">
        <v>495.0</v>
      </c>
      <c r="AR503" s="23">
        <v>69.0</v>
      </c>
      <c r="AS503" s="22"/>
      <c r="AT503" s="19" t="s">
        <v>2117</v>
      </c>
      <c r="AU503" s="19" t="s">
        <v>4996</v>
      </c>
      <c r="AV503" s="19" t="s">
        <v>10618</v>
      </c>
      <c r="AW503" s="19" t="s">
        <v>2466</v>
      </c>
      <c r="AX503" s="20">
        <v>38737.0</v>
      </c>
      <c r="AY503" s="19" t="s">
        <v>2467</v>
      </c>
      <c r="AZ503" s="19" t="s">
        <v>2122</v>
      </c>
      <c r="BA503" s="19" t="s">
        <v>10619</v>
      </c>
      <c r="BB503" s="19" t="s">
        <v>6686</v>
      </c>
      <c r="BC503" s="19" t="s">
        <v>10620</v>
      </c>
      <c r="BD503" s="19" t="s">
        <v>10621</v>
      </c>
      <c r="BE503" s="19" t="s">
        <v>10622</v>
      </c>
      <c r="BF503" s="19">
        <v>1.1978527015E10</v>
      </c>
      <c r="BG503" s="19" t="s">
        <v>2127</v>
      </c>
      <c r="BH503" s="19" t="s">
        <v>2128</v>
      </c>
      <c r="BI503" s="19"/>
      <c r="BJ503" s="19"/>
      <c r="BK503" s="19" t="s">
        <v>16</v>
      </c>
      <c r="BL503" s="19"/>
      <c r="BM503" s="19" t="s">
        <v>5411</v>
      </c>
      <c r="BN503" s="19" t="s">
        <v>10623</v>
      </c>
      <c r="BO503" s="19" t="s">
        <v>2473</v>
      </c>
      <c r="BP503" s="19"/>
      <c r="BQ503" s="19" t="s">
        <v>2133</v>
      </c>
      <c r="BR503" s="19" t="s">
        <v>2133</v>
      </c>
      <c r="BS503" s="19" t="s">
        <v>2134</v>
      </c>
      <c r="BT503" s="19" t="s">
        <v>38</v>
      </c>
      <c r="BU503" s="19" t="s">
        <v>8868</v>
      </c>
      <c r="BV503" s="19"/>
      <c r="BW503" s="19"/>
      <c r="BX503" s="19"/>
      <c r="BY503" s="19"/>
      <c r="BZ503" s="19" t="s">
        <v>2113</v>
      </c>
      <c r="CA503" s="19"/>
      <c r="CB503" s="19" t="s">
        <v>2113</v>
      </c>
      <c r="CC503" s="19"/>
      <c r="CD503" s="19" t="s">
        <v>2137</v>
      </c>
      <c r="CE503" s="19" t="s">
        <v>16</v>
      </c>
      <c r="CF503" s="19"/>
      <c r="CG503" s="19"/>
      <c r="CH503" s="19" t="s">
        <v>16</v>
      </c>
      <c r="CI503" s="21">
        <v>0.0</v>
      </c>
      <c r="CJ503" s="19" t="s">
        <v>17</v>
      </c>
      <c r="CK503" s="19"/>
      <c r="CL503" s="19"/>
      <c r="CM503" s="19" t="s">
        <v>2926</v>
      </c>
      <c r="CN503" s="19" t="s">
        <v>2475</v>
      </c>
      <c r="CO503" s="19"/>
      <c r="CP503" s="19"/>
      <c r="CQ503" s="19"/>
      <c r="CR503" s="19" t="s">
        <v>2113</v>
      </c>
      <c r="CS503" s="19" t="s">
        <v>2113</v>
      </c>
      <c r="CT503" s="19"/>
      <c r="CU503" s="19"/>
      <c r="CV503" s="19" t="s">
        <v>2141</v>
      </c>
      <c r="CW503" s="19"/>
      <c r="CX503" s="19"/>
      <c r="CY503" s="19"/>
      <c r="CZ503" s="19"/>
      <c r="DA503" s="19" t="s">
        <v>16</v>
      </c>
      <c r="DB503" s="19" t="s">
        <v>17</v>
      </c>
      <c r="DC503" s="19" t="s">
        <v>2477</v>
      </c>
      <c r="DD503" s="19" t="s">
        <v>2113</v>
      </c>
      <c r="DE503" s="19" t="s">
        <v>2113</v>
      </c>
      <c r="DF503" s="19" t="s">
        <v>2476</v>
      </c>
      <c r="DG503" s="19" t="s">
        <v>2143</v>
      </c>
      <c r="DH503" s="19" t="s">
        <v>2144</v>
      </c>
      <c r="DI503" s="24">
        <v>45526.0</v>
      </c>
      <c r="DJ503" s="19" t="s">
        <v>2133</v>
      </c>
      <c r="DK503" s="19" t="s">
        <v>2145</v>
      </c>
      <c r="DL503" s="19" t="s">
        <v>2146</v>
      </c>
      <c r="DM503" s="19" t="s">
        <v>3338</v>
      </c>
      <c r="DN503" s="19">
        <v>11.0</v>
      </c>
      <c r="DO503" s="19">
        <v>11.0</v>
      </c>
      <c r="DP503" s="19" t="s">
        <v>10624</v>
      </c>
      <c r="DQ503" s="19" t="s">
        <v>10625</v>
      </c>
      <c r="DR503" s="19" t="s">
        <v>10626</v>
      </c>
      <c r="DS503" s="19" t="s">
        <v>2185</v>
      </c>
      <c r="DT503" s="19" t="s">
        <v>2152</v>
      </c>
      <c r="DU503" s="19"/>
      <c r="DV503" s="19"/>
      <c r="DW503" s="19" t="s">
        <v>2479</v>
      </c>
      <c r="DX503" s="19">
        <v>6.0</v>
      </c>
      <c r="DY503" s="19">
        <v>10.0</v>
      </c>
      <c r="DZ503" s="19">
        <v>0.0</v>
      </c>
      <c r="EA503" s="19">
        <v>10.0</v>
      </c>
      <c r="EB503" s="19">
        <v>0.0</v>
      </c>
      <c r="EC503" s="19">
        <v>0.0</v>
      </c>
      <c r="ED503" s="19" t="s">
        <v>2133</v>
      </c>
      <c r="EE503" s="24">
        <v>45526.0</v>
      </c>
      <c r="EF503" s="19" t="s">
        <v>2133</v>
      </c>
      <c r="EG503" s="19" t="s">
        <v>2145</v>
      </c>
      <c r="EH503" s="19" t="s">
        <v>2146</v>
      </c>
      <c r="EI503" s="22">
        <v>9.0</v>
      </c>
      <c r="EJ503" s="19">
        <v>41.0</v>
      </c>
      <c r="EK503" s="19" t="s">
        <v>2113</v>
      </c>
      <c r="EL503" s="19" t="s">
        <v>2117</v>
      </c>
      <c r="EM503" s="19" t="s">
        <v>4996</v>
      </c>
      <c r="EN503" s="19" t="s">
        <v>1487</v>
      </c>
      <c r="EO503" s="19" t="s">
        <v>2467</v>
      </c>
      <c r="EP503" s="19" t="s">
        <v>2122</v>
      </c>
      <c r="EQ503" s="19" t="s">
        <v>2475</v>
      </c>
      <c r="ER503" s="19"/>
      <c r="ES503" s="19" t="s">
        <v>1487</v>
      </c>
      <c r="ET503" s="19" t="s">
        <v>1487</v>
      </c>
      <c r="EU503" s="19" t="s">
        <v>10616</v>
      </c>
      <c r="EV503" s="19">
        <v>6724.0</v>
      </c>
      <c r="EW503" s="19" t="s">
        <v>16</v>
      </c>
      <c r="EX503" s="19">
        <v>3.0</v>
      </c>
      <c r="EY503" s="25" t="s">
        <v>1486</v>
      </c>
      <c r="EZ503" s="19" t="s">
        <v>2154</v>
      </c>
      <c r="FA503" s="5" t="s">
        <v>10627</v>
      </c>
      <c r="FB503" s="26" t="s">
        <v>2156</v>
      </c>
      <c r="FC503" s="26"/>
    </row>
    <row r="504">
      <c r="A504" s="19" t="s">
        <v>17</v>
      </c>
      <c r="B504" s="19"/>
      <c r="C504" s="19" t="s">
        <v>2113</v>
      </c>
      <c r="D504" s="19" t="s">
        <v>1488</v>
      </c>
      <c r="E504" s="19" t="s">
        <v>10628</v>
      </c>
      <c r="F504" s="19" t="s">
        <v>1488</v>
      </c>
      <c r="G504" s="19"/>
      <c r="H504" s="19" t="s">
        <v>1488</v>
      </c>
      <c r="I504" s="19" t="s">
        <v>1490</v>
      </c>
      <c r="J504" s="19" t="s">
        <v>10629</v>
      </c>
      <c r="K504" s="19" t="s">
        <v>10630</v>
      </c>
      <c r="L504" s="20">
        <v>45460.0</v>
      </c>
      <c r="M504" s="20">
        <v>45460.0</v>
      </c>
      <c r="N504" s="20">
        <v>45460.0</v>
      </c>
      <c r="O504" s="19" t="s">
        <v>1489</v>
      </c>
      <c r="P504" s="19">
        <v>0.0</v>
      </c>
      <c r="Q504" s="19">
        <v>19.0</v>
      </c>
      <c r="R504" s="19">
        <v>7123.0</v>
      </c>
      <c r="S504" s="20" t="s">
        <v>10631</v>
      </c>
      <c r="T504" s="20">
        <v>45461.0</v>
      </c>
      <c r="U504" s="19" t="s">
        <v>1488</v>
      </c>
      <c r="V504" s="19"/>
      <c r="W504" s="19"/>
      <c r="X504" s="21">
        <v>0.0</v>
      </c>
      <c r="Y504" s="21">
        <v>10.0</v>
      </c>
      <c r="Z504" s="21">
        <v>2.0</v>
      </c>
      <c r="AA504" s="21">
        <v>0.0</v>
      </c>
      <c r="AB504" s="5">
        <v>12.0</v>
      </c>
      <c r="AC504" s="19">
        <v>4.333333333333333</v>
      </c>
      <c r="AD504" s="19">
        <v>4.666666666666667</v>
      </c>
      <c r="AE504" s="19">
        <v>4.333333333333333</v>
      </c>
      <c r="AF504" s="19">
        <v>4.333333333333333</v>
      </c>
      <c r="AG504" s="19">
        <v>4.0</v>
      </c>
      <c r="AH504" s="19">
        <v>4.0</v>
      </c>
      <c r="AI504" s="22">
        <v>12.96875</v>
      </c>
      <c r="AJ504" s="19">
        <v>15.0</v>
      </c>
      <c r="AK504" s="19">
        <v>15.0</v>
      </c>
      <c r="AL504" s="19">
        <v>8.0</v>
      </c>
      <c r="AM504" s="19">
        <v>38.0</v>
      </c>
      <c r="AN504" s="19">
        <v>51.0</v>
      </c>
      <c r="AO504" s="19">
        <v>63.0</v>
      </c>
      <c r="AP504" s="19">
        <v>888.0</v>
      </c>
      <c r="AQ504" s="23">
        <v>496.0</v>
      </c>
      <c r="AR504" s="23">
        <v>16.0</v>
      </c>
      <c r="AS504" s="22"/>
      <c r="AT504" s="19" t="s">
        <v>2117</v>
      </c>
      <c r="AU504" s="19" t="s">
        <v>5185</v>
      </c>
      <c r="AV504" s="19" t="s">
        <v>10632</v>
      </c>
      <c r="AW504" s="19"/>
      <c r="AX504" s="20">
        <v>38338.0</v>
      </c>
      <c r="AY504" s="19" t="s">
        <v>3441</v>
      </c>
      <c r="AZ504" s="19" t="s">
        <v>2122</v>
      </c>
      <c r="BA504" s="19" t="s">
        <v>10633</v>
      </c>
      <c r="BB504" s="19" t="s">
        <v>6352</v>
      </c>
      <c r="BC504" s="19" t="s">
        <v>10634</v>
      </c>
      <c r="BD504" s="19" t="s">
        <v>10635</v>
      </c>
      <c r="BE504" s="19" t="s">
        <v>10629</v>
      </c>
      <c r="BF504" s="19">
        <v>1.1958941857E10</v>
      </c>
      <c r="BG504" s="19" t="s">
        <v>2127</v>
      </c>
      <c r="BH504" s="19" t="s">
        <v>2128</v>
      </c>
      <c r="BI504" s="19"/>
      <c r="BJ504" s="19"/>
      <c r="BK504" s="19" t="s">
        <v>16</v>
      </c>
      <c r="BL504" s="19"/>
      <c r="BM504" s="19" t="s">
        <v>5411</v>
      </c>
      <c r="BN504" s="19" t="s">
        <v>5055</v>
      </c>
      <c r="BO504" s="19" t="s">
        <v>3199</v>
      </c>
      <c r="BP504" s="19"/>
      <c r="BQ504" s="19" t="s">
        <v>3251</v>
      </c>
      <c r="BR504" s="19" t="s">
        <v>3251</v>
      </c>
      <c r="BS504" s="19" t="s">
        <v>2134</v>
      </c>
      <c r="BT504" s="19" t="s">
        <v>177</v>
      </c>
      <c r="BU504" s="19" t="s">
        <v>10636</v>
      </c>
      <c r="BV504" s="19"/>
      <c r="BW504" s="19"/>
      <c r="BX504" s="19"/>
      <c r="BY504" s="19"/>
      <c r="BZ504" s="19" t="s">
        <v>2113</v>
      </c>
      <c r="CA504" s="19"/>
      <c r="CB504" s="19"/>
      <c r="CC504" s="19"/>
      <c r="CD504" s="19" t="s">
        <v>2137</v>
      </c>
      <c r="CE504" s="19" t="s">
        <v>16</v>
      </c>
      <c r="CF504" s="19"/>
      <c r="CG504" s="19"/>
      <c r="CH504" s="19" t="s">
        <v>16</v>
      </c>
      <c r="CI504" s="21">
        <v>0.0</v>
      </c>
      <c r="CJ504" s="19" t="s">
        <v>16</v>
      </c>
      <c r="CK504" s="19"/>
      <c r="CL504" s="19"/>
      <c r="CM504" s="19"/>
      <c r="CN504" s="19" t="s">
        <v>3253</v>
      </c>
      <c r="CO504" s="19"/>
      <c r="CP504" s="19"/>
      <c r="CQ504" s="19"/>
      <c r="CR504" s="19" t="s">
        <v>2113</v>
      </c>
      <c r="CS504" s="19" t="s">
        <v>2113</v>
      </c>
      <c r="CT504" s="19"/>
      <c r="CU504" s="19"/>
      <c r="CV504" s="19" t="s">
        <v>2141</v>
      </c>
      <c r="CW504" s="19" t="s">
        <v>2113</v>
      </c>
      <c r="CX504" s="19" t="s">
        <v>2113</v>
      </c>
      <c r="CY504" s="19" t="s">
        <v>2113</v>
      </c>
      <c r="CZ504" s="19" t="s">
        <v>2113</v>
      </c>
      <c r="DA504" s="19" t="s">
        <v>16</v>
      </c>
      <c r="DB504" s="19" t="s">
        <v>16</v>
      </c>
      <c r="DC504" s="19" t="s">
        <v>2433</v>
      </c>
      <c r="DD504" s="19" t="s">
        <v>2113</v>
      </c>
      <c r="DE504" s="19" t="s">
        <v>2113</v>
      </c>
      <c r="DF504" s="19" t="s">
        <v>3163</v>
      </c>
      <c r="DG504" s="19" t="s">
        <v>2602</v>
      </c>
      <c r="DH504" s="19" t="s">
        <v>2144</v>
      </c>
      <c r="DI504" s="24">
        <v>45525.0</v>
      </c>
      <c r="DJ504" s="19" t="s">
        <v>3257</v>
      </c>
      <c r="DK504" s="19" t="s">
        <v>2271</v>
      </c>
      <c r="DL504" s="19" t="s">
        <v>2207</v>
      </c>
      <c r="DM504" s="22" t="s">
        <v>7846</v>
      </c>
      <c r="DN504" s="19">
        <v>4.0</v>
      </c>
      <c r="DO504" s="19">
        <v>4.0</v>
      </c>
      <c r="DP504" s="19" t="s">
        <v>10637</v>
      </c>
      <c r="DQ504" s="19" t="s">
        <v>10638</v>
      </c>
      <c r="DR504" s="19" t="s">
        <v>10639</v>
      </c>
      <c r="DS504" s="19" t="s">
        <v>2151</v>
      </c>
      <c r="DT504" s="19" t="s">
        <v>2152</v>
      </c>
      <c r="DU504" s="19"/>
      <c r="DV504" s="19"/>
      <c r="DW504" s="19" t="s">
        <v>2479</v>
      </c>
      <c r="DX504" s="19">
        <v>16.0</v>
      </c>
      <c r="DY504" s="19">
        <v>10.0</v>
      </c>
      <c r="DZ504" s="19">
        <v>0.0</v>
      </c>
      <c r="EA504" s="19">
        <v>10.0</v>
      </c>
      <c r="EB504" s="19">
        <v>0.0</v>
      </c>
      <c r="EC504" s="19">
        <v>0.0</v>
      </c>
      <c r="ED504" s="19" t="s">
        <v>3257</v>
      </c>
      <c r="EE504" s="24">
        <v>45525.0</v>
      </c>
      <c r="EF504" s="19" t="s">
        <v>3257</v>
      </c>
      <c r="EG504" s="19" t="s">
        <v>2271</v>
      </c>
      <c r="EH504" s="19" t="s">
        <v>2207</v>
      </c>
      <c r="EI504" s="22">
        <v>12.96875</v>
      </c>
      <c r="EJ504" s="19">
        <v>38.0</v>
      </c>
      <c r="EK504" s="19"/>
      <c r="EL504" s="19" t="s">
        <v>2117</v>
      </c>
      <c r="EM504" s="19" t="s">
        <v>5185</v>
      </c>
      <c r="EN504" s="19" t="s">
        <v>1490</v>
      </c>
      <c r="EO504" s="19" t="s">
        <v>3441</v>
      </c>
      <c r="EP504" s="19" t="s">
        <v>2122</v>
      </c>
      <c r="EQ504" s="19" t="s">
        <v>3253</v>
      </c>
      <c r="ER504" s="19"/>
      <c r="ES504" s="19" t="s">
        <v>1490</v>
      </c>
      <c r="ET504" s="19" t="s">
        <v>1490</v>
      </c>
      <c r="EU504" s="19" t="s">
        <v>10630</v>
      </c>
      <c r="EV504" s="19">
        <v>7123.0</v>
      </c>
      <c r="EW504" s="19" t="s">
        <v>16</v>
      </c>
      <c r="EX504" s="19">
        <v>2.0</v>
      </c>
      <c r="EY504" s="25" t="s">
        <v>1489</v>
      </c>
      <c r="EZ504" s="19" t="s">
        <v>2154</v>
      </c>
      <c r="FA504" s="5" t="s">
        <v>10640</v>
      </c>
      <c r="FB504" s="26" t="s">
        <v>2156</v>
      </c>
      <c r="FC504" s="26"/>
    </row>
    <row r="505">
      <c r="A505" s="19" t="s">
        <v>2112</v>
      </c>
      <c r="B505" s="19"/>
      <c r="C505" s="19" t="s">
        <v>2113</v>
      </c>
      <c r="D505" s="19" t="s">
        <v>1491</v>
      </c>
      <c r="E505" s="19" t="s">
        <v>10641</v>
      </c>
      <c r="F505" s="19" t="s">
        <v>1491</v>
      </c>
      <c r="G505" s="19"/>
      <c r="H505" s="19" t="s">
        <v>1491</v>
      </c>
      <c r="I505" s="19" t="s">
        <v>1493</v>
      </c>
      <c r="J505" s="19" t="s">
        <v>10642</v>
      </c>
      <c r="K505" s="19" t="s">
        <v>10643</v>
      </c>
      <c r="L505" s="20">
        <v>45446.0</v>
      </c>
      <c r="M505" s="20">
        <v>45447.0</v>
      </c>
      <c r="N505" s="20">
        <v>45447.0</v>
      </c>
      <c r="O505" s="19" t="s">
        <v>1492</v>
      </c>
      <c r="P505" s="19">
        <v>0.0</v>
      </c>
      <c r="Q505" s="19">
        <v>22.0</v>
      </c>
      <c r="R505" s="19">
        <v>8228.0</v>
      </c>
      <c r="S505" s="20" t="s">
        <v>10644</v>
      </c>
      <c r="T505" s="20">
        <v>45461.0</v>
      </c>
      <c r="U505" s="19" t="s">
        <v>1491</v>
      </c>
      <c r="V505" s="19"/>
      <c r="W505" s="19"/>
      <c r="X505" s="21">
        <v>0.0</v>
      </c>
      <c r="Y505" s="21">
        <v>0.0</v>
      </c>
      <c r="Z505" s="21">
        <v>5.0</v>
      </c>
      <c r="AA505" s="21">
        <v>0.0</v>
      </c>
      <c r="AB505" s="5">
        <v>5.0</v>
      </c>
      <c r="AC505" s="19">
        <v>4.0</v>
      </c>
      <c r="AD505" s="19">
        <v>5.0</v>
      </c>
      <c r="AE505" s="19">
        <v>4.0</v>
      </c>
      <c r="AF505" s="19">
        <v>4.0</v>
      </c>
      <c r="AG505" s="19">
        <v>4.0</v>
      </c>
      <c r="AH505" s="19">
        <v>5.0</v>
      </c>
      <c r="AI505" s="22">
        <v>13.03125</v>
      </c>
      <c r="AJ505" s="19">
        <v>15.0</v>
      </c>
      <c r="AK505" s="19">
        <v>15.0</v>
      </c>
      <c r="AL505" s="19">
        <v>15.0</v>
      </c>
      <c r="AM505" s="19">
        <v>45.0</v>
      </c>
      <c r="AN505" s="19">
        <v>58.0</v>
      </c>
      <c r="AO505" s="19">
        <v>63.0</v>
      </c>
      <c r="AP505" s="19">
        <v>1088.0</v>
      </c>
      <c r="AQ505" s="23">
        <v>497.0</v>
      </c>
      <c r="AR505" s="23">
        <v>45.0</v>
      </c>
      <c r="AS505" s="19"/>
      <c r="AT505" s="19" t="s">
        <v>2117</v>
      </c>
      <c r="AU505" s="19" t="s">
        <v>10645</v>
      </c>
      <c r="AV505" s="19" t="s">
        <v>10646</v>
      </c>
      <c r="AW505" s="19"/>
      <c r="AX505" s="20">
        <v>37233.0</v>
      </c>
      <c r="AY505" s="19" t="s">
        <v>2421</v>
      </c>
      <c r="AZ505" s="19" t="s">
        <v>2122</v>
      </c>
      <c r="BA505" s="19" t="s">
        <v>10647</v>
      </c>
      <c r="BB505" s="19" t="s">
        <v>10648</v>
      </c>
      <c r="BC505" s="19" t="s">
        <v>10649</v>
      </c>
      <c r="BD505" s="19" t="s">
        <v>10650</v>
      </c>
      <c r="BE505" s="19" t="s">
        <v>10651</v>
      </c>
      <c r="BF505" s="19">
        <v>1.1969947115E10</v>
      </c>
      <c r="BG505" s="19" t="s">
        <v>4038</v>
      </c>
      <c r="BH505" s="19" t="s">
        <v>2649</v>
      </c>
      <c r="BI505" s="19"/>
      <c r="BJ505" s="19" t="s">
        <v>2129</v>
      </c>
      <c r="BK505" s="19" t="s">
        <v>17</v>
      </c>
      <c r="BL505" s="19" t="s">
        <v>2113</v>
      </c>
      <c r="BM505" s="19" t="s">
        <v>5796</v>
      </c>
      <c r="BN505" s="19" t="s">
        <v>17</v>
      </c>
      <c r="BO505" s="19" t="s">
        <v>2132</v>
      </c>
      <c r="BP505" s="19" t="s">
        <v>10652</v>
      </c>
      <c r="BQ505" s="19" t="s">
        <v>2325</v>
      </c>
      <c r="BR505" s="19" t="s">
        <v>2325</v>
      </c>
      <c r="BS505" s="19" t="s">
        <v>2134</v>
      </c>
      <c r="BT505" s="19" t="s">
        <v>59</v>
      </c>
      <c r="BU505" s="19" t="s">
        <v>10653</v>
      </c>
      <c r="BV505" s="19"/>
      <c r="BW505" s="19"/>
      <c r="BX505" s="19"/>
      <c r="BY505" s="19"/>
      <c r="BZ505" s="19"/>
      <c r="CA505" s="19" t="s">
        <v>2113</v>
      </c>
      <c r="CB505" s="19" t="s">
        <v>2113</v>
      </c>
      <c r="CC505" s="19"/>
      <c r="CD505" s="19" t="s">
        <v>2137</v>
      </c>
      <c r="CE505" s="19" t="s">
        <v>16</v>
      </c>
      <c r="CF505" s="19"/>
      <c r="CG505" s="19"/>
      <c r="CH505" s="19" t="s">
        <v>16</v>
      </c>
      <c r="CI505" s="21">
        <v>0.0</v>
      </c>
      <c r="CJ505" s="19" t="s">
        <v>17</v>
      </c>
      <c r="CK505" s="19"/>
      <c r="CL505" s="19"/>
      <c r="CM505" s="19" t="s">
        <v>2138</v>
      </c>
      <c r="CN505" s="19" t="s">
        <v>2431</v>
      </c>
      <c r="CO505" s="19"/>
      <c r="CP505" s="19" t="s">
        <v>2140</v>
      </c>
      <c r="CQ505" s="19"/>
      <c r="CR505" s="19"/>
      <c r="CS505" s="19"/>
      <c r="CT505" s="19"/>
      <c r="CU505" s="19"/>
      <c r="CV505" s="19" t="s">
        <v>2179</v>
      </c>
      <c r="CW505" s="19"/>
      <c r="CX505" s="19"/>
      <c r="CY505" s="19" t="s">
        <v>2113</v>
      </c>
      <c r="CZ505" s="19" t="s">
        <v>2113</v>
      </c>
      <c r="DA505" s="19" t="s">
        <v>16</v>
      </c>
      <c r="DB505" s="19" t="s">
        <v>17</v>
      </c>
      <c r="DC505" s="19" t="s">
        <v>2497</v>
      </c>
      <c r="DD505" s="19" t="s">
        <v>2113</v>
      </c>
      <c r="DE505" s="19" t="s">
        <v>2113</v>
      </c>
      <c r="DF505" s="19" t="s">
        <v>2496</v>
      </c>
      <c r="DG505" s="19" t="s">
        <v>2432</v>
      </c>
      <c r="DH505" s="19" t="s">
        <v>2144</v>
      </c>
      <c r="DI505" s="24">
        <v>45533.0</v>
      </c>
      <c r="DJ505" s="19" t="s">
        <v>2325</v>
      </c>
      <c r="DK505" s="19" t="s">
        <v>2145</v>
      </c>
      <c r="DL505" s="19" t="s">
        <v>2207</v>
      </c>
      <c r="DM505" s="22" t="s">
        <v>5829</v>
      </c>
      <c r="DN505" s="19">
        <v>4.0</v>
      </c>
      <c r="DO505" s="19">
        <v>4.0</v>
      </c>
      <c r="DP505" s="19"/>
      <c r="DQ505" s="19"/>
      <c r="DR505" s="19"/>
      <c r="DS505" s="19" t="s">
        <v>2185</v>
      </c>
      <c r="DT505" s="19" t="s">
        <v>2350</v>
      </c>
      <c r="DU505" s="19" t="s">
        <v>10654</v>
      </c>
      <c r="DV505" s="19" t="s">
        <v>5831</v>
      </c>
      <c r="DW505" s="19" t="s">
        <v>2153</v>
      </c>
      <c r="DX505" s="19">
        <v>3.0</v>
      </c>
      <c r="DY505" s="19">
        <v>0.0</v>
      </c>
      <c r="DZ505" s="19">
        <v>0.0</v>
      </c>
      <c r="EA505" s="19">
        <v>0.0</v>
      </c>
      <c r="EB505" s="19">
        <v>0.0</v>
      </c>
      <c r="EC505" s="19">
        <v>0.0</v>
      </c>
      <c r="ED505" s="19" t="s">
        <v>2325</v>
      </c>
      <c r="EE505" s="24">
        <v>45533.0</v>
      </c>
      <c r="EF505" s="19" t="s">
        <v>2325</v>
      </c>
      <c r="EG505" s="19" t="s">
        <v>2145</v>
      </c>
      <c r="EH505" s="19" t="s">
        <v>2207</v>
      </c>
      <c r="EI505" s="22">
        <v>13.03125</v>
      </c>
      <c r="EJ505" s="19">
        <v>45.0</v>
      </c>
      <c r="EK505" s="19" t="s">
        <v>2113</v>
      </c>
      <c r="EL505" s="19" t="s">
        <v>2117</v>
      </c>
      <c r="EM505" s="19" t="s">
        <v>10645</v>
      </c>
      <c r="EN505" s="19" t="s">
        <v>1493</v>
      </c>
      <c r="EO505" s="19" t="s">
        <v>2421</v>
      </c>
      <c r="EP505" s="19" t="s">
        <v>2122</v>
      </c>
      <c r="EQ505" s="19" t="s">
        <v>2431</v>
      </c>
      <c r="ER505" s="19"/>
      <c r="ES505" s="19" t="s">
        <v>1493</v>
      </c>
      <c r="ET505" s="19" t="s">
        <v>1493</v>
      </c>
      <c r="EU505" s="19" t="s">
        <v>10643</v>
      </c>
      <c r="EV505" s="19">
        <v>8228.0</v>
      </c>
      <c r="EW505" s="19" t="s">
        <v>16</v>
      </c>
      <c r="EX505" s="19">
        <v>5.0</v>
      </c>
      <c r="EY505" s="25" t="s">
        <v>1492</v>
      </c>
      <c r="EZ505" s="19" t="s">
        <v>2154</v>
      </c>
      <c r="FA505" s="5" t="s">
        <v>10655</v>
      </c>
      <c r="FB505" s="26" t="s">
        <v>2156</v>
      </c>
      <c r="FC505" s="26"/>
    </row>
    <row r="506">
      <c r="A506" s="19" t="s">
        <v>2156</v>
      </c>
      <c r="B506" s="19"/>
      <c r="C506" s="19" t="s">
        <v>2113</v>
      </c>
      <c r="D506" s="19" t="s">
        <v>10656</v>
      </c>
      <c r="E506" s="19" t="s">
        <v>10657</v>
      </c>
      <c r="F506" s="19" t="s">
        <v>10656</v>
      </c>
      <c r="G506" s="19"/>
      <c r="H506" s="19" t="s">
        <v>1494</v>
      </c>
      <c r="I506" s="19" t="s">
        <v>1496</v>
      </c>
      <c r="J506" s="19" t="s">
        <v>10658</v>
      </c>
      <c r="K506" s="19" t="s">
        <v>10659</v>
      </c>
      <c r="L506" s="20">
        <v>45448.0</v>
      </c>
      <c r="M506" s="20">
        <v>45449.0</v>
      </c>
      <c r="N506" s="20">
        <v>45449.0</v>
      </c>
      <c r="O506" s="19" t="s">
        <v>1495</v>
      </c>
      <c r="P506" s="19">
        <v>0.0</v>
      </c>
      <c r="Q506" s="19">
        <v>19.0</v>
      </c>
      <c r="R506" s="19">
        <v>7092.0</v>
      </c>
      <c r="S506" s="20" t="s">
        <v>10660</v>
      </c>
      <c r="T506" s="20">
        <v>45461.0</v>
      </c>
      <c r="U506" s="19" t="s">
        <v>10656</v>
      </c>
      <c r="V506" s="19"/>
      <c r="W506" s="19"/>
      <c r="X506" s="21">
        <v>0.0</v>
      </c>
      <c r="Y506" s="21">
        <v>0.0</v>
      </c>
      <c r="Z506" s="21">
        <v>5.0</v>
      </c>
      <c r="AA506" s="21">
        <v>0.0</v>
      </c>
      <c r="AB506" s="5">
        <v>5.0</v>
      </c>
      <c r="AC506" s="19">
        <v>3.0</v>
      </c>
      <c r="AD506" s="19">
        <v>4.0</v>
      </c>
      <c r="AE506" s="19">
        <v>5.0</v>
      </c>
      <c r="AF506" s="19">
        <v>5.0</v>
      </c>
      <c r="AG506" s="19">
        <v>5.0</v>
      </c>
      <c r="AH506" s="19">
        <v>4.0</v>
      </c>
      <c r="AI506" s="22">
        <v>13.03125</v>
      </c>
      <c r="AJ506" s="19">
        <v>15.0</v>
      </c>
      <c r="AK506" s="19">
        <v>15.0</v>
      </c>
      <c r="AL506" s="19">
        <v>15.0</v>
      </c>
      <c r="AM506" s="19">
        <v>45.0</v>
      </c>
      <c r="AN506" s="19">
        <v>58.0</v>
      </c>
      <c r="AO506" s="19">
        <v>63.0</v>
      </c>
      <c r="AP506" s="19">
        <v>1131.0</v>
      </c>
      <c r="AQ506" s="23">
        <v>498.0</v>
      </c>
      <c r="AR506" s="23">
        <v>46.0</v>
      </c>
      <c r="AS506" s="22" t="s">
        <v>2642</v>
      </c>
      <c r="AT506" s="19" t="s">
        <v>2282</v>
      </c>
      <c r="AU506" s="19" t="s">
        <v>10661</v>
      </c>
      <c r="AV506" s="19" t="s">
        <v>10662</v>
      </c>
      <c r="AW506" s="19" t="s">
        <v>2166</v>
      </c>
      <c r="AX506" s="20">
        <v>38369.0</v>
      </c>
      <c r="AY506" s="19" t="s">
        <v>2421</v>
      </c>
      <c r="AZ506" s="19" t="s">
        <v>2122</v>
      </c>
      <c r="BA506" s="19" t="s">
        <v>10663</v>
      </c>
      <c r="BB506" s="19" t="s">
        <v>6438</v>
      </c>
      <c r="BC506" s="19" t="s">
        <v>10664</v>
      </c>
      <c r="BD506" s="19" t="s">
        <v>10665</v>
      </c>
      <c r="BE506" s="19"/>
      <c r="BF506" s="19"/>
      <c r="BG506" s="19" t="s">
        <v>4038</v>
      </c>
      <c r="BH506" s="19" t="s">
        <v>2128</v>
      </c>
      <c r="BI506" s="19"/>
      <c r="BJ506" s="19" t="s">
        <v>2129</v>
      </c>
      <c r="BK506" s="19" t="s">
        <v>17</v>
      </c>
      <c r="BL506" s="19"/>
      <c r="BM506" s="19" t="s">
        <v>5411</v>
      </c>
      <c r="BN506" s="19" t="s">
        <v>17</v>
      </c>
      <c r="BO506" s="19" t="s">
        <v>2132</v>
      </c>
      <c r="BP506" s="19"/>
      <c r="BQ506" s="19" t="s">
        <v>2325</v>
      </c>
      <c r="BR506" s="19" t="s">
        <v>2325</v>
      </c>
      <c r="BS506" s="19" t="s">
        <v>3521</v>
      </c>
      <c r="BT506" s="19" t="s">
        <v>59</v>
      </c>
      <c r="BU506" s="19" t="s">
        <v>10666</v>
      </c>
      <c r="BV506" s="19"/>
      <c r="BW506" s="19" t="s">
        <v>2113</v>
      </c>
      <c r="BX506" s="19"/>
      <c r="BY506" s="19"/>
      <c r="BZ506" s="19"/>
      <c r="CA506" s="19"/>
      <c r="CB506" s="19" t="s">
        <v>2113</v>
      </c>
      <c r="CC506" s="19"/>
      <c r="CD506" s="19" t="s">
        <v>2137</v>
      </c>
      <c r="CE506" s="19" t="s">
        <v>16</v>
      </c>
      <c r="CF506" s="19"/>
      <c r="CG506" s="19"/>
      <c r="CH506" s="19" t="s">
        <v>16</v>
      </c>
      <c r="CI506" s="21">
        <v>0.0</v>
      </c>
      <c r="CJ506" s="19" t="s">
        <v>16</v>
      </c>
      <c r="CK506" s="19"/>
      <c r="CL506" s="19"/>
      <c r="CM506" s="19" t="s">
        <v>2926</v>
      </c>
      <c r="CN506" s="19" t="s">
        <v>2431</v>
      </c>
      <c r="CO506" s="19"/>
      <c r="CP506" s="19" t="s">
        <v>2246</v>
      </c>
      <c r="CQ506" s="19"/>
      <c r="CR506" s="19"/>
      <c r="CS506" s="19"/>
      <c r="CT506" s="19" t="s">
        <v>2113</v>
      </c>
      <c r="CU506" s="19" t="s">
        <v>2113</v>
      </c>
      <c r="CV506" s="19" t="s">
        <v>2179</v>
      </c>
      <c r="CW506" s="19"/>
      <c r="CX506" s="19"/>
      <c r="CY506" s="19" t="s">
        <v>2113</v>
      </c>
      <c r="CZ506" s="19" t="s">
        <v>2113</v>
      </c>
      <c r="DA506" s="19" t="s">
        <v>16</v>
      </c>
      <c r="DB506" s="19" t="s">
        <v>16</v>
      </c>
      <c r="DC506" s="19" t="s">
        <v>2497</v>
      </c>
      <c r="DD506" s="19"/>
      <c r="DE506" s="19"/>
      <c r="DF506" s="19" t="s">
        <v>2653</v>
      </c>
      <c r="DG506" s="19" t="s">
        <v>4903</v>
      </c>
      <c r="DH506" s="19" t="s">
        <v>2144</v>
      </c>
      <c r="DI506" s="24">
        <v>45517.0</v>
      </c>
      <c r="DJ506" s="19" t="s">
        <v>2325</v>
      </c>
      <c r="DK506" s="19" t="s">
        <v>2145</v>
      </c>
      <c r="DL506" s="19" t="s">
        <v>2326</v>
      </c>
      <c r="DM506" s="19"/>
      <c r="DN506" s="19">
        <v>1.0</v>
      </c>
      <c r="DO506" s="19">
        <v>1.0</v>
      </c>
      <c r="DP506" s="19"/>
      <c r="DQ506" s="19"/>
      <c r="DR506" s="19"/>
      <c r="DS506" s="19" t="s">
        <v>2185</v>
      </c>
      <c r="DT506" s="19" t="s">
        <v>2152</v>
      </c>
      <c r="DU506" s="19" t="s">
        <v>10667</v>
      </c>
      <c r="DV506" s="19"/>
      <c r="DW506" s="19" t="s">
        <v>2153</v>
      </c>
      <c r="DX506" s="19">
        <v>2.0</v>
      </c>
      <c r="DY506" s="19">
        <v>0.0</v>
      </c>
      <c r="DZ506" s="19">
        <v>0.0</v>
      </c>
      <c r="EA506" s="19">
        <v>0.0</v>
      </c>
      <c r="EB506" s="19">
        <v>0.0</v>
      </c>
      <c r="EC506" s="19">
        <v>0.0</v>
      </c>
      <c r="ED506" s="19" t="s">
        <v>2325</v>
      </c>
      <c r="EE506" s="24">
        <v>45517.0</v>
      </c>
      <c r="EF506" s="19" t="s">
        <v>2325</v>
      </c>
      <c r="EG506" s="19" t="s">
        <v>2145</v>
      </c>
      <c r="EH506" s="19" t="s">
        <v>2326</v>
      </c>
      <c r="EI506" s="22">
        <v>13.03125</v>
      </c>
      <c r="EJ506" s="19">
        <v>45.0</v>
      </c>
      <c r="EK506" s="19"/>
      <c r="EL506" s="19" t="s">
        <v>2282</v>
      </c>
      <c r="EM506" s="19" t="s">
        <v>10661</v>
      </c>
      <c r="EN506" s="19" t="s">
        <v>1496</v>
      </c>
      <c r="EO506" s="19" t="s">
        <v>2421</v>
      </c>
      <c r="EP506" s="19" t="s">
        <v>2122</v>
      </c>
      <c r="EQ506" s="19" t="s">
        <v>2431</v>
      </c>
      <c r="ER506" s="19"/>
      <c r="ES506" s="19" t="s">
        <v>1496</v>
      </c>
      <c r="ET506" s="19" t="s">
        <v>1496</v>
      </c>
      <c r="EU506" s="19" t="s">
        <v>10659</v>
      </c>
      <c r="EV506" s="19">
        <v>7092.0</v>
      </c>
      <c r="EW506" s="19" t="s">
        <v>16</v>
      </c>
      <c r="EX506" s="19">
        <v>5.0</v>
      </c>
      <c r="EY506" s="25" t="s">
        <v>1495</v>
      </c>
      <c r="EZ506" s="19" t="s">
        <v>2154</v>
      </c>
      <c r="FA506" s="5" t="s">
        <v>10668</v>
      </c>
      <c r="FB506" s="26" t="s">
        <v>2156</v>
      </c>
      <c r="FC506" s="26"/>
    </row>
    <row r="507">
      <c r="A507" s="19" t="s">
        <v>2112</v>
      </c>
      <c r="B507" s="19"/>
      <c r="C507" s="19" t="s">
        <v>2113</v>
      </c>
      <c r="D507" s="19" t="s">
        <v>1497</v>
      </c>
      <c r="E507" s="19" t="s">
        <v>10669</v>
      </c>
      <c r="F507" s="19" t="s">
        <v>1497</v>
      </c>
      <c r="G507" s="19"/>
      <c r="H507" s="19" t="s">
        <v>1497</v>
      </c>
      <c r="I507" s="19" t="s">
        <v>1499</v>
      </c>
      <c r="J507" s="19" t="s">
        <v>10670</v>
      </c>
      <c r="K507" s="19" t="s">
        <v>10671</v>
      </c>
      <c r="L507" s="20">
        <v>45446.0</v>
      </c>
      <c r="M507" s="20">
        <v>45447.0</v>
      </c>
      <c r="N507" s="20">
        <v>45447.0</v>
      </c>
      <c r="O507" s="19" t="s">
        <v>1498</v>
      </c>
      <c r="P507" s="19">
        <v>0.0</v>
      </c>
      <c r="Q507" s="19">
        <v>22.0</v>
      </c>
      <c r="R507" s="19">
        <v>8183.0</v>
      </c>
      <c r="S507" s="20" t="s">
        <v>10672</v>
      </c>
      <c r="T507" s="20">
        <v>45461.0</v>
      </c>
      <c r="U507" s="19" t="s">
        <v>1497</v>
      </c>
      <c r="V507" s="19"/>
      <c r="W507" s="19" t="s">
        <v>2131</v>
      </c>
      <c r="X507" s="21">
        <v>0.0</v>
      </c>
      <c r="Y507" s="21">
        <v>0.0</v>
      </c>
      <c r="Z507" s="21">
        <v>5.0</v>
      </c>
      <c r="AA507" s="21">
        <v>0.0</v>
      </c>
      <c r="AB507" s="5">
        <v>5.0</v>
      </c>
      <c r="AC507" s="19">
        <v>4.1</v>
      </c>
      <c r="AD507" s="19">
        <v>4.1</v>
      </c>
      <c r="AE507" s="19">
        <v>4.8</v>
      </c>
      <c r="AF507" s="19">
        <v>4.3</v>
      </c>
      <c r="AG507" s="19">
        <v>4.1</v>
      </c>
      <c r="AH507" s="19">
        <v>4.3</v>
      </c>
      <c r="AI507" s="22">
        <v>12.974999999999998</v>
      </c>
      <c r="AJ507" s="19">
        <v>15.0</v>
      </c>
      <c r="AK507" s="19">
        <v>15.0</v>
      </c>
      <c r="AL507" s="19">
        <v>15.0</v>
      </c>
      <c r="AM507" s="19">
        <v>45.0</v>
      </c>
      <c r="AN507" s="19">
        <v>58.0</v>
      </c>
      <c r="AO507" s="19">
        <v>63.0</v>
      </c>
      <c r="AP507" s="19">
        <v>1092.0</v>
      </c>
      <c r="AQ507" s="23">
        <v>499.0</v>
      </c>
      <c r="AR507" s="23">
        <v>61.0</v>
      </c>
      <c r="AS507" s="22"/>
      <c r="AT507" s="19" t="s">
        <v>2117</v>
      </c>
      <c r="AU507" s="19" t="s">
        <v>2217</v>
      </c>
      <c r="AV507" s="19" t="s">
        <v>10673</v>
      </c>
      <c r="AW507" s="19" t="s">
        <v>10674</v>
      </c>
      <c r="AX507" s="20">
        <v>37278.0</v>
      </c>
      <c r="AY507" s="19" t="s">
        <v>2167</v>
      </c>
      <c r="AZ507" s="19" t="s">
        <v>2310</v>
      </c>
      <c r="BA507" s="19" t="s">
        <v>10675</v>
      </c>
      <c r="BB507" s="19" t="s">
        <v>6705</v>
      </c>
      <c r="BC507" s="19" t="s">
        <v>10676</v>
      </c>
      <c r="BD507" s="19" t="s">
        <v>10677</v>
      </c>
      <c r="BE507" s="19" t="s">
        <v>10670</v>
      </c>
      <c r="BF507" s="19">
        <v>1.1974549908E10</v>
      </c>
      <c r="BG507" s="19" t="s">
        <v>4038</v>
      </c>
      <c r="BH507" s="19" t="s">
        <v>2128</v>
      </c>
      <c r="BI507" s="19"/>
      <c r="BJ507" s="19" t="s">
        <v>2129</v>
      </c>
      <c r="BK507" s="19" t="s">
        <v>17</v>
      </c>
      <c r="BL507" s="19" t="s">
        <v>2113</v>
      </c>
      <c r="BM507" s="19" t="s">
        <v>5563</v>
      </c>
      <c r="BN507" s="19" t="s">
        <v>17</v>
      </c>
      <c r="BO507" s="19" t="s">
        <v>2132</v>
      </c>
      <c r="BP507" s="19" t="s">
        <v>10678</v>
      </c>
      <c r="BQ507" s="19" t="s">
        <v>2174</v>
      </c>
      <c r="BR507" s="19" t="s">
        <v>2174</v>
      </c>
      <c r="BS507" s="19" t="s">
        <v>2134</v>
      </c>
      <c r="BT507" s="19" t="s">
        <v>21</v>
      </c>
      <c r="BU507" s="19" t="s">
        <v>10679</v>
      </c>
      <c r="BV507" s="19"/>
      <c r="BW507" s="19"/>
      <c r="BX507" s="19"/>
      <c r="BY507" s="19" t="s">
        <v>2113</v>
      </c>
      <c r="BZ507" s="19" t="s">
        <v>2113</v>
      </c>
      <c r="CA507" s="19" t="s">
        <v>2113</v>
      </c>
      <c r="CB507" s="19" t="s">
        <v>2113</v>
      </c>
      <c r="CC507" s="19"/>
      <c r="CD507" s="19" t="s">
        <v>2137</v>
      </c>
      <c r="CE507" s="19" t="s">
        <v>16</v>
      </c>
      <c r="CF507" s="19"/>
      <c r="CG507" s="19"/>
      <c r="CH507" s="19" t="s">
        <v>16</v>
      </c>
      <c r="CI507" s="21">
        <v>0.0</v>
      </c>
      <c r="CJ507" s="19" t="s">
        <v>16</v>
      </c>
      <c r="CK507" s="19"/>
      <c r="CL507" s="19"/>
      <c r="CM507" s="19" t="s">
        <v>2344</v>
      </c>
      <c r="CN507" s="19" t="s">
        <v>2176</v>
      </c>
      <c r="CO507" s="19"/>
      <c r="CP507" s="19" t="s">
        <v>2246</v>
      </c>
      <c r="CQ507" s="19"/>
      <c r="CR507" s="19" t="s">
        <v>2113</v>
      </c>
      <c r="CS507" s="19" t="s">
        <v>2113</v>
      </c>
      <c r="CT507" s="19" t="s">
        <v>2113</v>
      </c>
      <c r="CU507" s="19" t="s">
        <v>2113</v>
      </c>
      <c r="CV507" s="19" t="s">
        <v>2141</v>
      </c>
      <c r="CW507" s="19"/>
      <c r="CX507" s="19"/>
      <c r="CY507" s="19" t="s">
        <v>2113</v>
      </c>
      <c r="CZ507" s="19" t="s">
        <v>2113</v>
      </c>
      <c r="DA507" s="19" t="s">
        <v>16</v>
      </c>
      <c r="DB507" s="19" t="s">
        <v>16</v>
      </c>
      <c r="DC507" s="19" t="s">
        <v>2226</v>
      </c>
      <c r="DD507" s="19" t="s">
        <v>2113</v>
      </c>
      <c r="DE507" s="19" t="s">
        <v>2113</v>
      </c>
      <c r="DF507" s="19" t="s">
        <v>2180</v>
      </c>
      <c r="DG507" s="19" t="s">
        <v>2181</v>
      </c>
      <c r="DH507" s="19" t="s">
        <v>2144</v>
      </c>
      <c r="DI507" s="24">
        <v>45526.0</v>
      </c>
      <c r="DJ507" s="19" t="s">
        <v>2174</v>
      </c>
      <c r="DK507" s="19" t="s">
        <v>2145</v>
      </c>
      <c r="DL507" s="19" t="s">
        <v>2183</v>
      </c>
      <c r="DM507" s="19"/>
      <c r="DN507" s="19">
        <v>11.0</v>
      </c>
      <c r="DO507" s="19">
        <v>11.0</v>
      </c>
      <c r="DP507" s="19" t="s">
        <v>10680</v>
      </c>
      <c r="DQ507" s="19" t="s">
        <v>10681</v>
      </c>
      <c r="DR507" s="19" t="s">
        <v>10682</v>
      </c>
      <c r="DS507" s="19" t="s">
        <v>2151</v>
      </c>
      <c r="DT507" s="19" t="s">
        <v>2152</v>
      </c>
      <c r="DU507" s="19"/>
      <c r="DV507" s="19"/>
      <c r="DW507" s="19" t="s">
        <v>2188</v>
      </c>
      <c r="DX507" s="19">
        <v>15.0</v>
      </c>
      <c r="DY507" s="19">
        <v>0.0</v>
      </c>
      <c r="DZ507" s="19">
        <v>0.0</v>
      </c>
      <c r="EA507" s="19">
        <v>0.0</v>
      </c>
      <c r="EB507" s="19">
        <v>0.0</v>
      </c>
      <c r="EC507" s="19">
        <v>0.0</v>
      </c>
      <c r="ED507" s="19" t="s">
        <v>2174</v>
      </c>
      <c r="EE507" s="24">
        <v>45526.0</v>
      </c>
      <c r="EF507" s="19" t="s">
        <v>2174</v>
      </c>
      <c r="EG507" s="19" t="s">
        <v>2145</v>
      </c>
      <c r="EH507" s="19" t="s">
        <v>2183</v>
      </c>
      <c r="EI507" s="22">
        <v>12.974999999999998</v>
      </c>
      <c r="EJ507" s="19">
        <v>45.0</v>
      </c>
      <c r="EK507" s="19"/>
      <c r="EL507" s="19" t="s">
        <v>2117</v>
      </c>
      <c r="EM507" s="19" t="s">
        <v>2217</v>
      </c>
      <c r="EN507" s="19" t="s">
        <v>1499</v>
      </c>
      <c r="EO507" s="19" t="s">
        <v>2167</v>
      </c>
      <c r="EP507" s="19" t="s">
        <v>2310</v>
      </c>
      <c r="EQ507" s="19" t="s">
        <v>2176</v>
      </c>
      <c r="ER507" s="19"/>
      <c r="ES507" s="19" t="s">
        <v>1499</v>
      </c>
      <c r="ET507" s="19" t="s">
        <v>1499</v>
      </c>
      <c r="EU507" s="19" t="s">
        <v>10671</v>
      </c>
      <c r="EV507" s="19">
        <v>8183.0</v>
      </c>
      <c r="EW507" s="19" t="s">
        <v>16</v>
      </c>
      <c r="EX507" s="19">
        <v>5.0</v>
      </c>
      <c r="EY507" s="25" t="s">
        <v>1498</v>
      </c>
      <c r="EZ507" s="19" t="s">
        <v>2154</v>
      </c>
      <c r="FA507" s="5" t="s">
        <v>10683</v>
      </c>
      <c r="FB507" s="26" t="s">
        <v>2156</v>
      </c>
      <c r="FC507" s="26"/>
    </row>
    <row r="508">
      <c r="A508" s="19" t="s">
        <v>2112</v>
      </c>
      <c r="B508" s="19"/>
      <c r="C508" s="19" t="s">
        <v>2113</v>
      </c>
      <c r="D508" s="19" t="s">
        <v>1500</v>
      </c>
      <c r="E508" s="19" t="s">
        <v>10684</v>
      </c>
      <c r="F508" s="19" t="s">
        <v>1500</v>
      </c>
      <c r="G508" s="19"/>
      <c r="H508" s="19" t="s">
        <v>1500</v>
      </c>
      <c r="I508" s="19" t="s">
        <v>1502</v>
      </c>
      <c r="J508" s="19" t="s">
        <v>10685</v>
      </c>
      <c r="K508" s="19" t="s">
        <v>10686</v>
      </c>
      <c r="L508" s="20">
        <v>45458.0</v>
      </c>
      <c r="M508" s="20">
        <v>45460.0</v>
      </c>
      <c r="N508" s="20">
        <v>45460.0</v>
      </c>
      <c r="O508" s="19" t="s">
        <v>1501</v>
      </c>
      <c r="P508" s="19">
        <v>0.0</v>
      </c>
      <c r="Q508" s="19">
        <v>23.0</v>
      </c>
      <c r="R508" s="19">
        <v>8757.0</v>
      </c>
      <c r="S508" s="20" t="s">
        <v>8989</v>
      </c>
      <c r="T508" s="20">
        <v>45461.0</v>
      </c>
      <c r="U508" s="19" t="s">
        <v>1500</v>
      </c>
      <c r="V508" s="19"/>
      <c r="W508" s="19"/>
      <c r="X508" s="21">
        <v>0.0</v>
      </c>
      <c r="Y508" s="21">
        <v>0.0</v>
      </c>
      <c r="Z508" s="21">
        <v>5.0</v>
      </c>
      <c r="AA508" s="21">
        <v>0.0</v>
      </c>
      <c r="AB508" s="5">
        <v>5.0</v>
      </c>
      <c r="AC508" s="19">
        <v>4.6</v>
      </c>
      <c r="AD508" s="19">
        <v>4.6</v>
      </c>
      <c r="AE508" s="19">
        <v>4.2</v>
      </c>
      <c r="AF508" s="19">
        <v>4.4</v>
      </c>
      <c r="AG508" s="19">
        <v>4.0</v>
      </c>
      <c r="AH508" s="19">
        <v>4.8</v>
      </c>
      <c r="AI508" s="22">
        <v>13.275</v>
      </c>
      <c r="AJ508" s="19">
        <v>15.0</v>
      </c>
      <c r="AK508" s="19">
        <v>15.0</v>
      </c>
      <c r="AL508" s="19">
        <v>14.8</v>
      </c>
      <c r="AM508" s="19">
        <v>44.8</v>
      </c>
      <c r="AN508" s="19">
        <v>58.1</v>
      </c>
      <c r="AO508" s="19">
        <v>63.0</v>
      </c>
      <c r="AP508" s="19">
        <v>1063.0</v>
      </c>
      <c r="AQ508" s="23">
        <v>500.0</v>
      </c>
      <c r="AR508" s="23">
        <v>62.0</v>
      </c>
      <c r="AS508" s="22"/>
      <c r="AT508" s="19" t="s">
        <v>2163</v>
      </c>
      <c r="AU508" s="19" t="s">
        <v>7352</v>
      </c>
      <c r="AV508" s="19" t="s">
        <v>10687</v>
      </c>
      <c r="AW508" s="19"/>
      <c r="AX508" s="20">
        <v>36704.0</v>
      </c>
      <c r="AY508" s="19" t="s">
        <v>2338</v>
      </c>
      <c r="AZ508" s="19" t="s">
        <v>2310</v>
      </c>
      <c r="BA508" s="19" t="s">
        <v>10688</v>
      </c>
      <c r="BB508" s="19" t="s">
        <v>4363</v>
      </c>
      <c r="BC508" s="19" t="s">
        <v>10689</v>
      </c>
      <c r="BD508" s="19" t="s">
        <v>10690</v>
      </c>
      <c r="BE508" s="19" t="s">
        <v>10691</v>
      </c>
      <c r="BF508" s="19">
        <v>1.1942218641E10</v>
      </c>
      <c r="BG508" s="19" t="s">
        <v>4038</v>
      </c>
      <c r="BH508" s="19" t="s">
        <v>2128</v>
      </c>
      <c r="BI508" s="19"/>
      <c r="BJ508" s="19" t="s">
        <v>2128</v>
      </c>
      <c r="BK508" s="19" t="s">
        <v>17</v>
      </c>
      <c r="BL508" s="19"/>
      <c r="BM508" s="19" t="s">
        <v>5796</v>
      </c>
      <c r="BN508" s="19" t="s">
        <v>17</v>
      </c>
      <c r="BO508" s="19" t="s">
        <v>2132</v>
      </c>
      <c r="BP508" s="19"/>
      <c r="BQ508" s="19" t="s">
        <v>2174</v>
      </c>
      <c r="BR508" s="19" t="s">
        <v>2174</v>
      </c>
      <c r="BS508" s="19" t="s">
        <v>2243</v>
      </c>
      <c r="BT508" s="19" t="s">
        <v>21</v>
      </c>
      <c r="BU508" s="19" t="s">
        <v>4570</v>
      </c>
      <c r="BV508" s="19"/>
      <c r="BW508" s="19" t="s">
        <v>2113</v>
      </c>
      <c r="BX508" s="19"/>
      <c r="BY508" s="19"/>
      <c r="BZ508" s="19"/>
      <c r="CA508" s="19"/>
      <c r="CB508" s="19"/>
      <c r="CC508" s="19"/>
      <c r="CD508" s="19" t="s">
        <v>2137</v>
      </c>
      <c r="CE508" s="19" t="s">
        <v>16</v>
      </c>
      <c r="CF508" s="19"/>
      <c r="CG508" s="19"/>
      <c r="CH508" s="19" t="s">
        <v>16</v>
      </c>
      <c r="CI508" s="21">
        <v>0.0</v>
      </c>
      <c r="CJ508" s="19" t="s">
        <v>17</v>
      </c>
      <c r="CK508" s="19"/>
      <c r="CL508" s="19"/>
      <c r="CM508" s="19" t="s">
        <v>2926</v>
      </c>
      <c r="CN508" s="19" t="s">
        <v>2204</v>
      </c>
      <c r="CO508" s="19"/>
      <c r="CP508" s="19" t="s">
        <v>2246</v>
      </c>
      <c r="CQ508" s="19"/>
      <c r="CR508" s="19" t="s">
        <v>2113</v>
      </c>
      <c r="CS508" s="19" t="s">
        <v>2113</v>
      </c>
      <c r="CT508" s="19" t="s">
        <v>2113</v>
      </c>
      <c r="CU508" s="19" t="s">
        <v>2113</v>
      </c>
      <c r="CV508" s="19" t="s">
        <v>2179</v>
      </c>
      <c r="CW508" s="19" t="s">
        <v>2113</v>
      </c>
      <c r="CX508" s="19" t="s">
        <v>2113</v>
      </c>
      <c r="CY508" s="19"/>
      <c r="CZ508" s="19"/>
      <c r="DA508" s="19" t="s">
        <v>16</v>
      </c>
      <c r="DB508" s="19" t="s">
        <v>17</v>
      </c>
      <c r="DC508" s="19" t="s">
        <v>5213</v>
      </c>
      <c r="DD508" s="19"/>
      <c r="DE508" s="19"/>
      <c r="DF508" s="19" t="s">
        <v>5195</v>
      </c>
      <c r="DG508" s="19" t="s">
        <v>2785</v>
      </c>
      <c r="DH508" s="19" t="s">
        <v>2144</v>
      </c>
      <c r="DI508" s="24">
        <v>45518.0</v>
      </c>
      <c r="DJ508" s="19" t="s">
        <v>2174</v>
      </c>
      <c r="DK508" s="19" t="s">
        <v>2271</v>
      </c>
      <c r="DL508" s="19" t="s">
        <v>2183</v>
      </c>
      <c r="DM508" s="19" t="s">
        <v>2346</v>
      </c>
      <c r="DN508" s="19">
        <v>4.0</v>
      </c>
      <c r="DO508" s="19">
        <v>4.0</v>
      </c>
      <c r="DP508" s="19"/>
      <c r="DQ508" s="19"/>
      <c r="DR508" s="19"/>
      <c r="DS508" s="19" t="s">
        <v>2151</v>
      </c>
      <c r="DT508" s="19" t="s">
        <v>2301</v>
      </c>
      <c r="DU508" s="19" t="s">
        <v>10692</v>
      </c>
      <c r="DV508" s="19"/>
      <c r="DW508" s="19" t="s">
        <v>2153</v>
      </c>
      <c r="DX508" s="19">
        <v>13.0</v>
      </c>
      <c r="DY508" s="19">
        <v>0.0</v>
      </c>
      <c r="DZ508" s="19">
        <v>0.0</v>
      </c>
      <c r="EA508" s="19">
        <v>0.0</v>
      </c>
      <c r="EB508" s="19">
        <v>0.0</v>
      </c>
      <c r="EC508" s="19">
        <v>0.0</v>
      </c>
      <c r="ED508" s="19" t="s">
        <v>2174</v>
      </c>
      <c r="EE508" s="24">
        <v>45518.0</v>
      </c>
      <c r="EF508" s="19" t="s">
        <v>2174</v>
      </c>
      <c r="EG508" s="19" t="s">
        <v>2271</v>
      </c>
      <c r="EH508" s="19" t="s">
        <v>2183</v>
      </c>
      <c r="EI508" s="22">
        <v>13.275</v>
      </c>
      <c r="EJ508" s="19">
        <v>44.75</v>
      </c>
      <c r="EK508" s="19" t="s">
        <v>2113</v>
      </c>
      <c r="EL508" s="19" t="s">
        <v>2163</v>
      </c>
      <c r="EM508" s="19" t="s">
        <v>7352</v>
      </c>
      <c r="EN508" s="19" t="s">
        <v>1502</v>
      </c>
      <c r="EO508" s="19" t="s">
        <v>2338</v>
      </c>
      <c r="EP508" s="19" t="s">
        <v>2310</v>
      </c>
      <c r="EQ508" s="19" t="s">
        <v>2204</v>
      </c>
      <c r="ER508" s="19"/>
      <c r="ES508" s="19" t="s">
        <v>1502</v>
      </c>
      <c r="ET508" s="19" t="s">
        <v>1502</v>
      </c>
      <c r="EU508" s="19" t="s">
        <v>10686</v>
      </c>
      <c r="EV508" s="19">
        <v>8757.0</v>
      </c>
      <c r="EW508" s="19" t="s">
        <v>16</v>
      </c>
      <c r="EX508" s="19">
        <v>5.0</v>
      </c>
      <c r="EY508" s="25" t="s">
        <v>1501</v>
      </c>
      <c r="EZ508" s="19" t="s">
        <v>2154</v>
      </c>
      <c r="FA508" s="5" t="s">
        <v>10693</v>
      </c>
      <c r="FB508" s="26" t="s">
        <v>2156</v>
      </c>
      <c r="FC508" s="26"/>
    </row>
    <row r="509">
      <c r="A509" s="19" t="s">
        <v>2112</v>
      </c>
      <c r="B509" s="19"/>
      <c r="C509" s="19" t="s">
        <v>2113</v>
      </c>
      <c r="D509" s="19" t="s">
        <v>1503</v>
      </c>
      <c r="E509" s="19" t="s">
        <v>10694</v>
      </c>
      <c r="F509" s="19" t="s">
        <v>1503</v>
      </c>
      <c r="G509" s="19"/>
      <c r="H509" s="19" t="s">
        <v>1503</v>
      </c>
      <c r="I509" s="19" t="s">
        <v>1505</v>
      </c>
      <c r="J509" s="19" t="s">
        <v>10695</v>
      </c>
      <c r="K509" s="19" t="s">
        <v>10696</v>
      </c>
      <c r="L509" s="20">
        <v>45438.0</v>
      </c>
      <c r="M509" s="20">
        <v>45439.0</v>
      </c>
      <c r="N509" s="20">
        <v>45439.0</v>
      </c>
      <c r="O509" s="19" t="s">
        <v>1504</v>
      </c>
      <c r="P509" s="19">
        <v>0.0</v>
      </c>
      <c r="Q509" s="19">
        <v>24.0</v>
      </c>
      <c r="R509" s="19">
        <v>8916.0</v>
      </c>
      <c r="S509" s="20" t="s">
        <v>10697</v>
      </c>
      <c r="T509" s="20">
        <v>45461.0</v>
      </c>
      <c r="U509" s="19" t="s">
        <v>1503</v>
      </c>
      <c r="V509" s="19"/>
      <c r="W509" s="19"/>
      <c r="X509" s="21">
        <v>0.0</v>
      </c>
      <c r="Y509" s="21">
        <v>0.0</v>
      </c>
      <c r="Z509" s="21">
        <v>5.0</v>
      </c>
      <c r="AA509" s="21">
        <v>0.0</v>
      </c>
      <c r="AB509" s="5">
        <v>5.0</v>
      </c>
      <c r="AC509" s="19">
        <v>4.2</v>
      </c>
      <c r="AD509" s="19">
        <v>5.0</v>
      </c>
      <c r="AE509" s="19">
        <v>5.0</v>
      </c>
      <c r="AF509" s="19">
        <v>4.6</v>
      </c>
      <c r="AG509" s="19">
        <v>3.8</v>
      </c>
      <c r="AH509" s="19">
        <v>5.0</v>
      </c>
      <c r="AI509" s="22">
        <v>14.024999999999999</v>
      </c>
      <c r="AJ509" s="19">
        <v>14.0</v>
      </c>
      <c r="AK509" s="19">
        <v>15.0</v>
      </c>
      <c r="AL509" s="19">
        <v>15.0</v>
      </c>
      <c r="AM509" s="19">
        <v>44.0</v>
      </c>
      <c r="AN509" s="19">
        <v>58.0</v>
      </c>
      <c r="AO509" s="19">
        <v>63.0</v>
      </c>
      <c r="AP509" s="19">
        <v>1056.0</v>
      </c>
      <c r="AQ509" s="23">
        <v>501.0</v>
      </c>
      <c r="AR509" s="23">
        <v>38.0</v>
      </c>
      <c r="AS509" s="22"/>
      <c r="AT509" s="19" t="s">
        <v>2117</v>
      </c>
      <c r="AU509" s="19" t="s">
        <v>4679</v>
      </c>
      <c r="AV509" s="19" t="s">
        <v>10698</v>
      </c>
      <c r="AW509" s="19"/>
      <c r="AX509" s="20">
        <v>36545.0</v>
      </c>
      <c r="AY509" s="19" t="s">
        <v>2529</v>
      </c>
      <c r="AZ509" s="19" t="s">
        <v>2310</v>
      </c>
      <c r="BA509" s="19" t="s">
        <v>10699</v>
      </c>
      <c r="BB509" s="19" t="s">
        <v>10700</v>
      </c>
      <c r="BC509" s="19" t="s">
        <v>10701</v>
      </c>
      <c r="BD509" s="19" t="s">
        <v>10702</v>
      </c>
      <c r="BE509" s="19" t="s">
        <v>10695</v>
      </c>
      <c r="BF509" s="19">
        <v>1.1916203731E10</v>
      </c>
      <c r="BG509" s="19" t="s">
        <v>4038</v>
      </c>
      <c r="BH509" s="19" t="s">
        <v>2128</v>
      </c>
      <c r="BI509" s="19"/>
      <c r="BJ509" s="19" t="s">
        <v>2129</v>
      </c>
      <c r="BK509" s="19" t="s">
        <v>17</v>
      </c>
      <c r="BL509" s="19"/>
      <c r="BM509" s="19" t="s">
        <v>5411</v>
      </c>
      <c r="BN509" s="19" t="s">
        <v>17</v>
      </c>
      <c r="BO509" s="19" t="s">
        <v>2132</v>
      </c>
      <c r="BP509" s="19" t="s">
        <v>10703</v>
      </c>
      <c r="BQ509" s="19" t="s">
        <v>2174</v>
      </c>
      <c r="BR509" s="19" t="s">
        <v>2174</v>
      </c>
      <c r="BS509" s="19" t="s">
        <v>2134</v>
      </c>
      <c r="BT509" s="19" t="s">
        <v>75</v>
      </c>
      <c r="BU509" s="19" t="s">
        <v>3368</v>
      </c>
      <c r="BV509" s="19"/>
      <c r="BW509" s="19"/>
      <c r="BX509" s="19"/>
      <c r="BY509" s="19"/>
      <c r="BZ509" s="19"/>
      <c r="CA509" s="19"/>
      <c r="CB509" s="19" t="s">
        <v>2113</v>
      </c>
      <c r="CC509" s="19"/>
      <c r="CD509" s="19" t="s">
        <v>2137</v>
      </c>
      <c r="CE509" s="19" t="s">
        <v>16</v>
      </c>
      <c r="CF509" s="19"/>
      <c r="CG509" s="19"/>
      <c r="CH509" s="19" t="s">
        <v>16</v>
      </c>
      <c r="CI509" s="21">
        <v>0.0</v>
      </c>
      <c r="CJ509" s="19" t="s">
        <v>16</v>
      </c>
      <c r="CK509" s="19" t="s">
        <v>2113</v>
      </c>
      <c r="CL509" s="19"/>
      <c r="CM509" s="19" t="s">
        <v>2138</v>
      </c>
      <c r="CN509" s="19" t="s">
        <v>2537</v>
      </c>
      <c r="CO509" s="19"/>
      <c r="CP509" s="19" t="s">
        <v>2246</v>
      </c>
      <c r="CQ509" s="19"/>
      <c r="CR509" s="19" t="s">
        <v>2113</v>
      </c>
      <c r="CS509" s="19" t="s">
        <v>2113</v>
      </c>
      <c r="CT509" s="19" t="s">
        <v>2113</v>
      </c>
      <c r="CU509" s="19" t="s">
        <v>2113</v>
      </c>
      <c r="CV509" s="19" t="s">
        <v>2179</v>
      </c>
      <c r="CW509" s="19" t="s">
        <v>2113</v>
      </c>
      <c r="CX509" s="19" t="s">
        <v>2113</v>
      </c>
      <c r="CY509" s="19" t="s">
        <v>2113</v>
      </c>
      <c r="CZ509" s="19" t="s">
        <v>2113</v>
      </c>
      <c r="DA509" s="19" t="s">
        <v>16</v>
      </c>
      <c r="DB509" s="19" t="s">
        <v>16</v>
      </c>
      <c r="DC509" s="19" t="s">
        <v>2538</v>
      </c>
      <c r="DD509" s="19" t="s">
        <v>2113</v>
      </c>
      <c r="DE509" s="19" t="s">
        <v>2113</v>
      </c>
      <c r="DF509" s="19" t="s">
        <v>2247</v>
      </c>
      <c r="DG509" s="19" t="s">
        <v>4926</v>
      </c>
      <c r="DH509" s="19" t="s">
        <v>2144</v>
      </c>
      <c r="DI509" s="24">
        <v>45525.0</v>
      </c>
      <c r="DJ509" s="19" t="s">
        <v>2174</v>
      </c>
      <c r="DK509" s="19" t="s">
        <v>2271</v>
      </c>
      <c r="DL509" s="19" t="s">
        <v>2183</v>
      </c>
      <c r="DM509" s="19" t="s">
        <v>2249</v>
      </c>
      <c r="DN509" s="19">
        <v>10.0</v>
      </c>
      <c r="DO509" s="19">
        <v>10.0</v>
      </c>
      <c r="DP509" s="19"/>
      <c r="DQ509" s="19"/>
      <c r="DR509" s="19"/>
      <c r="DS509" s="19" t="s">
        <v>2151</v>
      </c>
      <c r="DT509" s="19" t="s">
        <v>2301</v>
      </c>
      <c r="DU509" s="19" t="s">
        <v>10704</v>
      </c>
      <c r="DV509" s="19"/>
      <c r="DW509" s="19" t="s">
        <v>2479</v>
      </c>
      <c r="DX509" s="19">
        <v>16.0</v>
      </c>
      <c r="DY509" s="19">
        <v>0.0</v>
      </c>
      <c r="DZ509" s="19">
        <v>0.0</v>
      </c>
      <c r="EA509" s="19">
        <v>0.0</v>
      </c>
      <c r="EB509" s="19">
        <v>0.0</v>
      </c>
      <c r="EC509" s="19">
        <v>0.0</v>
      </c>
      <c r="ED509" s="19" t="s">
        <v>2174</v>
      </c>
      <c r="EE509" s="24">
        <v>45525.0</v>
      </c>
      <c r="EF509" s="19" t="s">
        <v>2174</v>
      </c>
      <c r="EG509" s="19" t="s">
        <v>2271</v>
      </c>
      <c r="EH509" s="19" t="s">
        <v>2183</v>
      </c>
      <c r="EI509" s="22">
        <v>14.024999999999999</v>
      </c>
      <c r="EJ509" s="19">
        <v>44.0</v>
      </c>
      <c r="EK509" s="19"/>
      <c r="EL509" s="19" t="s">
        <v>2117</v>
      </c>
      <c r="EM509" s="19" t="s">
        <v>4679</v>
      </c>
      <c r="EN509" s="19" t="s">
        <v>1505</v>
      </c>
      <c r="EO509" s="19" t="s">
        <v>2529</v>
      </c>
      <c r="EP509" s="19" t="s">
        <v>2310</v>
      </c>
      <c r="EQ509" s="19" t="s">
        <v>2537</v>
      </c>
      <c r="ER509" s="19"/>
      <c r="ES509" s="19" t="s">
        <v>1505</v>
      </c>
      <c r="ET509" s="19" t="s">
        <v>1505</v>
      </c>
      <c r="EU509" s="19" t="s">
        <v>10696</v>
      </c>
      <c r="EV509" s="19">
        <v>8916.0</v>
      </c>
      <c r="EW509" s="19" t="s">
        <v>16</v>
      </c>
      <c r="EX509" s="19">
        <v>5.0</v>
      </c>
      <c r="EY509" s="25" t="s">
        <v>1504</v>
      </c>
      <c r="EZ509" s="19" t="s">
        <v>2154</v>
      </c>
      <c r="FA509" s="5" t="s">
        <v>10705</v>
      </c>
      <c r="FB509" s="26" t="s">
        <v>2156</v>
      </c>
      <c r="FC509" s="26"/>
    </row>
    <row r="510">
      <c r="A510" s="19" t="s">
        <v>2112</v>
      </c>
      <c r="B510" s="19"/>
      <c r="C510" s="19" t="s">
        <v>2113</v>
      </c>
      <c r="D510" s="19" t="s">
        <v>10706</v>
      </c>
      <c r="E510" s="19" t="s">
        <v>10707</v>
      </c>
      <c r="F510" s="19" t="s">
        <v>10706</v>
      </c>
      <c r="G510" s="19"/>
      <c r="H510" s="19" t="s">
        <v>1506</v>
      </c>
      <c r="I510" s="19" t="s">
        <v>1508</v>
      </c>
      <c r="J510" s="19" t="s">
        <v>10708</v>
      </c>
      <c r="K510" s="19" t="s">
        <v>10709</v>
      </c>
      <c r="L510" s="20">
        <v>45458.0</v>
      </c>
      <c r="M510" s="20">
        <v>45460.0</v>
      </c>
      <c r="N510" s="20">
        <v>45460.0</v>
      </c>
      <c r="O510" s="19" t="s">
        <v>1507</v>
      </c>
      <c r="P510" s="19">
        <v>0.0</v>
      </c>
      <c r="Q510" s="19">
        <v>23.0</v>
      </c>
      <c r="R510" s="19">
        <v>8428.0</v>
      </c>
      <c r="S510" s="20" t="s">
        <v>10710</v>
      </c>
      <c r="T510" s="20">
        <v>45461.0</v>
      </c>
      <c r="U510" s="19" t="s">
        <v>10706</v>
      </c>
      <c r="V510" s="19"/>
      <c r="W510" s="19" t="s">
        <v>10711</v>
      </c>
      <c r="X510" s="21">
        <v>0.0</v>
      </c>
      <c r="Y510" s="21">
        <v>0.0</v>
      </c>
      <c r="Z510" s="21">
        <v>5.0</v>
      </c>
      <c r="AA510" s="21">
        <v>0.0</v>
      </c>
      <c r="AB510" s="5">
        <v>5.0</v>
      </c>
      <c r="AC510" s="19">
        <v>5.0</v>
      </c>
      <c r="AD510" s="19">
        <v>5.0</v>
      </c>
      <c r="AE510" s="19">
        <v>5.0</v>
      </c>
      <c r="AF510" s="19">
        <v>5.0</v>
      </c>
      <c r="AG510" s="19">
        <v>5.0</v>
      </c>
      <c r="AH510" s="19">
        <v>5.0</v>
      </c>
      <c r="AI510" s="22">
        <v>15.0</v>
      </c>
      <c r="AJ510" s="19">
        <v>15.0</v>
      </c>
      <c r="AK510" s="19">
        <v>14.0</v>
      </c>
      <c r="AL510" s="19">
        <v>14.0</v>
      </c>
      <c r="AM510" s="19">
        <v>43.0</v>
      </c>
      <c r="AN510" s="19">
        <v>58.0</v>
      </c>
      <c r="AO510" s="19">
        <v>63.0</v>
      </c>
      <c r="AP510" s="19">
        <v>1080.0</v>
      </c>
      <c r="AQ510" s="23">
        <v>502.0</v>
      </c>
      <c r="AR510" s="23">
        <v>70.0</v>
      </c>
      <c r="AS510" s="22"/>
      <c r="AT510" s="19" t="s">
        <v>2282</v>
      </c>
      <c r="AU510" s="19" t="s">
        <v>10712</v>
      </c>
      <c r="AV510" s="19" t="s">
        <v>10713</v>
      </c>
      <c r="AW510" s="19"/>
      <c r="AX510" s="20">
        <v>37033.0</v>
      </c>
      <c r="AY510" s="19" t="s">
        <v>2286</v>
      </c>
      <c r="AZ510" s="19" t="s">
        <v>2122</v>
      </c>
      <c r="BA510" s="19" t="s">
        <v>10714</v>
      </c>
      <c r="BB510" s="19" t="s">
        <v>10715</v>
      </c>
      <c r="BC510" s="19" t="s">
        <v>10716</v>
      </c>
      <c r="BD510" s="19" t="s">
        <v>10717</v>
      </c>
      <c r="BE510" s="19" t="s">
        <v>10718</v>
      </c>
      <c r="BF510" s="19">
        <v>1.1959290923E10</v>
      </c>
      <c r="BG510" s="19" t="s">
        <v>4038</v>
      </c>
      <c r="BH510" s="19" t="s">
        <v>2128</v>
      </c>
      <c r="BI510" s="19"/>
      <c r="BJ510" s="19" t="s">
        <v>2128</v>
      </c>
      <c r="BK510" s="19" t="s">
        <v>17</v>
      </c>
      <c r="BL510" s="19"/>
      <c r="BM510" s="19" t="s">
        <v>5411</v>
      </c>
      <c r="BN510" s="19" t="s">
        <v>3951</v>
      </c>
      <c r="BO510" s="19" t="s">
        <v>2132</v>
      </c>
      <c r="BP510" s="19"/>
      <c r="BQ510" s="19" t="s">
        <v>2133</v>
      </c>
      <c r="BR510" s="19" t="s">
        <v>2133</v>
      </c>
      <c r="BS510" s="19" t="s">
        <v>2134</v>
      </c>
      <c r="BT510" s="19" t="s">
        <v>38</v>
      </c>
      <c r="BU510" s="19" t="s">
        <v>4613</v>
      </c>
      <c r="BV510" s="19"/>
      <c r="BW510" s="19"/>
      <c r="BX510" s="19" t="s">
        <v>2113</v>
      </c>
      <c r="BY510" s="19"/>
      <c r="BZ510" s="19"/>
      <c r="CA510" s="19" t="s">
        <v>2113</v>
      </c>
      <c r="CB510" s="19" t="s">
        <v>2113</v>
      </c>
      <c r="CC510" s="19"/>
      <c r="CD510" s="19" t="s">
        <v>2137</v>
      </c>
      <c r="CE510" s="19" t="s">
        <v>16</v>
      </c>
      <c r="CF510" s="19"/>
      <c r="CG510" s="19"/>
      <c r="CH510" s="19" t="s">
        <v>16</v>
      </c>
      <c r="CI510" s="21">
        <v>0.0</v>
      </c>
      <c r="CJ510" s="19" t="s">
        <v>16</v>
      </c>
      <c r="CK510" s="19"/>
      <c r="CL510" s="19"/>
      <c r="CM510" s="19" t="s">
        <v>2344</v>
      </c>
      <c r="CN510" s="19" t="s">
        <v>2294</v>
      </c>
      <c r="CO510" s="19"/>
      <c r="CP510" s="19" t="s">
        <v>2246</v>
      </c>
      <c r="CQ510" s="19"/>
      <c r="CR510" s="19" t="s">
        <v>2113</v>
      </c>
      <c r="CS510" s="19" t="s">
        <v>2113</v>
      </c>
      <c r="CT510" s="19" t="s">
        <v>2113</v>
      </c>
      <c r="CU510" s="19" t="s">
        <v>2113</v>
      </c>
      <c r="CV510" s="19" t="s">
        <v>2141</v>
      </c>
      <c r="CW510" s="19" t="s">
        <v>2113</v>
      </c>
      <c r="CX510" s="19" t="s">
        <v>2113</v>
      </c>
      <c r="CY510" s="19"/>
      <c r="CZ510" s="19"/>
      <c r="DA510" s="19" t="s">
        <v>16</v>
      </c>
      <c r="DB510" s="19" t="s">
        <v>16</v>
      </c>
      <c r="DC510" s="19" t="s">
        <v>2477</v>
      </c>
      <c r="DD510" s="19" t="s">
        <v>2113</v>
      </c>
      <c r="DE510" s="19" t="s">
        <v>2113</v>
      </c>
      <c r="DF510" s="19" t="s">
        <v>2296</v>
      </c>
      <c r="DG510" s="19" t="s">
        <v>2578</v>
      </c>
      <c r="DH510" s="19" t="s">
        <v>2144</v>
      </c>
      <c r="DI510" s="24">
        <v>45525.0</v>
      </c>
      <c r="DJ510" s="19" t="s">
        <v>2133</v>
      </c>
      <c r="DK510" s="19" t="s">
        <v>2145</v>
      </c>
      <c r="DL510" s="19" t="s">
        <v>2146</v>
      </c>
      <c r="DM510" s="19" t="s">
        <v>3003</v>
      </c>
      <c r="DN510" s="19">
        <v>9.0</v>
      </c>
      <c r="DO510" s="19">
        <v>9.0</v>
      </c>
      <c r="DP510" s="19" t="s">
        <v>10719</v>
      </c>
      <c r="DQ510" s="19" t="s">
        <v>10720</v>
      </c>
      <c r="DR510" s="19" t="s">
        <v>10721</v>
      </c>
      <c r="DS510" s="19" t="s">
        <v>2185</v>
      </c>
      <c r="DT510" s="19" t="s">
        <v>2301</v>
      </c>
      <c r="DU510" s="19"/>
      <c r="DV510" s="19"/>
      <c r="DW510" s="19" t="s">
        <v>2479</v>
      </c>
      <c r="DX510" s="19">
        <v>6.0</v>
      </c>
      <c r="DY510" s="19">
        <v>0.0</v>
      </c>
      <c r="DZ510" s="19">
        <v>0.0</v>
      </c>
      <c r="EA510" s="19">
        <v>0.0</v>
      </c>
      <c r="EB510" s="19">
        <v>0.0</v>
      </c>
      <c r="EC510" s="19">
        <v>0.0</v>
      </c>
      <c r="ED510" s="19" t="s">
        <v>2133</v>
      </c>
      <c r="EE510" s="24">
        <v>45525.0</v>
      </c>
      <c r="EF510" s="19" t="s">
        <v>2133</v>
      </c>
      <c r="EG510" s="19" t="s">
        <v>2145</v>
      </c>
      <c r="EH510" s="19" t="s">
        <v>2146</v>
      </c>
      <c r="EI510" s="22">
        <v>15.0</v>
      </c>
      <c r="EJ510" s="19">
        <v>43.0</v>
      </c>
      <c r="EK510" s="19"/>
      <c r="EL510" s="19" t="s">
        <v>2282</v>
      </c>
      <c r="EM510" s="19" t="s">
        <v>10712</v>
      </c>
      <c r="EN510" s="19" t="s">
        <v>1508</v>
      </c>
      <c r="EO510" s="19" t="s">
        <v>2286</v>
      </c>
      <c r="EP510" s="19" t="s">
        <v>2122</v>
      </c>
      <c r="EQ510" s="19" t="s">
        <v>2294</v>
      </c>
      <c r="ER510" s="19"/>
      <c r="ES510" s="19" t="s">
        <v>1508</v>
      </c>
      <c r="ET510" s="19" t="s">
        <v>1508</v>
      </c>
      <c r="EU510" s="19" t="s">
        <v>10709</v>
      </c>
      <c r="EV510" s="19">
        <v>8428.0</v>
      </c>
      <c r="EW510" s="19" t="s">
        <v>16</v>
      </c>
      <c r="EX510" s="19">
        <v>5.0</v>
      </c>
      <c r="EY510" s="25" t="s">
        <v>1507</v>
      </c>
      <c r="EZ510" s="19" t="s">
        <v>2154</v>
      </c>
      <c r="FA510" s="5" t="s">
        <v>10722</v>
      </c>
      <c r="FB510" s="26" t="s">
        <v>2156</v>
      </c>
      <c r="FC510" s="26"/>
    </row>
    <row r="511">
      <c r="A511" s="19" t="s">
        <v>2156</v>
      </c>
      <c r="B511" s="19"/>
      <c r="C511" s="19" t="s">
        <v>2113</v>
      </c>
      <c r="D511" s="19" t="s">
        <v>1509</v>
      </c>
      <c r="E511" s="19" t="s">
        <v>10723</v>
      </c>
      <c r="F511" s="19" t="s">
        <v>1509</v>
      </c>
      <c r="G511" s="19" t="s">
        <v>1509</v>
      </c>
      <c r="H511" s="19" t="s">
        <v>1509</v>
      </c>
      <c r="I511" s="19" t="s">
        <v>1511</v>
      </c>
      <c r="J511" s="19" t="s">
        <v>10724</v>
      </c>
      <c r="K511" s="19" t="s">
        <v>10725</v>
      </c>
      <c r="L511" s="20">
        <v>45439.0</v>
      </c>
      <c r="M511" s="20">
        <v>45439.0</v>
      </c>
      <c r="N511" s="20">
        <v>45439.0</v>
      </c>
      <c r="O511" s="19" t="s">
        <v>1510</v>
      </c>
      <c r="P511" s="19">
        <v>0.0</v>
      </c>
      <c r="Q511" s="19">
        <v>25.0</v>
      </c>
      <c r="R511" s="19">
        <v>9327.0</v>
      </c>
      <c r="S511" s="20" t="s">
        <v>10726</v>
      </c>
      <c r="T511" s="20">
        <v>45461.0</v>
      </c>
      <c r="U511" s="19" t="s">
        <v>1509</v>
      </c>
      <c r="V511" s="19"/>
      <c r="W511" s="19" t="s">
        <v>10727</v>
      </c>
      <c r="X511" s="21">
        <v>0.0</v>
      </c>
      <c r="Y511" s="21">
        <v>0.0</v>
      </c>
      <c r="Z511" s="21">
        <v>3.0</v>
      </c>
      <c r="AA511" s="21">
        <v>0.0</v>
      </c>
      <c r="AB511" s="5">
        <v>3.0</v>
      </c>
      <c r="AC511" s="19">
        <v>5.0</v>
      </c>
      <c r="AD511" s="19">
        <v>5.0</v>
      </c>
      <c r="AE511" s="19">
        <v>5.0</v>
      </c>
      <c r="AF511" s="19">
        <v>5.0</v>
      </c>
      <c r="AG511" s="19">
        <v>5.0</v>
      </c>
      <c r="AH511" s="19">
        <v>5.0</v>
      </c>
      <c r="AI511" s="22">
        <v>15.0</v>
      </c>
      <c r="AJ511" s="19">
        <v>15.0</v>
      </c>
      <c r="AK511" s="19">
        <v>15.0</v>
      </c>
      <c r="AL511" s="19">
        <v>15.0</v>
      </c>
      <c r="AM511" s="19">
        <v>45.0</v>
      </c>
      <c r="AN511" s="19">
        <v>60.0</v>
      </c>
      <c r="AO511" s="19">
        <v>63.0</v>
      </c>
      <c r="AP511" s="19">
        <v>1238.0</v>
      </c>
      <c r="AQ511" s="23">
        <v>503.0</v>
      </c>
      <c r="AR511" s="23">
        <v>71.0</v>
      </c>
      <c r="AS511" s="22"/>
      <c r="AT511" s="19" t="s">
        <v>2117</v>
      </c>
      <c r="AU511" s="19" t="s">
        <v>6330</v>
      </c>
      <c r="AV511" s="19" t="s">
        <v>10728</v>
      </c>
      <c r="AW511" s="19" t="s">
        <v>10729</v>
      </c>
      <c r="AX511" s="20">
        <v>36134.0</v>
      </c>
      <c r="AY511" s="19" t="s">
        <v>3015</v>
      </c>
      <c r="AZ511" s="19" t="s">
        <v>2310</v>
      </c>
      <c r="BA511" s="19" t="s">
        <v>10730</v>
      </c>
      <c r="BB511" s="19" t="s">
        <v>10731</v>
      </c>
      <c r="BC511" s="19" t="s">
        <v>10732</v>
      </c>
      <c r="BD511" s="19" t="s">
        <v>10733</v>
      </c>
      <c r="BE511" s="19" t="s">
        <v>10724</v>
      </c>
      <c r="BF511" s="19">
        <v>1.1987650033E10</v>
      </c>
      <c r="BG511" s="19" t="s">
        <v>4038</v>
      </c>
      <c r="BH511" s="19" t="s">
        <v>2128</v>
      </c>
      <c r="BI511" s="19"/>
      <c r="BJ511" s="19" t="s">
        <v>2128</v>
      </c>
      <c r="BK511" s="19" t="s">
        <v>17</v>
      </c>
      <c r="BL511" s="19" t="s">
        <v>2113</v>
      </c>
      <c r="BM511" s="19" t="s">
        <v>5411</v>
      </c>
      <c r="BN511" s="19" t="s">
        <v>17</v>
      </c>
      <c r="BO511" s="19" t="s">
        <v>2473</v>
      </c>
      <c r="BP511" s="19"/>
      <c r="BQ511" s="19" t="s">
        <v>2133</v>
      </c>
      <c r="BR511" s="19" t="s">
        <v>2133</v>
      </c>
      <c r="BS511" s="19" t="s">
        <v>2134</v>
      </c>
      <c r="BT511" s="19" t="s">
        <v>38</v>
      </c>
      <c r="BU511" s="19" t="s">
        <v>10734</v>
      </c>
      <c r="BV511" s="19"/>
      <c r="BW511" s="19"/>
      <c r="BX511" s="19" t="s">
        <v>2113</v>
      </c>
      <c r="BY511" s="19"/>
      <c r="BZ511" s="19"/>
      <c r="CA511" s="19"/>
      <c r="CB511" s="19"/>
      <c r="CC511" s="19"/>
      <c r="CD511" s="19" t="s">
        <v>2137</v>
      </c>
      <c r="CE511" s="19" t="s">
        <v>16</v>
      </c>
      <c r="CF511" s="19"/>
      <c r="CG511" s="19"/>
      <c r="CH511" s="19" t="s">
        <v>16</v>
      </c>
      <c r="CI511" s="21">
        <v>0.0</v>
      </c>
      <c r="CJ511" s="19" t="s">
        <v>17</v>
      </c>
      <c r="CK511" s="19"/>
      <c r="CL511" s="19"/>
      <c r="CM511" s="19" t="s">
        <v>2138</v>
      </c>
      <c r="CN511" s="19" t="s">
        <v>3020</v>
      </c>
      <c r="CO511" s="19"/>
      <c r="CP511" s="19" t="s">
        <v>2140</v>
      </c>
      <c r="CQ511" s="19"/>
      <c r="CR511" s="19" t="s">
        <v>2113</v>
      </c>
      <c r="CS511" s="19" t="s">
        <v>2113</v>
      </c>
      <c r="CT511" s="19"/>
      <c r="CU511" s="19"/>
      <c r="CV511" s="19" t="s">
        <v>2141</v>
      </c>
      <c r="CW511" s="19" t="s">
        <v>2113</v>
      </c>
      <c r="CX511" s="19" t="s">
        <v>2113</v>
      </c>
      <c r="CY511" s="19"/>
      <c r="CZ511" s="19"/>
      <c r="DA511" s="19" t="s">
        <v>16</v>
      </c>
      <c r="DB511" s="19" t="s">
        <v>17</v>
      </c>
      <c r="DC511" s="19" t="s">
        <v>4424</v>
      </c>
      <c r="DD511" s="19" t="s">
        <v>2113</v>
      </c>
      <c r="DE511" s="19" t="s">
        <v>2113</v>
      </c>
      <c r="DF511" s="19" t="s">
        <v>8396</v>
      </c>
      <c r="DG511" s="19" t="s">
        <v>6005</v>
      </c>
      <c r="DH511" s="19" t="s">
        <v>2144</v>
      </c>
      <c r="DI511" s="24">
        <v>45518.0</v>
      </c>
      <c r="DJ511" s="19" t="s">
        <v>2133</v>
      </c>
      <c r="DK511" s="19" t="s">
        <v>2271</v>
      </c>
      <c r="DL511" s="19" t="s">
        <v>2146</v>
      </c>
      <c r="DM511" s="19"/>
      <c r="DN511" s="19">
        <v>4.0</v>
      </c>
      <c r="DO511" s="19">
        <v>4.0</v>
      </c>
      <c r="DP511" s="19" t="s">
        <v>10735</v>
      </c>
      <c r="DQ511" s="19" t="s">
        <v>10736</v>
      </c>
      <c r="DR511" s="19" t="s">
        <v>10737</v>
      </c>
      <c r="DS511" s="19" t="s">
        <v>2185</v>
      </c>
      <c r="DT511" s="19" t="s">
        <v>2301</v>
      </c>
      <c r="DU511" s="19"/>
      <c r="DV511" s="19"/>
      <c r="DW511" s="19" t="s">
        <v>2479</v>
      </c>
      <c r="DX511" s="19">
        <v>6.0</v>
      </c>
      <c r="DY511" s="19">
        <v>0.0</v>
      </c>
      <c r="DZ511" s="19">
        <v>0.0</v>
      </c>
      <c r="EA511" s="19">
        <v>0.0</v>
      </c>
      <c r="EB511" s="19">
        <v>0.0</v>
      </c>
      <c r="EC511" s="19">
        <v>0.0</v>
      </c>
      <c r="ED511" s="19" t="s">
        <v>2133</v>
      </c>
      <c r="EE511" s="24">
        <v>45518.0</v>
      </c>
      <c r="EF511" s="19" t="s">
        <v>2133</v>
      </c>
      <c r="EG511" s="19" t="s">
        <v>2271</v>
      </c>
      <c r="EH511" s="19" t="s">
        <v>2146</v>
      </c>
      <c r="EI511" s="22">
        <v>15.0</v>
      </c>
      <c r="EJ511" s="19">
        <v>45.0</v>
      </c>
      <c r="EK511" s="19" t="s">
        <v>2113</v>
      </c>
      <c r="EL511" s="19" t="s">
        <v>2117</v>
      </c>
      <c r="EM511" s="19" t="s">
        <v>6330</v>
      </c>
      <c r="EN511" s="19" t="s">
        <v>1511</v>
      </c>
      <c r="EO511" s="19" t="s">
        <v>3015</v>
      </c>
      <c r="EP511" s="19" t="s">
        <v>2310</v>
      </c>
      <c r="EQ511" s="19" t="s">
        <v>3020</v>
      </c>
      <c r="ER511" s="19"/>
      <c r="ES511" s="19" t="s">
        <v>1511</v>
      </c>
      <c r="ET511" s="19" t="s">
        <v>1511</v>
      </c>
      <c r="EU511" s="19" t="s">
        <v>10725</v>
      </c>
      <c r="EV511" s="19">
        <v>9327.0</v>
      </c>
      <c r="EW511" s="19" t="s">
        <v>16</v>
      </c>
      <c r="EX511" s="19">
        <v>3.0</v>
      </c>
      <c r="EY511" s="25" t="s">
        <v>1510</v>
      </c>
      <c r="EZ511" s="19" t="s">
        <v>2154</v>
      </c>
      <c r="FA511" s="5" t="s">
        <v>10738</v>
      </c>
      <c r="FB511" s="26" t="s">
        <v>2156</v>
      </c>
      <c r="FC511" s="26"/>
    </row>
    <row r="512">
      <c r="A512" s="19" t="s">
        <v>2112</v>
      </c>
      <c r="B512" s="19"/>
      <c r="C512" s="19" t="s">
        <v>2113</v>
      </c>
      <c r="D512" s="19" t="s">
        <v>10739</v>
      </c>
      <c r="E512" s="19" t="s">
        <v>10740</v>
      </c>
      <c r="F512" s="19" t="s">
        <v>10741</v>
      </c>
      <c r="G512" s="19" t="s">
        <v>10742</v>
      </c>
      <c r="H512" s="19" t="s">
        <v>1512</v>
      </c>
      <c r="I512" s="19" t="s">
        <v>1514</v>
      </c>
      <c r="J512" s="19" t="s">
        <v>10743</v>
      </c>
      <c r="K512" s="19" t="s">
        <v>10744</v>
      </c>
      <c r="L512" s="20">
        <v>45441.0</v>
      </c>
      <c r="M512" s="20">
        <v>45441.0</v>
      </c>
      <c r="N512" s="20">
        <v>45441.0</v>
      </c>
      <c r="O512" s="19" t="s">
        <v>1513</v>
      </c>
      <c r="P512" s="19">
        <v>0.0</v>
      </c>
      <c r="Q512" s="19">
        <v>28.0</v>
      </c>
      <c r="R512" s="19">
        <v>10541.0</v>
      </c>
      <c r="S512" s="20" t="s">
        <v>10745</v>
      </c>
      <c r="T512" s="20">
        <v>45461.0</v>
      </c>
      <c r="U512" s="19" t="s">
        <v>10741</v>
      </c>
      <c r="V512" s="19"/>
      <c r="W512" s="19"/>
      <c r="X512" s="21">
        <v>0.0</v>
      </c>
      <c r="Y512" s="21">
        <v>0.0</v>
      </c>
      <c r="Z512" s="21">
        <v>5.0</v>
      </c>
      <c r="AA512" s="21">
        <v>0.0</v>
      </c>
      <c r="AB512" s="5">
        <v>5.0</v>
      </c>
      <c r="AC512" s="19">
        <v>5.0</v>
      </c>
      <c r="AD512" s="19">
        <v>5.0</v>
      </c>
      <c r="AE512" s="19">
        <v>5.0</v>
      </c>
      <c r="AF512" s="19">
        <v>5.0</v>
      </c>
      <c r="AG512" s="19">
        <v>4.5</v>
      </c>
      <c r="AH512" s="19">
        <v>5.0</v>
      </c>
      <c r="AI512" s="22">
        <v>14.8125</v>
      </c>
      <c r="AJ512" s="19">
        <v>15.0</v>
      </c>
      <c r="AK512" s="19">
        <v>13.0</v>
      </c>
      <c r="AL512" s="19">
        <v>15.0</v>
      </c>
      <c r="AM512" s="19">
        <v>43.0</v>
      </c>
      <c r="AN512" s="19">
        <v>57.8</v>
      </c>
      <c r="AO512" s="19">
        <v>62.8</v>
      </c>
      <c r="AP512" s="19">
        <v>1028.0</v>
      </c>
      <c r="AQ512" s="23">
        <v>504.0</v>
      </c>
      <c r="AR512" s="23">
        <v>72.0</v>
      </c>
      <c r="AS512" s="22"/>
      <c r="AT512" s="19" t="s">
        <v>2282</v>
      </c>
      <c r="AU512" s="19" t="s">
        <v>10746</v>
      </c>
      <c r="AV512" s="19" t="s">
        <v>10747</v>
      </c>
      <c r="AW512" s="19" t="s">
        <v>2683</v>
      </c>
      <c r="AX512" s="20">
        <v>34920.0</v>
      </c>
      <c r="AY512" s="19" t="s">
        <v>2595</v>
      </c>
      <c r="AZ512" s="19" t="s">
        <v>2445</v>
      </c>
      <c r="BA512" s="19" t="s">
        <v>10748</v>
      </c>
      <c r="BB512" s="19" t="s">
        <v>10749</v>
      </c>
      <c r="BC512" s="19" t="s">
        <v>10750</v>
      </c>
      <c r="BD512" s="19" t="s">
        <v>10751</v>
      </c>
      <c r="BE512" s="19" t="s">
        <v>10752</v>
      </c>
      <c r="BF512" s="19">
        <v>1.1948826404E10</v>
      </c>
      <c r="BG512" s="19" t="s">
        <v>2127</v>
      </c>
      <c r="BH512" s="19" t="s">
        <v>2649</v>
      </c>
      <c r="BI512" s="19"/>
      <c r="BJ512" s="19" t="s">
        <v>2128</v>
      </c>
      <c r="BK512" s="19" t="s">
        <v>17</v>
      </c>
      <c r="BL512" s="19"/>
      <c r="BM512" s="19" t="s">
        <v>5411</v>
      </c>
      <c r="BN512" s="19" t="s">
        <v>17</v>
      </c>
      <c r="BO512" s="19" t="s">
        <v>2132</v>
      </c>
      <c r="BP512" s="19" t="s">
        <v>10753</v>
      </c>
      <c r="BQ512" s="19" t="s">
        <v>2133</v>
      </c>
      <c r="BR512" s="19" t="s">
        <v>2133</v>
      </c>
      <c r="BS512" s="19" t="s">
        <v>3521</v>
      </c>
      <c r="BT512" s="19" t="s">
        <v>38</v>
      </c>
      <c r="BU512" s="19" t="s">
        <v>10754</v>
      </c>
      <c r="BV512" s="19"/>
      <c r="BW512" s="19" t="s">
        <v>2113</v>
      </c>
      <c r="BX512" s="19"/>
      <c r="BY512" s="19"/>
      <c r="BZ512" s="19"/>
      <c r="CA512" s="19"/>
      <c r="CB512" s="19" t="s">
        <v>2113</v>
      </c>
      <c r="CC512" s="19"/>
      <c r="CD512" s="19" t="s">
        <v>2137</v>
      </c>
      <c r="CE512" s="19" t="s">
        <v>16</v>
      </c>
      <c r="CF512" s="19"/>
      <c r="CG512" s="19"/>
      <c r="CH512" s="19" t="s">
        <v>16</v>
      </c>
      <c r="CI512" s="21">
        <v>0.0</v>
      </c>
      <c r="CJ512" s="19" t="s">
        <v>16</v>
      </c>
      <c r="CK512" s="19"/>
      <c r="CL512" s="19"/>
      <c r="CM512" s="19" t="s">
        <v>2138</v>
      </c>
      <c r="CN512" s="19" t="s">
        <v>2294</v>
      </c>
      <c r="CO512" s="19"/>
      <c r="CP512" s="19" t="s">
        <v>2140</v>
      </c>
      <c r="CQ512" s="19"/>
      <c r="CR512" s="19"/>
      <c r="CS512" s="19"/>
      <c r="CT512" s="19"/>
      <c r="CU512" s="19"/>
      <c r="CV512" s="19" t="s">
        <v>2141</v>
      </c>
      <c r="CW512" s="19" t="s">
        <v>2113</v>
      </c>
      <c r="CX512" s="19" t="s">
        <v>2113</v>
      </c>
      <c r="CY512" s="19" t="s">
        <v>2113</v>
      </c>
      <c r="CZ512" s="19" t="s">
        <v>2113</v>
      </c>
      <c r="DA512" s="19" t="s">
        <v>16</v>
      </c>
      <c r="DB512" s="19" t="s">
        <v>16</v>
      </c>
      <c r="DC512" s="19" t="s">
        <v>10755</v>
      </c>
      <c r="DD512" s="19" t="s">
        <v>2113</v>
      </c>
      <c r="DE512" s="19" t="s">
        <v>2113</v>
      </c>
      <c r="DF512" s="19" t="s">
        <v>2602</v>
      </c>
      <c r="DG512" s="19" t="s">
        <v>2578</v>
      </c>
      <c r="DH512" s="19" t="s">
        <v>2144</v>
      </c>
      <c r="DI512" s="24">
        <v>45533.0</v>
      </c>
      <c r="DJ512" s="19" t="s">
        <v>2133</v>
      </c>
      <c r="DK512" s="19" t="s">
        <v>2271</v>
      </c>
      <c r="DL512" s="19" t="s">
        <v>2146</v>
      </c>
      <c r="DM512" s="19" t="s">
        <v>2906</v>
      </c>
      <c r="DN512" s="19">
        <v>18.0</v>
      </c>
      <c r="DO512" s="19">
        <v>18.0</v>
      </c>
      <c r="DP512" s="19" t="s">
        <v>10756</v>
      </c>
      <c r="DQ512" s="19" t="s">
        <v>10757</v>
      </c>
      <c r="DR512" s="19" t="s">
        <v>10758</v>
      </c>
      <c r="DS512" s="19" t="s">
        <v>2151</v>
      </c>
      <c r="DT512" s="19" t="s">
        <v>2186</v>
      </c>
      <c r="DU512" s="19"/>
      <c r="DV512" s="19"/>
      <c r="DW512" s="19" t="s">
        <v>2153</v>
      </c>
      <c r="DX512" s="19">
        <v>12.0</v>
      </c>
      <c r="DY512" s="19">
        <v>0.0</v>
      </c>
      <c r="DZ512" s="19">
        <v>0.0</v>
      </c>
      <c r="EA512" s="19">
        <v>0.0</v>
      </c>
      <c r="EB512" s="19">
        <v>0.0</v>
      </c>
      <c r="EC512" s="19">
        <v>0.0</v>
      </c>
      <c r="ED512" s="19" t="s">
        <v>2133</v>
      </c>
      <c r="EE512" s="24">
        <v>45533.0</v>
      </c>
      <c r="EF512" s="19" t="s">
        <v>2133</v>
      </c>
      <c r="EG512" s="19" t="s">
        <v>2271</v>
      </c>
      <c r="EH512" s="19" t="s">
        <v>2146</v>
      </c>
      <c r="EI512" s="22">
        <v>14.8125</v>
      </c>
      <c r="EJ512" s="19">
        <v>43.0</v>
      </c>
      <c r="EK512" s="19"/>
      <c r="EL512" s="19" t="s">
        <v>2282</v>
      </c>
      <c r="EM512" s="19" t="s">
        <v>10746</v>
      </c>
      <c r="EN512" s="19" t="s">
        <v>1514</v>
      </c>
      <c r="EO512" s="19" t="s">
        <v>2595</v>
      </c>
      <c r="EP512" s="19" t="s">
        <v>2445</v>
      </c>
      <c r="EQ512" s="19" t="s">
        <v>2294</v>
      </c>
      <c r="ER512" s="19"/>
      <c r="ES512" s="19" t="s">
        <v>1514</v>
      </c>
      <c r="ET512" s="19" t="s">
        <v>1514</v>
      </c>
      <c r="EU512" s="19" t="s">
        <v>10744</v>
      </c>
      <c r="EV512" s="19">
        <v>10541.0</v>
      </c>
      <c r="EW512" s="19" t="s">
        <v>16</v>
      </c>
      <c r="EX512" s="19">
        <v>5.0</v>
      </c>
      <c r="EY512" s="25" t="s">
        <v>1513</v>
      </c>
      <c r="EZ512" s="19" t="s">
        <v>2154</v>
      </c>
      <c r="FA512" s="5" t="s">
        <v>10759</v>
      </c>
      <c r="FB512" s="26" t="s">
        <v>2156</v>
      </c>
      <c r="FC512" s="26"/>
    </row>
    <row r="513" hidden="1">
      <c r="A513" s="19" t="s">
        <v>2112</v>
      </c>
      <c r="B513" s="19" t="s">
        <v>2113</v>
      </c>
      <c r="C513" s="19" t="s">
        <v>2113</v>
      </c>
      <c r="D513" s="19" t="s">
        <v>10760</v>
      </c>
      <c r="E513" s="19" t="s">
        <v>10760</v>
      </c>
      <c r="F513" s="19" t="s">
        <v>10760</v>
      </c>
      <c r="G513" s="19"/>
      <c r="H513" s="19" t="s">
        <v>10760</v>
      </c>
      <c r="I513" s="19" t="s">
        <v>10761</v>
      </c>
      <c r="J513" s="19" t="s">
        <v>10762</v>
      </c>
      <c r="K513" s="19" t="s">
        <v>10763</v>
      </c>
      <c r="L513" s="20">
        <v>45459.0</v>
      </c>
      <c r="M513" s="20">
        <v>45460.0</v>
      </c>
      <c r="N513" s="20">
        <v>45460.0</v>
      </c>
      <c r="O513" s="19" t="s">
        <v>10764</v>
      </c>
      <c r="P513" s="19">
        <v>1.0</v>
      </c>
      <c r="Q513" s="19">
        <v>28.0</v>
      </c>
      <c r="R513" s="19">
        <v>10441.0</v>
      </c>
      <c r="S513" s="20" t="s">
        <v>10765</v>
      </c>
      <c r="T513" s="20">
        <v>45461.0</v>
      </c>
      <c r="U513" s="19" t="s">
        <v>10760</v>
      </c>
      <c r="V513" s="19"/>
      <c r="W513" s="19"/>
      <c r="X513" s="21">
        <v>20.0</v>
      </c>
      <c r="Y513" s="21">
        <v>10.0</v>
      </c>
      <c r="Z513" s="21">
        <v>3.0</v>
      </c>
      <c r="AA513" s="21">
        <v>3.0</v>
      </c>
      <c r="AB513" s="5">
        <v>36.0</v>
      </c>
      <c r="AC513" s="19">
        <v>4.0</v>
      </c>
      <c r="AD513" s="19">
        <v>4.5</v>
      </c>
      <c r="AE513" s="19">
        <v>4.5</v>
      </c>
      <c r="AF513" s="19">
        <v>3.5</v>
      </c>
      <c r="AG513" s="19">
        <v>3.5</v>
      </c>
      <c r="AH513" s="19">
        <v>2.0</v>
      </c>
      <c r="AI513" s="22">
        <v>11.578125</v>
      </c>
      <c r="AJ513" s="19">
        <v>5.0</v>
      </c>
      <c r="AK513" s="19">
        <v>10.0</v>
      </c>
      <c r="AL513" s="19">
        <v>0.0</v>
      </c>
      <c r="AM513" s="19">
        <v>15.0</v>
      </c>
      <c r="AN513" s="19">
        <v>26.6</v>
      </c>
      <c r="AO513" s="19">
        <v>62.6</v>
      </c>
      <c r="AP513" s="19">
        <v>33.0</v>
      </c>
      <c r="AQ513" s="19">
        <v>512.0</v>
      </c>
      <c r="AR513" s="19">
        <v>29.0</v>
      </c>
      <c r="AS513" s="22"/>
      <c r="AT513" s="19" t="s">
        <v>2117</v>
      </c>
      <c r="AU513" s="19" t="s">
        <v>4072</v>
      </c>
      <c r="AV513" s="19" t="s">
        <v>4073</v>
      </c>
      <c r="AW513" s="19"/>
      <c r="AX513" s="20">
        <v>35020.0</v>
      </c>
      <c r="AY513" s="19" t="s">
        <v>3826</v>
      </c>
      <c r="AZ513" s="19" t="s">
        <v>2122</v>
      </c>
      <c r="BA513" s="19" t="s">
        <v>4075</v>
      </c>
      <c r="BB513" s="19" t="s">
        <v>4076</v>
      </c>
      <c r="BC513" s="19" t="s">
        <v>10766</v>
      </c>
      <c r="BD513" s="19" t="s">
        <v>10767</v>
      </c>
      <c r="BE513" s="19" t="s">
        <v>10762</v>
      </c>
      <c r="BF513" s="19">
        <v>1.199790692E10</v>
      </c>
      <c r="BG513" s="19" t="s">
        <v>2127</v>
      </c>
      <c r="BH513" s="19" t="s">
        <v>4080</v>
      </c>
      <c r="BI513" s="19"/>
      <c r="BJ513" s="19" t="s">
        <v>2128</v>
      </c>
      <c r="BK513" s="19" t="s">
        <v>17</v>
      </c>
      <c r="BL513" s="19"/>
      <c r="BM513" s="19" t="s">
        <v>2130</v>
      </c>
      <c r="BN513" s="19" t="s">
        <v>17</v>
      </c>
      <c r="BO513" s="19" t="s">
        <v>2473</v>
      </c>
      <c r="BP513" s="19" t="s">
        <v>10768</v>
      </c>
      <c r="BQ513" s="19" t="s">
        <v>3832</v>
      </c>
      <c r="BR513" s="19" t="s">
        <v>3832</v>
      </c>
      <c r="BS513" s="19" t="s">
        <v>2134</v>
      </c>
      <c r="BT513" s="19" t="s">
        <v>268</v>
      </c>
      <c r="BU513" s="19" t="s">
        <v>10769</v>
      </c>
      <c r="BV513" s="19" t="s">
        <v>10770</v>
      </c>
      <c r="BW513" s="19"/>
      <c r="BX513" s="19"/>
      <c r="BY513" s="19"/>
      <c r="BZ513" s="19"/>
      <c r="CA513" s="19"/>
      <c r="CB513" s="19" t="s">
        <v>2113</v>
      </c>
      <c r="CC513" s="19" t="s">
        <v>2113</v>
      </c>
      <c r="CD513" s="19" t="s">
        <v>2137</v>
      </c>
      <c r="CE513" s="19" t="s">
        <v>16</v>
      </c>
      <c r="CF513" s="19"/>
      <c r="CG513" s="19"/>
      <c r="CH513" s="19" t="s">
        <v>17</v>
      </c>
      <c r="CI513" s="21">
        <v>3.0</v>
      </c>
      <c r="CJ513" s="19" t="s">
        <v>17</v>
      </c>
      <c r="CK513" s="19"/>
      <c r="CL513" s="19"/>
      <c r="CM513" s="19" t="s">
        <v>2344</v>
      </c>
      <c r="CN513" s="19" t="s">
        <v>3835</v>
      </c>
      <c r="CO513" s="19"/>
      <c r="CP513" s="19" t="s">
        <v>2140</v>
      </c>
      <c r="CQ513" s="19"/>
      <c r="CR513" s="19"/>
      <c r="CS513" s="19"/>
      <c r="CT513" s="19" t="s">
        <v>2113</v>
      </c>
      <c r="CU513" s="19" t="s">
        <v>2113</v>
      </c>
      <c r="CV513" s="19" t="s">
        <v>2179</v>
      </c>
      <c r="CW513" s="19" t="s">
        <v>2113</v>
      </c>
      <c r="CX513" s="19" t="s">
        <v>2113</v>
      </c>
      <c r="CY513" s="19"/>
      <c r="CZ513" s="19"/>
      <c r="DA513" s="19" t="s">
        <v>16</v>
      </c>
      <c r="DB513" s="19" t="s">
        <v>17</v>
      </c>
      <c r="DC513" s="19" t="s">
        <v>3990</v>
      </c>
      <c r="DD513" s="19" t="s">
        <v>2113</v>
      </c>
      <c r="DE513" s="19" t="s">
        <v>2113</v>
      </c>
      <c r="DF513" s="19" t="s">
        <v>2433</v>
      </c>
      <c r="DG513" s="19" t="s">
        <v>3256</v>
      </c>
      <c r="DH513" s="19" t="s">
        <v>2144</v>
      </c>
      <c r="DI513" s="24">
        <v>45519.0</v>
      </c>
      <c r="DJ513" s="19" t="s">
        <v>3257</v>
      </c>
      <c r="DK513" s="19" t="s">
        <v>2271</v>
      </c>
      <c r="DL513" s="19" t="s">
        <v>2207</v>
      </c>
      <c r="DM513" s="22" t="s">
        <v>3258</v>
      </c>
      <c r="DN513" s="19">
        <v>3.0</v>
      </c>
      <c r="DO513" s="19">
        <v>3.0</v>
      </c>
      <c r="DP513" s="19"/>
      <c r="DQ513" s="19"/>
      <c r="DR513" s="19"/>
      <c r="DS513" s="19" t="s">
        <v>2185</v>
      </c>
      <c r="DT513" s="19" t="s">
        <v>2301</v>
      </c>
      <c r="DU513" s="19" t="s">
        <v>10771</v>
      </c>
      <c r="DV513" s="19"/>
      <c r="DW513" s="19" t="s">
        <v>2153</v>
      </c>
      <c r="DX513" s="19">
        <v>2.0</v>
      </c>
      <c r="DY513" s="19">
        <v>10.0</v>
      </c>
      <c r="DZ513" s="19">
        <v>0.0</v>
      </c>
      <c r="EA513" s="19">
        <v>10.0</v>
      </c>
      <c r="EB513" s="19">
        <v>3.0</v>
      </c>
      <c r="EC513" s="19">
        <v>20.0</v>
      </c>
      <c r="ED513" s="19" t="s">
        <v>3257</v>
      </c>
      <c r="EE513" s="24">
        <v>45519.0</v>
      </c>
      <c r="EF513" s="19" t="s">
        <v>3257</v>
      </c>
      <c r="EG513" s="19" t="s">
        <v>2271</v>
      </c>
      <c r="EH513" s="19" t="s">
        <v>2207</v>
      </c>
      <c r="EI513" s="22">
        <v>11.578125</v>
      </c>
      <c r="EJ513" s="19">
        <v>15.0</v>
      </c>
      <c r="EK513" s="19" t="s">
        <v>2113</v>
      </c>
      <c r="EL513" s="19" t="s">
        <v>2117</v>
      </c>
      <c r="EM513" s="19" t="s">
        <v>4072</v>
      </c>
      <c r="EN513" s="19" t="s">
        <v>10761</v>
      </c>
      <c r="EO513" s="19" t="s">
        <v>3826</v>
      </c>
      <c r="EP513" s="19" t="s">
        <v>2122</v>
      </c>
      <c r="EQ513" s="19" t="s">
        <v>3835</v>
      </c>
      <c r="ER513" s="19"/>
      <c r="ES513" s="19" t="s">
        <v>10761</v>
      </c>
      <c r="ET513" s="19" t="s">
        <v>10761</v>
      </c>
      <c r="EU513" s="19" t="s">
        <v>10763</v>
      </c>
      <c r="EV513" s="19">
        <v>10441.0</v>
      </c>
      <c r="EW513" s="19" t="s">
        <v>16</v>
      </c>
      <c r="EX513" s="19">
        <v>3.0</v>
      </c>
      <c r="EY513" s="25" t="s">
        <v>10764</v>
      </c>
      <c r="EZ513" s="19" t="s">
        <v>2154</v>
      </c>
      <c r="FA513" s="5" t="s">
        <v>10772</v>
      </c>
      <c r="FB513" s="26" t="s">
        <v>2633</v>
      </c>
      <c r="FC513" s="26" t="s">
        <v>10773</v>
      </c>
    </row>
    <row r="514">
      <c r="A514" s="19" t="s">
        <v>2112</v>
      </c>
      <c r="B514" s="19"/>
      <c r="C514" s="19" t="s">
        <v>2113</v>
      </c>
      <c r="D514" s="19" t="s">
        <v>1515</v>
      </c>
      <c r="E514" s="19" t="s">
        <v>10774</v>
      </c>
      <c r="F514" s="19" t="s">
        <v>1515</v>
      </c>
      <c r="G514" s="19"/>
      <c r="H514" s="19" t="s">
        <v>1515</v>
      </c>
      <c r="I514" s="19" t="s">
        <v>1517</v>
      </c>
      <c r="J514" s="19" t="s">
        <v>10775</v>
      </c>
      <c r="K514" s="19" t="s">
        <v>10776</v>
      </c>
      <c r="L514" s="20">
        <v>45432.0</v>
      </c>
      <c r="M514" s="20">
        <v>45433.0</v>
      </c>
      <c r="N514" s="20">
        <v>45433.0</v>
      </c>
      <c r="O514" s="19" t="s">
        <v>1516</v>
      </c>
      <c r="P514" s="19">
        <v>1.0</v>
      </c>
      <c r="Q514" s="19">
        <v>19.0</v>
      </c>
      <c r="R514" s="19">
        <v>7195.0</v>
      </c>
      <c r="S514" s="20" t="s">
        <v>10777</v>
      </c>
      <c r="T514" s="20">
        <v>45461.0</v>
      </c>
      <c r="U514" s="19" t="s">
        <v>1515</v>
      </c>
      <c r="V514" s="19"/>
      <c r="W514" s="19"/>
      <c r="X514" s="21">
        <v>0.0</v>
      </c>
      <c r="Y514" s="21">
        <v>0.0</v>
      </c>
      <c r="Z514" s="21">
        <v>4.0</v>
      </c>
      <c r="AA514" s="21">
        <v>0.0</v>
      </c>
      <c r="AB514" s="5">
        <v>4.0</v>
      </c>
      <c r="AC514" s="19">
        <v>5.0</v>
      </c>
      <c r="AD514" s="19">
        <v>5.0</v>
      </c>
      <c r="AE514" s="19">
        <v>5.0</v>
      </c>
      <c r="AF514" s="19">
        <v>4.0</v>
      </c>
      <c r="AG514" s="19">
        <v>5.0</v>
      </c>
      <c r="AH514" s="19">
        <v>5.0</v>
      </c>
      <c r="AI514" s="22">
        <v>14.625</v>
      </c>
      <c r="AJ514" s="19">
        <v>14.0</v>
      </c>
      <c r="AK514" s="19">
        <v>15.0</v>
      </c>
      <c r="AL514" s="19">
        <v>15.0</v>
      </c>
      <c r="AM514" s="19">
        <v>44.0</v>
      </c>
      <c r="AN514" s="19">
        <v>58.6</v>
      </c>
      <c r="AO514" s="19">
        <v>62.6</v>
      </c>
      <c r="AP514" s="19">
        <v>1199.0</v>
      </c>
      <c r="AQ514" s="23">
        <v>505.0</v>
      </c>
      <c r="AR514" s="23">
        <v>42.0</v>
      </c>
      <c r="AS514" s="22"/>
      <c r="AT514" s="19" t="s">
        <v>2163</v>
      </c>
      <c r="AU514" s="19" t="s">
        <v>10778</v>
      </c>
      <c r="AV514" s="19" t="s">
        <v>10779</v>
      </c>
      <c r="AW514" s="19" t="s">
        <v>3923</v>
      </c>
      <c r="AX514" s="20">
        <v>38266.0</v>
      </c>
      <c r="AY514" s="19" t="s">
        <v>2375</v>
      </c>
      <c r="AZ514" s="19" t="s">
        <v>2122</v>
      </c>
      <c r="BA514" s="19" t="s">
        <v>10780</v>
      </c>
      <c r="BB514" s="19" t="s">
        <v>2489</v>
      </c>
      <c r="BC514" s="19" t="s">
        <v>10781</v>
      </c>
      <c r="BD514" s="19" t="s">
        <v>10782</v>
      </c>
      <c r="BE514" s="19" t="s">
        <v>10783</v>
      </c>
      <c r="BF514" s="19">
        <v>1.1976161946E10</v>
      </c>
      <c r="BG514" s="19" t="s">
        <v>4038</v>
      </c>
      <c r="BH514" s="19" t="s">
        <v>2128</v>
      </c>
      <c r="BI514" s="19"/>
      <c r="BJ514" s="19" t="s">
        <v>2128</v>
      </c>
      <c r="BK514" s="19" t="s">
        <v>17</v>
      </c>
      <c r="BL514" s="19"/>
      <c r="BM514" s="19" t="s">
        <v>5563</v>
      </c>
      <c r="BN514" s="19" t="s">
        <v>2131</v>
      </c>
      <c r="BO514" s="19" t="s">
        <v>2317</v>
      </c>
      <c r="BP514" s="19"/>
      <c r="BQ514" s="19" t="s">
        <v>2133</v>
      </c>
      <c r="BR514" s="19" t="s">
        <v>2133</v>
      </c>
      <c r="BS514" s="19" t="s">
        <v>2134</v>
      </c>
      <c r="BT514" s="19" t="s">
        <v>52</v>
      </c>
      <c r="BU514" s="19" t="s">
        <v>9861</v>
      </c>
      <c r="BV514" s="19"/>
      <c r="BW514" s="19"/>
      <c r="BX514" s="19"/>
      <c r="BY514" s="19" t="s">
        <v>2113</v>
      </c>
      <c r="BZ514" s="19"/>
      <c r="CA514" s="19"/>
      <c r="CB514" s="19" t="s">
        <v>2113</v>
      </c>
      <c r="CC514" s="19"/>
      <c r="CD514" s="19" t="s">
        <v>2137</v>
      </c>
      <c r="CE514" s="19" t="s">
        <v>16</v>
      </c>
      <c r="CF514" s="19"/>
      <c r="CG514" s="19"/>
      <c r="CH514" s="19" t="s">
        <v>16</v>
      </c>
      <c r="CI514" s="21">
        <v>0.0</v>
      </c>
      <c r="CJ514" s="19" t="s">
        <v>17</v>
      </c>
      <c r="CK514" s="19"/>
      <c r="CL514" s="19"/>
      <c r="CM514" s="19" t="s">
        <v>2926</v>
      </c>
      <c r="CN514" s="19" t="s">
        <v>2382</v>
      </c>
      <c r="CO514" s="19"/>
      <c r="CP514" s="19" t="s">
        <v>2246</v>
      </c>
      <c r="CQ514" s="19"/>
      <c r="CR514" s="19" t="s">
        <v>2113</v>
      </c>
      <c r="CS514" s="19" t="s">
        <v>2113</v>
      </c>
      <c r="CT514" s="19" t="s">
        <v>2113</v>
      </c>
      <c r="CU514" s="19" t="s">
        <v>2113</v>
      </c>
      <c r="CV514" s="19" t="s">
        <v>2141</v>
      </c>
      <c r="CW514" s="19"/>
      <c r="CX514" s="19"/>
      <c r="CY514" s="19"/>
      <c r="CZ514" s="19"/>
      <c r="DA514" s="19" t="s">
        <v>16</v>
      </c>
      <c r="DB514" s="19" t="s">
        <v>17</v>
      </c>
      <c r="DC514" s="19" t="s">
        <v>2297</v>
      </c>
      <c r="DD514" s="19" t="s">
        <v>2113</v>
      </c>
      <c r="DE514" s="19" t="s">
        <v>2113</v>
      </c>
      <c r="DF514" s="19" t="s">
        <v>4707</v>
      </c>
      <c r="DG514" s="19" t="s">
        <v>2579</v>
      </c>
      <c r="DH514" s="19" t="s">
        <v>2144</v>
      </c>
      <c r="DI514" s="24">
        <v>45533.0</v>
      </c>
      <c r="DJ514" s="19" t="s">
        <v>2133</v>
      </c>
      <c r="DK514" s="19" t="s">
        <v>2271</v>
      </c>
      <c r="DL514" s="19" t="s">
        <v>2146</v>
      </c>
      <c r="DM514" s="19" t="s">
        <v>2906</v>
      </c>
      <c r="DN514" s="19">
        <v>18.0</v>
      </c>
      <c r="DO514" s="19">
        <v>18.0</v>
      </c>
      <c r="DP514" s="19" t="s">
        <v>10784</v>
      </c>
      <c r="DQ514" s="19" t="s">
        <v>10785</v>
      </c>
      <c r="DR514" s="19" t="s">
        <v>10786</v>
      </c>
      <c r="DS514" s="19" t="s">
        <v>2151</v>
      </c>
      <c r="DT514" s="19" t="s">
        <v>2209</v>
      </c>
      <c r="DU514" s="19"/>
      <c r="DV514" s="19"/>
      <c r="DW514" s="19" t="s">
        <v>2153</v>
      </c>
      <c r="DX514" s="19">
        <v>12.0</v>
      </c>
      <c r="DY514" s="19">
        <v>0.0</v>
      </c>
      <c r="DZ514" s="19">
        <v>0.0</v>
      </c>
      <c r="EA514" s="19">
        <v>0.0</v>
      </c>
      <c r="EB514" s="19">
        <v>0.0</v>
      </c>
      <c r="EC514" s="19">
        <v>0.0</v>
      </c>
      <c r="ED514" s="19" t="s">
        <v>2133</v>
      </c>
      <c r="EE514" s="24">
        <v>45533.0</v>
      </c>
      <c r="EF514" s="19" t="s">
        <v>2133</v>
      </c>
      <c r="EG514" s="19" t="s">
        <v>2271</v>
      </c>
      <c r="EH514" s="19" t="s">
        <v>2146</v>
      </c>
      <c r="EI514" s="22">
        <v>14.625</v>
      </c>
      <c r="EJ514" s="19">
        <v>44.0</v>
      </c>
      <c r="EK514" s="19" t="s">
        <v>2113</v>
      </c>
      <c r="EL514" s="19" t="s">
        <v>2163</v>
      </c>
      <c r="EM514" s="19" t="s">
        <v>10778</v>
      </c>
      <c r="EN514" s="19" t="s">
        <v>1517</v>
      </c>
      <c r="EO514" s="19" t="s">
        <v>2375</v>
      </c>
      <c r="EP514" s="19" t="s">
        <v>2122</v>
      </c>
      <c r="EQ514" s="19" t="s">
        <v>2382</v>
      </c>
      <c r="ER514" s="19"/>
      <c r="ES514" s="19" t="s">
        <v>1517</v>
      </c>
      <c r="ET514" s="19" t="s">
        <v>1517</v>
      </c>
      <c r="EU514" s="19" t="s">
        <v>10776</v>
      </c>
      <c r="EV514" s="19">
        <v>7195.0</v>
      </c>
      <c r="EW514" s="19" t="s">
        <v>16</v>
      </c>
      <c r="EX514" s="19">
        <v>4.0</v>
      </c>
      <c r="EY514" s="25" t="s">
        <v>1516</v>
      </c>
      <c r="EZ514" s="19" t="s">
        <v>2154</v>
      </c>
      <c r="FA514" s="5" t="s">
        <v>10787</v>
      </c>
      <c r="FB514" s="26" t="s">
        <v>2156</v>
      </c>
      <c r="FC514" s="26"/>
    </row>
    <row r="515">
      <c r="A515" s="19" t="s">
        <v>2112</v>
      </c>
      <c r="B515" s="19"/>
      <c r="C515" s="19" t="s">
        <v>2113</v>
      </c>
      <c r="D515" s="19" t="s">
        <v>1518</v>
      </c>
      <c r="E515" s="19" t="s">
        <v>10788</v>
      </c>
      <c r="F515" s="19" t="s">
        <v>1518</v>
      </c>
      <c r="G515" s="19"/>
      <c r="H515" s="19" t="s">
        <v>1518</v>
      </c>
      <c r="I515" s="19" t="s">
        <v>1520</v>
      </c>
      <c r="J515" s="19" t="s">
        <v>10789</v>
      </c>
      <c r="K515" s="19" t="s">
        <v>10790</v>
      </c>
      <c r="L515" s="20">
        <v>45445.0</v>
      </c>
      <c r="M515" s="20">
        <v>45446.0</v>
      </c>
      <c r="N515" s="20">
        <v>45446.0</v>
      </c>
      <c r="O515" s="19" t="s">
        <v>1519</v>
      </c>
      <c r="P515" s="19">
        <v>0.0</v>
      </c>
      <c r="Q515" s="19">
        <v>24.0</v>
      </c>
      <c r="R515" s="19">
        <v>8838.0</v>
      </c>
      <c r="S515" s="20" t="s">
        <v>10791</v>
      </c>
      <c r="T515" s="20">
        <v>45461.0</v>
      </c>
      <c r="U515" s="19" t="s">
        <v>1518</v>
      </c>
      <c r="V515" s="19"/>
      <c r="W515" s="19"/>
      <c r="X515" s="21">
        <v>0.0</v>
      </c>
      <c r="Y515" s="21">
        <v>0.0</v>
      </c>
      <c r="Z515" s="21">
        <v>3.0</v>
      </c>
      <c r="AA515" s="21">
        <v>0.0</v>
      </c>
      <c r="AB515" s="5">
        <v>3.0</v>
      </c>
      <c r="AC515" s="19">
        <v>5.0</v>
      </c>
      <c r="AD515" s="19">
        <v>5.0</v>
      </c>
      <c r="AE515" s="19">
        <v>5.0</v>
      </c>
      <c r="AF515" s="19">
        <v>5.0</v>
      </c>
      <c r="AG515" s="19">
        <v>5.0</v>
      </c>
      <c r="AH515" s="19">
        <v>4.0</v>
      </c>
      <c r="AI515" s="22">
        <v>14.625</v>
      </c>
      <c r="AJ515" s="19">
        <v>15.0</v>
      </c>
      <c r="AK515" s="19">
        <v>15.0</v>
      </c>
      <c r="AL515" s="19">
        <v>15.0</v>
      </c>
      <c r="AM515" s="19">
        <v>45.0</v>
      </c>
      <c r="AN515" s="19">
        <v>59.6</v>
      </c>
      <c r="AO515" s="19">
        <v>62.6</v>
      </c>
      <c r="AP515" s="19">
        <v>1252.0</v>
      </c>
      <c r="AQ515" s="23">
        <v>506.0</v>
      </c>
      <c r="AR515" s="23">
        <v>34.0</v>
      </c>
      <c r="AS515" s="22"/>
      <c r="AT515" s="19" t="s">
        <v>2117</v>
      </c>
      <c r="AU515" s="19" t="s">
        <v>6581</v>
      </c>
      <c r="AV515" s="19" t="s">
        <v>6582</v>
      </c>
      <c r="AW515" s="19" t="s">
        <v>10792</v>
      </c>
      <c r="AX515" s="20">
        <v>36623.0</v>
      </c>
      <c r="AY515" s="19" t="s">
        <v>3537</v>
      </c>
      <c r="AZ515" s="19" t="s">
        <v>2122</v>
      </c>
      <c r="BA515" s="19" t="s">
        <v>6584</v>
      </c>
      <c r="BB515" s="19" t="s">
        <v>7666</v>
      </c>
      <c r="BC515" s="19" t="s">
        <v>10793</v>
      </c>
      <c r="BD515" s="19" t="s">
        <v>10794</v>
      </c>
      <c r="BE515" s="19" t="s">
        <v>10795</v>
      </c>
      <c r="BF515" s="19">
        <v>1.1945465431E10</v>
      </c>
      <c r="BG515" s="19" t="s">
        <v>2127</v>
      </c>
      <c r="BH515" s="19" t="s">
        <v>2649</v>
      </c>
      <c r="BI515" s="19"/>
      <c r="BJ515" s="19"/>
      <c r="BK515" s="19" t="s">
        <v>16</v>
      </c>
      <c r="BL515" s="19"/>
      <c r="BM515" s="19" t="s">
        <v>5563</v>
      </c>
      <c r="BN515" s="19" t="s">
        <v>17</v>
      </c>
      <c r="BO515" s="19" t="s">
        <v>2473</v>
      </c>
      <c r="BP515" s="19"/>
      <c r="BQ515" s="19" t="s">
        <v>2133</v>
      </c>
      <c r="BR515" s="19" t="s">
        <v>2133</v>
      </c>
      <c r="BS515" s="19" t="s">
        <v>3521</v>
      </c>
      <c r="BT515" s="19" t="s">
        <v>222</v>
      </c>
      <c r="BU515" s="19" t="s">
        <v>10796</v>
      </c>
      <c r="BV515" s="19"/>
      <c r="BW515" s="19" t="s">
        <v>2113</v>
      </c>
      <c r="BX515" s="19"/>
      <c r="BY515" s="19"/>
      <c r="BZ515" s="19"/>
      <c r="CA515" s="19"/>
      <c r="CB515" s="19" t="s">
        <v>2113</v>
      </c>
      <c r="CC515" s="19"/>
      <c r="CD515" s="19" t="s">
        <v>2137</v>
      </c>
      <c r="CE515" s="19" t="s">
        <v>16</v>
      </c>
      <c r="CF515" s="19"/>
      <c r="CG515" s="19"/>
      <c r="CH515" s="19" t="s">
        <v>16</v>
      </c>
      <c r="CI515" s="21">
        <v>0.0</v>
      </c>
      <c r="CJ515" s="19" t="s">
        <v>17</v>
      </c>
      <c r="CK515" s="19"/>
      <c r="CL515" s="19"/>
      <c r="CM515" s="19" t="s">
        <v>2344</v>
      </c>
      <c r="CN515" s="19" t="s">
        <v>3544</v>
      </c>
      <c r="CO515" s="19"/>
      <c r="CP515" s="19"/>
      <c r="CQ515" s="19"/>
      <c r="CR515" s="19" t="s">
        <v>2113</v>
      </c>
      <c r="CS515" s="19" t="s">
        <v>2113</v>
      </c>
      <c r="CT515" s="19" t="s">
        <v>2113</v>
      </c>
      <c r="CU515" s="19" t="s">
        <v>2113</v>
      </c>
      <c r="CV515" s="19" t="s">
        <v>2141</v>
      </c>
      <c r="CW515" s="19" t="s">
        <v>2113</v>
      </c>
      <c r="CX515" s="19" t="s">
        <v>2113</v>
      </c>
      <c r="CY515" s="19" t="s">
        <v>2113</v>
      </c>
      <c r="CZ515" s="19" t="s">
        <v>2113</v>
      </c>
      <c r="DA515" s="19" t="s">
        <v>16</v>
      </c>
      <c r="DB515" s="19" t="s">
        <v>17</v>
      </c>
      <c r="DC515" s="19" t="s">
        <v>2146</v>
      </c>
      <c r="DD515" s="19" t="s">
        <v>2113</v>
      </c>
      <c r="DE515" s="19" t="s">
        <v>2113</v>
      </c>
      <c r="DF515" s="19" t="s">
        <v>2433</v>
      </c>
      <c r="DG515" s="19" t="s">
        <v>2671</v>
      </c>
      <c r="DH515" s="19" t="s">
        <v>2144</v>
      </c>
      <c r="DI515" s="24">
        <v>45526.0</v>
      </c>
      <c r="DJ515" s="19" t="s">
        <v>2133</v>
      </c>
      <c r="DK515" s="19" t="s">
        <v>2271</v>
      </c>
      <c r="DL515" s="19" t="s">
        <v>2146</v>
      </c>
      <c r="DM515" s="19" t="s">
        <v>2805</v>
      </c>
      <c r="DN515" s="19">
        <v>12.0</v>
      </c>
      <c r="DO515" s="19">
        <v>12.0</v>
      </c>
      <c r="DP515" s="19" t="s">
        <v>10797</v>
      </c>
      <c r="DQ515" s="19" t="s">
        <v>10798</v>
      </c>
      <c r="DR515" s="19" t="s">
        <v>10799</v>
      </c>
      <c r="DS515" s="19" t="s">
        <v>2365</v>
      </c>
      <c r="DT515" s="19" t="s">
        <v>2301</v>
      </c>
      <c r="DU515" s="19"/>
      <c r="DV515" s="19"/>
      <c r="DW515" s="19" t="s">
        <v>2153</v>
      </c>
      <c r="DX515" s="19">
        <v>8.0</v>
      </c>
      <c r="DY515" s="19">
        <v>0.0</v>
      </c>
      <c r="DZ515" s="19">
        <v>0.0</v>
      </c>
      <c r="EA515" s="19">
        <v>0.0</v>
      </c>
      <c r="EB515" s="19">
        <v>0.0</v>
      </c>
      <c r="EC515" s="19">
        <v>0.0</v>
      </c>
      <c r="ED515" s="19" t="s">
        <v>2133</v>
      </c>
      <c r="EE515" s="24">
        <v>45526.0</v>
      </c>
      <c r="EF515" s="19" t="s">
        <v>2133</v>
      </c>
      <c r="EG515" s="19" t="s">
        <v>2271</v>
      </c>
      <c r="EH515" s="19" t="s">
        <v>2146</v>
      </c>
      <c r="EI515" s="22">
        <v>14.625</v>
      </c>
      <c r="EJ515" s="19">
        <v>45.0</v>
      </c>
      <c r="EK515" s="19" t="s">
        <v>2113</v>
      </c>
      <c r="EL515" s="19" t="s">
        <v>2117</v>
      </c>
      <c r="EM515" s="19" t="s">
        <v>6581</v>
      </c>
      <c r="EN515" s="19" t="s">
        <v>1520</v>
      </c>
      <c r="EO515" s="19" t="s">
        <v>3537</v>
      </c>
      <c r="EP515" s="19" t="s">
        <v>2122</v>
      </c>
      <c r="EQ515" s="19" t="s">
        <v>3544</v>
      </c>
      <c r="ER515" s="19"/>
      <c r="ES515" s="19" t="s">
        <v>1520</v>
      </c>
      <c r="ET515" s="19" t="s">
        <v>1520</v>
      </c>
      <c r="EU515" s="19" t="s">
        <v>10790</v>
      </c>
      <c r="EV515" s="19">
        <v>8838.0</v>
      </c>
      <c r="EW515" s="19" t="s">
        <v>16</v>
      </c>
      <c r="EX515" s="19">
        <v>3.0</v>
      </c>
      <c r="EY515" s="25" t="s">
        <v>1519</v>
      </c>
      <c r="EZ515" s="19" t="s">
        <v>2154</v>
      </c>
      <c r="FA515" s="5" t="s">
        <v>10800</v>
      </c>
      <c r="FB515" s="26" t="s">
        <v>2156</v>
      </c>
      <c r="FC515" s="26"/>
    </row>
    <row r="516">
      <c r="A516" s="19" t="s">
        <v>2112</v>
      </c>
      <c r="B516" s="19"/>
      <c r="C516" s="19" t="s">
        <v>2113</v>
      </c>
      <c r="D516" s="19" t="s">
        <v>1521</v>
      </c>
      <c r="E516" s="19" t="s">
        <v>10801</v>
      </c>
      <c r="F516" s="19" t="s">
        <v>1521</v>
      </c>
      <c r="G516" s="19"/>
      <c r="H516" s="19" t="s">
        <v>1521</v>
      </c>
      <c r="I516" s="19" t="s">
        <v>1523</v>
      </c>
      <c r="J516" s="19" t="s">
        <v>10802</v>
      </c>
      <c r="K516" s="19" t="s">
        <v>10803</v>
      </c>
      <c r="L516" s="20">
        <v>45454.0</v>
      </c>
      <c r="M516" s="20">
        <v>45455.0</v>
      </c>
      <c r="N516" s="20">
        <v>45455.0</v>
      </c>
      <c r="O516" s="19" t="s">
        <v>1522</v>
      </c>
      <c r="P516" s="19">
        <v>0.0</v>
      </c>
      <c r="Q516" s="19">
        <v>18.0</v>
      </c>
      <c r="R516" s="19">
        <v>6637.0</v>
      </c>
      <c r="S516" s="20" t="s">
        <v>9369</v>
      </c>
      <c r="T516" s="20">
        <v>45461.0</v>
      </c>
      <c r="U516" s="19" t="s">
        <v>1521</v>
      </c>
      <c r="V516" s="19"/>
      <c r="W516" s="19"/>
      <c r="X516" s="21">
        <v>0.0</v>
      </c>
      <c r="Y516" s="21">
        <v>10.0</v>
      </c>
      <c r="Z516" s="21">
        <v>5.0</v>
      </c>
      <c r="AA516" s="21">
        <v>0.0</v>
      </c>
      <c r="AB516" s="5">
        <v>15.0</v>
      </c>
      <c r="AC516" s="19">
        <v>3.0</v>
      </c>
      <c r="AD516" s="19">
        <v>3.0</v>
      </c>
      <c r="AE516" s="19">
        <v>4.0</v>
      </c>
      <c r="AF516" s="19">
        <v>3.0</v>
      </c>
      <c r="AG516" s="19">
        <v>3.0</v>
      </c>
      <c r="AH516" s="19">
        <v>5.0</v>
      </c>
      <c r="AI516" s="22">
        <v>10.5</v>
      </c>
      <c r="AJ516" s="19">
        <v>12.0</v>
      </c>
      <c r="AK516" s="19">
        <v>13.0</v>
      </c>
      <c r="AL516" s="19">
        <v>12.0</v>
      </c>
      <c r="AM516" s="19">
        <v>37.0</v>
      </c>
      <c r="AN516" s="19">
        <v>47.5</v>
      </c>
      <c r="AO516" s="19">
        <v>62.5</v>
      </c>
      <c r="AP516" s="19">
        <v>564.0</v>
      </c>
      <c r="AQ516" s="23">
        <v>507.0</v>
      </c>
      <c r="AR516" s="23">
        <v>73.0</v>
      </c>
      <c r="AS516" s="22"/>
      <c r="AT516" s="19" t="s">
        <v>2117</v>
      </c>
      <c r="AU516" s="19" t="s">
        <v>10804</v>
      </c>
      <c r="AV516" s="19" t="s">
        <v>10805</v>
      </c>
      <c r="AW516" s="19"/>
      <c r="AX516" s="20">
        <v>38824.0</v>
      </c>
      <c r="AY516" s="19" t="s">
        <v>2286</v>
      </c>
      <c r="AZ516" s="19" t="s">
        <v>2122</v>
      </c>
      <c r="BA516" s="19" t="s">
        <v>10806</v>
      </c>
      <c r="BB516" s="19" t="s">
        <v>3248</v>
      </c>
      <c r="BC516" s="19" t="s">
        <v>10807</v>
      </c>
      <c r="BD516" s="19" t="s">
        <v>10808</v>
      </c>
      <c r="BE516" s="19" t="s">
        <v>10809</v>
      </c>
      <c r="BF516" s="19">
        <v>1.1914180866E10</v>
      </c>
      <c r="BG516" s="19" t="s">
        <v>2127</v>
      </c>
      <c r="BH516" s="19" t="s">
        <v>2128</v>
      </c>
      <c r="BI516" s="19"/>
      <c r="BJ516" s="19" t="s">
        <v>2128</v>
      </c>
      <c r="BK516" s="19" t="s">
        <v>17</v>
      </c>
      <c r="BL516" s="19"/>
      <c r="BM516" s="19" t="s">
        <v>5411</v>
      </c>
      <c r="BN516" s="19" t="s">
        <v>2172</v>
      </c>
      <c r="BO516" s="19" t="s">
        <v>2132</v>
      </c>
      <c r="BP516" s="19" t="s">
        <v>10810</v>
      </c>
      <c r="BQ516" s="19" t="s">
        <v>2133</v>
      </c>
      <c r="BR516" s="19" t="s">
        <v>2133</v>
      </c>
      <c r="BS516" s="19" t="s">
        <v>2134</v>
      </c>
      <c r="BT516" s="19" t="s">
        <v>38</v>
      </c>
      <c r="BU516" s="19"/>
      <c r="BV516" s="19"/>
      <c r="BW516" s="19"/>
      <c r="BX516" s="19"/>
      <c r="BY516" s="19" t="s">
        <v>2113</v>
      </c>
      <c r="BZ516" s="19"/>
      <c r="CA516" s="19"/>
      <c r="CB516" s="19" t="s">
        <v>2113</v>
      </c>
      <c r="CC516" s="19"/>
      <c r="CD516" s="19" t="s">
        <v>2137</v>
      </c>
      <c r="CE516" s="19" t="s">
        <v>16</v>
      </c>
      <c r="CF516" s="19"/>
      <c r="CG516" s="19"/>
      <c r="CH516" s="19" t="s">
        <v>16</v>
      </c>
      <c r="CI516" s="21">
        <v>0.0</v>
      </c>
      <c r="CJ516" s="19" t="s">
        <v>17</v>
      </c>
      <c r="CK516" s="19"/>
      <c r="CL516" s="19"/>
      <c r="CM516" s="19" t="s">
        <v>2926</v>
      </c>
      <c r="CN516" s="19" t="s">
        <v>2294</v>
      </c>
      <c r="CO516" s="19"/>
      <c r="CP516" s="19" t="s">
        <v>2134</v>
      </c>
      <c r="CQ516" s="19"/>
      <c r="CR516" s="19"/>
      <c r="CS516" s="19"/>
      <c r="CT516" s="19" t="s">
        <v>2113</v>
      </c>
      <c r="CU516" s="19" t="s">
        <v>2113</v>
      </c>
      <c r="CV516" s="19" t="s">
        <v>2141</v>
      </c>
      <c r="CW516" s="19" t="s">
        <v>2113</v>
      </c>
      <c r="CX516" s="19" t="s">
        <v>2113</v>
      </c>
      <c r="CY516" s="19"/>
      <c r="CZ516" s="19"/>
      <c r="DA516" s="19" t="s">
        <v>16</v>
      </c>
      <c r="DB516" s="19" t="s">
        <v>17</v>
      </c>
      <c r="DC516" s="19" t="s">
        <v>2296</v>
      </c>
      <c r="DD516" s="19" t="s">
        <v>2113</v>
      </c>
      <c r="DE516" s="19" t="s">
        <v>2113</v>
      </c>
      <c r="DF516" s="19" t="s">
        <v>2578</v>
      </c>
      <c r="DG516" s="19" t="s">
        <v>2407</v>
      </c>
      <c r="DH516" s="19" t="s">
        <v>2144</v>
      </c>
      <c r="DI516" s="24">
        <v>45524.0</v>
      </c>
      <c r="DJ516" s="19" t="s">
        <v>2133</v>
      </c>
      <c r="DK516" s="19" t="s">
        <v>2271</v>
      </c>
      <c r="DL516" s="19" t="s">
        <v>2146</v>
      </c>
      <c r="DM516" s="19" t="s">
        <v>2628</v>
      </c>
      <c r="DN516" s="19">
        <v>8.0</v>
      </c>
      <c r="DO516" s="19">
        <v>8.0</v>
      </c>
      <c r="DP516" s="19" t="s">
        <v>10811</v>
      </c>
      <c r="DQ516" s="19" t="s">
        <v>10812</v>
      </c>
      <c r="DR516" s="19" t="s">
        <v>10813</v>
      </c>
      <c r="DS516" s="19" t="s">
        <v>2185</v>
      </c>
      <c r="DT516" s="19" t="s">
        <v>2229</v>
      </c>
      <c r="DU516" s="19"/>
      <c r="DV516" s="19"/>
      <c r="DW516" s="19" t="s">
        <v>2479</v>
      </c>
      <c r="DX516" s="19">
        <v>6.0</v>
      </c>
      <c r="DY516" s="19">
        <v>10.0</v>
      </c>
      <c r="DZ516" s="19">
        <v>0.0</v>
      </c>
      <c r="EA516" s="19">
        <v>10.0</v>
      </c>
      <c r="EB516" s="19">
        <v>0.0</v>
      </c>
      <c r="EC516" s="19">
        <v>0.0</v>
      </c>
      <c r="ED516" s="19" t="s">
        <v>2133</v>
      </c>
      <c r="EE516" s="24">
        <v>45524.0</v>
      </c>
      <c r="EF516" s="19" t="s">
        <v>2133</v>
      </c>
      <c r="EG516" s="19" t="s">
        <v>2271</v>
      </c>
      <c r="EH516" s="19" t="s">
        <v>2146</v>
      </c>
      <c r="EI516" s="22">
        <v>10.5</v>
      </c>
      <c r="EJ516" s="19">
        <v>37.0</v>
      </c>
      <c r="EK516" s="19" t="s">
        <v>2113</v>
      </c>
      <c r="EL516" s="19" t="s">
        <v>2117</v>
      </c>
      <c r="EM516" s="19" t="s">
        <v>10804</v>
      </c>
      <c r="EN516" s="19" t="s">
        <v>1523</v>
      </c>
      <c r="EO516" s="19" t="s">
        <v>2286</v>
      </c>
      <c r="EP516" s="19" t="s">
        <v>2122</v>
      </c>
      <c r="EQ516" s="19" t="s">
        <v>2294</v>
      </c>
      <c r="ER516" s="19"/>
      <c r="ES516" s="19" t="s">
        <v>1523</v>
      </c>
      <c r="ET516" s="19" t="s">
        <v>1523</v>
      </c>
      <c r="EU516" s="19" t="s">
        <v>10803</v>
      </c>
      <c r="EV516" s="19">
        <v>6637.0</v>
      </c>
      <c r="EW516" s="19" t="s">
        <v>16</v>
      </c>
      <c r="EX516" s="19">
        <v>5.0</v>
      </c>
      <c r="EY516" s="25" t="s">
        <v>1522</v>
      </c>
      <c r="EZ516" s="19" t="s">
        <v>2154</v>
      </c>
      <c r="FA516" s="5" t="s">
        <v>10814</v>
      </c>
      <c r="FB516" s="26" t="s">
        <v>2156</v>
      </c>
      <c r="FC516" s="26"/>
    </row>
    <row r="517">
      <c r="A517" s="19" t="s">
        <v>2112</v>
      </c>
      <c r="B517" s="19"/>
      <c r="C517" s="19" t="s">
        <v>2113</v>
      </c>
      <c r="D517" s="19" t="s">
        <v>1524</v>
      </c>
      <c r="E517" s="19" t="s">
        <v>10815</v>
      </c>
      <c r="F517" s="19" t="s">
        <v>10816</v>
      </c>
      <c r="G517" s="19" t="s">
        <v>10817</v>
      </c>
      <c r="H517" s="19" t="s">
        <v>1524</v>
      </c>
      <c r="I517" s="19" t="s">
        <v>1526</v>
      </c>
      <c r="J517" s="19" t="s">
        <v>10818</v>
      </c>
      <c r="K517" s="19" t="s">
        <v>10819</v>
      </c>
      <c r="L517" s="20">
        <v>45460.0</v>
      </c>
      <c r="M517" s="20">
        <v>45462.0</v>
      </c>
      <c r="N517" s="20">
        <v>45462.0</v>
      </c>
      <c r="O517" s="19" t="s">
        <v>1525</v>
      </c>
      <c r="P517" s="19">
        <v>0.0</v>
      </c>
      <c r="Q517" s="19">
        <v>22.0</v>
      </c>
      <c r="R517" s="19">
        <v>8067.0</v>
      </c>
      <c r="S517" s="20" t="s">
        <v>10820</v>
      </c>
      <c r="T517" s="20">
        <v>45461.0</v>
      </c>
      <c r="U517" s="19" t="s">
        <v>10816</v>
      </c>
      <c r="V517" s="19"/>
      <c r="W517" s="19" t="s">
        <v>2131</v>
      </c>
      <c r="X517" s="21">
        <v>0.0</v>
      </c>
      <c r="Y517" s="21">
        <v>10.0</v>
      </c>
      <c r="Z517" s="21">
        <v>1.0</v>
      </c>
      <c r="AA517" s="21">
        <v>0.0</v>
      </c>
      <c r="AB517" s="5">
        <v>11.0</v>
      </c>
      <c r="AC517" s="19">
        <v>4.8</v>
      </c>
      <c r="AD517" s="19">
        <v>4.8</v>
      </c>
      <c r="AE517" s="19">
        <v>5.0</v>
      </c>
      <c r="AF517" s="19">
        <v>4.6</v>
      </c>
      <c r="AG517" s="19">
        <v>4.6</v>
      </c>
      <c r="AH517" s="19">
        <v>5.0</v>
      </c>
      <c r="AI517" s="22">
        <v>14.475000000000001</v>
      </c>
      <c r="AJ517" s="19">
        <v>12.0</v>
      </c>
      <c r="AK517" s="19">
        <v>13.0</v>
      </c>
      <c r="AL517" s="19">
        <v>12.0</v>
      </c>
      <c r="AM517" s="19">
        <v>37.0</v>
      </c>
      <c r="AN517" s="19">
        <v>51.5</v>
      </c>
      <c r="AO517" s="19">
        <v>62.5</v>
      </c>
      <c r="AP517" s="19">
        <v>936.0</v>
      </c>
      <c r="AQ517" s="23">
        <v>508.0</v>
      </c>
      <c r="AR517" s="23">
        <v>63.0</v>
      </c>
      <c r="AS517" s="22"/>
      <c r="AT517" s="19" t="s">
        <v>2163</v>
      </c>
      <c r="AU517" s="19" t="s">
        <v>10821</v>
      </c>
      <c r="AV517" s="19" t="s">
        <v>10822</v>
      </c>
      <c r="AW517" s="19"/>
      <c r="AX517" s="20">
        <v>37394.0</v>
      </c>
      <c r="AY517" s="19" t="s">
        <v>7740</v>
      </c>
      <c r="AZ517" s="19" t="s">
        <v>2122</v>
      </c>
      <c r="BA517" s="19" t="s">
        <v>10823</v>
      </c>
      <c r="BB517" s="19" t="s">
        <v>6686</v>
      </c>
      <c r="BC517" s="19" t="s">
        <v>10824</v>
      </c>
      <c r="BD517" s="19" t="s">
        <v>10825</v>
      </c>
      <c r="BE517" s="19" t="s">
        <v>10818</v>
      </c>
      <c r="BF517" s="19">
        <v>1.1951694371E10</v>
      </c>
      <c r="BG517" s="19" t="s">
        <v>2127</v>
      </c>
      <c r="BH517" s="19" t="s">
        <v>2128</v>
      </c>
      <c r="BI517" s="19"/>
      <c r="BJ517" s="19"/>
      <c r="BK517" s="19"/>
      <c r="BL517" s="19"/>
      <c r="BM517" s="19" t="s">
        <v>5411</v>
      </c>
      <c r="BN517" s="19" t="s">
        <v>17</v>
      </c>
      <c r="BO517" s="19" t="s">
        <v>3082</v>
      </c>
      <c r="BP517" s="19" t="s">
        <v>10826</v>
      </c>
      <c r="BQ517" s="19" t="s">
        <v>2174</v>
      </c>
      <c r="BR517" s="19" t="s">
        <v>2174</v>
      </c>
      <c r="BS517" s="19" t="s">
        <v>2134</v>
      </c>
      <c r="BT517" s="19" t="s">
        <v>21</v>
      </c>
      <c r="BU517" s="19" t="s">
        <v>10827</v>
      </c>
      <c r="BV517" s="19"/>
      <c r="BW517" s="19"/>
      <c r="BX517" s="19"/>
      <c r="BY517" s="19"/>
      <c r="BZ517" s="19"/>
      <c r="CA517" s="19"/>
      <c r="CB517" s="19" t="s">
        <v>2113</v>
      </c>
      <c r="CC517" s="19"/>
      <c r="CD517" s="19" t="s">
        <v>2137</v>
      </c>
      <c r="CE517" s="19" t="s">
        <v>16</v>
      </c>
      <c r="CF517" s="19"/>
      <c r="CG517" s="19"/>
      <c r="CH517" s="19" t="s">
        <v>16</v>
      </c>
      <c r="CI517" s="21">
        <v>0.0</v>
      </c>
      <c r="CJ517" s="19" t="s">
        <v>17</v>
      </c>
      <c r="CK517" s="19"/>
      <c r="CL517" s="19"/>
      <c r="CM517" s="19"/>
      <c r="CN517" s="19" t="s">
        <v>3085</v>
      </c>
      <c r="CO517" s="19"/>
      <c r="CP517" s="19"/>
      <c r="CQ517" s="19"/>
      <c r="CR517" s="19"/>
      <c r="CS517" s="19"/>
      <c r="CT517" s="19" t="s">
        <v>2113</v>
      </c>
      <c r="CU517" s="19" t="s">
        <v>2113</v>
      </c>
      <c r="CV517" s="19" t="s">
        <v>2141</v>
      </c>
      <c r="CW517" s="19" t="s">
        <v>2113</v>
      </c>
      <c r="CX517" s="19" t="s">
        <v>2113</v>
      </c>
      <c r="CY517" s="19" t="s">
        <v>2113</v>
      </c>
      <c r="CZ517" s="19" t="s">
        <v>2113</v>
      </c>
      <c r="DA517" s="19" t="s">
        <v>16</v>
      </c>
      <c r="DB517" s="19" t="s">
        <v>17</v>
      </c>
      <c r="DC517" s="19" t="s">
        <v>2539</v>
      </c>
      <c r="DD517" s="19" t="s">
        <v>2113</v>
      </c>
      <c r="DE517" s="19" t="s">
        <v>2113</v>
      </c>
      <c r="DF517" s="19" t="s">
        <v>2538</v>
      </c>
      <c r="DG517" s="19" t="s">
        <v>4043</v>
      </c>
      <c r="DH517" s="19" t="s">
        <v>2144</v>
      </c>
      <c r="DI517" s="24">
        <v>45526.0</v>
      </c>
      <c r="DJ517" s="19" t="s">
        <v>2174</v>
      </c>
      <c r="DK517" s="19" t="s">
        <v>2145</v>
      </c>
      <c r="DL517" s="19" t="s">
        <v>2183</v>
      </c>
      <c r="DM517" s="19"/>
      <c r="DN517" s="19">
        <v>11.0</v>
      </c>
      <c r="DO517" s="19">
        <v>11.0</v>
      </c>
      <c r="DP517" s="19" t="s">
        <v>10828</v>
      </c>
      <c r="DQ517" s="19" t="s">
        <v>10829</v>
      </c>
      <c r="DR517" s="19" t="s">
        <v>10830</v>
      </c>
      <c r="DS517" s="19" t="s">
        <v>2151</v>
      </c>
      <c r="DT517" s="19" t="s">
        <v>2152</v>
      </c>
      <c r="DU517" s="19"/>
      <c r="DV517" s="19"/>
      <c r="DW517" s="19" t="s">
        <v>2188</v>
      </c>
      <c r="DX517" s="19">
        <v>15.0</v>
      </c>
      <c r="DY517" s="19">
        <v>10.0</v>
      </c>
      <c r="DZ517" s="19">
        <v>0.0</v>
      </c>
      <c r="EA517" s="19">
        <v>10.0</v>
      </c>
      <c r="EB517" s="19">
        <v>0.0</v>
      </c>
      <c r="EC517" s="19">
        <v>0.0</v>
      </c>
      <c r="ED517" s="19" t="s">
        <v>2174</v>
      </c>
      <c r="EE517" s="24">
        <v>45526.0</v>
      </c>
      <c r="EF517" s="19" t="s">
        <v>2174</v>
      </c>
      <c r="EG517" s="19" t="s">
        <v>2145</v>
      </c>
      <c r="EH517" s="19" t="s">
        <v>2183</v>
      </c>
      <c r="EI517" s="22">
        <v>14.475000000000001</v>
      </c>
      <c r="EJ517" s="19">
        <v>37.0</v>
      </c>
      <c r="EK517" s="19" t="s">
        <v>2113</v>
      </c>
      <c r="EL517" s="19" t="s">
        <v>2163</v>
      </c>
      <c r="EM517" s="19" t="s">
        <v>10821</v>
      </c>
      <c r="EN517" s="19" t="s">
        <v>1526</v>
      </c>
      <c r="EO517" s="19" t="s">
        <v>7740</v>
      </c>
      <c r="EP517" s="19" t="s">
        <v>2122</v>
      </c>
      <c r="EQ517" s="19" t="s">
        <v>3085</v>
      </c>
      <c r="ER517" s="19"/>
      <c r="ES517" s="19" t="s">
        <v>1526</v>
      </c>
      <c r="ET517" s="19" t="s">
        <v>1526</v>
      </c>
      <c r="EU517" s="19" t="s">
        <v>10819</v>
      </c>
      <c r="EV517" s="19">
        <v>8067.0</v>
      </c>
      <c r="EW517" s="19" t="s">
        <v>16</v>
      </c>
      <c r="EX517" s="19">
        <v>1.0</v>
      </c>
      <c r="EY517" s="25" t="s">
        <v>1525</v>
      </c>
      <c r="EZ517" s="19" t="s">
        <v>2154</v>
      </c>
      <c r="FA517" s="5" t="s">
        <v>10831</v>
      </c>
      <c r="FB517" s="26" t="s">
        <v>2156</v>
      </c>
      <c r="FC517" s="26"/>
    </row>
    <row r="518">
      <c r="A518" s="19" t="s">
        <v>17</v>
      </c>
      <c r="B518" s="19"/>
      <c r="C518" s="19" t="s">
        <v>2113</v>
      </c>
      <c r="D518" s="19" t="s">
        <v>1527</v>
      </c>
      <c r="E518" s="19" t="s">
        <v>10832</v>
      </c>
      <c r="F518" s="19" t="s">
        <v>10833</v>
      </c>
      <c r="G518" s="19" t="s">
        <v>10834</v>
      </c>
      <c r="H518" s="19" t="s">
        <v>1527</v>
      </c>
      <c r="I518" s="19" t="s">
        <v>1529</v>
      </c>
      <c r="J518" s="19" t="s">
        <v>10835</v>
      </c>
      <c r="K518" s="19" t="s">
        <v>10836</v>
      </c>
      <c r="L518" s="20">
        <v>45460.0</v>
      </c>
      <c r="M518" s="20">
        <v>45462.0</v>
      </c>
      <c r="N518" s="20">
        <v>45462.0</v>
      </c>
      <c r="O518" s="19" t="s">
        <v>1528</v>
      </c>
      <c r="P518" s="19">
        <v>0.0</v>
      </c>
      <c r="Q518" s="19">
        <v>26.0</v>
      </c>
      <c r="R518" s="19">
        <v>9756.0</v>
      </c>
      <c r="S518" s="20" t="s">
        <v>10837</v>
      </c>
      <c r="T518" s="20">
        <v>45461.0</v>
      </c>
      <c r="U518" s="19" t="s">
        <v>10838</v>
      </c>
      <c r="V518" s="19"/>
      <c r="W518" s="19"/>
      <c r="X518" s="21">
        <v>0.0</v>
      </c>
      <c r="Y518" s="21">
        <v>3.0</v>
      </c>
      <c r="Z518" s="21">
        <v>4.0</v>
      </c>
      <c r="AA518" s="21">
        <v>0.0</v>
      </c>
      <c r="AB518" s="5">
        <v>7.0</v>
      </c>
      <c r="AC518" s="19">
        <v>5.0</v>
      </c>
      <c r="AD518" s="19">
        <v>4.0</v>
      </c>
      <c r="AE518" s="19">
        <v>4.0</v>
      </c>
      <c r="AF518" s="19">
        <v>4.0</v>
      </c>
      <c r="AG518" s="19">
        <v>4.0</v>
      </c>
      <c r="AH518" s="19">
        <v>4.0</v>
      </c>
      <c r="AI518" s="22">
        <v>12.46875</v>
      </c>
      <c r="AJ518" s="19">
        <v>13.0</v>
      </c>
      <c r="AK518" s="19">
        <v>15.0</v>
      </c>
      <c r="AL518" s="19">
        <v>15.0</v>
      </c>
      <c r="AM518" s="19">
        <v>43.0</v>
      </c>
      <c r="AN518" s="19">
        <v>55.5</v>
      </c>
      <c r="AO518" s="19">
        <v>62.5</v>
      </c>
      <c r="AP518" s="19">
        <v>1008.0</v>
      </c>
      <c r="AQ518" s="23">
        <v>509.0</v>
      </c>
      <c r="AR518" s="23">
        <v>43.0</v>
      </c>
      <c r="AS518" s="22"/>
      <c r="AT518" s="19" t="s">
        <v>2163</v>
      </c>
      <c r="AU518" s="19" t="s">
        <v>3661</v>
      </c>
      <c r="AV518" s="19" t="s">
        <v>10839</v>
      </c>
      <c r="AW518" s="19"/>
      <c r="AX518" s="20">
        <v>35705.0</v>
      </c>
      <c r="AY518" s="19" t="s">
        <v>2619</v>
      </c>
      <c r="AZ518" s="19" t="s">
        <v>2310</v>
      </c>
      <c r="BA518" s="19" t="s">
        <v>10840</v>
      </c>
      <c r="BB518" s="19" t="s">
        <v>7175</v>
      </c>
      <c r="BC518" s="19" t="s">
        <v>10841</v>
      </c>
      <c r="BD518" s="19" t="s">
        <v>10842</v>
      </c>
      <c r="BE518" s="19" t="s">
        <v>10835</v>
      </c>
      <c r="BF518" s="19">
        <v>1.1990174418E10</v>
      </c>
      <c r="BG518" s="19" t="s">
        <v>4005</v>
      </c>
      <c r="BH518" s="19" t="s">
        <v>2128</v>
      </c>
      <c r="BI518" s="19"/>
      <c r="BJ518" s="19" t="s">
        <v>2128</v>
      </c>
      <c r="BK518" s="19" t="s">
        <v>17</v>
      </c>
      <c r="BL518" s="19" t="s">
        <v>2113</v>
      </c>
      <c r="BM518" s="19" t="s">
        <v>5411</v>
      </c>
      <c r="BN518" s="19" t="s">
        <v>17</v>
      </c>
      <c r="BO518" s="19" t="s">
        <v>2317</v>
      </c>
      <c r="BP518" s="19" t="s">
        <v>10843</v>
      </c>
      <c r="BQ518" s="19" t="s">
        <v>2133</v>
      </c>
      <c r="BR518" s="19" t="s">
        <v>2133</v>
      </c>
      <c r="BS518" s="19" t="s">
        <v>3521</v>
      </c>
      <c r="BT518" s="19" t="s">
        <v>52</v>
      </c>
      <c r="BU518" s="19" t="s">
        <v>10844</v>
      </c>
      <c r="BV518" s="19"/>
      <c r="BW518" s="19"/>
      <c r="BX518" s="19"/>
      <c r="BY518" s="19" t="s">
        <v>2113</v>
      </c>
      <c r="BZ518" s="19" t="s">
        <v>2113</v>
      </c>
      <c r="CA518" s="19"/>
      <c r="CB518" s="19"/>
      <c r="CC518" s="19" t="s">
        <v>2113</v>
      </c>
      <c r="CD518" s="19" t="s">
        <v>2137</v>
      </c>
      <c r="CE518" s="19" t="s">
        <v>16</v>
      </c>
      <c r="CF518" s="19"/>
      <c r="CG518" s="19"/>
      <c r="CH518" s="19" t="s">
        <v>16</v>
      </c>
      <c r="CI518" s="21">
        <v>0.0</v>
      </c>
      <c r="CJ518" s="19" t="s">
        <v>17</v>
      </c>
      <c r="CK518" s="19"/>
      <c r="CL518" s="19" t="s">
        <v>2113</v>
      </c>
      <c r="CM518" s="19" t="s">
        <v>2138</v>
      </c>
      <c r="CN518" s="19" t="s">
        <v>2626</v>
      </c>
      <c r="CO518" s="19"/>
      <c r="CP518" s="19" t="s">
        <v>2225</v>
      </c>
      <c r="CQ518" s="19" t="s">
        <v>2113</v>
      </c>
      <c r="CR518" s="19"/>
      <c r="CS518" s="19"/>
      <c r="CT518" s="19" t="s">
        <v>2113</v>
      </c>
      <c r="CU518" s="19" t="s">
        <v>2113</v>
      </c>
      <c r="CV518" s="19" t="s">
        <v>2141</v>
      </c>
      <c r="CW518" s="19"/>
      <c r="CX518" s="19"/>
      <c r="CY518" s="19" t="s">
        <v>2113</v>
      </c>
      <c r="CZ518" s="19" t="s">
        <v>2113</v>
      </c>
      <c r="DA518" s="19" t="s">
        <v>16</v>
      </c>
      <c r="DB518" s="19" t="s">
        <v>17</v>
      </c>
      <c r="DC518" s="19" t="s">
        <v>2142</v>
      </c>
      <c r="DD518" s="19" t="s">
        <v>2113</v>
      </c>
      <c r="DE518" s="19" t="s">
        <v>2113</v>
      </c>
      <c r="DF518" s="19" t="s">
        <v>2433</v>
      </c>
      <c r="DG518" s="19" t="s">
        <v>2627</v>
      </c>
      <c r="DH518" s="19" t="s">
        <v>2144</v>
      </c>
      <c r="DI518" s="24">
        <v>45518.0</v>
      </c>
      <c r="DJ518" s="19" t="s">
        <v>2133</v>
      </c>
      <c r="DK518" s="19" t="s">
        <v>2145</v>
      </c>
      <c r="DL518" s="19" t="s">
        <v>2146</v>
      </c>
      <c r="DM518" s="19" t="s">
        <v>2672</v>
      </c>
      <c r="DN518" s="19">
        <v>3.0</v>
      </c>
      <c r="DO518" s="19">
        <v>3.0</v>
      </c>
      <c r="DP518" s="19" t="s">
        <v>10845</v>
      </c>
      <c r="DQ518" s="19" t="s">
        <v>10846</v>
      </c>
      <c r="DR518" s="19" t="s">
        <v>10847</v>
      </c>
      <c r="DS518" s="19" t="s">
        <v>2365</v>
      </c>
      <c r="DT518" s="19" t="s">
        <v>2186</v>
      </c>
      <c r="DU518" s="19"/>
      <c r="DV518" s="19"/>
      <c r="DW518" s="19" t="s">
        <v>2153</v>
      </c>
      <c r="DX518" s="19">
        <v>8.0</v>
      </c>
      <c r="DY518" s="19">
        <v>3.0</v>
      </c>
      <c r="DZ518" s="19">
        <v>0.0</v>
      </c>
      <c r="EA518" s="19">
        <v>3.0</v>
      </c>
      <c r="EB518" s="19">
        <v>0.0</v>
      </c>
      <c r="EC518" s="19">
        <v>0.0</v>
      </c>
      <c r="ED518" s="19" t="s">
        <v>2133</v>
      </c>
      <c r="EE518" s="24">
        <v>45518.0</v>
      </c>
      <c r="EF518" s="19" t="s">
        <v>2133</v>
      </c>
      <c r="EG518" s="19" t="s">
        <v>2145</v>
      </c>
      <c r="EH518" s="19" t="s">
        <v>2146</v>
      </c>
      <c r="EI518" s="22">
        <v>12.46875</v>
      </c>
      <c r="EJ518" s="19">
        <v>43.0</v>
      </c>
      <c r="EK518" s="19" t="s">
        <v>2113</v>
      </c>
      <c r="EL518" s="19" t="s">
        <v>2163</v>
      </c>
      <c r="EM518" s="19" t="s">
        <v>3661</v>
      </c>
      <c r="EN518" s="19" t="s">
        <v>1529</v>
      </c>
      <c r="EO518" s="19" t="s">
        <v>2619</v>
      </c>
      <c r="EP518" s="19" t="s">
        <v>2310</v>
      </c>
      <c r="EQ518" s="19" t="s">
        <v>2626</v>
      </c>
      <c r="ER518" s="19"/>
      <c r="ES518" s="19" t="s">
        <v>1529</v>
      </c>
      <c r="ET518" s="19" t="s">
        <v>1529</v>
      </c>
      <c r="EU518" s="19" t="s">
        <v>10836</v>
      </c>
      <c r="EV518" s="19">
        <v>9756.0</v>
      </c>
      <c r="EW518" s="19" t="s">
        <v>16</v>
      </c>
      <c r="EX518" s="19">
        <v>4.0</v>
      </c>
      <c r="EY518" s="25" t="s">
        <v>1528</v>
      </c>
      <c r="EZ518" s="19" t="s">
        <v>2154</v>
      </c>
      <c r="FA518" s="5" t="s">
        <v>10848</v>
      </c>
      <c r="FB518" s="26" t="s">
        <v>2156</v>
      </c>
      <c r="FC518" s="26"/>
    </row>
    <row r="519">
      <c r="A519" s="19" t="s">
        <v>2156</v>
      </c>
      <c r="B519" s="19"/>
      <c r="C519" s="19" t="s">
        <v>2113</v>
      </c>
      <c r="D519" s="19" t="s">
        <v>1530</v>
      </c>
      <c r="E519" s="19" t="s">
        <v>10849</v>
      </c>
      <c r="F519" s="19" t="s">
        <v>1530</v>
      </c>
      <c r="G519" s="19" t="s">
        <v>10849</v>
      </c>
      <c r="H519" s="19" t="s">
        <v>1530</v>
      </c>
      <c r="I519" s="19" t="s">
        <v>1532</v>
      </c>
      <c r="J519" s="19" t="s">
        <v>10850</v>
      </c>
      <c r="K519" s="19" t="s">
        <v>10851</v>
      </c>
      <c r="L519" s="20">
        <v>45460.0</v>
      </c>
      <c r="M519" s="20">
        <v>45462.0</v>
      </c>
      <c r="N519" s="20">
        <v>45462.0</v>
      </c>
      <c r="O519" s="19" t="s">
        <v>1531</v>
      </c>
      <c r="P519" s="19">
        <v>0.0</v>
      </c>
      <c r="Q519" s="19">
        <v>22.0</v>
      </c>
      <c r="R519" s="19">
        <v>8359.0</v>
      </c>
      <c r="S519" s="20" t="s">
        <v>3094</v>
      </c>
      <c r="T519" s="20">
        <v>45461.0</v>
      </c>
      <c r="U519" s="19" t="s">
        <v>1530</v>
      </c>
      <c r="V519" s="19"/>
      <c r="W519" s="19"/>
      <c r="X519" s="21">
        <v>0.0</v>
      </c>
      <c r="Y519" s="21">
        <v>0.0</v>
      </c>
      <c r="Z519" s="21">
        <v>4.0</v>
      </c>
      <c r="AA519" s="21">
        <v>0.0</v>
      </c>
      <c r="AB519" s="5">
        <v>4.0</v>
      </c>
      <c r="AC519" s="19">
        <v>4.5</v>
      </c>
      <c r="AD519" s="19">
        <v>4.5</v>
      </c>
      <c r="AE519" s="19">
        <v>5.0</v>
      </c>
      <c r="AF519" s="19">
        <v>4.5</v>
      </c>
      <c r="AG519" s="19">
        <v>4.0</v>
      </c>
      <c r="AH519" s="19">
        <v>4.0</v>
      </c>
      <c r="AI519" s="22">
        <v>13.5</v>
      </c>
      <c r="AJ519" s="19">
        <v>15.0</v>
      </c>
      <c r="AK519" s="19">
        <v>15.0</v>
      </c>
      <c r="AL519" s="19">
        <v>15.0</v>
      </c>
      <c r="AM519" s="19">
        <v>45.0</v>
      </c>
      <c r="AN519" s="19">
        <v>58.5</v>
      </c>
      <c r="AO519" s="19">
        <v>62.5</v>
      </c>
      <c r="AP519" s="19">
        <v>1185.0</v>
      </c>
      <c r="AQ519" s="23">
        <v>510.0</v>
      </c>
      <c r="AR519" s="23">
        <v>36.0</v>
      </c>
      <c r="AS519" s="22"/>
      <c r="AT519" s="19" t="s">
        <v>2117</v>
      </c>
      <c r="AU519" s="19" t="s">
        <v>10852</v>
      </c>
      <c r="AV519" s="19" t="s">
        <v>10853</v>
      </c>
      <c r="AW519" s="19"/>
      <c r="AX519" s="20">
        <v>37102.0</v>
      </c>
      <c r="AY519" s="19" t="s">
        <v>2702</v>
      </c>
      <c r="AZ519" s="19" t="s">
        <v>2310</v>
      </c>
      <c r="BA519" s="19" t="s">
        <v>10854</v>
      </c>
      <c r="BB519" s="19" t="s">
        <v>7355</v>
      </c>
      <c r="BC519" s="19" t="s">
        <v>10855</v>
      </c>
      <c r="BD519" s="19" t="s">
        <v>10856</v>
      </c>
      <c r="BE519" s="19" t="s">
        <v>10850</v>
      </c>
      <c r="BF519" s="19">
        <v>1.1970318362E10</v>
      </c>
      <c r="BG519" s="19" t="s">
        <v>2127</v>
      </c>
      <c r="BH519" s="19" t="s">
        <v>2128</v>
      </c>
      <c r="BI519" s="19"/>
      <c r="BJ519" s="19"/>
      <c r="BK519" s="19" t="s">
        <v>16</v>
      </c>
      <c r="BL519" s="19"/>
      <c r="BM519" s="19" t="s">
        <v>5411</v>
      </c>
      <c r="BN519" s="19" t="s">
        <v>17</v>
      </c>
      <c r="BO519" s="19" t="s">
        <v>2317</v>
      </c>
      <c r="BP519" s="19" t="s">
        <v>10857</v>
      </c>
      <c r="BQ519" s="19" t="s">
        <v>2318</v>
      </c>
      <c r="BR519" s="19" t="s">
        <v>2318</v>
      </c>
      <c r="BS519" s="19" t="s">
        <v>3521</v>
      </c>
      <c r="BT519" s="19" t="s">
        <v>42</v>
      </c>
      <c r="BU519" s="19" t="s">
        <v>10858</v>
      </c>
      <c r="BV519" s="19"/>
      <c r="BW519" s="19" t="s">
        <v>2113</v>
      </c>
      <c r="BX519" s="19"/>
      <c r="BY519" s="19"/>
      <c r="BZ519" s="19"/>
      <c r="CA519" s="19"/>
      <c r="CB519" s="19" t="s">
        <v>2113</v>
      </c>
      <c r="CC519" s="19"/>
      <c r="CD519" s="19" t="s">
        <v>2137</v>
      </c>
      <c r="CE519" s="19" t="s">
        <v>16</v>
      </c>
      <c r="CF519" s="19"/>
      <c r="CG519" s="19"/>
      <c r="CH519" s="19" t="s">
        <v>16</v>
      </c>
      <c r="CI519" s="21">
        <v>0.0</v>
      </c>
      <c r="CJ519" s="19" t="s">
        <v>17</v>
      </c>
      <c r="CK519" s="19"/>
      <c r="CL519" s="19"/>
      <c r="CM519" s="19" t="s">
        <v>2344</v>
      </c>
      <c r="CN519" s="19" t="s">
        <v>2321</v>
      </c>
      <c r="CO519" s="19"/>
      <c r="CP519" s="19"/>
      <c r="CQ519" s="19"/>
      <c r="CR519" s="19" t="s">
        <v>2113</v>
      </c>
      <c r="CS519" s="19" t="s">
        <v>2113</v>
      </c>
      <c r="CT519" s="19" t="s">
        <v>2113</v>
      </c>
      <c r="CU519" s="19" t="s">
        <v>2113</v>
      </c>
      <c r="CV519" s="19" t="s">
        <v>2141</v>
      </c>
      <c r="CW519" s="19" t="s">
        <v>2113</v>
      </c>
      <c r="CX519" s="19" t="s">
        <v>2113</v>
      </c>
      <c r="CY519" s="19" t="s">
        <v>2113</v>
      </c>
      <c r="CZ519" s="19" t="s">
        <v>2113</v>
      </c>
      <c r="DA519" s="19" t="s">
        <v>16</v>
      </c>
      <c r="DB519" s="19" t="s">
        <v>17</v>
      </c>
      <c r="DC519" s="19" t="s">
        <v>2324</v>
      </c>
      <c r="DD519" s="19" t="s">
        <v>2113</v>
      </c>
      <c r="DE519" s="19" t="s">
        <v>2113</v>
      </c>
      <c r="DF519" s="19" t="s">
        <v>2433</v>
      </c>
      <c r="DG519" s="19" t="s">
        <v>3280</v>
      </c>
      <c r="DH519" s="19" t="s">
        <v>2144</v>
      </c>
      <c r="DI519" s="24">
        <v>45519.0</v>
      </c>
      <c r="DJ519" s="19" t="s">
        <v>2325</v>
      </c>
      <c r="DK519" s="19" t="s">
        <v>2271</v>
      </c>
      <c r="DL519" s="19" t="s">
        <v>2326</v>
      </c>
      <c r="DM519" s="19"/>
      <c r="DN519" s="19">
        <v>6.0</v>
      </c>
      <c r="DO519" s="19">
        <v>6.0</v>
      </c>
      <c r="DP519" s="19" t="s">
        <v>10859</v>
      </c>
      <c r="DQ519" s="19" t="s">
        <v>10860</v>
      </c>
      <c r="DR519" s="19" t="s">
        <v>10861</v>
      </c>
      <c r="DS519" s="19" t="s">
        <v>2185</v>
      </c>
      <c r="DT519" s="19" t="s">
        <v>2366</v>
      </c>
      <c r="DU519" s="19"/>
      <c r="DV519" s="19"/>
      <c r="DW519" s="19" t="s">
        <v>2479</v>
      </c>
      <c r="DX519" s="19">
        <v>6.0</v>
      </c>
      <c r="DY519" s="19">
        <v>0.0</v>
      </c>
      <c r="DZ519" s="19">
        <v>0.0</v>
      </c>
      <c r="EA519" s="19">
        <v>0.0</v>
      </c>
      <c r="EB519" s="19">
        <v>0.0</v>
      </c>
      <c r="EC519" s="19">
        <v>0.0</v>
      </c>
      <c r="ED519" s="19" t="s">
        <v>2325</v>
      </c>
      <c r="EE519" s="24">
        <v>45519.0</v>
      </c>
      <c r="EF519" s="19" t="s">
        <v>2325</v>
      </c>
      <c r="EG519" s="19" t="s">
        <v>2271</v>
      </c>
      <c r="EH519" s="19" t="s">
        <v>2326</v>
      </c>
      <c r="EI519" s="22">
        <v>13.5</v>
      </c>
      <c r="EJ519" s="19">
        <v>45.0</v>
      </c>
      <c r="EK519" s="19" t="s">
        <v>2113</v>
      </c>
      <c r="EL519" s="19" t="s">
        <v>2117</v>
      </c>
      <c r="EM519" s="19" t="s">
        <v>10852</v>
      </c>
      <c r="EN519" s="19" t="s">
        <v>1532</v>
      </c>
      <c r="EO519" s="19" t="s">
        <v>2702</v>
      </c>
      <c r="EP519" s="19" t="s">
        <v>2310</v>
      </c>
      <c r="EQ519" s="19" t="s">
        <v>2321</v>
      </c>
      <c r="ER519" s="19"/>
      <c r="ES519" s="19" t="s">
        <v>1532</v>
      </c>
      <c r="ET519" s="19" t="s">
        <v>1532</v>
      </c>
      <c r="EU519" s="19" t="s">
        <v>10851</v>
      </c>
      <c r="EV519" s="19">
        <v>8359.0</v>
      </c>
      <c r="EW519" s="19" t="s">
        <v>16</v>
      </c>
      <c r="EX519" s="19">
        <v>4.0</v>
      </c>
      <c r="EY519" s="25" t="s">
        <v>1531</v>
      </c>
      <c r="EZ519" s="19" t="s">
        <v>2154</v>
      </c>
      <c r="FA519" s="5" t="s">
        <v>10862</v>
      </c>
      <c r="FB519" s="26" t="s">
        <v>2156</v>
      </c>
      <c r="FC519" s="26"/>
    </row>
    <row r="520">
      <c r="A520" s="19" t="s">
        <v>2112</v>
      </c>
      <c r="B520" s="19"/>
      <c r="C520" s="19" t="s">
        <v>2113</v>
      </c>
      <c r="D520" s="19" t="s">
        <v>10863</v>
      </c>
      <c r="E520" s="19" t="s">
        <v>10864</v>
      </c>
      <c r="F520" s="19" t="s">
        <v>10863</v>
      </c>
      <c r="G520" s="19"/>
      <c r="H520" s="19" t="s">
        <v>1533</v>
      </c>
      <c r="I520" s="19" t="s">
        <v>1535</v>
      </c>
      <c r="J520" s="19" t="s">
        <v>10865</v>
      </c>
      <c r="K520" s="19" t="s">
        <v>10866</v>
      </c>
      <c r="L520" s="20">
        <v>45446.0</v>
      </c>
      <c r="M520" s="20">
        <v>45446.0</v>
      </c>
      <c r="N520" s="20">
        <v>45446.0</v>
      </c>
      <c r="O520" s="19" t="s">
        <v>1534</v>
      </c>
      <c r="P520" s="19">
        <v>0.0</v>
      </c>
      <c r="Q520" s="19">
        <v>22.0</v>
      </c>
      <c r="R520" s="19">
        <v>8162.0</v>
      </c>
      <c r="S520" s="20" t="s">
        <v>10867</v>
      </c>
      <c r="T520" s="20">
        <v>45461.0</v>
      </c>
      <c r="U520" s="19" t="s">
        <v>10863</v>
      </c>
      <c r="V520" s="19"/>
      <c r="W520" s="19" t="s">
        <v>10868</v>
      </c>
      <c r="X520" s="21">
        <v>0.0</v>
      </c>
      <c r="Y520" s="21">
        <v>0.0</v>
      </c>
      <c r="Z520" s="21">
        <v>5.0</v>
      </c>
      <c r="AA520" s="21">
        <v>0.0</v>
      </c>
      <c r="AB520" s="5">
        <v>5.0</v>
      </c>
      <c r="AC520" s="19">
        <v>4.0</v>
      </c>
      <c r="AD520" s="19">
        <v>4.0</v>
      </c>
      <c r="AE520" s="19">
        <v>4.0</v>
      </c>
      <c r="AF520" s="19">
        <v>5.0</v>
      </c>
      <c r="AG520" s="19">
        <v>4.0</v>
      </c>
      <c r="AH520" s="19">
        <v>4.0</v>
      </c>
      <c r="AI520" s="22">
        <v>12.375</v>
      </c>
      <c r="AJ520" s="19">
        <v>15.0</v>
      </c>
      <c r="AK520" s="19">
        <v>15.0</v>
      </c>
      <c r="AL520" s="19">
        <v>15.0</v>
      </c>
      <c r="AM520" s="19">
        <v>45.0</v>
      </c>
      <c r="AN520" s="19">
        <v>57.4</v>
      </c>
      <c r="AO520" s="19">
        <v>62.4</v>
      </c>
      <c r="AP520" s="19">
        <v>1094.0</v>
      </c>
      <c r="AQ520" s="23">
        <v>511.0</v>
      </c>
      <c r="AR520" s="23">
        <v>39.0</v>
      </c>
      <c r="AS520" s="22"/>
      <c r="AT520" s="19" t="s">
        <v>2992</v>
      </c>
      <c r="AU520" s="19" t="s">
        <v>10869</v>
      </c>
      <c r="AV520" s="19" t="s">
        <v>10870</v>
      </c>
      <c r="AW520" s="19" t="s">
        <v>10871</v>
      </c>
      <c r="AX520" s="20">
        <v>37299.0</v>
      </c>
      <c r="AY520" s="19" t="s">
        <v>2529</v>
      </c>
      <c r="AZ520" s="19" t="s">
        <v>2445</v>
      </c>
      <c r="BA520" s="19" t="s">
        <v>10872</v>
      </c>
      <c r="BB520" s="19" t="s">
        <v>10873</v>
      </c>
      <c r="BC520" s="19" t="s">
        <v>10874</v>
      </c>
      <c r="BD520" s="19" t="s">
        <v>6525</v>
      </c>
      <c r="BE520" s="19" t="s">
        <v>10865</v>
      </c>
      <c r="BF520" s="19">
        <v>1.1959784198E10</v>
      </c>
      <c r="BG520" s="19" t="s">
        <v>4038</v>
      </c>
      <c r="BH520" s="19" t="s">
        <v>2128</v>
      </c>
      <c r="BI520" s="19"/>
      <c r="BJ520" s="19" t="s">
        <v>2129</v>
      </c>
      <c r="BK520" s="19" t="s">
        <v>17</v>
      </c>
      <c r="BL520" s="19" t="s">
        <v>2113</v>
      </c>
      <c r="BM520" s="19" t="s">
        <v>5411</v>
      </c>
      <c r="BN520" s="19" t="s">
        <v>17</v>
      </c>
      <c r="BO520" s="19" t="s">
        <v>2132</v>
      </c>
      <c r="BP520" s="19"/>
      <c r="BQ520" s="19" t="s">
        <v>2174</v>
      </c>
      <c r="BR520" s="19" t="s">
        <v>2174</v>
      </c>
      <c r="BS520" s="19" t="s">
        <v>2243</v>
      </c>
      <c r="BT520" s="19" t="s">
        <v>75</v>
      </c>
      <c r="BU520" s="19" t="s">
        <v>4060</v>
      </c>
      <c r="BV520" s="19"/>
      <c r="BW520" s="19"/>
      <c r="BX520" s="19"/>
      <c r="BY520" s="19" t="s">
        <v>2113</v>
      </c>
      <c r="BZ520" s="19"/>
      <c r="CA520" s="19" t="s">
        <v>2113</v>
      </c>
      <c r="CB520" s="19" t="s">
        <v>2113</v>
      </c>
      <c r="CC520" s="19"/>
      <c r="CD520" s="19" t="s">
        <v>2137</v>
      </c>
      <c r="CE520" s="19" t="s">
        <v>16</v>
      </c>
      <c r="CF520" s="19" t="s">
        <v>2113</v>
      </c>
      <c r="CG520" s="19"/>
      <c r="CH520" s="19" t="s">
        <v>16</v>
      </c>
      <c r="CI520" s="21">
        <v>0.0</v>
      </c>
      <c r="CJ520" s="19" t="s">
        <v>16</v>
      </c>
      <c r="CK520" s="19"/>
      <c r="CL520" s="19"/>
      <c r="CM520" s="19" t="s">
        <v>2344</v>
      </c>
      <c r="CN520" s="19" t="s">
        <v>2537</v>
      </c>
      <c r="CO520" s="19"/>
      <c r="CP520" s="19" t="s">
        <v>2246</v>
      </c>
      <c r="CQ520" s="19"/>
      <c r="CR520" s="19" t="s">
        <v>2113</v>
      </c>
      <c r="CS520" s="19" t="s">
        <v>2113</v>
      </c>
      <c r="CT520" s="19" t="s">
        <v>2113</v>
      </c>
      <c r="CU520" s="19" t="s">
        <v>2113</v>
      </c>
      <c r="CV520" s="19" t="s">
        <v>2141</v>
      </c>
      <c r="CW520" s="19"/>
      <c r="CX520" s="19"/>
      <c r="CY520" s="19"/>
      <c r="CZ520" s="19"/>
      <c r="DA520" s="19" t="s">
        <v>16</v>
      </c>
      <c r="DB520" s="19" t="s">
        <v>16</v>
      </c>
      <c r="DC520" s="19" t="s">
        <v>2181</v>
      </c>
      <c r="DD520" s="19" t="s">
        <v>2113</v>
      </c>
      <c r="DE520" s="19" t="s">
        <v>2113</v>
      </c>
      <c r="DF520" s="19" t="s">
        <v>2180</v>
      </c>
      <c r="DG520" s="19" t="s">
        <v>2539</v>
      </c>
      <c r="DH520" s="19" t="s">
        <v>2144</v>
      </c>
      <c r="DI520" s="24">
        <v>45525.0</v>
      </c>
      <c r="DJ520" s="19" t="s">
        <v>2174</v>
      </c>
      <c r="DK520" s="19" t="s">
        <v>2271</v>
      </c>
      <c r="DL520" s="19" t="s">
        <v>2183</v>
      </c>
      <c r="DM520" s="19" t="s">
        <v>2249</v>
      </c>
      <c r="DN520" s="19">
        <v>10.0</v>
      </c>
      <c r="DO520" s="19">
        <v>10.0</v>
      </c>
      <c r="DP520" s="19" t="s">
        <v>10875</v>
      </c>
      <c r="DQ520" s="19" t="s">
        <v>10876</v>
      </c>
      <c r="DR520" s="19" t="s">
        <v>10877</v>
      </c>
      <c r="DS520" s="19" t="s">
        <v>2151</v>
      </c>
      <c r="DT520" s="19" t="s">
        <v>2186</v>
      </c>
      <c r="DU520" s="19"/>
      <c r="DV520" s="19"/>
      <c r="DW520" s="19" t="s">
        <v>2188</v>
      </c>
      <c r="DX520" s="19">
        <v>15.0</v>
      </c>
      <c r="DY520" s="19">
        <v>0.0</v>
      </c>
      <c r="DZ520" s="19">
        <v>0.0</v>
      </c>
      <c r="EA520" s="19">
        <v>0.0</v>
      </c>
      <c r="EB520" s="19">
        <v>0.0</v>
      </c>
      <c r="EC520" s="19">
        <v>0.0</v>
      </c>
      <c r="ED520" s="19" t="s">
        <v>2174</v>
      </c>
      <c r="EE520" s="24">
        <v>45525.0</v>
      </c>
      <c r="EF520" s="19" t="s">
        <v>2174</v>
      </c>
      <c r="EG520" s="19" t="s">
        <v>2271</v>
      </c>
      <c r="EH520" s="19" t="s">
        <v>2183</v>
      </c>
      <c r="EI520" s="22">
        <v>12.375</v>
      </c>
      <c r="EJ520" s="19">
        <v>45.0</v>
      </c>
      <c r="EK520" s="19"/>
      <c r="EL520" s="19" t="s">
        <v>2992</v>
      </c>
      <c r="EM520" s="19" t="s">
        <v>10869</v>
      </c>
      <c r="EN520" s="19" t="s">
        <v>1535</v>
      </c>
      <c r="EO520" s="19" t="s">
        <v>2529</v>
      </c>
      <c r="EP520" s="19" t="s">
        <v>2445</v>
      </c>
      <c r="EQ520" s="19" t="s">
        <v>2537</v>
      </c>
      <c r="ER520" s="19"/>
      <c r="ES520" s="19" t="s">
        <v>1535</v>
      </c>
      <c r="ET520" s="19" t="s">
        <v>1535</v>
      </c>
      <c r="EU520" s="19" t="s">
        <v>10866</v>
      </c>
      <c r="EV520" s="19">
        <v>8162.0</v>
      </c>
      <c r="EW520" s="19" t="s">
        <v>16</v>
      </c>
      <c r="EX520" s="19">
        <v>5.0</v>
      </c>
      <c r="EY520" s="25" t="s">
        <v>1534</v>
      </c>
      <c r="EZ520" s="19" t="s">
        <v>2154</v>
      </c>
      <c r="FA520" s="5" t="s">
        <v>10878</v>
      </c>
      <c r="FB520" s="26" t="s">
        <v>2156</v>
      </c>
      <c r="FC520" s="26"/>
    </row>
    <row r="521">
      <c r="A521" s="19" t="s">
        <v>2112</v>
      </c>
      <c r="B521" s="19"/>
      <c r="C521" s="19" t="s">
        <v>2113</v>
      </c>
      <c r="D521" s="19" t="s">
        <v>1536</v>
      </c>
      <c r="E521" s="19" t="s">
        <v>10879</v>
      </c>
      <c r="F521" s="19" t="s">
        <v>1536</v>
      </c>
      <c r="G521" s="19"/>
      <c r="H521" s="19" t="s">
        <v>1536</v>
      </c>
      <c r="I521" s="19" t="s">
        <v>1538</v>
      </c>
      <c r="J521" s="19" t="s">
        <v>10880</v>
      </c>
      <c r="K521" s="19" t="s">
        <v>10881</v>
      </c>
      <c r="L521" s="20">
        <v>45400.0</v>
      </c>
      <c r="M521" s="20">
        <v>45411.0</v>
      </c>
      <c r="N521" s="20">
        <v>45411.0</v>
      </c>
      <c r="O521" s="19" t="s">
        <v>1537</v>
      </c>
      <c r="P521" s="19">
        <v>0.0</v>
      </c>
      <c r="Q521" s="19">
        <v>23.0</v>
      </c>
      <c r="R521" s="19">
        <v>8682.0</v>
      </c>
      <c r="S521" s="20" t="s">
        <v>10882</v>
      </c>
      <c r="T521" s="20">
        <v>45461.0</v>
      </c>
      <c r="U521" s="19" t="s">
        <v>1536</v>
      </c>
      <c r="V521" s="19"/>
      <c r="W521" s="19" t="s">
        <v>10883</v>
      </c>
      <c r="X521" s="21">
        <v>0.0</v>
      </c>
      <c r="Y521" s="21">
        <v>0.0</v>
      </c>
      <c r="Z521" s="21">
        <v>5.0</v>
      </c>
      <c r="AA521" s="21">
        <v>0.0</v>
      </c>
      <c r="AB521" s="5">
        <v>5.0</v>
      </c>
      <c r="AC521" s="19">
        <v>4.0</v>
      </c>
      <c r="AD521" s="19">
        <v>4.2</v>
      </c>
      <c r="AE521" s="19">
        <v>4.2</v>
      </c>
      <c r="AF521" s="19">
        <v>4.4</v>
      </c>
      <c r="AG521" s="19">
        <v>3.8</v>
      </c>
      <c r="AH521" s="19">
        <v>4.0</v>
      </c>
      <c r="AI521" s="22">
        <v>12.356250000000001</v>
      </c>
      <c r="AJ521" s="19">
        <v>15.0</v>
      </c>
      <c r="AK521" s="19">
        <v>15.0</v>
      </c>
      <c r="AL521" s="19">
        <v>15.0</v>
      </c>
      <c r="AM521" s="19">
        <v>45.0</v>
      </c>
      <c r="AN521" s="19">
        <v>57.4</v>
      </c>
      <c r="AO521" s="19">
        <v>62.4</v>
      </c>
      <c r="AP521" s="19">
        <v>1069.0</v>
      </c>
      <c r="AQ521" s="23">
        <v>512.0</v>
      </c>
      <c r="AR521" s="23">
        <v>40.0</v>
      </c>
      <c r="AS521" s="22"/>
      <c r="AT521" s="19" t="s">
        <v>2117</v>
      </c>
      <c r="AU521" s="19" t="s">
        <v>10884</v>
      </c>
      <c r="AV521" s="19" t="s">
        <v>10885</v>
      </c>
      <c r="AW521" s="19" t="s">
        <v>10886</v>
      </c>
      <c r="AX521" s="20">
        <v>36779.0</v>
      </c>
      <c r="AY521" s="19" t="s">
        <v>2529</v>
      </c>
      <c r="AZ521" s="19" t="s">
        <v>2310</v>
      </c>
      <c r="BA521" s="19" t="s">
        <v>10887</v>
      </c>
      <c r="BB521" s="19" t="s">
        <v>5660</v>
      </c>
      <c r="BC521" s="19" t="s">
        <v>10888</v>
      </c>
      <c r="BD521" s="19" t="s">
        <v>10889</v>
      </c>
      <c r="BE521" s="19" t="s">
        <v>10880</v>
      </c>
      <c r="BF521" s="19">
        <v>1.1976495766E10</v>
      </c>
      <c r="BG521" s="19" t="s">
        <v>4038</v>
      </c>
      <c r="BH521" s="19" t="s">
        <v>2128</v>
      </c>
      <c r="BI521" s="19"/>
      <c r="BJ521" s="19" t="s">
        <v>2129</v>
      </c>
      <c r="BK521" s="19" t="s">
        <v>17</v>
      </c>
      <c r="BL521" s="19" t="s">
        <v>2113</v>
      </c>
      <c r="BM521" s="19" t="s">
        <v>5411</v>
      </c>
      <c r="BN521" s="19" t="s">
        <v>17</v>
      </c>
      <c r="BO521" s="19" t="s">
        <v>2132</v>
      </c>
      <c r="BP521" s="19"/>
      <c r="BQ521" s="19" t="s">
        <v>2174</v>
      </c>
      <c r="BR521" s="19" t="s">
        <v>2174</v>
      </c>
      <c r="BS521" s="19" t="s">
        <v>2134</v>
      </c>
      <c r="BT521" s="19" t="s">
        <v>75</v>
      </c>
      <c r="BU521" s="19" t="s">
        <v>10890</v>
      </c>
      <c r="BV521" s="19"/>
      <c r="BW521" s="19"/>
      <c r="BX521" s="19" t="s">
        <v>2113</v>
      </c>
      <c r="BY521" s="19" t="s">
        <v>2113</v>
      </c>
      <c r="BZ521" s="19" t="s">
        <v>2113</v>
      </c>
      <c r="CA521" s="19" t="s">
        <v>2113</v>
      </c>
      <c r="CB521" s="19" t="s">
        <v>2113</v>
      </c>
      <c r="CC521" s="19"/>
      <c r="CD521" s="19" t="s">
        <v>2137</v>
      </c>
      <c r="CE521" s="19" t="s">
        <v>16</v>
      </c>
      <c r="CF521" s="19"/>
      <c r="CG521" s="19"/>
      <c r="CH521" s="19" t="s">
        <v>16</v>
      </c>
      <c r="CI521" s="21">
        <v>0.0</v>
      </c>
      <c r="CJ521" s="19" t="s">
        <v>16</v>
      </c>
      <c r="CK521" s="19"/>
      <c r="CL521" s="19"/>
      <c r="CM521" s="19" t="s">
        <v>2138</v>
      </c>
      <c r="CN521" s="19" t="s">
        <v>2537</v>
      </c>
      <c r="CO521" s="19"/>
      <c r="CP521" s="19" t="s">
        <v>2246</v>
      </c>
      <c r="CQ521" s="19"/>
      <c r="CR521" s="19"/>
      <c r="CS521" s="19"/>
      <c r="CT521" s="19" t="s">
        <v>2113</v>
      </c>
      <c r="CU521" s="19" t="s">
        <v>2113</v>
      </c>
      <c r="CV521" s="19" t="s">
        <v>2141</v>
      </c>
      <c r="CW521" s="19" t="s">
        <v>2113</v>
      </c>
      <c r="CX521" s="19" t="s">
        <v>2113</v>
      </c>
      <c r="CY521" s="19" t="s">
        <v>2113</v>
      </c>
      <c r="CZ521" s="19" t="s">
        <v>2113</v>
      </c>
      <c r="DA521" s="19" t="s">
        <v>16</v>
      </c>
      <c r="DB521" s="19" t="s">
        <v>16</v>
      </c>
      <c r="DC521" s="19" t="s">
        <v>4042</v>
      </c>
      <c r="DD521" s="19" t="s">
        <v>2113</v>
      </c>
      <c r="DE521" s="19" t="s">
        <v>2113</v>
      </c>
      <c r="DF521" s="19" t="s">
        <v>2538</v>
      </c>
      <c r="DG521" s="19" t="s">
        <v>4791</v>
      </c>
      <c r="DH521" s="19" t="s">
        <v>2144</v>
      </c>
      <c r="DI521" s="24">
        <v>45525.0</v>
      </c>
      <c r="DJ521" s="19" t="s">
        <v>2174</v>
      </c>
      <c r="DK521" s="19" t="s">
        <v>2271</v>
      </c>
      <c r="DL521" s="19" t="s">
        <v>2183</v>
      </c>
      <c r="DM521" s="19" t="s">
        <v>2249</v>
      </c>
      <c r="DN521" s="19">
        <v>10.0</v>
      </c>
      <c r="DO521" s="19">
        <v>10.0</v>
      </c>
      <c r="DP521" s="19" t="s">
        <v>10891</v>
      </c>
      <c r="DQ521" s="19" t="s">
        <v>10892</v>
      </c>
      <c r="DR521" s="19" t="s">
        <v>10893</v>
      </c>
      <c r="DS521" s="19" t="s">
        <v>2151</v>
      </c>
      <c r="DT521" s="19" t="s">
        <v>2301</v>
      </c>
      <c r="DU521" s="19"/>
      <c r="DV521" s="19"/>
      <c r="DW521" s="19" t="s">
        <v>2479</v>
      </c>
      <c r="DX521" s="19">
        <v>16.0</v>
      </c>
      <c r="DY521" s="19">
        <v>0.0</v>
      </c>
      <c r="DZ521" s="19">
        <v>0.0</v>
      </c>
      <c r="EA521" s="19">
        <v>0.0</v>
      </c>
      <c r="EB521" s="19">
        <v>0.0</v>
      </c>
      <c r="EC521" s="19">
        <v>0.0</v>
      </c>
      <c r="ED521" s="19" t="s">
        <v>2174</v>
      </c>
      <c r="EE521" s="24">
        <v>45525.0</v>
      </c>
      <c r="EF521" s="19" t="s">
        <v>2174</v>
      </c>
      <c r="EG521" s="19" t="s">
        <v>2271</v>
      </c>
      <c r="EH521" s="19" t="s">
        <v>2183</v>
      </c>
      <c r="EI521" s="22">
        <v>12.356250000000001</v>
      </c>
      <c r="EJ521" s="19">
        <v>45.0</v>
      </c>
      <c r="EK521" s="19"/>
      <c r="EL521" s="19" t="s">
        <v>2117</v>
      </c>
      <c r="EM521" s="19" t="s">
        <v>10884</v>
      </c>
      <c r="EN521" s="19" t="s">
        <v>1538</v>
      </c>
      <c r="EO521" s="19" t="s">
        <v>2529</v>
      </c>
      <c r="EP521" s="19" t="s">
        <v>2310</v>
      </c>
      <c r="EQ521" s="19" t="s">
        <v>2537</v>
      </c>
      <c r="ER521" s="19"/>
      <c r="ES521" s="19" t="s">
        <v>1538</v>
      </c>
      <c r="ET521" s="19" t="s">
        <v>1538</v>
      </c>
      <c r="EU521" s="19" t="s">
        <v>10881</v>
      </c>
      <c r="EV521" s="19">
        <v>8682.0</v>
      </c>
      <c r="EW521" s="19" t="s">
        <v>16</v>
      </c>
      <c r="EX521" s="19">
        <v>5.0</v>
      </c>
      <c r="EY521" s="25" t="s">
        <v>1537</v>
      </c>
      <c r="EZ521" s="19" t="s">
        <v>2154</v>
      </c>
      <c r="FA521" s="5" t="s">
        <v>10894</v>
      </c>
      <c r="FB521" s="26" t="s">
        <v>2156</v>
      </c>
      <c r="FC521" s="26"/>
    </row>
    <row r="522">
      <c r="A522" s="19" t="s">
        <v>17</v>
      </c>
      <c r="B522" s="19"/>
      <c r="C522" s="19" t="s">
        <v>2113</v>
      </c>
      <c r="D522" s="19" t="s">
        <v>1539</v>
      </c>
      <c r="E522" s="19" t="s">
        <v>10895</v>
      </c>
      <c r="F522" s="19" t="s">
        <v>1539</v>
      </c>
      <c r="G522" s="19"/>
      <c r="H522" s="19" t="s">
        <v>1539</v>
      </c>
      <c r="I522" s="19" t="s">
        <v>1541</v>
      </c>
      <c r="J522" s="19" t="s">
        <v>10896</v>
      </c>
      <c r="K522" s="19" t="s">
        <v>10897</v>
      </c>
      <c r="L522" s="20">
        <v>45446.0</v>
      </c>
      <c r="M522" s="20">
        <v>45446.0</v>
      </c>
      <c r="N522" s="20">
        <v>45446.0</v>
      </c>
      <c r="O522" s="19" t="s">
        <v>1540</v>
      </c>
      <c r="P522" s="19">
        <v>0.0</v>
      </c>
      <c r="Q522" s="19">
        <v>24.0</v>
      </c>
      <c r="R522" s="19">
        <v>8898.0</v>
      </c>
      <c r="S522" s="20" t="s">
        <v>10898</v>
      </c>
      <c r="T522" s="20">
        <v>45461.0</v>
      </c>
      <c r="U522" s="19" t="s">
        <v>1539</v>
      </c>
      <c r="V522" s="19"/>
      <c r="W522" s="19"/>
      <c r="X522" s="21">
        <v>0.0</v>
      </c>
      <c r="Y522" s="21">
        <v>0.0</v>
      </c>
      <c r="Z522" s="21">
        <v>3.0</v>
      </c>
      <c r="AA522" s="21">
        <v>0.0</v>
      </c>
      <c r="AB522" s="5">
        <v>3.0</v>
      </c>
      <c r="AC522" s="19">
        <v>5.0</v>
      </c>
      <c r="AD522" s="19">
        <v>5.0</v>
      </c>
      <c r="AE522" s="19">
        <v>5.0</v>
      </c>
      <c r="AF522" s="19">
        <v>4.5</v>
      </c>
      <c r="AG522" s="19">
        <v>4.5</v>
      </c>
      <c r="AH522" s="19">
        <v>4.5</v>
      </c>
      <c r="AI522" s="22">
        <v>14.4375</v>
      </c>
      <c r="AJ522" s="19">
        <v>15.0</v>
      </c>
      <c r="AK522" s="19">
        <v>15.0</v>
      </c>
      <c r="AL522" s="19">
        <v>15.0</v>
      </c>
      <c r="AM522" s="19">
        <v>45.0</v>
      </c>
      <c r="AN522" s="19">
        <v>59.4</v>
      </c>
      <c r="AO522" s="19">
        <v>62.4</v>
      </c>
      <c r="AP522" s="19">
        <v>1250.0</v>
      </c>
      <c r="AQ522" s="23">
        <v>513.0</v>
      </c>
      <c r="AR522" s="23">
        <v>29.0</v>
      </c>
      <c r="AS522" s="22" t="s">
        <v>4071</v>
      </c>
      <c r="AT522" s="19" t="s">
        <v>2163</v>
      </c>
      <c r="AU522" s="19" t="s">
        <v>4072</v>
      </c>
      <c r="AV522" s="19" t="s">
        <v>4073</v>
      </c>
      <c r="AW522" s="19" t="s">
        <v>10899</v>
      </c>
      <c r="AX522" s="20">
        <v>36563.0</v>
      </c>
      <c r="AY522" s="19" t="s">
        <v>3826</v>
      </c>
      <c r="AZ522" s="19" t="s">
        <v>2445</v>
      </c>
      <c r="BA522" s="19" t="s">
        <v>4075</v>
      </c>
      <c r="BB522" s="19" t="s">
        <v>4076</v>
      </c>
      <c r="BC522" s="19" t="s">
        <v>10900</v>
      </c>
      <c r="BD522" s="19" t="s">
        <v>10901</v>
      </c>
      <c r="BE522" s="19" t="s">
        <v>10902</v>
      </c>
      <c r="BF522" s="19">
        <v>1.4981195344E10</v>
      </c>
      <c r="BG522" s="19" t="s">
        <v>4038</v>
      </c>
      <c r="BH522" s="19" t="s">
        <v>2128</v>
      </c>
      <c r="BI522" s="19"/>
      <c r="BJ522" s="19" t="s">
        <v>2128</v>
      </c>
      <c r="BK522" s="19" t="s">
        <v>17</v>
      </c>
      <c r="BL522" s="19"/>
      <c r="BM522" s="19" t="s">
        <v>5411</v>
      </c>
      <c r="BN522" s="19" t="s">
        <v>5055</v>
      </c>
      <c r="BO522" s="19" t="s">
        <v>2473</v>
      </c>
      <c r="BP522" s="19" t="s">
        <v>10903</v>
      </c>
      <c r="BQ522" s="19" t="s">
        <v>3832</v>
      </c>
      <c r="BR522" s="19" t="s">
        <v>3832</v>
      </c>
      <c r="BS522" s="19" t="s">
        <v>3521</v>
      </c>
      <c r="BT522" s="19" t="s">
        <v>268</v>
      </c>
      <c r="BU522" s="19" t="s">
        <v>10904</v>
      </c>
      <c r="BV522" s="19"/>
      <c r="BW522" s="19" t="s">
        <v>2113</v>
      </c>
      <c r="BX522" s="19"/>
      <c r="BY522" s="19"/>
      <c r="BZ522" s="19"/>
      <c r="CA522" s="19"/>
      <c r="CB522" s="19" t="s">
        <v>2113</v>
      </c>
      <c r="CC522" s="19"/>
      <c r="CD522" s="19" t="s">
        <v>2137</v>
      </c>
      <c r="CE522" s="19" t="s">
        <v>16</v>
      </c>
      <c r="CF522" s="19"/>
      <c r="CG522" s="19"/>
      <c r="CH522" s="19" t="s">
        <v>16</v>
      </c>
      <c r="CI522" s="21">
        <v>0.0</v>
      </c>
      <c r="CJ522" s="19" t="s">
        <v>17</v>
      </c>
      <c r="CK522" s="19"/>
      <c r="CL522" s="19"/>
      <c r="CM522" s="19" t="s">
        <v>2138</v>
      </c>
      <c r="CN522" s="19" t="s">
        <v>3835</v>
      </c>
      <c r="CO522" s="19"/>
      <c r="CP522" s="19" t="s">
        <v>4631</v>
      </c>
      <c r="CQ522" s="19"/>
      <c r="CR522" s="19" t="s">
        <v>2113</v>
      </c>
      <c r="CS522" s="19" t="s">
        <v>2113</v>
      </c>
      <c r="CT522" s="19" t="s">
        <v>2113</v>
      </c>
      <c r="CU522" s="19" t="s">
        <v>2113</v>
      </c>
      <c r="CV522" s="19" t="s">
        <v>2141</v>
      </c>
      <c r="CW522" s="19" t="s">
        <v>2113</v>
      </c>
      <c r="CX522" s="19" t="s">
        <v>2113</v>
      </c>
      <c r="CY522" s="19"/>
      <c r="CZ522" s="19"/>
      <c r="DA522" s="19" t="s">
        <v>16</v>
      </c>
      <c r="DB522" s="19" t="s">
        <v>17</v>
      </c>
      <c r="DC522" s="19" t="s">
        <v>3836</v>
      </c>
      <c r="DD522" s="19" t="s">
        <v>2113</v>
      </c>
      <c r="DE522" s="19" t="s">
        <v>2113</v>
      </c>
      <c r="DF522" s="19" t="s">
        <v>2602</v>
      </c>
      <c r="DG522" s="19" t="s">
        <v>3163</v>
      </c>
      <c r="DH522" s="19" t="s">
        <v>2144</v>
      </c>
      <c r="DI522" s="24">
        <v>45519.0</v>
      </c>
      <c r="DJ522" s="19" t="s">
        <v>3257</v>
      </c>
      <c r="DK522" s="19" t="s">
        <v>2145</v>
      </c>
      <c r="DL522" s="19" t="s">
        <v>2207</v>
      </c>
      <c r="DM522" s="19" t="s">
        <v>4615</v>
      </c>
      <c r="DN522" s="19">
        <v>2.0</v>
      </c>
      <c r="DO522" s="19">
        <v>2.0</v>
      </c>
      <c r="DP522" s="19" t="s">
        <v>10905</v>
      </c>
      <c r="DQ522" s="19" t="s">
        <v>10906</v>
      </c>
      <c r="DR522" s="19" t="s">
        <v>10907</v>
      </c>
      <c r="DS522" s="19" t="s">
        <v>2185</v>
      </c>
      <c r="DT522" s="19" t="s">
        <v>2229</v>
      </c>
      <c r="DU522" s="19"/>
      <c r="DV522" s="19"/>
      <c r="DW522" s="19" t="s">
        <v>2153</v>
      </c>
      <c r="DX522" s="19">
        <v>2.0</v>
      </c>
      <c r="DY522" s="19">
        <v>0.0</v>
      </c>
      <c r="DZ522" s="19">
        <v>0.0</v>
      </c>
      <c r="EA522" s="19">
        <v>0.0</v>
      </c>
      <c r="EB522" s="19">
        <v>0.0</v>
      </c>
      <c r="EC522" s="19">
        <v>0.0</v>
      </c>
      <c r="ED522" s="19" t="s">
        <v>3257</v>
      </c>
      <c r="EE522" s="24">
        <v>45519.0</v>
      </c>
      <c r="EF522" s="19" t="s">
        <v>3257</v>
      </c>
      <c r="EG522" s="19" t="s">
        <v>2145</v>
      </c>
      <c r="EH522" s="19" t="s">
        <v>2207</v>
      </c>
      <c r="EI522" s="22">
        <v>14.4375</v>
      </c>
      <c r="EJ522" s="19">
        <v>45.0</v>
      </c>
      <c r="EK522" s="19" t="s">
        <v>2113</v>
      </c>
      <c r="EL522" s="19" t="s">
        <v>2163</v>
      </c>
      <c r="EM522" s="19" t="s">
        <v>4072</v>
      </c>
      <c r="EN522" s="19" t="s">
        <v>1541</v>
      </c>
      <c r="EO522" s="19" t="s">
        <v>3826</v>
      </c>
      <c r="EP522" s="19" t="s">
        <v>2445</v>
      </c>
      <c r="EQ522" s="19" t="s">
        <v>3835</v>
      </c>
      <c r="ER522" s="19"/>
      <c r="ES522" s="19" t="s">
        <v>1541</v>
      </c>
      <c r="ET522" s="19" t="s">
        <v>1541</v>
      </c>
      <c r="EU522" s="19" t="s">
        <v>10897</v>
      </c>
      <c r="EV522" s="19">
        <v>8898.0</v>
      </c>
      <c r="EW522" s="19" t="s">
        <v>16</v>
      </c>
      <c r="EX522" s="19">
        <v>3.0</v>
      </c>
      <c r="EY522" s="25" t="s">
        <v>1540</v>
      </c>
      <c r="EZ522" s="19" t="s">
        <v>2154</v>
      </c>
      <c r="FA522" s="5" t="s">
        <v>10908</v>
      </c>
      <c r="FB522" s="26" t="s">
        <v>2156</v>
      </c>
      <c r="FC522" s="26"/>
    </row>
    <row r="523">
      <c r="A523" s="19" t="s">
        <v>2112</v>
      </c>
      <c r="B523" s="19"/>
      <c r="C523" s="19" t="s">
        <v>2113</v>
      </c>
      <c r="D523" s="19" t="s">
        <v>1542</v>
      </c>
      <c r="E523" s="19" t="s">
        <v>10909</v>
      </c>
      <c r="F523" s="19" t="s">
        <v>1542</v>
      </c>
      <c r="G523" s="19"/>
      <c r="H523" s="19" t="s">
        <v>1542</v>
      </c>
      <c r="I523" s="19" t="s">
        <v>1544</v>
      </c>
      <c r="J523" s="19" t="s">
        <v>10910</v>
      </c>
      <c r="K523" s="19" t="s">
        <v>10911</v>
      </c>
      <c r="L523" s="20">
        <v>45397.0</v>
      </c>
      <c r="M523" s="20">
        <v>45411.0</v>
      </c>
      <c r="N523" s="20">
        <v>45411.0</v>
      </c>
      <c r="O523" s="19" t="s">
        <v>1543</v>
      </c>
      <c r="P523" s="19">
        <v>0.0</v>
      </c>
      <c r="Q523" s="19">
        <v>23.0</v>
      </c>
      <c r="R523" s="19">
        <v>8403.0</v>
      </c>
      <c r="S523" s="20" t="s">
        <v>10912</v>
      </c>
      <c r="T523" s="20">
        <v>45461.0</v>
      </c>
      <c r="U523" s="19" t="s">
        <v>1542</v>
      </c>
      <c r="V523" s="19"/>
      <c r="W523" s="19"/>
      <c r="X523" s="21">
        <v>0.0</v>
      </c>
      <c r="Y523" s="21">
        <v>5.0</v>
      </c>
      <c r="Z523" s="21">
        <v>5.0</v>
      </c>
      <c r="AA523" s="21">
        <v>0.0</v>
      </c>
      <c r="AB523" s="5">
        <v>10.0</v>
      </c>
      <c r="AC523" s="19">
        <v>5.0</v>
      </c>
      <c r="AD523" s="19">
        <v>5.0</v>
      </c>
      <c r="AE523" s="19">
        <v>4.0</v>
      </c>
      <c r="AF523" s="19">
        <v>5.0</v>
      </c>
      <c r="AG523" s="19">
        <v>5.0</v>
      </c>
      <c r="AH523" s="19">
        <v>5.0</v>
      </c>
      <c r="AI523" s="22">
        <v>14.25</v>
      </c>
      <c r="AJ523" s="19">
        <v>13.0</v>
      </c>
      <c r="AK523" s="19">
        <v>12.0</v>
      </c>
      <c r="AL523" s="19">
        <v>13.0</v>
      </c>
      <c r="AM523" s="19">
        <v>38.0</v>
      </c>
      <c r="AN523" s="19">
        <v>52.3</v>
      </c>
      <c r="AO523" s="19">
        <v>62.3</v>
      </c>
      <c r="AP523" s="19">
        <v>959.0</v>
      </c>
      <c r="AQ523" s="23">
        <v>514.0</v>
      </c>
      <c r="AR523" s="23">
        <v>74.0</v>
      </c>
      <c r="AS523" s="22"/>
      <c r="AT523" s="19" t="s">
        <v>2117</v>
      </c>
      <c r="AU523" s="19" t="s">
        <v>2592</v>
      </c>
      <c r="AV523" s="19" t="s">
        <v>5961</v>
      </c>
      <c r="AW523" s="19" t="s">
        <v>10913</v>
      </c>
      <c r="AX523" s="20">
        <v>37058.0</v>
      </c>
      <c r="AY523" s="19" t="s">
        <v>2286</v>
      </c>
      <c r="AZ523" s="19" t="s">
        <v>2310</v>
      </c>
      <c r="BA523" s="19" t="s">
        <v>5963</v>
      </c>
      <c r="BB523" s="19" t="s">
        <v>10914</v>
      </c>
      <c r="BC523" s="19" t="s">
        <v>10915</v>
      </c>
      <c r="BD523" s="19" t="s">
        <v>10916</v>
      </c>
      <c r="BE523" s="19" t="s">
        <v>10917</v>
      </c>
      <c r="BF523" s="19">
        <v>1.1971014478E10</v>
      </c>
      <c r="BG523" s="19" t="s">
        <v>3518</v>
      </c>
      <c r="BH523" s="19" t="s">
        <v>2128</v>
      </c>
      <c r="BI523" s="19"/>
      <c r="BJ523" s="19" t="s">
        <v>2427</v>
      </c>
      <c r="BK523" s="19" t="s">
        <v>17</v>
      </c>
      <c r="BL523" s="19"/>
      <c r="BM523" s="19" t="s">
        <v>5411</v>
      </c>
      <c r="BN523" s="19" t="s">
        <v>17</v>
      </c>
      <c r="BO523" s="19" t="s">
        <v>2132</v>
      </c>
      <c r="BP523" s="19" t="s">
        <v>10918</v>
      </c>
      <c r="BQ523" s="19" t="s">
        <v>2133</v>
      </c>
      <c r="BR523" s="19" t="s">
        <v>2133</v>
      </c>
      <c r="BS523" s="19" t="s">
        <v>2243</v>
      </c>
      <c r="BT523" s="19" t="s">
        <v>38</v>
      </c>
      <c r="BU523" s="19" t="s">
        <v>10919</v>
      </c>
      <c r="BV523" s="19"/>
      <c r="BW523" s="19" t="s">
        <v>2113</v>
      </c>
      <c r="BX523" s="19"/>
      <c r="BY523" s="19"/>
      <c r="BZ523" s="19"/>
      <c r="CA523" s="19"/>
      <c r="CB523" s="19" t="s">
        <v>2113</v>
      </c>
      <c r="CC523" s="19"/>
      <c r="CD523" s="19" t="s">
        <v>2137</v>
      </c>
      <c r="CE523" s="19" t="s">
        <v>16</v>
      </c>
      <c r="CF523" s="19"/>
      <c r="CG523" s="19"/>
      <c r="CH523" s="19" t="s">
        <v>16</v>
      </c>
      <c r="CI523" s="21">
        <v>0.0</v>
      </c>
      <c r="CJ523" s="19" t="s">
        <v>17</v>
      </c>
      <c r="CK523" s="19"/>
      <c r="CL523" s="19"/>
      <c r="CM523" s="19" t="s">
        <v>2138</v>
      </c>
      <c r="CN523" s="19" t="s">
        <v>2294</v>
      </c>
      <c r="CO523" s="19"/>
      <c r="CP523" s="19" t="s">
        <v>2246</v>
      </c>
      <c r="CQ523" s="19"/>
      <c r="CR523" s="19" t="s">
        <v>2113</v>
      </c>
      <c r="CS523" s="19" t="s">
        <v>2113</v>
      </c>
      <c r="CT523" s="19" t="s">
        <v>2113</v>
      </c>
      <c r="CU523" s="19" t="s">
        <v>2113</v>
      </c>
      <c r="CV523" s="19" t="s">
        <v>2141</v>
      </c>
      <c r="CW523" s="19" t="s">
        <v>2113</v>
      </c>
      <c r="CX523" s="19" t="s">
        <v>2113</v>
      </c>
      <c r="CY523" s="19" t="s">
        <v>2113</v>
      </c>
      <c r="CZ523" s="19" t="s">
        <v>2113</v>
      </c>
      <c r="DA523" s="19" t="s">
        <v>16</v>
      </c>
      <c r="DB523" s="19" t="s">
        <v>17</v>
      </c>
      <c r="DC523" s="19" t="s">
        <v>2296</v>
      </c>
      <c r="DD523" s="19" t="s">
        <v>2113</v>
      </c>
      <c r="DE523" s="19" t="s">
        <v>2113</v>
      </c>
      <c r="DF523" s="19" t="s">
        <v>2578</v>
      </c>
      <c r="DG523" s="19" t="s">
        <v>2433</v>
      </c>
      <c r="DH523" s="19" t="s">
        <v>2144</v>
      </c>
      <c r="DI523" s="24">
        <v>45526.0</v>
      </c>
      <c r="DJ523" s="19" t="s">
        <v>2133</v>
      </c>
      <c r="DK523" s="19" t="s">
        <v>2145</v>
      </c>
      <c r="DL523" s="19" t="s">
        <v>2146</v>
      </c>
      <c r="DM523" s="19" t="s">
        <v>3338</v>
      </c>
      <c r="DN523" s="19">
        <v>11.0</v>
      </c>
      <c r="DO523" s="19">
        <v>11.0</v>
      </c>
      <c r="DP523" s="19" t="s">
        <v>10920</v>
      </c>
      <c r="DQ523" s="19" t="s">
        <v>10921</v>
      </c>
      <c r="DR523" s="19" t="s">
        <v>10922</v>
      </c>
      <c r="DS523" s="19" t="s">
        <v>2185</v>
      </c>
      <c r="DT523" s="19" t="s">
        <v>2152</v>
      </c>
      <c r="DU523" s="19"/>
      <c r="DV523" s="19"/>
      <c r="DW523" s="19" t="s">
        <v>2479</v>
      </c>
      <c r="DX523" s="19">
        <v>6.0</v>
      </c>
      <c r="DY523" s="19">
        <v>5.0</v>
      </c>
      <c r="DZ523" s="19">
        <v>0.0</v>
      </c>
      <c r="EA523" s="19">
        <v>5.0</v>
      </c>
      <c r="EB523" s="19">
        <v>0.0</v>
      </c>
      <c r="EC523" s="19">
        <v>0.0</v>
      </c>
      <c r="ED523" s="19" t="s">
        <v>2133</v>
      </c>
      <c r="EE523" s="24">
        <v>45526.0</v>
      </c>
      <c r="EF523" s="19" t="s">
        <v>2133</v>
      </c>
      <c r="EG523" s="19" t="s">
        <v>2145</v>
      </c>
      <c r="EH523" s="19" t="s">
        <v>2146</v>
      </c>
      <c r="EI523" s="22">
        <v>14.25</v>
      </c>
      <c r="EJ523" s="19">
        <v>38.0</v>
      </c>
      <c r="EK523" s="19" t="s">
        <v>2113</v>
      </c>
      <c r="EL523" s="19" t="s">
        <v>2117</v>
      </c>
      <c r="EM523" s="19" t="s">
        <v>2592</v>
      </c>
      <c r="EN523" s="19" t="s">
        <v>1544</v>
      </c>
      <c r="EO523" s="19" t="s">
        <v>2286</v>
      </c>
      <c r="EP523" s="19" t="s">
        <v>2310</v>
      </c>
      <c r="EQ523" s="19" t="s">
        <v>2294</v>
      </c>
      <c r="ER523" s="19"/>
      <c r="ES523" s="19" t="s">
        <v>1544</v>
      </c>
      <c r="ET523" s="19" t="s">
        <v>1544</v>
      </c>
      <c r="EU523" s="19" t="s">
        <v>10911</v>
      </c>
      <c r="EV523" s="19">
        <v>8403.0</v>
      </c>
      <c r="EW523" s="19" t="s">
        <v>16</v>
      </c>
      <c r="EX523" s="19">
        <v>5.0</v>
      </c>
      <c r="EY523" s="25" t="s">
        <v>1543</v>
      </c>
      <c r="EZ523" s="19" t="s">
        <v>2154</v>
      </c>
      <c r="FA523" s="5" t="s">
        <v>10923</v>
      </c>
      <c r="FB523" s="26" t="s">
        <v>2156</v>
      </c>
      <c r="FC523" s="26"/>
    </row>
    <row r="524">
      <c r="A524" s="19" t="s">
        <v>2156</v>
      </c>
      <c r="B524" s="19"/>
      <c r="C524" s="19" t="s">
        <v>2113</v>
      </c>
      <c r="D524" s="19" t="s">
        <v>1545</v>
      </c>
      <c r="E524" s="19" t="s">
        <v>10924</v>
      </c>
      <c r="F524" s="19" t="s">
        <v>1545</v>
      </c>
      <c r="G524" s="19"/>
      <c r="H524" s="19" t="s">
        <v>1545</v>
      </c>
      <c r="I524" s="19" t="s">
        <v>1547</v>
      </c>
      <c r="J524" s="19" t="s">
        <v>10925</v>
      </c>
      <c r="K524" s="19" t="s">
        <v>10926</v>
      </c>
      <c r="L524" s="20">
        <v>45396.0</v>
      </c>
      <c r="M524" s="20">
        <v>45411.0</v>
      </c>
      <c r="N524" s="20">
        <v>45411.0</v>
      </c>
      <c r="O524" s="19" t="s">
        <v>1546</v>
      </c>
      <c r="P524" s="19">
        <v>1.0</v>
      </c>
      <c r="Q524" s="19">
        <v>24.0</v>
      </c>
      <c r="R524" s="19">
        <v>9119.0</v>
      </c>
      <c r="S524" s="20" t="s">
        <v>10927</v>
      </c>
      <c r="T524" s="20">
        <v>45461.0</v>
      </c>
      <c r="U524" s="19" t="s">
        <v>1545</v>
      </c>
      <c r="V524" s="19"/>
      <c r="W524" s="19" t="s">
        <v>10928</v>
      </c>
      <c r="X524" s="21">
        <v>0.0</v>
      </c>
      <c r="Y524" s="21">
        <v>0.0</v>
      </c>
      <c r="Z524" s="21">
        <v>5.0</v>
      </c>
      <c r="AA524" s="21">
        <v>0.0</v>
      </c>
      <c r="AB524" s="5">
        <v>5.0</v>
      </c>
      <c r="AC524" s="19">
        <v>5.0</v>
      </c>
      <c r="AD524" s="19">
        <v>5.0</v>
      </c>
      <c r="AE524" s="19">
        <v>5.0</v>
      </c>
      <c r="AF524" s="19">
        <v>5.0</v>
      </c>
      <c r="AG524" s="19">
        <v>4.0</v>
      </c>
      <c r="AH524" s="19">
        <v>4.0</v>
      </c>
      <c r="AI524" s="22">
        <v>14.25</v>
      </c>
      <c r="AJ524" s="19">
        <v>15.0</v>
      </c>
      <c r="AK524" s="19">
        <v>13.0</v>
      </c>
      <c r="AL524" s="19">
        <v>15.0</v>
      </c>
      <c r="AM524" s="19">
        <v>43.0</v>
      </c>
      <c r="AN524" s="19">
        <v>57.3</v>
      </c>
      <c r="AO524" s="19">
        <v>62.3</v>
      </c>
      <c r="AP524" s="19">
        <v>1049.0</v>
      </c>
      <c r="AQ524" s="23">
        <v>515.0</v>
      </c>
      <c r="AR524" s="23">
        <v>75.0</v>
      </c>
      <c r="AS524" s="22"/>
      <c r="AT524" s="19" t="s">
        <v>2282</v>
      </c>
      <c r="AU524" s="19" t="s">
        <v>10929</v>
      </c>
      <c r="AV524" s="19" t="s">
        <v>10930</v>
      </c>
      <c r="AW524" s="19"/>
      <c r="AX524" s="20">
        <v>36342.0</v>
      </c>
      <c r="AY524" s="19" t="s">
        <v>2286</v>
      </c>
      <c r="AZ524" s="19" t="s">
        <v>2122</v>
      </c>
      <c r="BA524" s="19" t="s">
        <v>10931</v>
      </c>
      <c r="BB524" s="19" t="s">
        <v>10932</v>
      </c>
      <c r="BC524" s="19" t="s">
        <v>10933</v>
      </c>
      <c r="BD524" s="19" t="s">
        <v>10934</v>
      </c>
      <c r="BE524" s="19" t="s">
        <v>10925</v>
      </c>
      <c r="BF524" s="19">
        <v>1.1986972498E10</v>
      </c>
      <c r="BG524" s="19" t="s">
        <v>2127</v>
      </c>
      <c r="BH524" s="19" t="s">
        <v>2128</v>
      </c>
      <c r="BI524" s="19"/>
      <c r="BJ524" s="19" t="s">
        <v>2128</v>
      </c>
      <c r="BK524" s="19" t="s">
        <v>17</v>
      </c>
      <c r="BL524" s="19" t="s">
        <v>2113</v>
      </c>
      <c r="BM524" s="19" t="s">
        <v>5411</v>
      </c>
      <c r="BN524" s="19" t="s">
        <v>3910</v>
      </c>
      <c r="BO524" s="19" t="s">
        <v>2132</v>
      </c>
      <c r="BP524" s="19" t="s">
        <v>10935</v>
      </c>
      <c r="BQ524" s="19" t="s">
        <v>2133</v>
      </c>
      <c r="BR524" s="19" t="s">
        <v>2133</v>
      </c>
      <c r="BS524" s="19" t="s">
        <v>3521</v>
      </c>
      <c r="BT524" s="19" t="s">
        <v>38</v>
      </c>
      <c r="BU524" s="19" t="s">
        <v>10936</v>
      </c>
      <c r="BV524" s="19"/>
      <c r="BW524" s="19"/>
      <c r="BX524" s="19"/>
      <c r="BY524" s="19"/>
      <c r="BZ524" s="19"/>
      <c r="CA524" s="19"/>
      <c r="CB524" s="19" t="s">
        <v>2113</v>
      </c>
      <c r="CC524" s="19"/>
      <c r="CD524" s="19" t="s">
        <v>2137</v>
      </c>
      <c r="CE524" s="19" t="s">
        <v>16</v>
      </c>
      <c r="CF524" s="19"/>
      <c r="CG524" s="19"/>
      <c r="CH524" s="19" t="s">
        <v>16</v>
      </c>
      <c r="CI524" s="21">
        <v>0.0</v>
      </c>
      <c r="CJ524" s="19" t="s">
        <v>16</v>
      </c>
      <c r="CK524" s="19"/>
      <c r="CL524" s="19"/>
      <c r="CM524" s="19" t="s">
        <v>2138</v>
      </c>
      <c r="CN524" s="19" t="s">
        <v>2294</v>
      </c>
      <c r="CO524" s="19"/>
      <c r="CP524" s="19" t="s">
        <v>2140</v>
      </c>
      <c r="CQ524" s="19"/>
      <c r="CR524" s="19" t="s">
        <v>2113</v>
      </c>
      <c r="CS524" s="19" t="s">
        <v>2113</v>
      </c>
      <c r="CT524" s="19" t="s">
        <v>2113</v>
      </c>
      <c r="CU524" s="19" t="s">
        <v>2113</v>
      </c>
      <c r="CV524" s="19" t="s">
        <v>2141</v>
      </c>
      <c r="CW524" s="19" t="s">
        <v>2113</v>
      </c>
      <c r="CX524" s="19" t="s">
        <v>2113</v>
      </c>
      <c r="CY524" s="19" t="s">
        <v>2113</v>
      </c>
      <c r="CZ524" s="19" t="s">
        <v>2113</v>
      </c>
      <c r="DA524" s="19" t="s">
        <v>16</v>
      </c>
      <c r="DB524" s="19" t="s">
        <v>16</v>
      </c>
      <c r="DC524" s="19" t="s">
        <v>2578</v>
      </c>
      <c r="DD524" s="19" t="s">
        <v>2113</v>
      </c>
      <c r="DE524" s="19" t="s">
        <v>2113</v>
      </c>
      <c r="DF524" s="19" t="s">
        <v>2601</v>
      </c>
      <c r="DG524" s="19" t="s">
        <v>2323</v>
      </c>
      <c r="DH524" s="19" t="s">
        <v>2144</v>
      </c>
      <c r="DI524" s="24">
        <v>45519.0</v>
      </c>
      <c r="DJ524" s="19" t="s">
        <v>2133</v>
      </c>
      <c r="DK524" s="19" t="s">
        <v>2271</v>
      </c>
      <c r="DL524" s="19" t="s">
        <v>2146</v>
      </c>
      <c r="DM524" s="19" t="s">
        <v>2751</v>
      </c>
      <c r="DN524" s="19">
        <v>6.0</v>
      </c>
      <c r="DO524" s="19">
        <v>6.0</v>
      </c>
      <c r="DP524" s="19" t="s">
        <v>10937</v>
      </c>
      <c r="DQ524" s="19" t="s">
        <v>10938</v>
      </c>
      <c r="DR524" s="19" t="s">
        <v>10939</v>
      </c>
      <c r="DS524" s="19" t="s">
        <v>2185</v>
      </c>
      <c r="DT524" s="19" t="s">
        <v>2152</v>
      </c>
      <c r="DU524" s="19"/>
      <c r="DV524" s="19"/>
      <c r="DW524" s="19" t="s">
        <v>2153</v>
      </c>
      <c r="DX524" s="19">
        <v>1.0</v>
      </c>
      <c r="DY524" s="19">
        <v>0.0</v>
      </c>
      <c r="DZ524" s="19">
        <v>0.0</v>
      </c>
      <c r="EA524" s="19">
        <v>0.0</v>
      </c>
      <c r="EB524" s="19">
        <v>0.0</v>
      </c>
      <c r="EC524" s="19">
        <v>0.0</v>
      </c>
      <c r="ED524" s="19" t="s">
        <v>2133</v>
      </c>
      <c r="EE524" s="24">
        <v>45519.0</v>
      </c>
      <c r="EF524" s="19" t="s">
        <v>2133</v>
      </c>
      <c r="EG524" s="19" t="s">
        <v>2271</v>
      </c>
      <c r="EH524" s="19" t="s">
        <v>2146</v>
      </c>
      <c r="EI524" s="22">
        <v>14.25</v>
      </c>
      <c r="EJ524" s="19">
        <v>43.0</v>
      </c>
      <c r="EK524" s="19"/>
      <c r="EL524" s="19" t="s">
        <v>2282</v>
      </c>
      <c r="EM524" s="19" t="s">
        <v>10929</v>
      </c>
      <c r="EN524" s="19" t="s">
        <v>1547</v>
      </c>
      <c r="EO524" s="19" t="s">
        <v>2286</v>
      </c>
      <c r="EP524" s="19" t="s">
        <v>2122</v>
      </c>
      <c r="EQ524" s="19" t="s">
        <v>2294</v>
      </c>
      <c r="ER524" s="19"/>
      <c r="ES524" s="19" t="s">
        <v>1547</v>
      </c>
      <c r="ET524" s="19" t="s">
        <v>1547</v>
      </c>
      <c r="EU524" s="19" t="s">
        <v>10926</v>
      </c>
      <c r="EV524" s="19">
        <v>9119.0</v>
      </c>
      <c r="EW524" s="19" t="s">
        <v>16</v>
      </c>
      <c r="EX524" s="19">
        <v>5.0</v>
      </c>
      <c r="EY524" s="25" t="s">
        <v>1546</v>
      </c>
      <c r="EZ524" s="19" t="s">
        <v>2154</v>
      </c>
      <c r="FA524" s="5" t="s">
        <v>10940</v>
      </c>
      <c r="FB524" s="26" t="s">
        <v>2156</v>
      </c>
      <c r="FC524" s="26"/>
    </row>
    <row r="525">
      <c r="A525" s="19" t="s">
        <v>2112</v>
      </c>
      <c r="B525" s="19"/>
      <c r="C525" s="19" t="s">
        <v>2113</v>
      </c>
      <c r="D525" s="19" t="s">
        <v>10941</v>
      </c>
      <c r="E525" s="19" t="s">
        <v>10942</v>
      </c>
      <c r="F525" s="19" t="s">
        <v>1548</v>
      </c>
      <c r="G525" s="19"/>
      <c r="H525" s="19" t="s">
        <v>1548</v>
      </c>
      <c r="I525" s="19" t="s">
        <v>1550</v>
      </c>
      <c r="J525" s="19" t="s">
        <v>10943</v>
      </c>
      <c r="K525" s="19" t="s">
        <v>10944</v>
      </c>
      <c r="L525" s="20">
        <v>45445.0</v>
      </c>
      <c r="M525" s="20">
        <v>45446.0</v>
      </c>
      <c r="N525" s="20">
        <v>45446.0</v>
      </c>
      <c r="O525" s="19" t="s">
        <v>1549</v>
      </c>
      <c r="P525" s="19">
        <v>0.0</v>
      </c>
      <c r="Q525" s="19">
        <v>24.0</v>
      </c>
      <c r="R525" s="19">
        <v>8877.0</v>
      </c>
      <c r="S525" s="20" t="s">
        <v>10945</v>
      </c>
      <c r="T525" s="20">
        <v>45461.0</v>
      </c>
      <c r="U525" s="19" t="s">
        <v>10941</v>
      </c>
      <c r="V525" s="19"/>
      <c r="W525" s="19"/>
      <c r="X525" s="21">
        <v>0.0</v>
      </c>
      <c r="Y525" s="21">
        <v>0.0</v>
      </c>
      <c r="Z525" s="21">
        <v>3.0</v>
      </c>
      <c r="AA525" s="21">
        <v>0.0</v>
      </c>
      <c r="AB525" s="5">
        <v>3.0</v>
      </c>
      <c r="AC525" s="19">
        <v>4.5</v>
      </c>
      <c r="AD525" s="19">
        <v>5.0</v>
      </c>
      <c r="AE525" s="19">
        <v>4.75</v>
      </c>
      <c r="AF525" s="19">
        <v>4.5</v>
      </c>
      <c r="AG525" s="19">
        <v>4.75</v>
      </c>
      <c r="AH525" s="19">
        <v>5.0</v>
      </c>
      <c r="AI525" s="22">
        <v>14.296875</v>
      </c>
      <c r="AJ525" s="19">
        <v>15.0</v>
      </c>
      <c r="AK525" s="19">
        <v>15.0</v>
      </c>
      <c r="AL525" s="19">
        <v>15.0</v>
      </c>
      <c r="AM525" s="19">
        <v>45.0</v>
      </c>
      <c r="AN525" s="19">
        <v>59.3</v>
      </c>
      <c r="AO525" s="19">
        <v>62.3</v>
      </c>
      <c r="AP525" s="19">
        <v>1251.0</v>
      </c>
      <c r="AQ525" s="23">
        <v>516.0</v>
      </c>
      <c r="AR525" s="23">
        <v>39.0</v>
      </c>
      <c r="AS525" s="22"/>
      <c r="AT525" s="19" t="s">
        <v>2117</v>
      </c>
      <c r="AU525" s="19" t="s">
        <v>10946</v>
      </c>
      <c r="AV525" s="19" t="s">
        <v>10947</v>
      </c>
      <c r="AW525" s="19" t="s">
        <v>10948</v>
      </c>
      <c r="AX525" s="20">
        <v>36584.0</v>
      </c>
      <c r="AY525" s="19" t="s">
        <v>5573</v>
      </c>
      <c r="AZ525" s="19" t="s">
        <v>2122</v>
      </c>
      <c r="BA525" s="19" t="s">
        <v>10949</v>
      </c>
      <c r="BB525" s="19" t="s">
        <v>10950</v>
      </c>
      <c r="BC525" s="19" t="s">
        <v>10951</v>
      </c>
      <c r="BD525" s="19" t="s">
        <v>10952</v>
      </c>
      <c r="BE525" s="19"/>
      <c r="BF525" s="19"/>
      <c r="BG525" s="19" t="s">
        <v>2127</v>
      </c>
      <c r="BH525" s="19" t="s">
        <v>2649</v>
      </c>
      <c r="BI525" s="19"/>
      <c r="BJ525" s="19" t="s">
        <v>2128</v>
      </c>
      <c r="BK525" s="19" t="s">
        <v>17</v>
      </c>
      <c r="BL525" s="19" t="s">
        <v>2113</v>
      </c>
      <c r="BM525" s="19" t="s">
        <v>5563</v>
      </c>
      <c r="BN525" s="19" t="s">
        <v>17</v>
      </c>
      <c r="BO525" s="19" t="s">
        <v>2473</v>
      </c>
      <c r="BP525" s="19" t="s">
        <v>10953</v>
      </c>
      <c r="BQ525" s="19" t="s">
        <v>2174</v>
      </c>
      <c r="BR525" s="19" t="s">
        <v>2174</v>
      </c>
      <c r="BS525" s="19" t="s">
        <v>3521</v>
      </c>
      <c r="BT525" s="19" t="s">
        <v>34</v>
      </c>
      <c r="BU525" s="19" t="s">
        <v>10954</v>
      </c>
      <c r="BV525" s="19"/>
      <c r="BW525" s="19"/>
      <c r="BX525" s="19"/>
      <c r="BY525" s="19" t="s">
        <v>2113</v>
      </c>
      <c r="BZ525" s="19" t="s">
        <v>2113</v>
      </c>
      <c r="CA525" s="19" t="s">
        <v>2113</v>
      </c>
      <c r="CB525" s="19" t="s">
        <v>2113</v>
      </c>
      <c r="CC525" s="19"/>
      <c r="CD525" s="19" t="s">
        <v>2137</v>
      </c>
      <c r="CE525" s="19" t="s">
        <v>16</v>
      </c>
      <c r="CF525" s="19"/>
      <c r="CG525" s="19"/>
      <c r="CH525" s="19" t="s">
        <v>16</v>
      </c>
      <c r="CI525" s="21">
        <v>0.0</v>
      </c>
      <c r="CJ525" s="19" t="s">
        <v>17</v>
      </c>
      <c r="CK525" s="19" t="s">
        <v>2113</v>
      </c>
      <c r="CL525" s="19"/>
      <c r="CM525" s="19" t="s">
        <v>2344</v>
      </c>
      <c r="CN525" s="19" t="s">
        <v>3041</v>
      </c>
      <c r="CO525" s="19" t="s">
        <v>2177</v>
      </c>
      <c r="CP525" s="19" t="s">
        <v>3954</v>
      </c>
      <c r="CQ525" s="19"/>
      <c r="CR525" s="19" t="s">
        <v>2113</v>
      </c>
      <c r="CS525" s="19" t="s">
        <v>2113</v>
      </c>
      <c r="CT525" s="19" t="s">
        <v>2113</v>
      </c>
      <c r="CU525" s="19" t="s">
        <v>2113</v>
      </c>
      <c r="CV525" s="19" t="s">
        <v>2141</v>
      </c>
      <c r="CW525" s="19" t="s">
        <v>2113</v>
      </c>
      <c r="CX525" s="19" t="s">
        <v>2113</v>
      </c>
      <c r="CY525" s="19" t="s">
        <v>2113</v>
      </c>
      <c r="CZ525" s="19" t="s">
        <v>2113</v>
      </c>
      <c r="DA525" s="19" t="s">
        <v>16</v>
      </c>
      <c r="DB525" s="19" t="s">
        <v>17</v>
      </c>
      <c r="DC525" s="19" t="s">
        <v>3042</v>
      </c>
      <c r="DD525" s="19" t="s">
        <v>2113</v>
      </c>
      <c r="DE525" s="19" t="s">
        <v>2113</v>
      </c>
      <c r="DF525" s="19" t="s">
        <v>2602</v>
      </c>
      <c r="DG525" s="19" t="s">
        <v>2270</v>
      </c>
      <c r="DH525" s="19" t="s">
        <v>2144</v>
      </c>
      <c r="DI525" s="24">
        <v>45517.0</v>
      </c>
      <c r="DJ525" s="19" t="s">
        <v>2174</v>
      </c>
      <c r="DK525" s="19" t="s">
        <v>2271</v>
      </c>
      <c r="DL525" s="19" t="s">
        <v>2183</v>
      </c>
      <c r="DM525" s="19" t="s">
        <v>2515</v>
      </c>
      <c r="DN525" s="19">
        <v>2.0</v>
      </c>
      <c r="DO525" s="19">
        <v>2.0</v>
      </c>
      <c r="DP525" s="19" t="s">
        <v>10955</v>
      </c>
      <c r="DQ525" s="19" t="s">
        <v>10956</v>
      </c>
      <c r="DR525" s="19" t="s">
        <v>10957</v>
      </c>
      <c r="DS525" s="19" t="s">
        <v>2365</v>
      </c>
      <c r="DT525" s="19" t="s">
        <v>2366</v>
      </c>
      <c r="DU525" s="19"/>
      <c r="DV525" s="19"/>
      <c r="DW525" s="19" t="s">
        <v>2153</v>
      </c>
      <c r="DX525" s="19">
        <v>9.0</v>
      </c>
      <c r="DY525" s="19">
        <v>0.0</v>
      </c>
      <c r="DZ525" s="19">
        <v>0.0</v>
      </c>
      <c r="EA525" s="19">
        <v>0.0</v>
      </c>
      <c r="EB525" s="19">
        <v>0.0</v>
      </c>
      <c r="EC525" s="19">
        <v>0.0</v>
      </c>
      <c r="ED525" s="19" t="s">
        <v>2174</v>
      </c>
      <c r="EE525" s="24">
        <v>45517.0</v>
      </c>
      <c r="EF525" s="19" t="s">
        <v>2174</v>
      </c>
      <c r="EG525" s="19" t="s">
        <v>2271</v>
      </c>
      <c r="EH525" s="19" t="s">
        <v>2183</v>
      </c>
      <c r="EI525" s="22">
        <v>14.296875</v>
      </c>
      <c r="EJ525" s="19">
        <v>45.0</v>
      </c>
      <c r="EK525" s="19" t="s">
        <v>2113</v>
      </c>
      <c r="EL525" s="19" t="s">
        <v>2117</v>
      </c>
      <c r="EM525" s="19" t="s">
        <v>10946</v>
      </c>
      <c r="EN525" s="19" t="s">
        <v>1550</v>
      </c>
      <c r="EO525" s="19" t="s">
        <v>5573</v>
      </c>
      <c r="EP525" s="19" t="s">
        <v>2122</v>
      </c>
      <c r="EQ525" s="19" t="s">
        <v>3041</v>
      </c>
      <c r="ER525" s="19" t="s">
        <v>2177</v>
      </c>
      <c r="ES525" s="19" t="s">
        <v>1550</v>
      </c>
      <c r="ET525" s="19" t="s">
        <v>1550</v>
      </c>
      <c r="EU525" s="19" t="s">
        <v>10944</v>
      </c>
      <c r="EV525" s="19">
        <v>8877.0</v>
      </c>
      <c r="EW525" s="19" t="s">
        <v>16</v>
      </c>
      <c r="EX525" s="19">
        <v>3.0</v>
      </c>
      <c r="EY525" s="25" t="s">
        <v>1549</v>
      </c>
      <c r="EZ525" s="19" t="s">
        <v>2154</v>
      </c>
      <c r="FA525" s="5" t="s">
        <v>10958</v>
      </c>
      <c r="FB525" s="26" t="s">
        <v>2156</v>
      </c>
      <c r="FC525" s="26"/>
    </row>
    <row r="526">
      <c r="A526" s="19" t="s">
        <v>2112</v>
      </c>
      <c r="B526" s="19"/>
      <c r="C526" s="19" t="s">
        <v>2113</v>
      </c>
      <c r="D526" s="19" t="s">
        <v>10959</v>
      </c>
      <c r="E526" s="19" t="s">
        <v>10960</v>
      </c>
      <c r="F526" s="19" t="s">
        <v>1551</v>
      </c>
      <c r="G526" s="19" t="s">
        <v>10960</v>
      </c>
      <c r="H526" s="19" t="s">
        <v>1551</v>
      </c>
      <c r="I526" s="19" t="s">
        <v>1553</v>
      </c>
      <c r="J526" s="19" t="s">
        <v>10961</v>
      </c>
      <c r="K526" s="19" t="s">
        <v>10962</v>
      </c>
      <c r="L526" s="20">
        <v>45442.0</v>
      </c>
      <c r="M526" s="20">
        <v>45446.0</v>
      </c>
      <c r="N526" s="20">
        <v>45446.0</v>
      </c>
      <c r="O526" s="19" t="s">
        <v>1552</v>
      </c>
      <c r="P526" s="19">
        <v>0.0</v>
      </c>
      <c r="Q526" s="19">
        <v>22.0</v>
      </c>
      <c r="R526" s="19">
        <v>8166.0</v>
      </c>
      <c r="S526" s="20" t="s">
        <v>10963</v>
      </c>
      <c r="T526" s="20">
        <v>45461.0</v>
      </c>
      <c r="U526" s="19" t="s">
        <v>1551</v>
      </c>
      <c r="V526" s="19"/>
      <c r="W526" s="19" t="s">
        <v>2131</v>
      </c>
      <c r="X526" s="21">
        <v>0.0</v>
      </c>
      <c r="Y526" s="21">
        <v>0.0</v>
      </c>
      <c r="Z526" s="21">
        <v>3.0</v>
      </c>
      <c r="AA526" s="21">
        <v>0.0</v>
      </c>
      <c r="AB526" s="5">
        <v>3.0</v>
      </c>
      <c r="AC526" s="19">
        <v>4.8</v>
      </c>
      <c r="AD526" s="19">
        <v>4.8</v>
      </c>
      <c r="AE526" s="19">
        <v>4.8</v>
      </c>
      <c r="AF526" s="19">
        <v>4.8</v>
      </c>
      <c r="AG526" s="19">
        <v>4.6</v>
      </c>
      <c r="AH526" s="19">
        <v>4.6</v>
      </c>
      <c r="AI526" s="22">
        <v>14.25</v>
      </c>
      <c r="AJ526" s="19">
        <v>15.0</v>
      </c>
      <c r="AK526" s="19">
        <v>15.0</v>
      </c>
      <c r="AL526" s="19">
        <v>15.0</v>
      </c>
      <c r="AM526" s="19">
        <v>45.0</v>
      </c>
      <c r="AN526" s="19">
        <v>59.3</v>
      </c>
      <c r="AO526" s="19">
        <v>62.3</v>
      </c>
      <c r="AP526" s="19">
        <v>1278.0</v>
      </c>
      <c r="AQ526" s="23">
        <v>517.0</v>
      </c>
      <c r="AR526" s="23">
        <v>40.0</v>
      </c>
      <c r="AS526" s="22"/>
      <c r="AT526" s="19" t="s">
        <v>2163</v>
      </c>
      <c r="AU526" s="19" t="s">
        <v>10964</v>
      </c>
      <c r="AV526" s="19" t="s">
        <v>10965</v>
      </c>
      <c r="AW526" s="19" t="s">
        <v>10966</v>
      </c>
      <c r="AX526" s="20">
        <v>37295.0</v>
      </c>
      <c r="AY526" s="19" t="s">
        <v>3034</v>
      </c>
      <c r="AZ526" s="19" t="s">
        <v>2310</v>
      </c>
      <c r="BA526" s="19" t="s">
        <v>10967</v>
      </c>
      <c r="BB526" s="19" t="s">
        <v>10968</v>
      </c>
      <c r="BC526" s="19" t="s">
        <v>10969</v>
      </c>
      <c r="BD526" s="19" t="s">
        <v>10970</v>
      </c>
      <c r="BE526" s="19" t="s">
        <v>10961</v>
      </c>
      <c r="BF526" s="19">
        <v>1.1977763969E10</v>
      </c>
      <c r="BG526" s="19" t="s">
        <v>4038</v>
      </c>
      <c r="BH526" s="19" t="s">
        <v>2128</v>
      </c>
      <c r="BI526" s="19"/>
      <c r="BJ526" s="19" t="s">
        <v>2129</v>
      </c>
      <c r="BK526" s="19" t="s">
        <v>17</v>
      </c>
      <c r="BL526" s="19"/>
      <c r="BM526" s="19" t="s">
        <v>5563</v>
      </c>
      <c r="BN526" s="19" t="s">
        <v>17</v>
      </c>
      <c r="BO526" s="19" t="s">
        <v>2473</v>
      </c>
      <c r="BP526" s="19" t="s">
        <v>10971</v>
      </c>
      <c r="BQ526" s="19" t="s">
        <v>2174</v>
      </c>
      <c r="BR526" s="19" t="s">
        <v>2174</v>
      </c>
      <c r="BS526" s="19" t="s">
        <v>2134</v>
      </c>
      <c r="BT526" s="19" t="s">
        <v>34</v>
      </c>
      <c r="BU526" s="19" t="s">
        <v>10972</v>
      </c>
      <c r="BV526" s="19"/>
      <c r="BW526" s="19" t="s">
        <v>2113</v>
      </c>
      <c r="BX526" s="19"/>
      <c r="BY526" s="19"/>
      <c r="BZ526" s="19"/>
      <c r="CA526" s="19"/>
      <c r="CB526" s="19" t="s">
        <v>2113</v>
      </c>
      <c r="CC526" s="19"/>
      <c r="CD526" s="19" t="s">
        <v>2137</v>
      </c>
      <c r="CE526" s="19" t="s">
        <v>16</v>
      </c>
      <c r="CF526" s="19"/>
      <c r="CG526" s="19"/>
      <c r="CH526" s="19" t="s">
        <v>16</v>
      </c>
      <c r="CI526" s="21">
        <v>0.0</v>
      </c>
      <c r="CJ526" s="19" t="s">
        <v>17</v>
      </c>
      <c r="CK526" s="19"/>
      <c r="CL526" s="19"/>
      <c r="CM526" s="19" t="s">
        <v>2138</v>
      </c>
      <c r="CN526" s="19" t="s">
        <v>3041</v>
      </c>
      <c r="CO526" s="19"/>
      <c r="CP526" s="19" t="s">
        <v>2246</v>
      </c>
      <c r="CQ526" s="19"/>
      <c r="CR526" s="19" t="s">
        <v>2113</v>
      </c>
      <c r="CS526" s="19" t="s">
        <v>2113</v>
      </c>
      <c r="CT526" s="19"/>
      <c r="CU526" s="19"/>
      <c r="CV526" s="19" t="s">
        <v>2141</v>
      </c>
      <c r="CW526" s="19"/>
      <c r="CX526" s="19"/>
      <c r="CY526" s="19"/>
      <c r="CZ526" s="19"/>
      <c r="DA526" s="19" t="s">
        <v>16</v>
      </c>
      <c r="DB526" s="19" t="s">
        <v>17</v>
      </c>
      <c r="DC526" s="19" t="s">
        <v>3146</v>
      </c>
      <c r="DD526" s="19" t="s">
        <v>2113</v>
      </c>
      <c r="DE526" s="19" t="s">
        <v>2113</v>
      </c>
      <c r="DF526" s="19" t="s">
        <v>3042</v>
      </c>
      <c r="DG526" s="19" t="s">
        <v>3146</v>
      </c>
      <c r="DH526" s="19" t="s">
        <v>2144</v>
      </c>
      <c r="DI526" s="24">
        <v>45526.0</v>
      </c>
      <c r="DJ526" s="19" t="s">
        <v>2174</v>
      </c>
      <c r="DK526" s="19" t="s">
        <v>2145</v>
      </c>
      <c r="DL526" s="19" t="s">
        <v>2183</v>
      </c>
      <c r="DM526" s="19"/>
      <c r="DN526" s="19">
        <v>11.0</v>
      </c>
      <c r="DO526" s="19">
        <v>11.0</v>
      </c>
      <c r="DP526" s="19" t="s">
        <v>10973</v>
      </c>
      <c r="DQ526" s="19" t="s">
        <v>10974</v>
      </c>
      <c r="DR526" s="19" t="s">
        <v>10975</v>
      </c>
      <c r="DS526" s="19" t="s">
        <v>2151</v>
      </c>
      <c r="DT526" s="19" t="s">
        <v>2209</v>
      </c>
      <c r="DU526" s="19"/>
      <c r="DV526" s="19"/>
      <c r="DW526" s="19" t="s">
        <v>2479</v>
      </c>
      <c r="DX526" s="19">
        <v>16.0</v>
      </c>
      <c r="DY526" s="19">
        <v>0.0</v>
      </c>
      <c r="DZ526" s="19">
        <v>0.0</v>
      </c>
      <c r="EA526" s="19">
        <v>0.0</v>
      </c>
      <c r="EB526" s="19">
        <v>0.0</v>
      </c>
      <c r="EC526" s="19">
        <v>0.0</v>
      </c>
      <c r="ED526" s="19" t="s">
        <v>2174</v>
      </c>
      <c r="EE526" s="24">
        <v>45526.0</v>
      </c>
      <c r="EF526" s="19" t="s">
        <v>2174</v>
      </c>
      <c r="EG526" s="19" t="s">
        <v>2145</v>
      </c>
      <c r="EH526" s="19" t="s">
        <v>2183</v>
      </c>
      <c r="EI526" s="22">
        <v>14.25</v>
      </c>
      <c r="EJ526" s="19">
        <v>45.0</v>
      </c>
      <c r="EK526" s="19" t="s">
        <v>2113</v>
      </c>
      <c r="EL526" s="19" t="s">
        <v>2163</v>
      </c>
      <c r="EM526" s="19" t="s">
        <v>10964</v>
      </c>
      <c r="EN526" s="19" t="s">
        <v>1553</v>
      </c>
      <c r="EO526" s="19" t="s">
        <v>3034</v>
      </c>
      <c r="EP526" s="19" t="s">
        <v>2310</v>
      </c>
      <c r="EQ526" s="19" t="s">
        <v>3041</v>
      </c>
      <c r="ER526" s="19"/>
      <c r="ES526" s="19" t="s">
        <v>1553</v>
      </c>
      <c r="ET526" s="19" t="s">
        <v>1553</v>
      </c>
      <c r="EU526" s="19" t="s">
        <v>10962</v>
      </c>
      <c r="EV526" s="19">
        <v>8166.0</v>
      </c>
      <c r="EW526" s="19" t="s">
        <v>16</v>
      </c>
      <c r="EX526" s="19">
        <v>3.0</v>
      </c>
      <c r="EY526" s="25" t="s">
        <v>1552</v>
      </c>
      <c r="EZ526" s="19" t="s">
        <v>2154</v>
      </c>
      <c r="FA526" s="5" t="s">
        <v>10976</v>
      </c>
      <c r="FB526" s="26" t="s">
        <v>2156</v>
      </c>
      <c r="FC526" s="26"/>
    </row>
    <row r="527">
      <c r="A527" s="19" t="s">
        <v>2112</v>
      </c>
      <c r="B527" s="19"/>
      <c r="C527" s="19" t="s">
        <v>2113</v>
      </c>
      <c r="D527" s="19" t="s">
        <v>1554</v>
      </c>
      <c r="E527" s="19" t="s">
        <v>10977</v>
      </c>
      <c r="F527" s="19" t="s">
        <v>1554</v>
      </c>
      <c r="G527" s="19"/>
      <c r="H527" s="19" t="s">
        <v>1554</v>
      </c>
      <c r="I527" s="19" t="s">
        <v>1556</v>
      </c>
      <c r="J527" s="19" t="s">
        <v>10978</v>
      </c>
      <c r="K527" s="19" t="s">
        <v>10979</v>
      </c>
      <c r="L527" s="20">
        <v>45442.0</v>
      </c>
      <c r="M527" s="20">
        <v>45446.0</v>
      </c>
      <c r="N527" s="20">
        <v>45446.0</v>
      </c>
      <c r="O527" s="19" t="s">
        <v>1555</v>
      </c>
      <c r="P527" s="19">
        <v>0.0</v>
      </c>
      <c r="Q527" s="19">
        <v>23.0</v>
      </c>
      <c r="R527" s="19">
        <v>8532.0</v>
      </c>
      <c r="S527" s="20" t="s">
        <v>10980</v>
      </c>
      <c r="T527" s="20">
        <v>45461.0</v>
      </c>
      <c r="U527" s="19" t="s">
        <v>1554</v>
      </c>
      <c r="V527" s="19"/>
      <c r="W527" s="19"/>
      <c r="X527" s="21">
        <v>0.0</v>
      </c>
      <c r="Y527" s="21">
        <v>0.0</v>
      </c>
      <c r="Z527" s="21">
        <v>5.0</v>
      </c>
      <c r="AA527" s="21">
        <v>0.0</v>
      </c>
      <c r="AB527" s="5">
        <v>5.0</v>
      </c>
      <c r="AC527" s="19">
        <v>3.8</v>
      </c>
      <c r="AD527" s="19">
        <v>4.3</v>
      </c>
      <c r="AE527" s="19">
        <v>4.0</v>
      </c>
      <c r="AF527" s="19">
        <v>4.0</v>
      </c>
      <c r="AG527" s="19">
        <v>4.0</v>
      </c>
      <c r="AH527" s="19">
        <v>4.3</v>
      </c>
      <c r="AI527" s="22">
        <v>12.215624999999998</v>
      </c>
      <c r="AJ527" s="19">
        <v>15.0</v>
      </c>
      <c r="AK527" s="19">
        <v>15.0</v>
      </c>
      <c r="AL527" s="19">
        <v>15.0</v>
      </c>
      <c r="AM527" s="19">
        <v>45.0</v>
      </c>
      <c r="AN527" s="19">
        <v>57.2</v>
      </c>
      <c r="AO527" s="19">
        <v>62.2</v>
      </c>
      <c r="AP527" s="19">
        <v>1075.0</v>
      </c>
      <c r="AQ527" s="23">
        <v>518.0</v>
      </c>
      <c r="AR527" s="23">
        <v>64.0</v>
      </c>
      <c r="AS527" s="22"/>
      <c r="AT527" s="19" t="s">
        <v>2117</v>
      </c>
      <c r="AU527" s="19" t="s">
        <v>10981</v>
      </c>
      <c r="AV527" s="19" t="s">
        <v>10982</v>
      </c>
      <c r="AW527" s="19" t="s">
        <v>10983</v>
      </c>
      <c r="AX527" s="20">
        <v>36929.0</v>
      </c>
      <c r="AY527" s="19" t="s">
        <v>2167</v>
      </c>
      <c r="AZ527" s="19" t="s">
        <v>2122</v>
      </c>
      <c r="BA527" s="19" t="s">
        <v>10984</v>
      </c>
      <c r="BB527" s="19" t="s">
        <v>3199</v>
      </c>
      <c r="BC527" s="19" t="s">
        <v>10985</v>
      </c>
      <c r="BD527" s="19" t="s">
        <v>10986</v>
      </c>
      <c r="BE527" s="19" t="s">
        <v>10978</v>
      </c>
      <c r="BF527" s="19">
        <v>1.1958846402E10</v>
      </c>
      <c r="BG527" s="19" t="s">
        <v>2127</v>
      </c>
      <c r="BH527" s="19" t="s">
        <v>2128</v>
      </c>
      <c r="BI527" s="19"/>
      <c r="BJ527" s="19" t="s">
        <v>2128</v>
      </c>
      <c r="BK527" s="19" t="s">
        <v>17</v>
      </c>
      <c r="BL527" s="19"/>
      <c r="BM527" s="19" t="s">
        <v>5411</v>
      </c>
      <c r="BN527" s="19" t="s">
        <v>17</v>
      </c>
      <c r="BO527" s="19" t="s">
        <v>2132</v>
      </c>
      <c r="BP527" s="19" t="s">
        <v>10987</v>
      </c>
      <c r="BQ527" s="19" t="s">
        <v>2174</v>
      </c>
      <c r="BR527" s="19" t="s">
        <v>2174</v>
      </c>
      <c r="BS527" s="19" t="s">
        <v>3521</v>
      </c>
      <c r="BT527" s="19" t="s">
        <v>21</v>
      </c>
      <c r="BU527" s="19" t="s">
        <v>10988</v>
      </c>
      <c r="BV527" s="19"/>
      <c r="BW527" s="19"/>
      <c r="BX527" s="19"/>
      <c r="BY527" s="19"/>
      <c r="BZ527" s="19" t="s">
        <v>2113</v>
      </c>
      <c r="CA527" s="19"/>
      <c r="CB527" s="19" t="s">
        <v>2113</v>
      </c>
      <c r="CC527" s="19"/>
      <c r="CD527" s="19" t="s">
        <v>2137</v>
      </c>
      <c r="CE527" s="19" t="s">
        <v>16</v>
      </c>
      <c r="CF527" s="19"/>
      <c r="CG527" s="19"/>
      <c r="CH527" s="19" t="s">
        <v>16</v>
      </c>
      <c r="CI527" s="21">
        <v>0.0</v>
      </c>
      <c r="CJ527" s="19" t="s">
        <v>17</v>
      </c>
      <c r="CK527" s="19"/>
      <c r="CL527" s="19"/>
      <c r="CM527" s="19" t="s">
        <v>2344</v>
      </c>
      <c r="CN527" s="19" t="s">
        <v>2176</v>
      </c>
      <c r="CO527" s="19"/>
      <c r="CP527" s="19" t="s">
        <v>2267</v>
      </c>
      <c r="CQ527" s="19"/>
      <c r="CR527" s="19"/>
      <c r="CS527" s="19"/>
      <c r="CT527" s="19" t="s">
        <v>2113</v>
      </c>
      <c r="CU527" s="19" t="s">
        <v>2113</v>
      </c>
      <c r="CV527" s="19" t="s">
        <v>2141</v>
      </c>
      <c r="CW527" s="19"/>
      <c r="CX527" s="19"/>
      <c r="CY527" s="19"/>
      <c r="CZ527" s="19"/>
      <c r="DA527" s="19" t="s">
        <v>16</v>
      </c>
      <c r="DB527" s="19" t="s">
        <v>17</v>
      </c>
      <c r="DC527" s="19" t="s">
        <v>2180</v>
      </c>
      <c r="DD527" s="19" t="s">
        <v>2113</v>
      </c>
      <c r="DE527" s="19" t="s">
        <v>2113</v>
      </c>
      <c r="DF527" s="19" t="s">
        <v>2602</v>
      </c>
      <c r="DG527" s="19" t="s">
        <v>2539</v>
      </c>
      <c r="DH527" s="19" t="s">
        <v>2144</v>
      </c>
      <c r="DI527" s="24">
        <v>45526.0</v>
      </c>
      <c r="DJ527" s="19" t="s">
        <v>2174</v>
      </c>
      <c r="DK527" s="19" t="s">
        <v>2145</v>
      </c>
      <c r="DL527" s="19" t="s">
        <v>2183</v>
      </c>
      <c r="DM527" s="19"/>
      <c r="DN527" s="19">
        <v>11.0</v>
      </c>
      <c r="DO527" s="19">
        <v>11.0</v>
      </c>
      <c r="DP527" s="19" t="s">
        <v>10989</v>
      </c>
      <c r="DQ527" s="19" t="s">
        <v>10990</v>
      </c>
      <c r="DR527" s="19" t="s">
        <v>10991</v>
      </c>
      <c r="DS527" s="19" t="s">
        <v>2151</v>
      </c>
      <c r="DT527" s="19" t="s">
        <v>2152</v>
      </c>
      <c r="DU527" s="19"/>
      <c r="DV527" s="19"/>
      <c r="DW527" s="19" t="s">
        <v>2188</v>
      </c>
      <c r="DX527" s="19">
        <v>15.0</v>
      </c>
      <c r="DY527" s="19">
        <v>0.0</v>
      </c>
      <c r="DZ527" s="19">
        <v>0.0</v>
      </c>
      <c r="EA527" s="19">
        <v>0.0</v>
      </c>
      <c r="EB527" s="19">
        <v>0.0</v>
      </c>
      <c r="EC527" s="19">
        <v>0.0</v>
      </c>
      <c r="ED527" s="19" t="s">
        <v>2174</v>
      </c>
      <c r="EE527" s="24">
        <v>45526.0</v>
      </c>
      <c r="EF527" s="19" t="s">
        <v>2174</v>
      </c>
      <c r="EG527" s="19" t="s">
        <v>2145</v>
      </c>
      <c r="EH527" s="19" t="s">
        <v>2183</v>
      </c>
      <c r="EI527" s="22">
        <v>12.215624999999998</v>
      </c>
      <c r="EJ527" s="19">
        <v>45.0</v>
      </c>
      <c r="EK527" s="19" t="s">
        <v>2113</v>
      </c>
      <c r="EL527" s="19" t="s">
        <v>2117</v>
      </c>
      <c r="EM527" s="19" t="s">
        <v>10981</v>
      </c>
      <c r="EN527" s="19" t="s">
        <v>1556</v>
      </c>
      <c r="EO527" s="19" t="s">
        <v>2167</v>
      </c>
      <c r="EP527" s="19" t="s">
        <v>2122</v>
      </c>
      <c r="EQ527" s="19" t="s">
        <v>2176</v>
      </c>
      <c r="ER527" s="19"/>
      <c r="ES527" s="19" t="s">
        <v>1556</v>
      </c>
      <c r="ET527" s="19" t="s">
        <v>1556</v>
      </c>
      <c r="EU527" s="19" t="s">
        <v>10979</v>
      </c>
      <c r="EV527" s="19">
        <v>8532.0</v>
      </c>
      <c r="EW527" s="19" t="s">
        <v>16</v>
      </c>
      <c r="EX527" s="19">
        <v>5.0</v>
      </c>
      <c r="EY527" s="25" t="s">
        <v>1555</v>
      </c>
      <c r="EZ527" s="19" t="s">
        <v>2154</v>
      </c>
      <c r="FA527" s="5" t="s">
        <v>10992</v>
      </c>
      <c r="FB527" s="26" t="s">
        <v>2156</v>
      </c>
      <c r="FC527" s="26"/>
    </row>
    <row r="528">
      <c r="A528" s="19" t="s">
        <v>2112</v>
      </c>
      <c r="B528" s="19"/>
      <c r="C528" s="19" t="s">
        <v>2113</v>
      </c>
      <c r="D528" s="19" t="s">
        <v>1557</v>
      </c>
      <c r="E528" s="19" t="s">
        <v>10993</v>
      </c>
      <c r="F528" s="19" t="s">
        <v>1557</v>
      </c>
      <c r="G528" s="19"/>
      <c r="H528" s="19" t="s">
        <v>1557</v>
      </c>
      <c r="I528" s="19" t="s">
        <v>1559</v>
      </c>
      <c r="J528" s="19" t="s">
        <v>10994</v>
      </c>
      <c r="K528" s="19" t="s">
        <v>10995</v>
      </c>
      <c r="L528" s="20">
        <v>45417.0</v>
      </c>
      <c r="M528" s="20">
        <v>45428.0</v>
      </c>
      <c r="N528" s="20">
        <v>45428.0</v>
      </c>
      <c r="O528" s="19" t="s">
        <v>1558</v>
      </c>
      <c r="P528" s="19">
        <v>0.0</v>
      </c>
      <c r="Q528" s="19">
        <v>18.0</v>
      </c>
      <c r="R528" s="19">
        <v>6898.0</v>
      </c>
      <c r="S528" s="20" t="s">
        <v>10996</v>
      </c>
      <c r="T528" s="20">
        <v>45461.0</v>
      </c>
      <c r="U528" s="19" t="s">
        <v>1557</v>
      </c>
      <c r="V528" s="19"/>
      <c r="W528" s="19"/>
      <c r="X528" s="21">
        <v>0.0</v>
      </c>
      <c r="Y528" s="21">
        <v>0.0</v>
      </c>
      <c r="Z528" s="21">
        <v>5.0</v>
      </c>
      <c r="AA528" s="21">
        <v>0.0</v>
      </c>
      <c r="AB528" s="5">
        <v>5.0</v>
      </c>
      <c r="AC528" s="19">
        <v>4.25</v>
      </c>
      <c r="AD528" s="19">
        <v>4.25</v>
      </c>
      <c r="AE528" s="19">
        <v>4.25</v>
      </c>
      <c r="AF528" s="19">
        <v>4.0</v>
      </c>
      <c r="AG528" s="19">
        <v>4.25</v>
      </c>
      <c r="AH528" s="19">
        <v>4.75</v>
      </c>
      <c r="AI528" s="22">
        <v>12.84375</v>
      </c>
      <c r="AJ528" s="19">
        <v>14.8</v>
      </c>
      <c r="AK528" s="19">
        <v>14.8</v>
      </c>
      <c r="AL528" s="19">
        <v>14.8</v>
      </c>
      <c r="AM528" s="19">
        <v>44.3</v>
      </c>
      <c r="AN528" s="19">
        <v>57.1</v>
      </c>
      <c r="AO528" s="19">
        <v>62.1</v>
      </c>
      <c r="AP528" s="19">
        <v>1139.0</v>
      </c>
      <c r="AQ528" s="23">
        <v>519.0</v>
      </c>
      <c r="AR528" s="23">
        <v>65.0</v>
      </c>
      <c r="AS528" s="22"/>
      <c r="AT528" s="19" t="s">
        <v>2163</v>
      </c>
      <c r="AU528" s="19" t="s">
        <v>7135</v>
      </c>
      <c r="AV528" s="19" t="s">
        <v>10997</v>
      </c>
      <c r="AW528" s="19"/>
      <c r="AX528" s="20">
        <v>38563.0</v>
      </c>
      <c r="AY528" s="19" t="s">
        <v>2167</v>
      </c>
      <c r="AZ528" s="19" t="s">
        <v>2122</v>
      </c>
      <c r="BA528" s="19" t="s">
        <v>10998</v>
      </c>
      <c r="BB528" s="19" t="s">
        <v>2312</v>
      </c>
      <c r="BC528" s="19" t="s">
        <v>10999</v>
      </c>
      <c r="BD528" s="19" t="s">
        <v>11000</v>
      </c>
      <c r="BE528" s="19"/>
      <c r="BF528" s="19"/>
      <c r="BG528" s="19" t="s">
        <v>4038</v>
      </c>
      <c r="BH528" s="19" t="s">
        <v>2128</v>
      </c>
      <c r="BI528" s="19"/>
      <c r="BJ528" s="19" t="s">
        <v>2129</v>
      </c>
      <c r="BK528" s="19" t="s">
        <v>17</v>
      </c>
      <c r="BL528" s="19" t="s">
        <v>2113</v>
      </c>
      <c r="BM528" s="19" t="s">
        <v>5796</v>
      </c>
      <c r="BN528" s="19" t="s">
        <v>17</v>
      </c>
      <c r="BO528" s="19" t="s">
        <v>2132</v>
      </c>
      <c r="BP528" s="19"/>
      <c r="BQ528" s="19" t="s">
        <v>2174</v>
      </c>
      <c r="BR528" s="19" t="s">
        <v>2174</v>
      </c>
      <c r="BS528" s="19" t="s">
        <v>2134</v>
      </c>
      <c r="BT528" s="19" t="s">
        <v>21</v>
      </c>
      <c r="BU528" s="19" t="s">
        <v>11001</v>
      </c>
      <c r="BV528" s="19"/>
      <c r="BW528" s="19"/>
      <c r="BX528" s="19"/>
      <c r="BY528" s="19" t="s">
        <v>2113</v>
      </c>
      <c r="BZ528" s="19"/>
      <c r="CA528" s="19" t="s">
        <v>2113</v>
      </c>
      <c r="CB528" s="19" t="s">
        <v>2113</v>
      </c>
      <c r="CC528" s="19"/>
      <c r="CD528" s="19" t="s">
        <v>2137</v>
      </c>
      <c r="CE528" s="19" t="s">
        <v>16</v>
      </c>
      <c r="CF528" s="19"/>
      <c r="CG528" s="19"/>
      <c r="CH528" s="19" t="s">
        <v>16</v>
      </c>
      <c r="CI528" s="21">
        <v>0.0</v>
      </c>
      <c r="CJ528" s="19" t="s">
        <v>17</v>
      </c>
      <c r="CK528" s="19"/>
      <c r="CL528" s="19"/>
      <c r="CM528" s="19" t="s">
        <v>2926</v>
      </c>
      <c r="CN528" s="19" t="s">
        <v>2176</v>
      </c>
      <c r="CO528" s="19" t="s">
        <v>2177</v>
      </c>
      <c r="CP528" s="19" t="s">
        <v>2246</v>
      </c>
      <c r="CQ528" s="19"/>
      <c r="CR528" s="19" t="s">
        <v>2113</v>
      </c>
      <c r="CS528" s="19" t="s">
        <v>2113</v>
      </c>
      <c r="CT528" s="19"/>
      <c r="CU528" s="19"/>
      <c r="CV528" s="19" t="s">
        <v>2141</v>
      </c>
      <c r="CW528" s="19" t="s">
        <v>2113</v>
      </c>
      <c r="CX528" s="19" t="s">
        <v>2113</v>
      </c>
      <c r="CY528" s="19" t="s">
        <v>2113</v>
      </c>
      <c r="CZ528" s="19" t="s">
        <v>2113</v>
      </c>
      <c r="DA528" s="19" t="s">
        <v>16</v>
      </c>
      <c r="DB528" s="19" t="s">
        <v>17</v>
      </c>
      <c r="DC528" s="19" t="s">
        <v>2226</v>
      </c>
      <c r="DD528" s="19" t="s">
        <v>2113</v>
      </c>
      <c r="DE528" s="19" t="s">
        <v>2113</v>
      </c>
      <c r="DF528" s="19" t="s">
        <v>2180</v>
      </c>
      <c r="DG528" s="19" t="s">
        <v>2247</v>
      </c>
      <c r="DH528" s="19" t="s">
        <v>2144</v>
      </c>
      <c r="DI528" s="24">
        <v>45517.0</v>
      </c>
      <c r="DJ528" s="19" t="s">
        <v>2174</v>
      </c>
      <c r="DK528" s="19" t="s">
        <v>2271</v>
      </c>
      <c r="DL528" s="19" t="s">
        <v>2183</v>
      </c>
      <c r="DM528" s="19" t="s">
        <v>2515</v>
      </c>
      <c r="DN528" s="19">
        <v>2.0</v>
      </c>
      <c r="DO528" s="19">
        <v>2.0</v>
      </c>
      <c r="DP528" s="19" t="s">
        <v>11002</v>
      </c>
      <c r="DQ528" s="19" t="s">
        <v>11003</v>
      </c>
      <c r="DR528" s="19" t="s">
        <v>11004</v>
      </c>
      <c r="DS528" s="19" t="s">
        <v>2151</v>
      </c>
      <c r="DT528" s="19" t="s">
        <v>2366</v>
      </c>
      <c r="DU528" s="19"/>
      <c r="DV528" s="19"/>
      <c r="DW528" s="19" t="s">
        <v>2153</v>
      </c>
      <c r="DX528" s="19">
        <v>13.0</v>
      </c>
      <c r="DY528" s="19">
        <v>0.0</v>
      </c>
      <c r="DZ528" s="19">
        <v>0.0</v>
      </c>
      <c r="EA528" s="19">
        <v>0.0</v>
      </c>
      <c r="EB528" s="19">
        <v>0.0</v>
      </c>
      <c r="EC528" s="19">
        <v>0.0</v>
      </c>
      <c r="ED528" s="19" t="s">
        <v>2174</v>
      </c>
      <c r="EE528" s="24">
        <v>45517.0</v>
      </c>
      <c r="EF528" s="19" t="s">
        <v>2174</v>
      </c>
      <c r="EG528" s="19" t="s">
        <v>2271</v>
      </c>
      <c r="EH528" s="19" t="s">
        <v>2183</v>
      </c>
      <c r="EI528" s="22">
        <v>12.84375</v>
      </c>
      <c r="EJ528" s="19">
        <v>44.25</v>
      </c>
      <c r="EK528" s="19" t="s">
        <v>2113</v>
      </c>
      <c r="EL528" s="19" t="s">
        <v>2163</v>
      </c>
      <c r="EM528" s="19" t="s">
        <v>7135</v>
      </c>
      <c r="EN528" s="19" t="s">
        <v>1559</v>
      </c>
      <c r="EO528" s="19" t="s">
        <v>2167</v>
      </c>
      <c r="EP528" s="19" t="s">
        <v>2122</v>
      </c>
      <c r="EQ528" s="19" t="s">
        <v>2176</v>
      </c>
      <c r="ER528" s="19" t="s">
        <v>2177</v>
      </c>
      <c r="ES528" s="19" t="s">
        <v>1559</v>
      </c>
      <c r="ET528" s="19" t="s">
        <v>1559</v>
      </c>
      <c r="EU528" s="19" t="s">
        <v>10995</v>
      </c>
      <c r="EV528" s="19">
        <v>6898.0</v>
      </c>
      <c r="EW528" s="19" t="s">
        <v>16</v>
      </c>
      <c r="EX528" s="19">
        <v>5.0</v>
      </c>
      <c r="EY528" s="25" t="s">
        <v>1558</v>
      </c>
      <c r="EZ528" s="19" t="s">
        <v>2154</v>
      </c>
      <c r="FA528" s="5" t="s">
        <v>11005</v>
      </c>
      <c r="FB528" s="26" t="s">
        <v>2156</v>
      </c>
      <c r="FC528" s="26"/>
    </row>
    <row r="529">
      <c r="A529" s="19" t="s">
        <v>2112</v>
      </c>
      <c r="B529" s="19"/>
      <c r="C529" s="19" t="s">
        <v>2113</v>
      </c>
      <c r="D529" s="19" t="s">
        <v>1560</v>
      </c>
      <c r="E529" s="19" t="s">
        <v>11006</v>
      </c>
      <c r="F529" s="19" t="s">
        <v>2608</v>
      </c>
      <c r="G529" s="19" t="s">
        <v>2609</v>
      </c>
      <c r="H529" s="19" t="s">
        <v>1560</v>
      </c>
      <c r="I529" s="19" t="s">
        <v>1562</v>
      </c>
      <c r="J529" s="19" t="s">
        <v>11007</v>
      </c>
      <c r="K529" s="19" t="s">
        <v>11008</v>
      </c>
      <c r="L529" s="20">
        <v>45394.0</v>
      </c>
      <c r="M529" s="20">
        <v>45404.0</v>
      </c>
      <c r="N529" s="20">
        <v>45404.0</v>
      </c>
      <c r="O529" s="19" t="s">
        <v>1561</v>
      </c>
      <c r="P529" s="19">
        <v>0.0</v>
      </c>
      <c r="Q529" s="19">
        <v>20.0</v>
      </c>
      <c r="R529" s="19">
        <v>7375.0</v>
      </c>
      <c r="S529" s="20" t="s">
        <v>11009</v>
      </c>
      <c r="T529" s="20">
        <v>45461.0</v>
      </c>
      <c r="U529" s="19" t="s">
        <v>2608</v>
      </c>
      <c r="V529" s="19"/>
      <c r="W529" s="19"/>
      <c r="X529" s="21">
        <v>0.0</v>
      </c>
      <c r="Y529" s="21">
        <v>0.0</v>
      </c>
      <c r="Z529" s="21">
        <v>5.0</v>
      </c>
      <c r="AA529" s="21">
        <v>0.0</v>
      </c>
      <c r="AB529" s="5">
        <v>5.0</v>
      </c>
      <c r="AC529" s="19">
        <v>4.6</v>
      </c>
      <c r="AD529" s="19">
        <v>5.0</v>
      </c>
      <c r="AE529" s="19">
        <v>4.6</v>
      </c>
      <c r="AF529" s="19">
        <v>5.0</v>
      </c>
      <c r="AG529" s="19">
        <v>4.0</v>
      </c>
      <c r="AH529" s="19">
        <v>5.0</v>
      </c>
      <c r="AI529" s="22">
        <v>14.137500000000001</v>
      </c>
      <c r="AJ529" s="19">
        <v>13.5</v>
      </c>
      <c r="AK529" s="19">
        <v>14.5</v>
      </c>
      <c r="AL529" s="19">
        <v>15.0</v>
      </c>
      <c r="AM529" s="19">
        <v>43.0</v>
      </c>
      <c r="AN529" s="19">
        <v>57.1</v>
      </c>
      <c r="AO529" s="19">
        <v>62.1</v>
      </c>
      <c r="AP529" s="19">
        <v>1121.0</v>
      </c>
      <c r="AQ529" s="23">
        <v>520.0</v>
      </c>
      <c r="AR529" s="23">
        <v>66.0</v>
      </c>
      <c r="AS529" s="22"/>
      <c r="AT529" s="19" t="s">
        <v>2163</v>
      </c>
      <c r="AU529" s="19" t="s">
        <v>7491</v>
      </c>
      <c r="AV529" s="19" t="s">
        <v>11010</v>
      </c>
      <c r="AW529" s="19" t="s">
        <v>2764</v>
      </c>
      <c r="AX529" s="20">
        <v>38086.0</v>
      </c>
      <c r="AY529" s="19" t="s">
        <v>2167</v>
      </c>
      <c r="AZ529" s="19" t="s">
        <v>2122</v>
      </c>
      <c r="BA529" s="19" t="s">
        <v>2166</v>
      </c>
      <c r="BB529" s="19" t="s">
        <v>2921</v>
      </c>
      <c r="BC529" s="19" t="s">
        <v>11011</v>
      </c>
      <c r="BD529" s="19" t="s">
        <v>11012</v>
      </c>
      <c r="BE529" s="19" t="s">
        <v>11007</v>
      </c>
      <c r="BF529" s="19">
        <v>1.1969386977E10</v>
      </c>
      <c r="BG529" s="19" t="s">
        <v>4038</v>
      </c>
      <c r="BH529" s="19" t="s">
        <v>2128</v>
      </c>
      <c r="BI529" s="19"/>
      <c r="BJ529" s="19" t="s">
        <v>2427</v>
      </c>
      <c r="BK529" s="19" t="s">
        <v>17</v>
      </c>
      <c r="BL529" s="19"/>
      <c r="BM529" s="19" t="s">
        <v>5411</v>
      </c>
      <c r="BN529" s="19" t="s">
        <v>17</v>
      </c>
      <c r="BO529" s="19" t="s">
        <v>2132</v>
      </c>
      <c r="BP529" s="19" t="s">
        <v>11013</v>
      </c>
      <c r="BQ529" s="19" t="s">
        <v>2174</v>
      </c>
      <c r="BR529" s="19" t="s">
        <v>2174</v>
      </c>
      <c r="BS529" s="19" t="s">
        <v>2134</v>
      </c>
      <c r="BT529" s="19" t="s">
        <v>21</v>
      </c>
      <c r="BU529" s="19" t="s">
        <v>4244</v>
      </c>
      <c r="BV529" s="19"/>
      <c r="BW529" s="19" t="s">
        <v>2113</v>
      </c>
      <c r="BX529" s="19"/>
      <c r="BY529" s="19" t="s">
        <v>2113</v>
      </c>
      <c r="BZ529" s="19"/>
      <c r="CA529" s="19"/>
      <c r="CB529" s="19" t="s">
        <v>2113</v>
      </c>
      <c r="CC529" s="19"/>
      <c r="CD529" s="19" t="s">
        <v>2137</v>
      </c>
      <c r="CE529" s="19" t="s">
        <v>16</v>
      </c>
      <c r="CF529" s="19"/>
      <c r="CG529" s="19"/>
      <c r="CH529" s="19" t="s">
        <v>16</v>
      </c>
      <c r="CI529" s="21">
        <v>0.0</v>
      </c>
      <c r="CJ529" s="19" t="s">
        <v>17</v>
      </c>
      <c r="CK529" s="19"/>
      <c r="CL529" s="19"/>
      <c r="CM529" s="19" t="s">
        <v>2138</v>
      </c>
      <c r="CN529" s="19" t="s">
        <v>2176</v>
      </c>
      <c r="CO529" s="19"/>
      <c r="CP529" s="19" t="s">
        <v>2246</v>
      </c>
      <c r="CQ529" s="19"/>
      <c r="CR529" s="19"/>
      <c r="CS529" s="19"/>
      <c r="CT529" s="19"/>
      <c r="CU529" s="19"/>
      <c r="CV529" s="19" t="s">
        <v>2141</v>
      </c>
      <c r="CW529" s="19"/>
      <c r="CX529" s="19"/>
      <c r="CY529" s="19" t="s">
        <v>2113</v>
      </c>
      <c r="CZ529" s="19" t="s">
        <v>2113</v>
      </c>
      <c r="DA529" s="19" t="s">
        <v>16</v>
      </c>
      <c r="DB529" s="19" t="s">
        <v>17</v>
      </c>
      <c r="DC529" s="19" t="s">
        <v>2182</v>
      </c>
      <c r="DD529" s="19" t="s">
        <v>2113</v>
      </c>
      <c r="DE529" s="19" t="s">
        <v>2113</v>
      </c>
      <c r="DF529" s="19" t="s">
        <v>2181</v>
      </c>
      <c r="DG529" s="19" t="s">
        <v>7081</v>
      </c>
      <c r="DH529" s="19" t="s">
        <v>2144</v>
      </c>
      <c r="DI529" s="24">
        <v>45519.0</v>
      </c>
      <c r="DJ529" s="19" t="s">
        <v>2174</v>
      </c>
      <c r="DK529" s="19" t="s">
        <v>2271</v>
      </c>
      <c r="DL529" s="19" t="s">
        <v>2183</v>
      </c>
      <c r="DM529" s="19" t="s">
        <v>2272</v>
      </c>
      <c r="DN529" s="19">
        <v>6.0</v>
      </c>
      <c r="DO529" s="19">
        <v>6.0</v>
      </c>
      <c r="DP529" s="19" t="s">
        <v>11014</v>
      </c>
      <c r="DQ529" s="19" t="s">
        <v>11015</v>
      </c>
      <c r="DR529" s="19" t="s">
        <v>11016</v>
      </c>
      <c r="DS529" s="19" t="s">
        <v>2151</v>
      </c>
      <c r="DT529" s="19" t="s">
        <v>2229</v>
      </c>
      <c r="DU529" s="19"/>
      <c r="DV529" s="19"/>
      <c r="DW529" s="19" t="s">
        <v>2153</v>
      </c>
      <c r="DX529" s="19">
        <v>14.0</v>
      </c>
      <c r="DY529" s="19">
        <v>0.0</v>
      </c>
      <c r="DZ529" s="19">
        <v>0.0</v>
      </c>
      <c r="EA529" s="19">
        <v>0.0</v>
      </c>
      <c r="EB529" s="19">
        <v>0.0</v>
      </c>
      <c r="EC529" s="19">
        <v>0.0</v>
      </c>
      <c r="ED529" s="19" t="s">
        <v>2174</v>
      </c>
      <c r="EE529" s="24">
        <v>45519.0</v>
      </c>
      <c r="EF529" s="19" t="s">
        <v>2174</v>
      </c>
      <c r="EG529" s="19" t="s">
        <v>2271</v>
      </c>
      <c r="EH529" s="19" t="s">
        <v>2183</v>
      </c>
      <c r="EI529" s="22">
        <v>14.137500000000001</v>
      </c>
      <c r="EJ529" s="19">
        <v>43.0</v>
      </c>
      <c r="EK529" s="19" t="s">
        <v>2113</v>
      </c>
      <c r="EL529" s="19" t="s">
        <v>2163</v>
      </c>
      <c r="EM529" s="19" t="s">
        <v>7491</v>
      </c>
      <c r="EN529" s="19" t="s">
        <v>1562</v>
      </c>
      <c r="EO529" s="19" t="s">
        <v>2167</v>
      </c>
      <c r="EP529" s="19" t="s">
        <v>2122</v>
      </c>
      <c r="EQ529" s="19" t="s">
        <v>2176</v>
      </c>
      <c r="ER529" s="19"/>
      <c r="ES529" s="19" t="s">
        <v>1562</v>
      </c>
      <c r="ET529" s="19" t="s">
        <v>1562</v>
      </c>
      <c r="EU529" s="19" t="s">
        <v>11008</v>
      </c>
      <c r="EV529" s="19">
        <v>7375.0</v>
      </c>
      <c r="EW529" s="19" t="s">
        <v>16</v>
      </c>
      <c r="EX529" s="19">
        <v>5.0</v>
      </c>
      <c r="EY529" s="25" t="s">
        <v>1561</v>
      </c>
      <c r="EZ529" s="19" t="s">
        <v>2154</v>
      </c>
      <c r="FA529" s="5" t="s">
        <v>11017</v>
      </c>
      <c r="FB529" s="26" t="s">
        <v>2156</v>
      </c>
      <c r="FC529" s="26"/>
    </row>
    <row r="530">
      <c r="A530" s="19" t="s">
        <v>2112</v>
      </c>
      <c r="B530" s="19"/>
      <c r="C530" s="19" t="s">
        <v>2113</v>
      </c>
      <c r="D530" s="19" t="s">
        <v>1563</v>
      </c>
      <c r="E530" s="19" t="s">
        <v>11018</v>
      </c>
      <c r="F530" s="19" t="s">
        <v>1563</v>
      </c>
      <c r="G530" s="19" t="s">
        <v>11018</v>
      </c>
      <c r="H530" s="19" t="s">
        <v>1563</v>
      </c>
      <c r="I530" s="19" t="s">
        <v>1565</v>
      </c>
      <c r="J530" s="19" t="s">
        <v>11019</v>
      </c>
      <c r="K530" s="19" t="s">
        <v>11020</v>
      </c>
      <c r="L530" s="20">
        <v>45403.0</v>
      </c>
      <c r="M530" s="20">
        <v>45411.0</v>
      </c>
      <c r="N530" s="20">
        <v>45411.0</v>
      </c>
      <c r="O530" s="19" t="s">
        <v>1564</v>
      </c>
      <c r="P530" s="19">
        <v>0.0</v>
      </c>
      <c r="Q530" s="19">
        <v>21.0</v>
      </c>
      <c r="R530" s="19">
        <v>7737.0</v>
      </c>
      <c r="S530" s="20" t="s">
        <v>11021</v>
      </c>
      <c r="T530" s="20">
        <v>45461.0</v>
      </c>
      <c r="U530" s="19" t="s">
        <v>1563</v>
      </c>
      <c r="V530" s="19"/>
      <c r="W530" s="19"/>
      <c r="X530" s="21">
        <v>0.0</v>
      </c>
      <c r="Y530" s="21">
        <v>0.0</v>
      </c>
      <c r="Z530" s="21">
        <v>5.0</v>
      </c>
      <c r="AA530" s="21">
        <v>0.0</v>
      </c>
      <c r="AB530" s="5">
        <v>5.0</v>
      </c>
      <c r="AC530" s="19">
        <v>4.8</v>
      </c>
      <c r="AD530" s="19">
        <v>4.6</v>
      </c>
      <c r="AE530" s="19">
        <v>5.0</v>
      </c>
      <c r="AF530" s="19">
        <v>4.6</v>
      </c>
      <c r="AG530" s="19">
        <v>4.3</v>
      </c>
      <c r="AH530" s="19">
        <v>4.6</v>
      </c>
      <c r="AI530" s="22">
        <v>14.08125</v>
      </c>
      <c r="AJ530" s="19">
        <v>13.0</v>
      </c>
      <c r="AK530" s="19">
        <v>15.0</v>
      </c>
      <c r="AL530" s="19">
        <v>15.0</v>
      </c>
      <c r="AM530" s="19">
        <v>43.0</v>
      </c>
      <c r="AN530" s="19">
        <v>57.1</v>
      </c>
      <c r="AO530" s="19">
        <v>62.1</v>
      </c>
      <c r="AP530" s="19">
        <v>1105.0</v>
      </c>
      <c r="AQ530" s="23">
        <v>521.0</v>
      </c>
      <c r="AR530" s="23">
        <v>67.0</v>
      </c>
      <c r="AS530" s="22"/>
      <c r="AT530" s="19" t="s">
        <v>2117</v>
      </c>
      <c r="AU530" s="19" t="s">
        <v>7135</v>
      </c>
      <c r="AV530" s="19" t="s">
        <v>11022</v>
      </c>
      <c r="AW530" s="19"/>
      <c r="AX530" s="20">
        <v>37724.0</v>
      </c>
      <c r="AY530" s="19" t="s">
        <v>2167</v>
      </c>
      <c r="AZ530" s="19" t="s">
        <v>2122</v>
      </c>
      <c r="BA530" s="19" t="s">
        <v>11023</v>
      </c>
      <c r="BB530" s="19" t="s">
        <v>4878</v>
      </c>
      <c r="BC530" s="19" t="s">
        <v>11024</v>
      </c>
      <c r="BD530" s="19" t="s">
        <v>11025</v>
      </c>
      <c r="BE530" s="19" t="s">
        <v>11019</v>
      </c>
      <c r="BF530" s="19">
        <v>1.1967429555E10</v>
      </c>
      <c r="BG530" s="19" t="s">
        <v>4038</v>
      </c>
      <c r="BH530" s="19" t="s">
        <v>2128</v>
      </c>
      <c r="BI530" s="19"/>
      <c r="BJ530" s="19" t="s">
        <v>2128</v>
      </c>
      <c r="BK530" s="19" t="s">
        <v>17</v>
      </c>
      <c r="BL530" s="19"/>
      <c r="BM530" s="19" t="s">
        <v>5411</v>
      </c>
      <c r="BN530" s="19" t="s">
        <v>17</v>
      </c>
      <c r="BO530" s="19" t="s">
        <v>2132</v>
      </c>
      <c r="BP530" s="19" t="s">
        <v>11026</v>
      </c>
      <c r="BQ530" s="19" t="s">
        <v>2174</v>
      </c>
      <c r="BR530" s="19" t="s">
        <v>2174</v>
      </c>
      <c r="BS530" s="19" t="s">
        <v>2134</v>
      </c>
      <c r="BT530" s="19" t="s">
        <v>21</v>
      </c>
      <c r="BU530" s="19" t="s">
        <v>11027</v>
      </c>
      <c r="BV530" s="19"/>
      <c r="BW530" s="19" t="s">
        <v>2113</v>
      </c>
      <c r="BX530" s="19"/>
      <c r="BY530" s="19"/>
      <c r="BZ530" s="19"/>
      <c r="CA530" s="19"/>
      <c r="CB530" s="19" t="s">
        <v>2113</v>
      </c>
      <c r="CC530" s="19"/>
      <c r="CD530" s="19" t="s">
        <v>2137</v>
      </c>
      <c r="CE530" s="19" t="s">
        <v>16</v>
      </c>
      <c r="CF530" s="19"/>
      <c r="CG530" s="19"/>
      <c r="CH530" s="19" t="s">
        <v>16</v>
      </c>
      <c r="CI530" s="21">
        <v>0.0</v>
      </c>
      <c r="CJ530" s="19" t="s">
        <v>17</v>
      </c>
      <c r="CK530" s="19"/>
      <c r="CL530" s="19"/>
      <c r="CM530" s="19" t="s">
        <v>2344</v>
      </c>
      <c r="CN530" s="19" t="s">
        <v>2176</v>
      </c>
      <c r="CO530" s="19"/>
      <c r="CP530" s="19" t="s">
        <v>2246</v>
      </c>
      <c r="CQ530" s="19"/>
      <c r="CR530" s="19" t="s">
        <v>2113</v>
      </c>
      <c r="CS530" s="19" t="s">
        <v>2113</v>
      </c>
      <c r="CT530" s="19" t="s">
        <v>2113</v>
      </c>
      <c r="CU530" s="19" t="s">
        <v>2113</v>
      </c>
      <c r="CV530" s="19" t="s">
        <v>2141</v>
      </c>
      <c r="CW530" s="19" t="s">
        <v>2113</v>
      </c>
      <c r="CX530" s="19" t="s">
        <v>2113</v>
      </c>
      <c r="CY530" s="19" t="s">
        <v>2113</v>
      </c>
      <c r="CZ530" s="19" t="s">
        <v>2113</v>
      </c>
      <c r="DA530" s="19" t="s">
        <v>16</v>
      </c>
      <c r="DB530" s="19" t="s">
        <v>17</v>
      </c>
      <c r="DC530" s="19" t="s">
        <v>2226</v>
      </c>
      <c r="DD530" s="19" t="s">
        <v>2113</v>
      </c>
      <c r="DE530" s="19" t="s">
        <v>2113</v>
      </c>
      <c r="DF530" s="19" t="s">
        <v>2345</v>
      </c>
      <c r="DG530" s="19" t="s">
        <v>2180</v>
      </c>
      <c r="DH530" s="19" t="s">
        <v>2144</v>
      </c>
      <c r="DI530" s="24">
        <v>45526.0</v>
      </c>
      <c r="DJ530" s="19" t="s">
        <v>2174</v>
      </c>
      <c r="DK530" s="19" t="s">
        <v>2145</v>
      </c>
      <c r="DL530" s="19" t="s">
        <v>2183</v>
      </c>
      <c r="DM530" s="19"/>
      <c r="DN530" s="19">
        <v>11.0</v>
      </c>
      <c r="DO530" s="19">
        <v>11.0</v>
      </c>
      <c r="DP530" s="19" t="s">
        <v>11028</v>
      </c>
      <c r="DQ530" s="19" t="s">
        <v>11029</v>
      </c>
      <c r="DR530" s="19" t="s">
        <v>11030</v>
      </c>
      <c r="DS530" s="19" t="s">
        <v>2151</v>
      </c>
      <c r="DT530" s="19" t="s">
        <v>2209</v>
      </c>
      <c r="DU530" s="19"/>
      <c r="DV530" s="19"/>
      <c r="DW530" s="19" t="s">
        <v>2188</v>
      </c>
      <c r="DX530" s="19">
        <v>15.0</v>
      </c>
      <c r="DY530" s="19">
        <v>0.0</v>
      </c>
      <c r="DZ530" s="19">
        <v>0.0</v>
      </c>
      <c r="EA530" s="19">
        <v>0.0</v>
      </c>
      <c r="EB530" s="19">
        <v>0.0</v>
      </c>
      <c r="EC530" s="19">
        <v>0.0</v>
      </c>
      <c r="ED530" s="19" t="s">
        <v>2174</v>
      </c>
      <c r="EE530" s="24">
        <v>45526.0</v>
      </c>
      <c r="EF530" s="19" t="s">
        <v>2174</v>
      </c>
      <c r="EG530" s="19" t="s">
        <v>2145</v>
      </c>
      <c r="EH530" s="19" t="s">
        <v>2183</v>
      </c>
      <c r="EI530" s="22">
        <v>14.08125</v>
      </c>
      <c r="EJ530" s="19">
        <v>43.0</v>
      </c>
      <c r="EK530" s="19" t="s">
        <v>2113</v>
      </c>
      <c r="EL530" s="19" t="s">
        <v>2117</v>
      </c>
      <c r="EM530" s="19" t="s">
        <v>7135</v>
      </c>
      <c r="EN530" s="19" t="s">
        <v>1565</v>
      </c>
      <c r="EO530" s="19" t="s">
        <v>2167</v>
      </c>
      <c r="EP530" s="19" t="s">
        <v>2122</v>
      </c>
      <c r="EQ530" s="19" t="s">
        <v>2176</v>
      </c>
      <c r="ER530" s="19"/>
      <c r="ES530" s="19" t="s">
        <v>1565</v>
      </c>
      <c r="ET530" s="19" t="s">
        <v>1565</v>
      </c>
      <c r="EU530" s="19" t="s">
        <v>11020</v>
      </c>
      <c r="EV530" s="19">
        <v>7737.0</v>
      </c>
      <c r="EW530" s="19" t="s">
        <v>16</v>
      </c>
      <c r="EX530" s="19">
        <v>5.0</v>
      </c>
      <c r="EY530" s="25" t="s">
        <v>1564</v>
      </c>
      <c r="EZ530" s="19" t="s">
        <v>2154</v>
      </c>
      <c r="FA530" s="5" t="s">
        <v>11031</v>
      </c>
      <c r="FB530" s="26" t="s">
        <v>2156</v>
      </c>
      <c r="FC530" s="26"/>
    </row>
    <row r="531">
      <c r="A531" s="19" t="s">
        <v>2112</v>
      </c>
      <c r="B531" s="19"/>
      <c r="C531" s="19" t="s">
        <v>2113</v>
      </c>
      <c r="D531" s="19" t="s">
        <v>1566</v>
      </c>
      <c r="E531" s="19" t="s">
        <v>11032</v>
      </c>
      <c r="F531" s="19" t="s">
        <v>11033</v>
      </c>
      <c r="G531" s="19" t="s">
        <v>11032</v>
      </c>
      <c r="H531" s="19" t="s">
        <v>1566</v>
      </c>
      <c r="I531" s="19" t="s">
        <v>1568</v>
      </c>
      <c r="J531" s="19" t="s">
        <v>11034</v>
      </c>
      <c r="K531" s="19" t="s">
        <v>11035</v>
      </c>
      <c r="L531" s="20">
        <v>45427.0</v>
      </c>
      <c r="M531" s="20">
        <v>45428.0</v>
      </c>
      <c r="N531" s="20">
        <v>45428.0</v>
      </c>
      <c r="O531" s="19" t="s">
        <v>1567</v>
      </c>
      <c r="P531" s="19">
        <v>0.0</v>
      </c>
      <c r="Q531" s="19">
        <v>28.0</v>
      </c>
      <c r="R531" s="19">
        <v>10592.0</v>
      </c>
      <c r="S531" s="20" t="s">
        <v>11036</v>
      </c>
      <c r="T531" s="20">
        <v>45461.0</v>
      </c>
      <c r="U531" s="19" t="s">
        <v>11033</v>
      </c>
      <c r="V531" s="19"/>
      <c r="W531" s="19" t="s">
        <v>11037</v>
      </c>
      <c r="X531" s="21">
        <v>0.0</v>
      </c>
      <c r="Y531" s="21">
        <v>0.0</v>
      </c>
      <c r="Z531" s="21">
        <v>4.0</v>
      </c>
      <c r="AA531" s="21">
        <v>0.0</v>
      </c>
      <c r="AB531" s="5">
        <v>4.0</v>
      </c>
      <c r="AC531" s="19">
        <v>4.2</v>
      </c>
      <c r="AD531" s="19">
        <v>4.2</v>
      </c>
      <c r="AE531" s="19">
        <v>4.6</v>
      </c>
      <c r="AF531" s="19">
        <v>4.8</v>
      </c>
      <c r="AG531" s="19">
        <v>3.8</v>
      </c>
      <c r="AH531" s="19">
        <v>4.4</v>
      </c>
      <c r="AI531" s="22">
        <v>13.05</v>
      </c>
      <c r="AJ531" s="19">
        <v>15.0</v>
      </c>
      <c r="AK531" s="19">
        <v>15.0</v>
      </c>
      <c r="AL531" s="19">
        <v>15.0</v>
      </c>
      <c r="AM531" s="19">
        <v>45.0</v>
      </c>
      <c r="AN531" s="19">
        <v>58.1</v>
      </c>
      <c r="AO531" s="19">
        <v>62.1</v>
      </c>
      <c r="AP531" s="19">
        <v>1157.0</v>
      </c>
      <c r="AQ531" s="23">
        <v>522.0</v>
      </c>
      <c r="AR531" s="23">
        <v>41.0</v>
      </c>
      <c r="AS531" s="22"/>
      <c r="AT531" s="19" t="s">
        <v>2117</v>
      </c>
      <c r="AU531" s="19" t="s">
        <v>11038</v>
      </c>
      <c r="AV531" s="19" t="s">
        <v>11039</v>
      </c>
      <c r="AW531" s="19" t="s">
        <v>2466</v>
      </c>
      <c r="AX531" s="20">
        <v>34869.0</v>
      </c>
      <c r="AY531" s="19" t="s">
        <v>4876</v>
      </c>
      <c r="AZ531" s="19" t="s">
        <v>2310</v>
      </c>
      <c r="BA531" s="19" t="s">
        <v>11040</v>
      </c>
      <c r="BB531" s="19" t="s">
        <v>11041</v>
      </c>
      <c r="BC531" s="19" t="s">
        <v>11042</v>
      </c>
      <c r="BD531" s="19" t="s">
        <v>11043</v>
      </c>
      <c r="BE531" s="19" t="s">
        <v>11034</v>
      </c>
      <c r="BF531" s="19">
        <v>1.1974321515E10</v>
      </c>
      <c r="BG531" s="19" t="s">
        <v>4038</v>
      </c>
      <c r="BH531" s="19" t="s">
        <v>2128</v>
      </c>
      <c r="BI531" s="19"/>
      <c r="BJ531" s="19" t="s">
        <v>2129</v>
      </c>
      <c r="BK531" s="19" t="s">
        <v>17</v>
      </c>
      <c r="BL531" s="19" t="s">
        <v>2113</v>
      </c>
      <c r="BM531" s="19" t="s">
        <v>5563</v>
      </c>
      <c r="BN531" s="19" t="s">
        <v>17</v>
      </c>
      <c r="BO531" s="19" t="s">
        <v>2317</v>
      </c>
      <c r="BP531" s="19" t="s">
        <v>11044</v>
      </c>
      <c r="BQ531" s="19" t="s">
        <v>2174</v>
      </c>
      <c r="BR531" s="19" t="s">
        <v>2174</v>
      </c>
      <c r="BS531" s="19" t="s">
        <v>3521</v>
      </c>
      <c r="BT531" s="19" t="s">
        <v>75</v>
      </c>
      <c r="BU531" s="19" t="s">
        <v>11045</v>
      </c>
      <c r="BV531" s="19"/>
      <c r="BW531" s="19"/>
      <c r="BX531" s="19" t="s">
        <v>2113</v>
      </c>
      <c r="BY531" s="19" t="s">
        <v>2113</v>
      </c>
      <c r="BZ531" s="19" t="s">
        <v>2113</v>
      </c>
      <c r="CA531" s="19" t="s">
        <v>2113</v>
      </c>
      <c r="CB531" s="19" t="s">
        <v>2113</v>
      </c>
      <c r="CC531" s="19"/>
      <c r="CD531" s="19" t="s">
        <v>2137</v>
      </c>
      <c r="CE531" s="19" t="s">
        <v>16</v>
      </c>
      <c r="CF531" s="19"/>
      <c r="CG531" s="19"/>
      <c r="CH531" s="19" t="s">
        <v>16</v>
      </c>
      <c r="CI531" s="21">
        <v>0.0</v>
      </c>
      <c r="CJ531" s="19" t="s">
        <v>17</v>
      </c>
      <c r="CK531" s="19"/>
      <c r="CL531" s="19"/>
      <c r="CM531" s="19" t="s">
        <v>2344</v>
      </c>
      <c r="CN531" s="19" t="s">
        <v>4884</v>
      </c>
      <c r="CO531" s="19"/>
      <c r="CP531" s="19" t="s">
        <v>2246</v>
      </c>
      <c r="CQ531" s="19"/>
      <c r="CR531" s="19" t="s">
        <v>2113</v>
      </c>
      <c r="CS531" s="19" t="s">
        <v>2113</v>
      </c>
      <c r="CT531" s="19"/>
      <c r="CU531" s="19"/>
      <c r="CV531" s="19" t="s">
        <v>2179</v>
      </c>
      <c r="CW531" s="19" t="s">
        <v>2113</v>
      </c>
      <c r="CX531" s="19" t="s">
        <v>2113</v>
      </c>
      <c r="CY531" s="19" t="s">
        <v>2113</v>
      </c>
      <c r="CZ531" s="19" t="s">
        <v>2113</v>
      </c>
      <c r="DA531" s="19" t="s">
        <v>16</v>
      </c>
      <c r="DB531" s="19" t="s">
        <v>17</v>
      </c>
      <c r="DC531" s="19" t="s">
        <v>4791</v>
      </c>
      <c r="DD531" s="19" t="s">
        <v>2113</v>
      </c>
      <c r="DE531" s="19" t="s">
        <v>2113</v>
      </c>
      <c r="DF531" s="19" t="s">
        <v>2540</v>
      </c>
      <c r="DG531" s="19" t="s">
        <v>2538</v>
      </c>
      <c r="DH531" s="19" t="s">
        <v>2144</v>
      </c>
      <c r="DI531" s="24">
        <v>45519.0</v>
      </c>
      <c r="DJ531" s="19" t="s">
        <v>2174</v>
      </c>
      <c r="DK531" s="19" t="s">
        <v>2145</v>
      </c>
      <c r="DL531" s="19" t="s">
        <v>2183</v>
      </c>
      <c r="DM531" s="19" t="s">
        <v>4885</v>
      </c>
      <c r="DN531" s="19">
        <v>5.0</v>
      </c>
      <c r="DO531" s="19">
        <v>5.0</v>
      </c>
      <c r="DP531" s="19"/>
      <c r="DQ531" s="19"/>
      <c r="DR531" s="19"/>
      <c r="DS531" s="19" t="s">
        <v>2151</v>
      </c>
      <c r="DT531" s="19" t="s">
        <v>2350</v>
      </c>
      <c r="DU531" s="19" t="s">
        <v>11046</v>
      </c>
      <c r="DV531" s="19"/>
      <c r="DW531" s="19" t="s">
        <v>2153</v>
      </c>
      <c r="DX531" s="19">
        <v>14.0</v>
      </c>
      <c r="DY531" s="19">
        <v>0.0</v>
      </c>
      <c r="DZ531" s="19">
        <v>0.0</v>
      </c>
      <c r="EA531" s="19">
        <v>0.0</v>
      </c>
      <c r="EB531" s="19">
        <v>0.0</v>
      </c>
      <c r="EC531" s="19">
        <v>0.0</v>
      </c>
      <c r="ED531" s="19" t="s">
        <v>2174</v>
      </c>
      <c r="EE531" s="24">
        <v>45519.0</v>
      </c>
      <c r="EF531" s="19" t="s">
        <v>2174</v>
      </c>
      <c r="EG531" s="19" t="s">
        <v>2145</v>
      </c>
      <c r="EH531" s="19" t="s">
        <v>2183</v>
      </c>
      <c r="EI531" s="22">
        <v>13.05</v>
      </c>
      <c r="EJ531" s="19">
        <v>45.0</v>
      </c>
      <c r="EK531" s="19" t="s">
        <v>2113</v>
      </c>
      <c r="EL531" s="19" t="s">
        <v>2117</v>
      </c>
      <c r="EM531" s="19" t="s">
        <v>11038</v>
      </c>
      <c r="EN531" s="19" t="s">
        <v>1568</v>
      </c>
      <c r="EO531" s="19" t="s">
        <v>4876</v>
      </c>
      <c r="EP531" s="19" t="s">
        <v>2310</v>
      </c>
      <c r="EQ531" s="19" t="s">
        <v>4884</v>
      </c>
      <c r="ER531" s="19"/>
      <c r="ES531" s="19" t="s">
        <v>1568</v>
      </c>
      <c r="ET531" s="19" t="s">
        <v>1568</v>
      </c>
      <c r="EU531" s="19" t="s">
        <v>11035</v>
      </c>
      <c r="EV531" s="19">
        <v>10592.0</v>
      </c>
      <c r="EW531" s="19" t="s">
        <v>16</v>
      </c>
      <c r="EX531" s="19">
        <v>4.0</v>
      </c>
      <c r="EY531" s="25" t="s">
        <v>1567</v>
      </c>
      <c r="EZ531" s="19" t="s">
        <v>2154</v>
      </c>
      <c r="FA531" s="5" t="s">
        <v>11047</v>
      </c>
      <c r="FB531" s="26" t="s">
        <v>2156</v>
      </c>
      <c r="FC531" s="26"/>
    </row>
    <row r="532">
      <c r="A532" s="19" t="s">
        <v>2112</v>
      </c>
      <c r="B532" s="19"/>
      <c r="C532" s="19" t="s">
        <v>2113</v>
      </c>
      <c r="D532" s="19" t="s">
        <v>11048</v>
      </c>
      <c r="E532" s="19" t="s">
        <v>11049</v>
      </c>
      <c r="F532" s="19" t="s">
        <v>11048</v>
      </c>
      <c r="G532" s="19"/>
      <c r="H532" s="19" t="s">
        <v>1569</v>
      </c>
      <c r="I532" s="19" t="s">
        <v>1571</v>
      </c>
      <c r="J532" s="19" t="s">
        <v>11050</v>
      </c>
      <c r="K532" s="19" t="s">
        <v>11051</v>
      </c>
      <c r="L532" s="20">
        <v>45405.0</v>
      </c>
      <c r="M532" s="20">
        <v>45411.0</v>
      </c>
      <c r="N532" s="20">
        <v>45411.0</v>
      </c>
      <c r="O532" s="19" t="s">
        <v>1570</v>
      </c>
      <c r="P532" s="19">
        <v>0.0</v>
      </c>
      <c r="Q532" s="19">
        <v>29.0</v>
      </c>
      <c r="R532" s="19">
        <v>10887.0</v>
      </c>
      <c r="S532" s="20" t="s">
        <v>11052</v>
      </c>
      <c r="T532" s="20">
        <v>45461.0</v>
      </c>
      <c r="U532" s="19" t="s">
        <v>11048</v>
      </c>
      <c r="V532" s="19" t="s">
        <v>4639</v>
      </c>
      <c r="W532" s="19" t="s">
        <v>11053</v>
      </c>
      <c r="X532" s="21">
        <v>0.0</v>
      </c>
      <c r="Y532" s="21">
        <v>10.0</v>
      </c>
      <c r="Z532" s="21">
        <v>3.0</v>
      </c>
      <c r="AA532" s="21">
        <v>0.0</v>
      </c>
      <c r="AB532" s="5">
        <v>13.0</v>
      </c>
      <c r="AC532" s="19">
        <v>5.0</v>
      </c>
      <c r="AD532" s="19">
        <v>4.0</v>
      </c>
      <c r="AE532" s="19">
        <v>5.0</v>
      </c>
      <c r="AF532" s="19">
        <v>5.0</v>
      </c>
      <c r="AG532" s="19">
        <v>4.0</v>
      </c>
      <c r="AH532" s="19">
        <v>5.0</v>
      </c>
      <c r="AI532" s="22">
        <v>13.96875</v>
      </c>
      <c r="AJ532" s="19">
        <v>13.0</v>
      </c>
      <c r="AK532" s="19">
        <v>10.0</v>
      </c>
      <c r="AL532" s="19">
        <v>12.0</v>
      </c>
      <c r="AM532" s="19">
        <v>35.0</v>
      </c>
      <c r="AN532" s="19">
        <v>49.0</v>
      </c>
      <c r="AO532" s="19">
        <v>62.0</v>
      </c>
      <c r="AP532" s="19">
        <v>663.0</v>
      </c>
      <c r="AQ532" s="23">
        <v>523.0</v>
      </c>
      <c r="AR532" s="23">
        <v>44.0</v>
      </c>
      <c r="AS532" s="22"/>
      <c r="AT532" s="19" t="s">
        <v>2117</v>
      </c>
      <c r="AU532" s="19" t="s">
        <v>10358</v>
      </c>
      <c r="AV532" s="19" t="s">
        <v>11054</v>
      </c>
      <c r="AW532" s="19" t="s">
        <v>11055</v>
      </c>
      <c r="AX532" s="20">
        <v>34574.0</v>
      </c>
      <c r="AY532" s="19" t="s">
        <v>3537</v>
      </c>
      <c r="AZ532" s="19" t="s">
        <v>2445</v>
      </c>
      <c r="BA532" s="19" t="s">
        <v>11056</v>
      </c>
      <c r="BB532" s="19" t="s">
        <v>2489</v>
      </c>
      <c r="BC532" s="19" t="s">
        <v>11057</v>
      </c>
      <c r="BD532" s="19" t="s">
        <v>11058</v>
      </c>
      <c r="BE532" s="19" t="s">
        <v>11059</v>
      </c>
      <c r="BF532" s="19">
        <v>1.1962225226E10</v>
      </c>
      <c r="BG532" s="19" t="s">
        <v>2127</v>
      </c>
      <c r="BH532" s="19" t="s">
        <v>2128</v>
      </c>
      <c r="BI532" s="19"/>
      <c r="BJ532" s="19"/>
      <c r="BK532" s="19" t="s">
        <v>16</v>
      </c>
      <c r="BL532" s="19"/>
      <c r="BM532" s="19" t="s">
        <v>5563</v>
      </c>
      <c r="BN532" s="19" t="s">
        <v>2401</v>
      </c>
      <c r="BO532" s="19" t="s">
        <v>2473</v>
      </c>
      <c r="BP532" s="19"/>
      <c r="BQ532" s="19" t="s">
        <v>2133</v>
      </c>
      <c r="BR532" s="19" t="s">
        <v>2133</v>
      </c>
      <c r="BS532" s="19" t="s">
        <v>2134</v>
      </c>
      <c r="BT532" s="19" t="s">
        <v>52</v>
      </c>
      <c r="BU532" s="19" t="s">
        <v>11060</v>
      </c>
      <c r="BV532" s="19"/>
      <c r="BW532" s="19"/>
      <c r="BX532" s="19"/>
      <c r="BY532" s="19"/>
      <c r="BZ532" s="19"/>
      <c r="CA532" s="19"/>
      <c r="CB532" s="19" t="s">
        <v>2113</v>
      </c>
      <c r="CC532" s="19"/>
      <c r="CD532" s="19" t="s">
        <v>2137</v>
      </c>
      <c r="CE532" s="19" t="s">
        <v>16</v>
      </c>
      <c r="CF532" s="19"/>
      <c r="CG532" s="19"/>
      <c r="CH532" s="19" t="s">
        <v>16</v>
      </c>
      <c r="CI532" s="21">
        <v>0.0</v>
      </c>
      <c r="CJ532" s="19" t="s">
        <v>17</v>
      </c>
      <c r="CK532" s="19"/>
      <c r="CL532" s="19" t="s">
        <v>2113</v>
      </c>
      <c r="CM532" s="19"/>
      <c r="CN532" s="19" t="s">
        <v>3544</v>
      </c>
      <c r="CO532" s="19"/>
      <c r="CP532" s="19"/>
      <c r="CQ532" s="19"/>
      <c r="CR532" s="19" t="s">
        <v>2113</v>
      </c>
      <c r="CS532" s="19" t="s">
        <v>2113</v>
      </c>
      <c r="CT532" s="19" t="s">
        <v>2113</v>
      </c>
      <c r="CU532" s="19" t="s">
        <v>2113</v>
      </c>
      <c r="CV532" s="19" t="s">
        <v>2141</v>
      </c>
      <c r="CW532" s="19" t="s">
        <v>2113</v>
      </c>
      <c r="CX532" s="19" t="s">
        <v>2113</v>
      </c>
      <c r="CY532" s="19" t="s">
        <v>2113</v>
      </c>
      <c r="CZ532" s="19" t="s">
        <v>2113</v>
      </c>
      <c r="DA532" s="19" t="s">
        <v>16</v>
      </c>
      <c r="DB532" s="19" t="s">
        <v>17</v>
      </c>
      <c r="DC532" s="19" t="s">
        <v>2146</v>
      </c>
      <c r="DD532" s="19" t="s">
        <v>2113</v>
      </c>
      <c r="DE532" s="19" t="s">
        <v>2113</v>
      </c>
      <c r="DF532" s="19" t="s">
        <v>2579</v>
      </c>
      <c r="DG532" s="19" t="s">
        <v>2433</v>
      </c>
      <c r="DH532" s="19" t="s">
        <v>2144</v>
      </c>
      <c r="DI532" s="24">
        <v>45532.0</v>
      </c>
      <c r="DJ532" s="19" t="s">
        <v>2133</v>
      </c>
      <c r="DK532" s="19" t="s">
        <v>2145</v>
      </c>
      <c r="DL532" s="19" t="s">
        <v>2146</v>
      </c>
      <c r="DM532" s="19" t="s">
        <v>4101</v>
      </c>
      <c r="DN532" s="19">
        <v>15.0</v>
      </c>
      <c r="DO532" s="19">
        <v>15.0</v>
      </c>
      <c r="DP532" s="19" t="s">
        <v>11061</v>
      </c>
      <c r="DQ532" s="19" t="s">
        <v>11062</v>
      </c>
      <c r="DR532" s="19" t="s">
        <v>11063</v>
      </c>
      <c r="DS532" s="19" t="s">
        <v>2151</v>
      </c>
      <c r="DT532" s="19" t="s">
        <v>2229</v>
      </c>
      <c r="DU532" s="19"/>
      <c r="DV532" s="19"/>
      <c r="DW532" s="19" t="s">
        <v>2153</v>
      </c>
      <c r="DX532" s="19">
        <v>12.0</v>
      </c>
      <c r="DY532" s="19">
        <v>10.0</v>
      </c>
      <c r="DZ532" s="19">
        <v>0.0</v>
      </c>
      <c r="EA532" s="19">
        <v>10.0</v>
      </c>
      <c r="EB532" s="19">
        <v>0.0</v>
      </c>
      <c r="EC532" s="19">
        <v>0.0</v>
      </c>
      <c r="ED532" s="19" t="s">
        <v>2133</v>
      </c>
      <c r="EE532" s="24">
        <v>45532.0</v>
      </c>
      <c r="EF532" s="19" t="s">
        <v>2133</v>
      </c>
      <c r="EG532" s="19" t="s">
        <v>2145</v>
      </c>
      <c r="EH532" s="19" t="s">
        <v>2146</v>
      </c>
      <c r="EI532" s="22">
        <v>13.96875</v>
      </c>
      <c r="EJ532" s="19">
        <v>35.0</v>
      </c>
      <c r="EK532" s="19" t="s">
        <v>2113</v>
      </c>
      <c r="EL532" s="19" t="s">
        <v>2117</v>
      </c>
      <c r="EM532" s="19" t="s">
        <v>10358</v>
      </c>
      <c r="EN532" s="19" t="s">
        <v>1571</v>
      </c>
      <c r="EO532" s="19" t="s">
        <v>3537</v>
      </c>
      <c r="EP532" s="19" t="s">
        <v>2445</v>
      </c>
      <c r="EQ532" s="19" t="s">
        <v>3544</v>
      </c>
      <c r="ER532" s="19"/>
      <c r="ES532" s="19" t="s">
        <v>1571</v>
      </c>
      <c r="ET532" s="19" t="s">
        <v>1571</v>
      </c>
      <c r="EU532" s="19" t="s">
        <v>11051</v>
      </c>
      <c r="EV532" s="19">
        <v>10887.0</v>
      </c>
      <c r="EW532" s="19" t="s">
        <v>16</v>
      </c>
      <c r="EX532" s="19">
        <v>3.0</v>
      </c>
      <c r="EY532" s="25" t="s">
        <v>1570</v>
      </c>
      <c r="EZ532" s="19" t="s">
        <v>2154</v>
      </c>
      <c r="FA532" s="5" t="s">
        <v>11064</v>
      </c>
      <c r="FB532" s="26" t="s">
        <v>2156</v>
      </c>
      <c r="FC532" s="26"/>
    </row>
    <row r="533">
      <c r="A533" s="19" t="s">
        <v>2112</v>
      </c>
      <c r="B533" s="19"/>
      <c r="C533" s="19" t="s">
        <v>2113</v>
      </c>
      <c r="D533" s="19" t="s">
        <v>1572</v>
      </c>
      <c r="E533" s="19" t="s">
        <v>11065</v>
      </c>
      <c r="F533" s="19" t="s">
        <v>1572</v>
      </c>
      <c r="G533" s="19" t="s">
        <v>11065</v>
      </c>
      <c r="H533" s="19" t="s">
        <v>1572</v>
      </c>
      <c r="I533" s="19" t="s">
        <v>1574</v>
      </c>
      <c r="J533" s="19" t="s">
        <v>11066</v>
      </c>
      <c r="K533" s="19" t="s">
        <v>11067</v>
      </c>
      <c r="L533" s="20">
        <v>45434.0</v>
      </c>
      <c r="M533" s="20">
        <v>45435.0</v>
      </c>
      <c r="N533" s="20">
        <v>45435.0</v>
      </c>
      <c r="O533" s="19" t="s">
        <v>1573</v>
      </c>
      <c r="P533" s="19">
        <v>0.0</v>
      </c>
      <c r="Q533" s="19">
        <v>26.0</v>
      </c>
      <c r="R533" s="19">
        <v>9644.0</v>
      </c>
      <c r="S533" s="20" t="s">
        <v>11068</v>
      </c>
      <c r="T533" s="20">
        <v>45461.0</v>
      </c>
      <c r="U533" s="19" t="s">
        <v>1572</v>
      </c>
      <c r="V533" s="19"/>
      <c r="W533" s="19"/>
      <c r="X533" s="21">
        <v>0.0</v>
      </c>
      <c r="Y533" s="21">
        <v>0.0</v>
      </c>
      <c r="Z533" s="21">
        <v>5.0</v>
      </c>
      <c r="AA533" s="21">
        <v>0.0</v>
      </c>
      <c r="AB533" s="5">
        <v>5.0</v>
      </c>
      <c r="AC533" s="19">
        <v>5.0</v>
      </c>
      <c r="AD533" s="19">
        <v>5.0</v>
      </c>
      <c r="AE533" s="19">
        <v>5.0</v>
      </c>
      <c r="AF533" s="19">
        <v>5.0</v>
      </c>
      <c r="AG533" s="19">
        <v>5.0</v>
      </c>
      <c r="AH533" s="19">
        <v>5.0</v>
      </c>
      <c r="AI533" s="22">
        <v>15.0</v>
      </c>
      <c r="AJ533" s="19">
        <v>15.0</v>
      </c>
      <c r="AK533" s="19">
        <v>13.0</v>
      </c>
      <c r="AL533" s="19">
        <v>14.0</v>
      </c>
      <c r="AM533" s="19">
        <v>42.0</v>
      </c>
      <c r="AN533" s="19">
        <v>57.0</v>
      </c>
      <c r="AO533" s="19">
        <v>62.0</v>
      </c>
      <c r="AP533" s="19">
        <v>1038.0</v>
      </c>
      <c r="AQ533" s="23">
        <v>524.0</v>
      </c>
      <c r="AR533" s="23">
        <v>76.0</v>
      </c>
      <c r="AS533" s="22"/>
      <c r="AT533" s="19" t="s">
        <v>2282</v>
      </c>
      <c r="AU533" s="19" t="s">
        <v>2283</v>
      </c>
      <c r="AV533" s="19" t="s">
        <v>11069</v>
      </c>
      <c r="AW533" s="19" t="s">
        <v>11070</v>
      </c>
      <c r="AX533" s="20">
        <v>35817.0</v>
      </c>
      <c r="AY533" s="19" t="s">
        <v>2286</v>
      </c>
      <c r="AZ533" s="19" t="s">
        <v>2122</v>
      </c>
      <c r="BA533" s="19" t="s">
        <v>11071</v>
      </c>
      <c r="BB533" s="19" t="s">
        <v>4534</v>
      </c>
      <c r="BC533" s="19" t="s">
        <v>11072</v>
      </c>
      <c r="BD533" s="19" t="s">
        <v>11073</v>
      </c>
      <c r="BE533" s="19" t="s">
        <v>11074</v>
      </c>
      <c r="BF533" s="19">
        <v>1.1992215734E10</v>
      </c>
      <c r="BG533" s="19" t="s">
        <v>4038</v>
      </c>
      <c r="BH533" s="19" t="s">
        <v>2128</v>
      </c>
      <c r="BI533" s="19"/>
      <c r="BJ533" s="19" t="s">
        <v>2129</v>
      </c>
      <c r="BK533" s="19" t="s">
        <v>17</v>
      </c>
      <c r="BL533" s="19"/>
      <c r="BM533" s="19" t="s">
        <v>5563</v>
      </c>
      <c r="BN533" s="19" t="s">
        <v>2112</v>
      </c>
      <c r="BO533" s="19" t="s">
        <v>2132</v>
      </c>
      <c r="BP533" s="19" t="s">
        <v>11075</v>
      </c>
      <c r="BQ533" s="19" t="s">
        <v>2133</v>
      </c>
      <c r="BR533" s="19" t="s">
        <v>2133</v>
      </c>
      <c r="BS533" s="19" t="s">
        <v>2243</v>
      </c>
      <c r="BT533" s="19" t="s">
        <v>38</v>
      </c>
      <c r="BU533" s="19" t="s">
        <v>11076</v>
      </c>
      <c r="BV533" s="19"/>
      <c r="BW533" s="19" t="s">
        <v>2113</v>
      </c>
      <c r="BX533" s="19"/>
      <c r="BY533" s="19"/>
      <c r="BZ533" s="19"/>
      <c r="CA533" s="19"/>
      <c r="CB533" s="19"/>
      <c r="CC533" s="19"/>
      <c r="CD533" s="19" t="s">
        <v>2137</v>
      </c>
      <c r="CE533" s="19" t="s">
        <v>16</v>
      </c>
      <c r="CF533" s="19"/>
      <c r="CG533" s="19"/>
      <c r="CH533" s="19" t="s">
        <v>16</v>
      </c>
      <c r="CI533" s="21">
        <v>0.0</v>
      </c>
      <c r="CJ533" s="19" t="s">
        <v>16</v>
      </c>
      <c r="CK533" s="19"/>
      <c r="CL533" s="19"/>
      <c r="CM533" s="19" t="s">
        <v>2138</v>
      </c>
      <c r="CN533" s="19" t="s">
        <v>2294</v>
      </c>
      <c r="CO533" s="19"/>
      <c r="CP533" s="19" t="s">
        <v>2246</v>
      </c>
      <c r="CQ533" s="19"/>
      <c r="CR533" s="19"/>
      <c r="CS533" s="19"/>
      <c r="CT533" s="19"/>
      <c r="CU533" s="19"/>
      <c r="CV533" s="19" t="s">
        <v>2141</v>
      </c>
      <c r="CW533" s="19" t="s">
        <v>2113</v>
      </c>
      <c r="CX533" s="19" t="s">
        <v>2113</v>
      </c>
      <c r="CY533" s="19" t="s">
        <v>2113</v>
      </c>
      <c r="CZ533" s="19" t="s">
        <v>2113</v>
      </c>
      <c r="DA533" s="19" t="s">
        <v>16</v>
      </c>
      <c r="DB533" s="19" t="s">
        <v>16</v>
      </c>
      <c r="DC533" s="19" t="s">
        <v>2296</v>
      </c>
      <c r="DD533" s="19" t="s">
        <v>2113</v>
      </c>
      <c r="DE533" s="19" t="s">
        <v>2113</v>
      </c>
      <c r="DF533" s="19" t="s">
        <v>4541</v>
      </c>
      <c r="DG533" s="19" t="s">
        <v>2578</v>
      </c>
      <c r="DH533" s="19" t="s">
        <v>2144</v>
      </c>
      <c r="DI533" s="24">
        <v>45532.0</v>
      </c>
      <c r="DJ533" s="19" t="s">
        <v>2133</v>
      </c>
      <c r="DK533" s="19" t="s">
        <v>2145</v>
      </c>
      <c r="DL533" s="19" t="s">
        <v>2146</v>
      </c>
      <c r="DM533" s="19" t="s">
        <v>4101</v>
      </c>
      <c r="DN533" s="19">
        <v>15.0</v>
      </c>
      <c r="DO533" s="19">
        <v>15.0</v>
      </c>
      <c r="DP533" s="19" t="s">
        <v>11077</v>
      </c>
      <c r="DQ533" s="19" t="s">
        <v>11078</v>
      </c>
      <c r="DR533" s="19" t="s">
        <v>11079</v>
      </c>
      <c r="DS533" s="19" t="s">
        <v>2151</v>
      </c>
      <c r="DT533" s="19" t="s">
        <v>2366</v>
      </c>
      <c r="DU533" s="19"/>
      <c r="DV533" s="19"/>
      <c r="DW533" s="19" t="s">
        <v>2153</v>
      </c>
      <c r="DX533" s="19">
        <v>12.0</v>
      </c>
      <c r="DY533" s="19">
        <v>0.0</v>
      </c>
      <c r="DZ533" s="19">
        <v>0.0</v>
      </c>
      <c r="EA533" s="19">
        <v>0.0</v>
      </c>
      <c r="EB533" s="19">
        <v>0.0</v>
      </c>
      <c r="EC533" s="19">
        <v>0.0</v>
      </c>
      <c r="ED533" s="19" t="s">
        <v>2133</v>
      </c>
      <c r="EE533" s="24">
        <v>45532.0</v>
      </c>
      <c r="EF533" s="19" t="s">
        <v>2133</v>
      </c>
      <c r="EG533" s="19" t="s">
        <v>2145</v>
      </c>
      <c r="EH533" s="19" t="s">
        <v>2146</v>
      </c>
      <c r="EI533" s="22">
        <v>15.0</v>
      </c>
      <c r="EJ533" s="19">
        <v>42.0</v>
      </c>
      <c r="EK533" s="19"/>
      <c r="EL533" s="19" t="s">
        <v>2282</v>
      </c>
      <c r="EM533" s="19" t="s">
        <v>2283</v>
      </c>
      <c r="EN533" s="19" t="s">
        <v>1574</v>
      </c>
      <c r="EO533" s="19" t="s">
        <v>2286</v>
      </c>
      <c r="EP533" s="19" t="s">
        <v>2122</v>
      </c>
      <c r="EQ533" s="19" t="s">
        <v>2294</v>
      </c>
      <c r="ER533" s="19"/>
      <c r="ES533" s="19" t="s">
        <v>1574</v>
      </c>
      <c r="ET533" s="19" t="s">
        <v>1574</v>
      </c>
      <c r="EU533" s="19" t="s">
        <v>11067</v>
      </c>
      <c r="EV533" s="19">
        <v>9644.0</v>
      </c>
      <c r="EW533" s="19" t="s">
        <v>16</v>
      </c>
      <c r="EX533" s="19">
        <v>5.0</v>
      </c>
      <c r="EY533" s="25" t="s">
        <v>1573</v>
      </c>
      <c r="EZ533" s="19" t="s">
        <v>2154</v>
      </c>
      <c r="FA533" s="5" t="s">
        <v>11080</v>
      </c>
      <c r="FB533" s="26" t="s">
        <v>2156</v>
      </c>
      <c r="FC533" s="26"/>
    </row>
    <row r="534">
      <c r="A534" s="19" t="s">
        <v>2156</v>
      </c>
      <c r="B534" s="19"/>
      <c r="C534" s="19" t="s">
        <v>2113</v>
      </c>
      <c r="D534" s="19" t="s">
        <v>1575</v>
      </c>
      <c r="E534" s="19" t="s">
        <v>11081</v>
      </c>
      <c r="F534" s="19" t="s">
        <v>1575</v>
      </c>
      <c r="G534" s="19"/>
      <c r="H534" s="19" t="s">
        <v>1575</v>
      </c>
      <c r="I534" s="19" t="s">
        <v>1577</v>
      </c>
      <c r="J534" s="19" t="s">
        <v>11082</v>
      </c>
      <c r="K534" s="19" t="s">
        <v>11083</v>
      </c>
      <c r="L534" s="20">
        <v>45434.0</v>
      </c>
      <c r="M534" s="20">
        <v>45434.0</v>
      </c>
      <c r="N534" s="20">
        <v>45434.0</v>
      </c>
      <c r="O534" s="19" t="s">
        <v>1576</v>
      </c>
      <c r="P534" s="19">
        <v>0.0</v>
      </c>
      <c r="Q534" s="19">
        <v>23.0</v>
      </c>
      <c r="R534" s="19">
        <v>8453.0</v>
      </c>
      <c r="S534" s="20" t="s">
        <v>11084</v>
      </c>
      <c r="T534" s="20">
        <v>45461.0</v>
      </c>
      <c r="U534" s="19" t="s">
        <v>1575</v>
      </c>
      <c r="V534" s="19"/>
      <c r="W534" s="19"/>
      <c r="X534" s="21">
        <v>0.0</v>
      </c>
      <c r="Y534" s="21">
        <v>0.0</v>
      </c>
      <c r="Z534" s="21">
        <v>4.0</v>
      </c>
      <c r="AA534" s="21">
        <v>0.0</v>
      </c>
      <c r="AB534" s="5">
        <v>4.0</v>
      </c>
      <c r="AC534" s="19">
        <v>5.0</v>
      </c>
      <c r="AD534" s="19">
        <v>5.0</v>
      </c>
      <c r="AE534" s="19">
        <v>5.0</v>
      </c>
      <c r="AF534" s="19">
        <v>5.0</v>
      </c>
      <c r="AG534" s="19">
        <v>5.0</v>
      </c>
      <c r="AH534" s="19">
        <v>5.0</v>
      </c>
      <c r="AI534" s="22">
        <v>15.0</v>
      </c>
      <c r="AJ534" s="19">
        <v>13.0</v>
      </c>
      <c r="AK534" s="19">
        <v>15.0</v>
      </c>
      <c r="AL534" s="19">
        <v>15.0</v>
      </c>
      <c r="AM534" s="19">
        <v>43.0</v>
      </c>
      <c r="AN534" s="19">
        <v>58.0</v>
      </c>
      <c r="AO534" s="19">
        <v>62.0</v>
      </c>
      <c r="AP534" s="19">
        <v>1182.0</v>
      </c>
      <c r="AQ534" s="23">
        <v>525.0</v>
      </c>
      <c r="AR534" s="23">
        <v>45.0</v>
      </c>
      <c r="AS534" s="22"/>
      <c r="AT534" s="19" t="s">
        <v>2282</v>
      </c>
      <c r="AU534" s="19" t="s">
        <v>11085</v>
      </c>
      <c r="AV534" s="19" t="s">
        <v>11086</v>
      </c>
      <c r="AW534" s="19" t="s">
        <v>11087</v>
      </c>
      <c r="AX534" s="20">
        <v>37008.0</v>
      </c>
      <c r="AY534" s="19" t="s">
        <v>2375</v>
      </c>
      <c r="AZ534" s="19" t="s">
        <v>2122</v>
      </c>
      <c r="BA534" s="19" t="s">
        <v>11088</v>
      </c>
      <c r="BB534" s="19" t="s">
        <v>2469</v>
      </c>
      <c r="BC534" s="19" t="s">
        <v>11089</v>
      </c>
      <c r="BD534" s="19" t="s">
        <v>11090</v>
      </c>
      <c r="BE534" s="19"/>
      <c r="BF534" s="19"/>
      <c r="BG534" s="19" t="s">
        <v>4038</v>
      </c>
      <c r="BH534" s="19" t="s">
        <v>2128</v>
      </c>
      <c r="BI534" s="19"/>
      <c r="BJ534" s="19" t="s">
        <v>2128</v>
      </c>
      <c r="BK534" s="19" t="s">
        <v>17</v>
      </c>
      <c r="BL534" s="19"/>
      <c r="BM534" s="19" t="s">
        <v>5796</v>
      </c>
      <c r="BN534" s="19" t="s">
        <v>8063</v>
      </c>
      <c r="BO534" s="19" t="s">
        <v>2317</v>
      </c>
      <c r="BP534" s="19" t="s">
        <v>11091</v>
      </c>
      <c r="BQ534" s="19" t="s">
        <v>2133</v>
      </c>
      <c r="BR534" s="19" t="s">
        <v>2133</v>
      </c>
      <c r="BS534" s="19" t="s">
        <v>2134</v>
      </c>
      <c r="BT534" s="19" t="s">
        <v>52</v>
      </c>
      <c r="BU534" s="19" t="s">
        <v>10904</v>
      </c>
      <c r="BV534" s="19"/>
      <c r="BW534" s="19" t="s">
        <v>2113</v>
      </c>
      <c r="BX534" s="19"/>
      <c r="BY534" s="19"/>
      <c r="BZ534" s="19"/>
      <c r="CA534" s="19"/>
      <c r="CB534" s="19" t="s">
        <v>2113</v>
      </c>
      <c r="CC534" s="19"/>
      <c r="CD534" s="19" t="s">
        <v>2137</v>
      </c>
      <c r="CE534" s="19" t="s">
        <v>16</v>
      </c>
      <c r="CF534" s="19"/>
      <c r="CG534" s="19"/>
      <c r="CH534" s="19" t="s">
        <v>16</v>
      </c>
      <c r="CI534" s="21">
        <v>0.0</v>
      </c>
      <c r="CJ534" s="19" t="s">
        <v>16</v>
      </c>
      <c r="CK534" s="19"/>
      <c r="CL534" s="19"/>
      <c r="CM534" s="19" t="s">
        <v>2138</v>
      </c>
      <c r="CN534" s="19" t="s">
        <v>2382</v>
      </c>
      <c r="CO534" s="19"/>
      <c r="CP534" s="19" t="s">
        <v>2246</v>
      </c>
      <c r="CQ534" s="19"/>
      <c r="CR534" s="19" t="s">
        <v>2113</v>
      </c>
      <c r="CS534" s="19" t="s">
        <v>2113</v>
      </c>
      <c r="CT534" s="19"/>
      <c r="CU534" s="19"/>
      <c r="CV534" s="19" t="s">
        <v>2141</v>
      </c>
      <c r="CW534" s="19"/>
      <c r="CX534" s="19"/>
      <c r="CY534" s="19"/>
      <c r="CZ534" s="19"/>
      <c r="DA534" s="19" t="s">
        <v>16</v>
      </c>
      <c r="DB534" s="19" t="s">
        <v>16</v>
      </c>
      <c r="DC534" s="19" t="s">
        <v>4522</v>
      </c>
      <c r="DD534" s="19" t="s">
        <v>2113</v>
      </c>
      <c r="DE534" s="19" t="s">
        <v>2113</v>
      </c>
      <c r="DF534" s="19" t="s">
        <v>2142</v>
      </c>
      <c r="DG534" s="19" t="s">
        <v>2297</v>
      </c>
      <c r="DH534" s="19" t="s">
        <v>2580</v>
      </c>
      <c r="DI534" s="24">
        <v>45517.0</v>
      </c>
      <c r="DJ534" s="19" t="s">
        <v>2133</v>
      </c>
      <c r="DK534" s="19" t="s">
        <v>2145</v>
      </c>
      <c r="DL534" s="19" t="s">
        <v>2146</v>
      </c>
      <c r="DM534" s="19" t="s">
        <v>3021</v>
      </c>
      <c r="DN534" s="19">
        <v>1.0</v>
      </c>
      <c r="DO534" s="19">
        <v>1.0</v>
      </c>
      <c r="DP534" s="19" t="s">
        <v>11092</v>
      </c>
      <c r="DQ534" s="19" t="s">
        <v>11093</v>
      </c>
      <c r="DR534" s="19" t="s">
        <v>11094</v>
      </c>
      <c r="DS534" s="19" t="s">
        <v>2365</v>
      </c>
      <c r="DT534" s="19" t="s">
        <v>2186</v>
      </c>
      <c r="DU534" s="19"/>
      <c r="DV534" s="19"/>
      <c r="DW534" s="19" t="s">
        <v>2153</v>
      </c>
      <c r="DX534" s="19">
        <v>7.0</v>
      </c>
      <c r="DY534" s="19">
        <v>0.0</v>
      </c>
      <c r="DZ534" s="19">
        <v>0.0</v>
      </c>
      <c r="EA534" s="19">
        <v>0.0</v>
      </c>
      <c r="EB534" s="19">
        <v>0.0</v>
      </c>
      <c r="EC534" s="19">
        <v>0.0</v>
      </c>
      <c r="ED534" s="19" t="s">
        <v>2133</v>
      </c>
      <c r="EE534" s="24">
        <v>45517.0</v>
      </c>
      <c r="EF534" s="19" t="s">
        <v>2133</v>
      </c>
      <c r="EG534" s="19" t="s">
        <v>2145</v>
      </c>
      <c r="EH534" s="19" t="s">
        <v>2146</v>
      </c>
      <c r="EI534" s="22">
        <v>15.0</v>
      </c>
      <c r="EJ534" s="19">
        <v>43.0</v>
      </c>
      <c r="EK534" s="19"/>
      <c r="EL534" s="19" t="s">
        <v>2282</v>
      </c>
      <c r="EM534" s="19" t="s">
        <v>11085</v>
      </c>
      <c r="EN534" s="19" t="s">
        <v>1577</v>
      </c>
      <c r="EO534" s="19" t="s">
        <v>2375</v>
      </c>
      <c r="EP534" s="19" t="s">
        <v>2122</v>
      </c>
      <c r="EQ534" s="19" t="s">
        <v>2382</v>
      </c>
      <c r="ER534" s="19"/>
      <c r="ES534" s="19" t="s">
        <v>1577</v>
      </c>
      <c r="ET534" s="19" t="s">
        <v>1577</v>
      </c>
      <c r="EU534" s="19" t="s">
        <v>11083</v>
      </c>
      <c r="EV534" s="19">
        <v>8453.0</v>
      </c>
      <c r="EW534" s="19" t="s">
        <v>16</v>
      </c>
      <c r="EX534" s="19">
        <v>4.0</v>
      </c>
      <c r="EY534" s="25" t="s">
        <v>1576</v>
      </c>
      <c r="EZ534" s="19" t="s">
        <v>2154</v>
      </c>
      <c r="FA534" s="5" t="s">
        <v>11095</v>
      </c>
      <c r="FB534" s="26" t="s">
        <v>2156</v>
      </c>
      <c r="FC534" s="26"/>
    </row>
    <row r="535">
      <c r="A535" s="19" t="s">
        <v>2156</v>
      </c>
      <c r="B535" s="19"/>
      <c r="C535" s="19" t="s">
        <v>2113</v>
      </c>
      <c r="D535" s="19" t="s">
        <v>1578</v>
      </c>
      <c r="E535" s="19" t="s">
        <v>11096</v>
      </c>
      <c r="F535" s="19" t="s">
        <v>1578</v>
      </c>
      <c r="G535" s="19"/>
      <c r="H535" s="19" t="s">
        <v>1578</v>
      </c>
      <c r="I535" s="19" t="s">
        <v>1580</v>
      </c>
      <c r="J535" s="19" t="s">
        <v>11097</v>
      </c>
      <c r="K535" s="19" t="s">
        <v>11098</v>
      </c>
      <c r="L535" s="20">
        <v>45460.0</v>
      </c>
      <c r="M535" s="20">
        <v>45462.0</v>
      </c>
      <c r="N535" s="20">
        <v>45462.0</v>
      </c>
      <c r="O535" s="19" t="s">
        <v>1579</v>
      </c>
      <c r="P535" s="19">
        <v>0.0</v>
      </c>
      <c r="Q535" s="19">
        <v>21.0</v>
      </c>
      <c r="R535" s="19">
        <v>7703.0</v>
      </c>
      <c r="S535" s="20" t="s">
        <v>11099</v>
      </c>
      <c r="T535" s="20">
        <v>45461.0</v>
      </c>
      <c r="U535" s="19" t="s">
        <v>1578</v>
      </c>
      <c r="V535" s="19"/>
      <c r="W535" s="19"/>
      <c r="X535" s="21">
        <v>0.0</v>
      </c>
      <c r="Y535" s="21">
        <v>0.0</v>
      </c>
      <c r="Z535" s="21">
        <v>4.0</v>
      </c>
      <c r="AA535" s="21">
        <v>0.0</v>
      </c>
      <c r="AB535" s="5">
        <v>4.0</v>
      </c>
      <c r="AC535" s="19">
        <v>5.0</v>
      </c>
      <c r="AD535" s="19">
        <v>5.0</v>
      </c>
      <c r="AE535" s="19">
        <v>5.0</v>
      </c>
      <c r="AF535" s="19">
        <v>5.0</v>
      </c>
      <c r="AG535" s="19">
        <v>5.0</v>
      </c>
      <c r="AH535" s="19">
        <v>5.0</v>
      </c>
      <c r="AI535" s="22">
        <v>15.0</v>
      </c>
      <c r="AJ535" s="19">
        <v>13.0</v>
      </c>
      <c r="AK535" s="19">
        <v>15.0</v>
      </c>
      <c r="AL535" s="19">
        <v>15.0</v>
      </c>
      <c r="AM535" s="19">
        <v>43.0</v>
      </c>
      <c r="AN535" s="19">
        <v>58.0</v>
      </c>
      <c r="AO535" s="19">
        <v>62.0</v>
      </c>
      <c r="AP535" s="19">
        <v>1192.0</v>
      </c>
      <c r="AQ535" s="23">
        <v>526.0</v>
      </c>
      <c r="AR535" s="23">
        <v>46.0</v>
      </c>
      <c r="AS535" s="22"/>
      <c r="AT535" s="19" t="s">
        <v>2163</v>
      </c>
      <c r="AU535" s="19" t="s">
        <v>11100</v>
      </c>
      <c r="AV535" s="19" t="s">
        <v>11101</v>
      </c>
      <c r="AW535" s="19" t="s">
        <v>11102</v>
      </c>
      <c r="AX535" s="20">
        <v>37758.0</v>
      </c>
      <c r="AY535" s="19" t="s">
        <v>2619</v>
      </c>
      <c r="AZ535" s="19" t="s">
        <v>2122</v>
      </c>
      <c r="BA535" s="19" t="s">
        <v>11103</v>
      </c>
      <c r="BB535" s="19" t="s">
        <v>2120</v>
      </c>
      <c r="BC535" s="19" t="s">
        <v>11104</v>
      </c>
      <c r="BD535" s="19" t="s">
        <v>11105</v>
      </c>
      <c r="BE535" s="19"/>
      <c r="BF535" s="19"/>
      <c r="BG535" s="19" t="s">
        <v>4038</v>
      </c>
      <c r="BH535" s="19" t="s">
        <v>2128</v>
      </c>
      <c r="BI535" s="19"/>
      <c r="BJ535" s="19" t="s">
        <v>2129</v>
      </c>
      <c r="BK535" s="19" t="s">
        <v>17</v>
      </c>
      <c r="BL535" s="19"/>
      <c r="BM535" s="19" t="s">
        <v>5411</v>
      </c>
      <c r="BN535" s="19" t="s">
        <v>3018</v>
      </c>
      <c r="BO535" s="19" t="s">
        <v>2317</v>
      </c>
      <c r="BP535" s="19"/>
      <c r="BQ535" s="19" t="s">
        <v>2133</v>
      </c>
      <c r="BR535" s="19" t="s">
        <v>2133</v>
      </c>
      <c r="BS535" s="19" t="s">
        <v>2243</v>
      </c>
      <c r="BT535" s="19" t="s">
        <v>52</v>
      </c>
      <c r="BU535" s="19" t="s">
        <v>11106</v>
      </c>
      <c r="BV535" s="19"/>
      <c r="BW535" s="19" t="s">
        <v>2113</v>
      </c>
      <c r="BX535" s="19"/>
      <c r="BY535" s="19"/>
      <c r="BZ535" s="19"/>
      <c r="CA535" s="19"/>
      <c r="CB535" s="19" t="s">
        <v>2113</v>
      </c>
      <c r="CC535" s="19"/>
      <c r="CD535" s="19" t="s">
        <v>2137</v>
      </c>
      <c r="CE535" s="19" t="s">
        <v>16</v>
      </c>
      <c r="CF535" s="19"/>
      <c r="CG535" s="19"/>
      <c r="CH535" s="19" t="s">
        <v>16</v>
      </c>
      <c r="CI535" s="21">
        <v>0.0</v>
      </c>
      <c r="CJ535" s="19" t="s">
        <v>17</v>
      </c>
      <c r="CK535" s="19"/>
      <c r="CL535" s="19"/>
      <c r="CM535" s="19" t="s">
        <v>2344</v>
      </c>
      <c r="CN535" s="19" t="s">
        <v>2626</v>
      </c>
      <c r="CO535" s="19"/>
      <c r="CP535" s="19" t="s">
        <v>2246</v>
      </c>
      <c r="CQ535" s="19"/>
      <c r="CR535" s="19" t="s">
        <v>2113</v>
      </c>
      <c r="CS535" s="19" t="s">
        <v>2113</v>
      </c>
      <c r="CT535" s="19"/>
      <c r="CU535" s="19"/>
      <c r="CV535" s="19" t="s">
        <v>2141</v>
      </c>
      <c r="CW535" s="19" t="s">
        <v>2113</v>
      </c>
      <c r="CX535" s="19" t="s">
        <v>2113</v>
      </c>
      <c r="CY535" s="19"/>
      <c r="CZ535" s="19"/>
      <c r="DA535" s="19" t="s">
        <v>16</v>
      </c>
      <c r="DB535" s="19" t="s">
        <v>17</v>
      </c>
      <c r="DC535" s="19" t="s">
        <v>2383</v>
      </c>
      <c r="DD535" s="19" t="s">
        <v>2113</v>
      </c>
      <c r="DE535" s="19" t="s">
        <v>2113</v>
      </c>
      <c r="DF535" s="19" t="s">
        <v>4707</v>
      </c>
      <c r="DG535" s="19" t="s">
        <v>6592</v>
      </c>
      <c r="DH535" s="19" t="s">
        <v>2580</v>
      </c>
      <c r="DI535" s="24">
        <v>45517.0</v>
      </c>
      <c r="DJ535" s="19" t="s">
        <v>2133</v>
      </c>
      <c r="DK535" s="19" t="s">
        <v>2271</v>
      </c>
      <c r="DL535" s="19" t="s">
        <v>2146</v>
      </c>
      <c r="DM535" s="19"/>
      <c r="DN535" s="19">
        <v>2.0</v>
      </c>
      <c r="DO535" s="19">
        <v>2.0</v>
      </c>
      <c r="DP535" s="19" t="s">
        <v>11107</v>
      </c>
      <c r="DQ535" s="19" t="s">
        <v>11108</v>
      </c>
      <c r="DR535" s="19" t="s">
        <v>11109</v>
      </c>
      <c r="DS535" s="19" t="s">
        <v>2365</v>
      </c>
      <c r="DT535" s="19" t="s">
        <v>2186</v>
      </c>
      <c r="DU535" s="19"/>
      <c r="DV535" s="19"/>
      <c r="DW535" s="19" t="s">
        <v>2153</v>
      </c>
      <c r="DX535" s="19">
        <v>7.0</v>
      </c>
      <c r="DY535" s="19">
        <v>0.0</v>
      </c>
      <c r="DZ535" s="19">
        <v>0.0</v>
      </c>
      <c r="EA535" s="19">
        <v>0.0</v>
      </c>
      <c r="EB535" s="19">
        <v>0.0</v>
      </c>
      <c r="EC535" s="19">
        <v>0.0</v>
      </c>
      <c r="ED535" s="19" t="s">
        <v>2133</v>
      </c>
      <c r="EE535" s="24">
        <v>45517.0</v>
      </c>
      <c r="EF535" s="19" t="s">
        <v>2133</v>
      </c>
      <c r="EG535" s="19" t="s">
        <v>2271</v>
      </c>
      <c r="EH535" s="19" t="s">
        <v>2146</v>
      </c>
      <c r="EI535" s="22">
        <v>15.0</v>
      </c>
      <c r="EJ535" s="19">
        <v>43.0</v>
      </c>
      <c r="EK535" s="19" t="s">
        <v>2113</v>
      </c>
      <c r="EL535" s="19" t="s">
        <v>2163</v>
      </c>
      <c r="EM535" s="19" t="s">
        <v>11100</v>
      </c>
      <c r="EN535" s="19" t="s">
        <v>1580</v>
      </c>
      <c r="EO535" s="19" t="s">
        <v>2619</v>
      </c>
      <c r="EP535" s="19" t="s">
        <v>2122</v>
      </c>
      <c r="EQ535" s="19" t="s">
        <v>2626</v>
      </c>
      <c r="ER535" s="19"/>
      <c r="ES535" s="19" t="s">
        <v>1580</v>
      </c>
      <c r="ET535" s="19" t="s">
        <v>1580</v>
      </c>
      <c r="EU535" s="19" t="s">
        <v>11098</v>
      </c>
      <c r="EV535" s="19">
        <v>7703.0</v>
      </c>
      <c r="EW535" s="19" t="s">
        <v>16</v>
      </c>
      <c r="EX535" s="19">
        <v>4.0</v>
      </c>
      <c r="EY535" s="25" t="s">
        <v>1579</v>
      </c>
      <c r="EZ535" s="19" t="s">
        <v>2154</v>
      </c>
      <c r="FA535" s="5" t="s">
        <v>11110</v>
      </c>
      <c r="FB535" s="26" t="s">
        <v>2156</v>
      </c>
      <c r="FC535" s="26"/>
    </row>
    <row r="536">
      <c r="A536" s="19" t="s">
        <v>2112</v>
      </c>
      <c r="B536" s="19"/>
      <c r="C536" s="19" t="s">
        <v>2113</v>
      </c>
      <c r="D536" s="19" t="s">
        <v>1581</v>
      </c>
      <c r="E536" s="19" t="s">
        <v>11111</v>
      </c>
      <c r="F536" s="19" t="s">
        <v>1581</v>
      </c>
      <c r="G536" s="19"/>
      <c r="H536" s="19" t="s">
        <v>1581</v>
      </c>
      <c r="I536" s="19" t="s">
        <v>1583</v>
      </c>
      <c r="J536" s="19" t="s">
        <v>11112</v>
      </c>
      <c r="K536" s="19" t="s">
        <v>11113</v>
      </c>
      <c r="L536" s="20">
        <v>45444.0</v>
      </c>
      <c r="M536" s="20">
        <v>45446.0</v>
      </c>
      <c r="N536" s="20">
        <v>45446.0</v>
      </c>
      <c r="O536" s="19" t="s">
        <v>1582</v>
      </c>
      <c r="P536" s="19">
        <v>0.0</v>
      </c>
      <c r="Q536" s="19">
        <v>24.0</v>
      </c>
      <c r="R536" s="19">
        <v>9071.0</v>
      </c>
      <c r="S536" s="20" t="s">
        <v>11114</v>
      </c>
      <c r="T536" s="20">
        <v>45461.0</v>
      </c>
      <c r="U536" s="19" t="s">
        <v>1581</v>
      </c>
      <c r="V536" s="19"/>
      <c r="W536" s="19" t="s">
        <v>11115</v>
      </c>
      <c r="X536" s="21">
        <v>0.0</v>
      </c>
      <c r="Y536" s="21">
        <v>0.0</v>
      </c>
      <c r="Z536" s="21">
        <v>3.0</v>
      </c>
      <c r="AA536" s="21">
        <v>2.0</v>
      </c>
      <c r="AB536" s="5">
        <v>5.0</v>
      </c>
      <c r="AC536" s="19">
        <v>5.0</v>
      </c>
      <c r="AD536" s="19">
        <v>5.0</v>
      </c>
      <c r="AE536" s="19">
        <v>5.0</v>
      </c>
      <c r="AF536" s="19">
        <v>5.0</v>
      </c>
      <c r="AG536" s="19">
        <v>5.0</v>
      </c>
      <c r="AH536" s="19">
        <v>5.0</v>
      </c>
      <c r="AI536" s="22">
        <v>15.0</v>
      </c>
      <c r="AJ536" s="19">
        <v>15.0</v>
      </c>
      <c r="AK536" s="19">
        <v>14.0</v>
      </c>
      <c r="AL536" s="19">
        <v>13.0</v>
      </c>
      <c r="AM536" s="19">
        <v>42.0</v>
      </c>
      <c r="AN536" s="19">
        <v>57.0</v>
      </c>
      <c r="AO536" s="19">
        <v>62.0</v>
      </c>
      <c r="AP536" s="19">
        <v>1151.0</v>
      </c>
      <c r="AQ536" s="23">
        <v>527.0</v>
      </c>
      <c r="AR536" s="23">
        <v>77.0</v>
      </c>
      <c r="AS536" s="22"/>
      <c r="AT536" s="19" t="s">
        <v>2163</v>
      </c>
      <c r="AU536" s="19" t="s">
        <v>3095</v>
      </c>
      <c r="AV536" s="19" t="s">
        <v>11116</v>
      </c>
      <c r="AW536" s="19" t="s">
        <v>4218</v>
      </c>
      <c r="AX536" s="20">
        <v>36390.0</v>
      </c>
      <c r="AY536" s="19" t="s">
        <v>2467</v>
      </c>
      <c r="AZ536" s="19" t="s">
        <v>3849</v>
      </c>
      <c r="BA536" s="19" t="s">
        <v>11117</v>
      </c>
      <c r="BB536" s="19" t="s">
        <v>6303</v>
      </c>
      <c r="BC536" s="19" t="s">
        <v>11118</v>
      </c>
      <c r="BD536" s="19" t="s">
        <v>11119</v>
      </c>
      <c r="BE536" s="19" t="s">
        <v>11120</v>
      </c>
      <c r="BF536" s="19">
        <v>5.3981305862E10</v>
      </c>
      <c r="BG536" s="19" t="s">
        <v>4038</v>
      </c>
      <c r="BH536" s="19" t="s">
        <v>2128</v>
      </c>
      <c r="BI536" s="19"/>
      <c r="BJ536" s="19" t="s">
        <v>2128</v>
      </c>
      <c r="BK536" s="19" t="s">
        <v>17</v>
      </c>
      <c r="BL536" s="19"/>
      <c r="BM536" s="19" t="s">
        <v>5411</v>
      </c>
      <c r="BN536" s="19" t="s">
        <v>3951</v>
      </c>
      <c r="BO536" s="19" t="s">
        <v>2473</v>
      </c>
      <c r="BP536" s="19" t="s">
        <v>11121</v>
      </c>
      <c r="BQ536" s="19" t="s">
        <v>2133</v>
      </c>
      <c r="BR536" s="19" t="s">
        <v>2133</v>
      </c>
      <c r="BS536" s="19" t="s">
        <v>3521</v>
      </c>
      <c r="BT536" s="19" t="s">
        <v>38</v>
      </c>
      <c r="BU536" s="19" t="s">
        <v>4830</v>
      </c>
      <c r="BV536" s="19"/>
      <c r="BW536" s="19" t="s">
        <v>2113</v>
      </c>
      <c r="BX536" s="19"/>
      <c r="BY536" s="19"/>
      <c r="BZ536" s="19"/>
      <c r="CA536" s="19"/>
      <c r="CB536" s="19" t="s">
        <v>2113</v>
      </c>
      <c r="CC536" s="19"/>
      <c r="CD536" s="19" t="s">
        <v>2137</v>
      </c>
      <c r="CE536" s="19" t="s">
        <v>16</v>
      </c>
      <c r="CF536" s="19"/>
      <c r="CG536" s="19"/>
      <c r="CH536" s="19" t="s">
        <v>16</v>
      </c>
      <c r="CI536" s="21">
        <v>0.0</v>
      </c>
      <c r="CJ536" s="19" t="s">
        <v>17</v>
      </c>
      <c r="CK536" s="19"/>
      <c r="CL536" s="19"/>
      <c r="CM536" s="19" t="s">
        <v>2138</v>
      </c>
      <c r="CN536" s="19" t="s">
        <v>2475</v>
      </c>
      <c r="CO536" s="19"/>
      <c r="CP536" s="19" t="s">
        <v>2246</v>
      </c>
      <c r="CQ536" s="19"/>
      <c r="CR536" s="19"/>
      <c r="CS536" s="19"/>
      <c r="CT536" s="19"/>
      <c r="CU536" s="19"/>
      <c r="CV536" s="19" t="s">
        <v>2179</v>
      </c>
      <c r="CW536" s="19" t="s">
        <v>2113</v>
      </c>
      <c r="CX536" s="19" t="s">
        <v>2113</v>
      </c>
      <c r="CY536" s="19"/>
      <c r="CZ536" s="19"/>
      <c r="DA536" s="19" t="s">
        <v>16</v>
      </c>
      <c r="DB536" s="19" t="s">
        <v>17</v>
      </c>
      <c r="DC536" s="19" t="s">
        <v>2142</v>
      </c>
      <c r="DD536" s="19" t="s">
        <v>2113</v>
      </c>
      <c r="DE536" s="19" t="s">
        <v>2113</v>
      </c>
      <c r="DF536" s="19" t="s">
        <v>2477</v>
      </c>
      <c r="DG536" s="19" t="s">
        <v>2843</v>
      </c>
      <c r="DH536" s="19" t="s">
        <v>2144</v>
      </c>
      <c r="DI536" s="24">
        <v>45524.0</v>
      </c>
      <c r="DJ536" s="19" t="s">
        <v>2133</v>
      </c>
      <c r="DK536" s="19" t="s">
        <v>2145</v>
      </c>
      <c r="DL536" s="19" t="s">
        <v>2146</v>
      </c>
      <c r="DM536" s="19" t="s">
        <v>3302</v>
      </c>
      <c r="DN536" s="19">
        <v>7.0</v>
      </c>
      <c r="DO536" s="19">
        <v>7.0</v>
      </c>
      <c r="DP536" s="19"/>
      <c r="DQ536" s="19"/>
      <c r="DR536" s="19"/>
      <c r="DS536" s="19" t="s">
        <v>2185</v>
      </c>
      <c r="DT536" s="19" t="s">
        <v>2152</v>
      </c>
      <c r="DU536" s="19" t="s">
        <v>11122</v>
      </c>
      <c r="DV536" s="19"/>
      <c r="DW536" s="19" t="s">
        <v>3306</v>
      </c>
      <c r="DX536" s="19">
        <v>4.0</v>
      </c>
      <c r="DY536" s="19">
        <v>0.0</v>
      </c>
      <c r="DZ536" s="19">
        <v>2.0</v>
      </c>
      <c r="EA536" s="19">
        <v>0.0</v>
      </c>
      <c r="EB536" s="19">
        <v>0.0</v>
      </c>
      <c r="EC536" s="19">
        <v>0.0</v>
      </c>
      <c r="ED536" s="19" t="s">
        <v>2133</v>
      </c>
      <c r="EE536" s="24">
        <v>45524.0</v>
      </c>
      <c r="EF536" s="19" t="s">
        <v>2133</v>
      </c>
      <c r="EG536" s="19" t="s">
        <v>2145</v>
      </c>
      <c r="EH536" s="19" t="s">
        <v>2146</v>
      </c>
      <c r="EI536" s="22">
        <v>15.0</v>
      </c>
      <c r="EJ536" s="19">
        <v>42.0</v>
      </c>
      <c r="EK536" s="19" t="s">
        <v>2113</v>
      </c>
      <c r="EL536" s="19" t="s">
        <v>2163</v>
      </c>
      <c r="EM536" s="19" t="s">
        <v>3095</v>
      </c>
      <c r="EN536" s="19" t="s">
        <v>1583</v>
      </c>
      <c r="EO536" s="19" t="s">
        <v>2467</v>
      </c>
      <c r="EP536" s="19" t="s">
        <v>3849</v>
      </c>
      <c r="EQ536" s="19" t="s">
        <v>2475</v>
      </c>
      <c r="ER536" s="19"/>
      <c r="ES536" s="19" t="s">
        <v>1583</v>
      </c>
      <c r="ET536" s="19" t="s">
        <v>1583</v>
      </c>
      <c r="EU536" s="19" t="s">
        <v>11113</v>
      </c>
      <c r="EV536" s="19">
        <v>9071.0</v>
      </c>
      <c r="EW536" s="19" t="s">
        <v>16</v>
      </c>
      <c r="EX536" s="19">
        <v>3.0</v>
      </c>
      <c r="EY536" s="25" t="s">
        <v>1582</v>
      </c>
      <c r="EZ536" s="19" t="s">
        <v>2154</v>
      </c>
      <c r="FA536" s="5" t="s">
        <v>11123</v>
      </c>
      <c r="FB536" s="26" t="s">
        <v>2156</v>
      </c>
      <c r="FC536" s="26"/>
    </row>
    <row r="537">
      <c r="A537" s="19" t="s">
        <v>2112</v>
      </c>
      <c r="B537" s="19"/>
      <c r="C537" s="19" t="s">
        <v>2113</v>
      </c>
      <c r="D537" s="19" t="s">
        <v>11124</v>
      </c>
      <c r="E537" s="19" t="s">
        <v>11125</v>
      </c>
      <c r="F537" s="19" t="s">
        <v>1584</v>
      </c>
      <c r="G537" s="19" t="s">
        <v>11125</v>
      </c>
      <c r="H537" s="19" t="s">
        <v>1584</v>
      </c>
      <c r="I537" s="19" t="s">
        <v>1586</v>
      </c>
      <c r="J537" s="19" t="s">
        <v>11126</v>
      </c>
      <c r="K537" s="19" t="s">
        <v>11127</v>
      </c>
      <c r="L537" s="20">
        <v>45446.0</v>
      </c>
      <c r="M537" s="20">
        <v>45446.0</v>
      </c>
      <c r="N537" s="20">
        <v>45446.0</v>
      </c>
      <c r="O537" s="19" t="s">
        <v>1585</v>
      </c>
      <c r="P537" s="19">
        <v>0.0</v>
      </c>
      <c r="Q537" s="19">
        <v>23.0</v>
      </c>
      <c r="R537" s="19">
        <v>8553.0</v>
      </c>
      <c r="S537" s="20" t="s">
        <v>11128</v>
      </c>
      <c r="T537" s="20">
        <v>45461.0</v>
      </c>
      <c r="U537" s="19" t="s">
        <v>1584</v>
      </c>
      <c r="V537" s="19"/>
      <c r="W537" s="19"/>
      <c r="X537" s="21">
        <v>0.0</v>
      </c>
      <c r="Y537" s="21">
        <v>0.0</v>
      </c>
      <c r="Z537" s="21">
        <v>4.0</v>
      </c>
      <c r="AA537" s="21">
        <v>0.0</v>
      </c>
      <c r="AB537" s="5">
        <v>4.0</v>
      </c>
      <c r="AC537" s="19">
        <v>5.0</v>
      </c>
      <c r="AD537" s="19">
        <v>5.0</v>
      </c>
      <c r="AE537" s="19">
        <v>3.0</v>
      </c>
      <c r="AF537" s="19">
        <v>5.0</v>
      </c>
      <c r="AG537" s="19">
        <v>4.0</v>
      </c>
      <c r="AH537" s="19">
        <v>4.0</v>
      </c>
      <c r="AI537" s="22">
        <v>12.75</v>
      </c>
      <c r="AJ537" s="19">
        <v>15.0</v>
      </c>
      <c r="AK537" s="19">
        <v>15.0</v>
      </c>
      <c r="AL537" s="19">
        <v>15.0</v>
      </c>
      <c r="AM537" s="19">
        <v>45.0</v>
      </c>
      <c r="AN537" s="19">
        <v>57.8</v>
      </c>
      <c r="AO537" s="19">
        <v>61.8</v>
      </c>
      <c r="AP537" s="19">
        <v>1179.0</v>
      </c>
      <c r="AQ537" s="23">
        <v>528.0</v>
      </c>
      <c r="AR537" s="23">
        <v>47.0</v>
      </c>
      <c r="AS537" s="22"/>
      <c r="AT537" s="19" t="s">
        <v>2117</v>
      </c>
      <c r="AU537" s="19" t="s">
        <v>9631</v>
      </c>
      <c r="AV537" s="19" t="s">
        <v>11129</v>
      </c>
      <c r="AW537" s="19" t="s">
        <v>11130</v>
      </c>
      <c r="AX537" s="20">
        <v>36908.0</v>
      </c>
      <c r="AY537" s="19" t="s">
        <v>2619</v>
      </c>
      <c r="AZ537" s="19" t="s">
        <v>2122</v>
      </c>
      <c r="BA537" s="19" t="s">
        <v>11131</v>
      </c>
      <c r="BB537" s="19" t="s">
        <v>8428</v>
      </c>
      <c r="BC537" s="19" t="s">
        <v>11132</v>
      </c>
      <c r="BD537" s="19" t="s">
        <v>11133</v>
      </c>
      <c r="BE537" s="19" t="s">
        <v>11134</v>
      </c>
      <c r="BF537" s="19">
        <v>1.1964218174E10</v>
      </c>
      <c r="BG537" s="19" t="s">
        <v>4038</v>
      </c>
      <c r="BH537" s="19" t="s">
        <v>2128</v>
      </c>
      <c r="BI537" s="19"/>
      <c r="BJ537" s="19" t="s">
        <v>2128</v>
      </c>
      <c r="BK537" s="19" t="s">
        <v>17</v>
      </c>
      <c r="BL537" s="19" t="s">
        <v>2113</v>
      </c>
      <c r="BM537" s="19" t="s">
        <v>5411</v>
      </c>
      <c r="BN537" s="19" t="s">
        <v>17</v>
      </c>
      <c r="BO537" s="19" t="s">
        <v>2317</v>
      </c>
      <c r="BP537" s="19"/>
      <c r="BQ537" s="19" t="s">
        <v>2133</v>
      </c>
      <c r="BR537" s="19" t="s">
        <v>2133</v>
      </c>
      <c r="BS537" s="19" t="s">
        <v>2243</v>
      </c>
      <c r="BT537" s="19" t="s">
        <v>52</v>
      </c>
      <c r="BU537" s="19" t="s">
        <v>4538</v>
      </c>
      <c r="BV537" s="19"/>
      <c r="BW537" s="19"/>
      <c r="BX537" s="19" t="s">
        <v>2113</v>
      </c>
      <c r="BY537" s="19" t="s">
        <v>2113</v>
      </c>
      <c r="BZ537" s="19" t="s">
        <v>2113</v>
      </c>
      <c r="CA537" s="19" t="s">
        <v>2113</v>
      </c>
      <c r="CB537" s="19" t="s">
        <v>2113</v>
      </c>
      <c r="CC537" s="19"/>
      <c r="CD537" s="19" t="s">
        <v>2137</v>
      </c>
      <c r="CE537" s="19" t="s">
        <v>16</v>
      </c>
      <c r="CF537" s="19"/>
      <c r="CG537" s="19"/>
      <c r="CH537" s="19" t="s">
        <v>16</v>
      </c>
      <c r="CI537" s="21">
        <v>0.0</v>
      </c>
      <c r="CJ537" s="19" t="s">
        <v>17</v>
      </c>
      <c r="CK537" s="19"/>
      <c r="CL537" s="19" t="s">
        <v>2113</v>
      </c>
      <c r="CM537" s="19" t="s">
        <v>2138</v>
      </c>
      <c r="CN537" s="19" t="s">
        <v>2626</v>
      </c>
      <c r="CO537" s="19"/>
      <c r="CP537" s="19" t="s">
        <v>2246</v>
      </c>
      <c r="CQ537" s="19" t="s">
        <v>2113</v>
      </c>
      <c r="CR537" s="19" t="s">
        <v>2113</v>
      </c>
      <c r="CS537" s="19" t="s">
        <v>2113</v>
      </c>
      <c r="CT537" s="19"/>
      <c r="CU537" s="19"/>
      <c r="CV537" s="19" t="s">
        <v>2141</v>
      </c>
      <c r="CW537" s="19" t="s">
        <v>2113</v>
      </c>
      <c r="CX537" s="19" t="s">
        <v>2113</v>
      </c>
      <c r="CY537" s="19" t="s">
        <v>2113</v>
      </c>
      <c r="CZ537" s="19" t="s">
        <v>2113</v>
      </c>
      <c r="DA537" s="19" t="s">
        <v>16</v>
      </c>
      <c r="DB537" s="19" t="s">
        <v>17</v>
      </c>
      <c r="DC537" s="19" t="s">
        <v>2579</v>
      </c>
      <c r="DD537" s="19" t="s">
        <v>2113</v>
      </c>
      <c r="DE537" s="19" t="s">
        <v>2113</v>
      </c>
      <c r="DF537" s="19" t="s">
        <v>3256</v>
      </c>
      <c r="DG537" s="19" t="s">
        <v>2146</v>
      </c>
      <c r="DH537" s="19" t="s">
        <v>2144</v>
      </c>
      <c r="DI537" s="24">
        <v>45526.0</v>
      </c>
      <c r="DJ537" s="19" t="s">
        <v>2133</v>
      </c>
      <c r="DK537" s="19" t="s">
        <v>2271</v>
      </c>
      <c r="DL537" s="19" t="s">
        <v>2146</v>
      </c>
      <c r="DM537" s="19" t="s">
        <v>2805</v>
      </c>
      <c r="DN537" s="19">
        <v>12.0</v>
      </c>
      <c r="DO537" s="19">
        <v>12.0</v>
      </c>
      <c r="DP537" s="19" t="s">
        <v>11135</v>
      </c>
      <c r="DQ537" s="19" t="s">
        <v>11136</v>
      </c>
      <c r="DR537" s="19" t="s">
        <v>11137</v>
      </c>
      <c r="DS537" s="19" t="s">
        <v>2365</v>
      </c>
      <c r="DT537" s="19" t="s">
        <v>2186</v>
      </c>
      <c r="DU537" s="19"/>
      <c r="DV537" s="19"/>
      <c r="DW537" s="19" t="s">
        <v>2188</v>
      </c>
      <c r="DX537" s="19">
        <v>10.0</v>
      </c>
      <c r="DY537" s="19">
        <v>0.0</v>
      </c>
      <c r="DZ537" s="19">
        <v>0.0</v>
      </c>
      <c r="EA537" s="19">
        <v>0.0</v>
      </c>
      <c r="EB537" s="19">
        <v>0.0</v>
      </c>
      <c r="EC537" s="19">
        <v>0.0</v>
      </c>
      <c r="ED537" s="19" t="s">
        <v>2133</v>
      </c>
      <c r="EE537" s="24">
        <v>45526.0</v>
      </c>
      <c r="EF537" s="19" t="s">
        <v>2133</v>
      </c>
      <c r="EG537" s="19" t="s">
        <v>2271</v>
      </c>
      <c r="EH537" s="19" t="s">
        <v>2146</v>
      </c>
      <c r="EI537" s="22">
        <v>12.75</v>
      </c>
      <c r="EJ537" s="19">
        <v>45.0</v>
      </c>
      <c r="EK537" s="19" t="s">
        <v>2113</v>
      </c>
      <c r="EL537" s="19" t="s">
        <v>2117</v>
      </c>
      <c r="EM537" s="19" t="s">
        <v>9631</v>
      </c>
      <c r="EN537" s="19" t="s">
        <v>1586</v>
      </c>
      <c r="EO537" s="19" t="s">
        <v>2619</v>
      </c>
      <c r="EP537" s="19" t="s">
        <v>2122</v>
      </c>
      <c r="EQ537" s="19" t="s">
        <v>2626</v>
      </c>
      <c r="ER537" s="19"/>
      <c r="ES537" s="19" t="s">
        <v>1586</v>
      </c>
      <c r="ET537" s="19" t="s">
        <v>1586</v>
      </c>
      <c r="EU537" s="19" t="s">
        <v>11127</v>
      </c>
      <c r="EV537" s="19">
        <v>8553.0</v>
      </c>
      <c r="EW537" s="19" t="s">
        <v>16</v>
      </c>
      <c r="EX537" s="19">
        <v>4.0</v>
      </c>
      <c r="EY537" s="25" t="s">
        <v>1585</v>
      </c>
      <c r="EZ537" s="19" t="s">
        <v>2154</v>
      </c>
      <c r="FA537" s="5" t="s">
        <v>11138</v>
      </c>
      <c r="FB537" s="26" t="s">
        <v>2156</v>
      </c>
      <c r="FC537" s="26"/>
    </row>
    <row r="538">
      <c r="A538" s="19" t="s">
        <v>2112</v>
      </c>
      <c r="B538" s="19"/>
      <c r="C538" s="19" t="s">
        <v>2113</v>
      </c>
      <c r="D538" s="19" t="s">
        <v>1587</v>
      </c>
      <c r="E538" s="19" t="s">
        <v>11139</v>
      </c>
      <c r="F538" s="19" t="s">
        <v>1587</v>
      </c>
      <c r="G538" s="19"/>
      <c r="H538" s="19" t="s">
        <v>1587</v>
      </c>
      <c r="I538" s="19" t="s">
        <v>1589</v>
      </c>
      <c r="J538" s="19" t="s">
        <v>11140</v>
      </c>
      <c r="K538" s="19" t="s">
        <v>11141</v>
      </c>
      <c r="L538" s="20">
        <v>45395.0</v>
      </c>
      <c r="M538" s="20">
        <v>45411.0</v>
      </c>
      <c r="N538" s="20">
        <v>45411.0</v>
      </c>
      <c r="O538" s="19" t="s">
        <v>1588</v>
      </c>
      <c r="P538" s="19">
        <v>0.0</v>
      </c>
      <c r="Q538" s="19">
        <v>21.0</v>
      </c>
      <c r="R538" s="19">
        <v>7736.0</v>
      </c>
      <c r="S538" s="20" t="s">
        <v>11142</v>
      </c>
      <c r="T538" s="20">
        <v>45461.0</v>
      </c>
      <c r="U538" s="19" t="s">
        <v>1587</v>
      </c>
      <c r="V538" s="19"/>
      <c r="W538" s="19" t="s">
        <v>2131</v>
      </c>
      <c r="X538" s="21">
        <v>0.0</v>
      </c>
      <c r="Y538" s="21">
        <v>0.0</v>
      </c>
      <c r="Z538" s="21">
        <v>5.0</v>
      </c>
      <c r="AA538" s="21">
        <v>0.0</v>
      </c>
      <c r="AB538" s="5">
        <v>5.0</v>
      </c>
      <c r="AC538" s="19">
        <v>4.6</v>
      </c>
      <c r="AD538" s="19">
        <v>4.3</v>
      </c>
      <c r="AE538" s="19">
        <v>4.0</v>
      </c>
      <c r="AF538" s="19">
        <v>4.6</v>
      </c>
      <c r="AG538" s="19">
        <v>4.3</v>
      </c>
      <c r="AH538" s="19">
        <v>3.6</v>
      </c>
      <c r="AI538" s="22">
        <v>12.665625</v>
      </c>
      <c r="AJ538" s="19">
        <v>15.0</v>
      </c>
      <c r="AK538" s="19">
        <v>15.0</v>
      </c>
      <c r="AL538" s="19">
        <v>14.0</v>
      </c>
      <c r="AM538" s="19">
        <v>44.0</v>
      </c>
      <c r="AN538" s="19">
        <v>56.7</v>
      </c>
      <c r="AO538" s="19">
        <v>61.7</v>
      </c>
      <c r="AP538" s="19">
        <v>1106.0</v>
      </c>
      <c r="AQ538" s="23">
        <v>529.0</v>
      </c>
      <c r="AR538" s="23">
        <v>68.0</v>
      </c>
      <c r="AS538" s="22"/>
      <c r="AT538" s="19" t="s">
        <v>2282</v>
      </c>
      <c r="AU538" s="19" t="s">
        <v>11143</v>
      </c>
      <c r="AV538" s="19" t="s">
        <v>11144</v>
      </c>
      <c r="AW538" s="19" t="s">
        <v>11145</v>
      </c>
      <c r="AX538" s="20">
        <v>37725.0</v>
      </c>
      <c r="AY538" s="19" t="s">
        <v>2167</v>
      </c>
      <c r="AZ538" s="19" t="s">
        <v>2995</v>
      </c>
      <c r="BA538" s="19" t="s">
        <v>11146</v>
      </c>
      <c r="BB538" s="19" t="s">
        <v>11147</v>
      </c>
      <c r="BC538" s="19" t="s">
        <v>11148</v>
      </c>
      <c r="BD538" s="19" t="s">
        <v>11149</v>
      </c>
      <c r="BE538" s="19" t="s">
        <v>11140</v>
      </c>
      <c r="BF538" s="19">
        <v>1.1988977714E10</v>
      </c>
      <c r="BG538" s="19" t="s">
        <v>4038</v>
      </c>
      <c r="BH538" s="19" t="s">
        <v>2649</v>
      </c>
      <c r="BI538" s="19"/>
      <c r="BJ538" s="19" t="s">
        <v>2129</v>
      </c>
      <c r="BK538" s="19" t="s">
        <v>17</v>
      </c>
      <c r="BL538" s="19"/>
      <c r="BM538" s="19" t="s">
        <v>5796</v>
      </c>
      <c r="BN538" s="19" t="s">
        <v>17</v>
      </c>
      <c r="BO538" s="19" t="s">
        <v>2132</v>
      </c>
      <c r="BP538" s="19"/>
      <c r="BQ538" s="19" t="s">
        <v>2174</v>
      </c>
      <c r="BR538" s="19" t="s">
        <v>2174</v>
      </c>
      <c r="BS538" s="19" t="s">
        <v>2134</v>
      </c>
      <c r="BT538" s="19" t="s">
        <v>21</v>
      </c>
      <c r="BU538" s="19" t="s">
        <v>4244</v>
      </c>
      <c r="BV538" s="19"/>
      <c r="BW538" s="19" t="s">
        <v>2113</v>
      </c>
      <c r="BX538" s="19"/>
      <c r="BY538" s="19"/>
      <c r="BZ538" s="19"/>
      <c r="CA538" s="19"/>
      <c r="CB538" s="19" t="s">
        <v>2113</v>
      </c>
      <c r="CC538" s="19"/>
      <c r="CD538" s="19" t="s">
        <v>2137</v>
      </c>
      <c r="CE538" s="19" t="s">
        <v>16</v>
      </c>
      <c r="CF538" s="19"/>
      <c r="CG538" s="19"/>
      <c r="CH538" s="19" t="s">
        <v>16</v>
      </c>
      <c r="CI538" s="21">
        <v>0.0</v>
      </c>
      <c r="CJ538" s="19" t="s">
        <v>16</v>
      </c>
      <c r="CK538" s="19"/>
      <c r="CL538" s="19"/>
      <c r="CM538" s="19" t="s">
        <v>2138</v>
      </c>
      <c r="CN538" s="19" t="s">
        <v>2176</v>
      </c>
      <c r="CO538" s="19"/>
      <c r="CP538" s="19" t="s">
        <v>2246</v>
      </c>
      <c r="CQ538" s="19"/>
      <c r="CR538" s="19" t="s">
        <v>2113</v>
      </c>
      <c r="CS538" s="19" t="s">
        <v>2113</v>
      </c>
      <c r="CT538" s="19" t="s">
        <v>2113</v>
      </c>
      <c r="CU538" s="19" t="s">
        <v>2113</v>
      </c>
      <c r="CV538" s="19" t="s">
        <v>2141</v>
      </c>
      <c r="CW538" s="19"/>
      <c r="CX538" s="19"/>
      <c r="CY538" s="19"/>
      <c r="CZ538" s="19"/>
      <c r="DA538" s="19" t="s">
        <v>16</v>
      </c>
      <c r="DB538" s="19" t="s">
        <v>16</v>
      </c>
      <c r="DC538" s="19" t="s">
        <v>2345</v>
      </c>
      <c r="DD538" s="19" t="s">
        <v>2113</v>
      </c>
      <c r="DE538" s="19" t="s">
        <v>2113</v>
      </c>
      <c r="DF538" s="19" t="s">
        <v>2433</v>
      </c>
      <c r="DG538" s="19" t="s">
        <v>2181</v>
      </c>
      <c r="DH538" s="19" t="s">
        <v>2144</v>
      </c>
      <c r="DI538" s="24">
        <v>45531.0</v>
      </c>
      <c r="DJ538" s="19" t="s">
        <v>2174</v>
      </c>
      <c r="DK538" s="19" t="s">
        <v>2145</v>
      </c>
      <c r="DL538" s="19" t="s">
        <v>2183</v>
      </c>
      <c r="DM538" s="19"/>
      <c r="DN538" s="19">
        <v>7.0</v>
      </c>
      <c r="DO538" s="19">
        <v>7.0</v>
      </c>
      <c r="DP538" s="19" t="s">
        <v>11150</v>
      </c>
      <c r="DQ538" s="19" t="s">
        <v>11151</v>
      </c>
      <c r="DR538" s="19" t="s">
        <v>11152</v>
      </c>
      <c r="DS538" s="19" t="s">
        <v>2151</v>
      </c>
      <c r="DT538" s="19" t="s">
        <v>2301</v>
      </c>
      <c r="DU538" s="19"/>
      <c r="DV538" s="19"/>
      <c r="DW538" s="19" t="s">
        <v>2153</v>
      </c>
      <c r="DX538" s="19">
        <v>14.0</v>
      </c>
      <c r="DY538" s="19">
        <v>0.0</v>
      </c>
      <c r="DZ538" s="19">
        <v>0.0</v>
      </c>
      <c r="EA538" s="19">
        <v>0.0</v>
      </c>
      <c r="EB538" s="19">
        <v>0.0</v>
      </c>
      <c r="EC538" s="19">
        <v>0.0</v>
      </c>
      <c r="ED538" s="19" t="s">
        <v>2174</v>
      </c>
      <c r="EE538" s="24">
        <v>45531.0</v>
      </c>
      <c r="EF538" s="19" t="s">
        <v>2174</v>
      </c>
      <c r="EG538" s="19" t="s">
        <v>2145</v>
      </c>
      <c r="EH538" s="19" t="s">
        <v>2183</v>
      </c>
      <c r="EI538" s="22">
        <v>12.665625</v>
      </c>
      <c r="EJ538" s="19">
        <v>44.0</v>
      </c>
      <c r="EK538" s="19"/>
      <c r="EL538" s="19" t="s">
        <v>2282</v>
      </c>
      <c r="EM538" s="19" t="s">
        <v>11143</v>
      </c>
      <c r="EN538" s="19" t="s">
        <v>1589</v>
      </c>
      <c r="EO538" s="19" t="s">
        <v>2167</v>
      </c>
      <c r="EP538" s="19" t="s">
        <v>2995</v>
      </c>
      <c r="EQ538" s="19" t="s">
        <v>2176</v>
      </c>
      <c r="ER538" s="19"/>
      <c r="ES538" s="19" t="s">
        <v>1589</v>
      </c>
      <c r="ET538" s="19" t="s">
        <v>1589</v>
      </c>
      <c r="EU538" s="19" t="s">
        <v>11141</v>
      </c>
      <c r="EV538" s="19">
        <v>7736.0</v>
      </c>
      <c r="EW538" s="19" t="s">
        <v>16</v>
      </c>
      <c r="EX538" s="19">
        <v>5.0</v>
      </c>
      <c r="EY538" s="25" t="s">
        <v>1588</v>
      </c>
      <c r="EZ538" s="19" t="s">
        <v>2154</v>
      </c>
      <c r="FA538" s="5" t="s">
        <v>11153</v>
      </c>
      <c r="FB538" s="26" t="s">
        <v>2156</v>
      </c>
      <c r="FC538" s="26"/>
    </row>
    <row r="539">
      <c r="A539" s="19" t="s">
        <v>2156</v>
      </c>
      <c r="B539" s="19"/>
      <c r="C539" s="19" t="s">
        <v>2113</v>
      </c>
      <c r="D539" s="19" t="s">
        <v>1590</v>
      </c>
      <c r="E539" s="19" t="s">
        <v>11154</v>
      </c>
      <c r="F539" s="19" t="s">
        <v>4952</v>
      </c>
      <c r="G539" s="19" t="s">
        <v>4953</v>
      </c>
      <c r="H539" s="19" t="s">
        <v>1590</v>
      </c>
      <c r="I539" s="19" t="s">
        <v>1592</v>
      </c>
      <c r="J539" s="19" t="s">
        <v>11155</v>
      </c>
      <c r="K539" s="19" t="s">
        <v>11156</v>
      </c>
      <c r="L539" s="20">
        <v>45419.0</v>
      </c>
      <c r="M539" s="20">
        <v>45428.0</v>
      </c>
      <c r="N539" s="20">
        <v>45428.0</v>
      </c>
      <c r="O539" s="19" t="s">
        <v>1591</v>
      </c>
      <c r="P539" s="19">
        <v>0.0</v>
      </c>
      <c r="Q539" s="19">
        <v>19.0</v>
      </c>
      <c r="R539" s="19">
        <v>7147.0</v>
      </c>
      <c r="S539" s="20" t="s">
        <v>11157</v>
      </c>
      <c r="T539" s="20">
        <v>45461.0</v>
      </c>
      <c r="U539" s="19" t="s">
        <v>4952</v>
      </c>
      <c r="V539" s="19"/>
      <c r="W539" s="19" t="s">
        <v>11158</v>
      </c>
      <c r="X539" s="21">
        <v>0.0</v>
      </c>
      <c r="Y539" s="21">
        <v>10.0</v>
      </c>
      <c r="Z539" s="21">
        <v>3.0</v>
      </c>
      <c r="AA539" s="21">
        <v>0.0</v>
      </c>
      <c r="AB539" s="5">
        <v>13.0</v>
      </c>
      <c r="AC539" s="19">
        <v>4.0</v>
      </c>
      <c r="AD539" s="19">
        <v>4.0</v>
      </c>
      <c r="AE539" s="19">
        <v>4.0</v>
      </c>
      <c r="AF539" s="19">
        <v>4.0</v>
      </c>
      <c r="AG539" s="19">
        <v>3.0</v>
      </c>
      <c r="AH539" s="19">
        <v>4.0</v>
      </c>
      <c r="AI539" s="22">
        <v>11.625</v>
      </c>
      <c r="AJ539" s="19">
        <v>15.0</v>
      </c>
      <c r="AK539" s="19">
        <v>12.0</v>
      </c>
      <c r="AL539" s="19">
        <v>10.0</v>
      </c>
      <c r="AM539" s="19">
        <v>37.0</v>
      </c>
      <c r="AN539" s="19">
        <v>48.6</v>
      </c>
      <c r="AO539" s="19">
        <v>61.6</v>
      </c>
      <c r="AP539" s="19">
        <v>782.0</v>
      </c>
      <c r="AQ539" s="23">
        <v>530.0</v>
      </c>
      <c r="AR539" s="23">
        <v>78.0</v>
      </c>
      <c r="AS539" s="22"/>
      <c r="AT539" s="19" t="s">
        <v>2117</v>
      </c>
      <c r="AU539" s="19" t="s">
        <v>3095</v>
      </c>
      <c r="AV539" s="19" t="s">
        <v>11159</v>
      </c>
      <c r="AW539" s="19" t="s">
        <v>11160</v>
      </c>
      <c r="AX539" s="20">
        <v>38314.0</v>
      </c>
      <c r="AY539" s="19" t="s">
        <v>2467</v>
      </c>
      <c r="AZ539" s="19" t="s">
        <v>2310</v>
      </c>
      <c r="BA539" s="19" t="s">
        <v>11161</v>
      </c>
      <c r="BB539" s="19" t="s">
        <v>11162</v>
      </c>
      <c r="BC539" s="19" t="s">
        <v>11163</v>
      </c>
      <c r="BD539" s="19" t="s">
        <v>11164</v>
      </c>
      <c r="BE539" s="19" t="s">
        <v>11155</v>
      </c>
      <c r="BF539" s="19">
        <v>1.1975003936E10</v>
      </c>
      <c r="BG539" s="19" t="s">
        <v>2127</v>
      </c>
      <c r="BH539" s="19" t="s">
        <v>2128</v>
      </c>
      <c r="BI539" s="19"/>
      <c r="BJ539" s="19"/>
      <c r="BK539" s="19" t="s">
        <v>16</v>
      </c>
      <c r="BL539" s="19"/>
      <c r="BM539" s="19" t="s">
        <v>5563</v>
      </c>
      <c r="BN539" s="19" t="s">
        <v>17</v>
      </c>
      <c r="BO539" s="19" t="s">
        <v>2473</v>
      </c>
      <c r="BP539" s="19" t="s">
        <v>11165</v>
      </c>
      <c r="BQ539" s="19" t="s">
        <v>2133</v>
      </c>
      <c r="BR539" s="19" t="s">
        <v>2133</v>
      </c>
      <c r="BS539" s="19" t="s">
        <v>2134</v>
      </c>
      <c r="BT539" s="19" t="s">
        <v>38</v>
      </c>
      <c r="BU539" s="19" t="s">
        <v>11166</v>
      </c>
      <c r="BV539" s="19"/>
      <c r="BW539" s="19" t="s">
        <v>2113</v>
      </c>
      <c r="BX539" s="19"/>
      <c r="BY539" s="19"/>
      <c r="BZ539" s="19"/>
      <c r="CA539" s="19"/>
      <c r="CB539" s="19" t="s">
        <v>2113</v>
      </c>
      <c r="CC539" s="19"/>
      <c r="CD539" s="19" t="s">
        <v>2137</v>
      </c>
      <c r="CE539" s="19" t="s">
        <v>16</v>
      </c>
      <c r="CF539" s="19"/>
      <c r="CG539" s="19"/>
      <c r="CH539" s="19" t="s">
        <v>16</v>
      </c>
      <c r="CI539" s="21">
        <v>0.0</v>
      </c>
      <c r="CJ539" s="19" t="s">
        <v>17</v>
      </c>
      <c r="CK539" s="19"/>
      <c r="CL539" s="19"/>
      <c r="CM539" s="19" t="s">
        <v>2926</v>
      </c>
      <c r="CN539" s="19" t="s">
        <v>2475</v>
      </c>
      <c r="CO539" s="19"/>
      <c r="CP539" s="19" t="s">
        <v>2134</v>
      </c>
      <c r="CQ539" s="19"/>
      <c r="CR539" s="19"/>
      <c r="CS539" s="19"/>
      <c r="CT539" s="19" t="s">
        <v>2113</v>
      </c>
      <c r="CU539" s="19" t="s">
        <v>2113</v>
      </c>
      <c r="CV539" s="19" t="s">
        <v>2141</v>
      </c>
      <c r="CW539" s="19" t="s">
        <v>2113</v>
      </c>
      <c r="CX539" s="19" t="s">
        <v>2113</v>
      </c>
      <c r="CY539" s="19"/>
      <c r="CZ539" s="19"/>
      <c r="DA539" s="19" t="s">
        <v>16</v>
      </c>
      <c r="DB539" s="19" t="s">
        <v>17</v>
      </c>
      <c r="DC539" s="19" t="s">
        <v>2477</v>
      </c>
      <c r="DD539" s="19"/>
      <c r="DE539" s="19"/>
      <c r="DF539" s="19" t="s">
        <v>2407</v>
      </c>
      <c r="DG539" s="19" t="s">
        <v>2843</v>
      </c>
      <c r="DH539" s="19" t="s">
        <v>2144</v>
      </c>
      <c r="DI539" s="24">
        <v>45519.0</v>
      </c>
      <c r="DJ539" s="19" t="s">
        <v>2133</v>
      </c>
      <c r="DK539" s="19" t="s">
        <v>2271</v>
      </c>
      <c r="DL539" s="19" t="s">
        <v>2146</v>
      </c>
      <c r="DM539" s="19" t="s">
        <v>2751</v>
      </c>
      <c r="DN539" s="19">
        <v>6.0</v>
      </c>
      <c r="DO539" s="19">
        <v>6.0</v>
      </c>
      <c r="DP539" s="19" t="s">
        <v>11167</v>
      </c>
      <c r="DQ539" s="19" t="s">
        <v>11168</v>
      </c>
      <c r="DR539" s="19" t="s">
        <v>11169</v>
      </c>
      <c r="DS539" s="19" t="s">
        <v>2185</v>
      </c>
      <c r="DT539" s="19" t="s">
        <v>2152</v>
      </c>
      <c r="DU539" s="19"/>
      <c r="DV539" s="19"/>
      <c r="DW539" s="19" t="s">
        <v>2153</v>
      </c>
      <c r="DX539" s="19">
        <v>1.0</v>
      </c>
      <c r="DY539" s="19">
        <v>10.0</v>
      </c>
      <c r="DZ539" s="19">
        <v>0.0</v>
      </c>
      <c r="EA539" s="19">
        <v>10.0</v>
      </c>
      <c r="EB539" s="19">
        <v>0.0</v>
      </c>
      <c r="EC539" s="19">
        <v>0.0</v>
      </c>
      <c r="ED539" s="19" t="s">
        <v>2133</v>
      </c>
      <c r="EE539" s="24">
        <v>45519.0</v>
      </c>
      <c r="EF539" s="19" t="s">
        <v>2133</v>
      </c>
      <c r="EG539" s="19" t="s">
        <v>2271</v>
      </c>
      <c r="EH539" s="19" t="s">
        <v>2146</v>
      </c>
      <c r="EI539" s="22">
        <v>11.625</v>
      </c>
      <c r="EJ539" s="19">
        <v>37.0</v>
      </c>
      <c r="EK539" s="19" t="s">
        <v>2113</v>
      </c>
      <c r="EL539" s="19" t="s">
        <v>2117</v>
      </c>
      <c r="EM539" s="19" t="s">
        <v>3095</v>
      </c>
      <c r="EN539" s="19" t="s">
        <v>1592</v>
      </c>
      <c r="EO539" s="19" t="s">
        <v>2467</v>
      </c>
      <c r="EP539" s="19" t="s">
        <v>2310</v>
      </c>
      <c r="EQ539" s="19" t="s">
        <v>2475</v>
      </c>
      <c r="ER539" s="19"/>
      <c r="ES539" s="19" t="s">
        <v>1592</v>
      </c>
      <c r="ET539" s="19" t="s">
        <v>1592</v>
      </c>
      <c r="EU539" s="19" t="s">
        <v>11156</v>
      </c>
      <c r="EV539" s="19">
        <v>7147.0</v>
      </c>
      <c r="EW539" s="19" t="s">
        <v>16</v>
      </c>
      <c r="EX539" s="19">
        <v>3.0</v>
      </c>
      <c r="EY539" s="25" t="s">
        <v>1591</v>
      </c>
      <c r="EZ539" s="19" t="s">
        <v>2154</v>
      </c>
      <c r="FA539" s="5" t="s">
        <v>11170</v>
      </c>
      <c r="FB539" s="26" t="s">
        <v>2156</v>
      </c>
      <c r="FC539" s="26"/>
    </row>
    <row r="540">
      <c r="A540" s="19" t="s">
        <v>2156</v>
      </c>
      <c r="B540" s="19"/>
      <c r="C540" s="19" t="s">
        <v>2113</v>
      </c>
      <c r="D540" s="19" t="s">
        <v>1593</v>
      </c>
      <c r="E540" s="19" t="s">
        <v>11171</v>
      </c>
      <c r="F540" s="19" t="s">
        <v>1593</v>
      </c>
      <c r="G540" s="19"/>
      <c r="H540" s="19" t="s">
        <v>1593</v>
      </c>
      <c r="I540" s="19" t="s">
        <v>1595</v>
      </c>
      <c r="J540" s="19" t="s">
        <v>11172</v>
      </c>
      <c r="K540" s="19" t="s">
        <v>11173</v>
      </c>
      <c r="L540" s="20">
        <v>45456.0</v>
      </c>
      <c r="M540" s="20">
        <v>45457.0</v>
      </c>
      <c r="N540" s="20">
        <v>45457.0</v>
      </c>
      <c r="O540" s="19" t="s">
        <v>1594</v>
      </c>
      <c r="P540" s="19">
        <v>0.0</v>
      </c>
      <c r="Q540" s="19">
        <v>29.0</v>
      </c>
      <c r="R540" s="19">
        <v>10723.0</v>
      </c>
      <c r="S540" s="20" t="s">
        <v>11174</v>
      </c>
      <c r="T540" s="20">
        <v>45461.0</v>
      </c>
      <c r="U540" s="19" t="s">
        <v>1593</v>
      </c>
      <c r="V540" s="19"/>
      <c r="W540" s="19"/>
      <c r="X540" s="21">
        <v>0.0</v>
      </c>
      <c r="Y540" s="21">
        <v>10.0</v>
      </c>
      <c r="Z540" s="21">
        <v>1.0</v>
      </c>
      <c r="AA540" s="21">
        <v>0.0</v>
      </c>
      <c r="AB540" s="5">
        <v>11.0</v>
      </c>
      <c r="AC540" s="19">
        <v>5.0</v>
      </c>
      <c r="AD540" s="19">
        <v>5.0</v>
      </c>
      <c r="AE540" s="19">
        <v>4.5</v>
      </c>
      <c r="AF540" s="19">
        <v>5.0</v>
      </c>
      <c r="AG540" s="19">
        <v>5.0</v>
      </c>
      <c r="AH540" s="19">
        <v>5.0</v>
      </c>
      <c r="AI540" s="22">
        <v>14.625</v>
      </c>
      <c r="AJ540" s="19">
        <v>12.0</v>
      </c>
      <c r="AK540" s="19">
        <v>12.0</v>
      </c>
      <c r="AL540" s="19">
        <v>12.0</v>
      </c>
      <c r="AM540" s="19">
        <v>36.0</v>
      </c>
      <c r="AN540" s="19">
        <v>50.6</v>
      </c>
      <c r="AO540" s="19">
        <v>61.6</v>
      </c>
      <c r="AP540" s="19">
        <v>916.0</v>
      </c>
      <c r="AQ540" s="23">
        <v>531.0</v>
      </c>
      <c r="AR540" s="23">
        <v>37.0</v>
      </c>
      <c r="AS540" s="22"/>
      <c r="AT540" s="19" t="s">
        <v>2282</v>
      </c>
      <c r="AU540" s="19" t="s">
        <v>11175</v>
      </c>
      <c r="AV540" s="19" t="s">
        <v>11176</v>
      </c>
      <c r="AW540" s="19"/>
      <c r="AX540" s="20">
        <v>34738.0</v>
      </c>
      <c r="AY540" s="19" t="s">
        <v>11177</v>
      </c>
      <c r="AZ540" s="19" t="s">
        <v>2122</v>
      </c>
      <c r="BA540" s="19" t="s">
        <v>11178</v>
      </c>
      <c r="BB540" s="19" t="s">
        <v>11179</v>
      </c>
      <c r="BC540" s="19" t="s">
        <v>11180</v>
      </c>
      <c r="BD540" s="19" t="s">
        <v>11181</v>
      </c>
      <c r="BE540" s="19" t="s">
        <v>11172</v>
      </c>
      <c r="BF540" s="19" t="s">
        <v>11182</v>
      </c>
      <c r="BG540" s="19" t="s">
        <v>2127</v>
      </c>
      <c r="BH540" s="19" t="s">
        <v>2128</v>
      </c>
      <c r="BI540" s="19"/>
      <c r="BJ540" s="19"/>
      <c r="BK540" s="19" t="s">
        <v>16</v>
      </c>
      <c r="BL540" s="19"/>
      <c r="BM540" s="19" t="s">
        <v>5411</v>
      </c>
      <c r="BN540" s="19" t="s">
        <v>17</v>
      </c>
      <c r="BO540" s="19" t="s">
        <v>3082</v>
      </c>
      <c r="BP540" s="19"/>
      <c r="BQ540" s="19" t="s">
        <v>2318</v>
      </c>
      <c r="BR540" s="19" t="s">
        <v>2318</v>
      </c>
      <c r="BS540" s="19" t="s">
        <v>2134</v>
      </c>
      <c r="BT540" s="19" t="s">
        <v>42</v>
      </c>
      <c r="BU540" s="19" t="s">
        <v>11183</v>
      </c>
      <c r="BV540" s="19"/>
      <c r="BW540" s="19"/>
      <c r="BX540" s="19"/>
      <c r="BY540" s="19"/>
      <c r="BZ540" s="19"/>
      <c r="CA540" s="19"/>
      <c r="CB540" s="19"/>
      <c r="CC540" s="19"/>
      <c r="CD540" s="19" t="s">
        <v>2137</v>
      </c>
      <c r="CE540" s="19" t="s">
        <v>16</v>
      </c>
      <c r="CF540" s="19"/>
      <c r="CG540" s="19"/>
      <c r="CH540" s="19" t="s">
        <v>16</v>
      </c>
      <c r="CI540" s="21">
        <v>0.0</v>
      </c>
      <c r="CJ540" s="19" t="s">
        <v>16</v>
      </c>
      <c r="CK540" s="19" t="s">
        <v>2113</v>
      </c>
      <c r="CL540" s="19"/>
      <c r="CM540" s="19"/>
      <c r="CN540" s="19" t="s">
        <v>3279</v>
      </c>
      <c r="CO540" s="19"/>
      <c r="CP540" s="19"/>
      <c r="CQ540" s="19"/>
      <c r="CR540" s="19"/>
      <c r="CS540" s="19"/>
      <c r="CT540" s="19" t="s">
        <v>2113</v>
      </c>
      <c r="CU540" s="19" t="s">
        <v>2113</v>
      </c>
      <c r="CV540" s="19" t="s">
        <v>2141</v>
      </c>
      <c r="CW540" s="19" t="s">
        <v>2113</v>
      </c>
      <c r="CX540" s="19" t="s">
        <v>2113</v>
      </c>
      <c r="CY540" s="19"/>
      <c r="CZ540" s="19"/>
      <c r="DA540" s="19" t="s">
        <v>16</v>
      </c>
      <c r="DB540" s="19" t="s">
        <v>16</v>
      </c>
      <c r="DC540" s="19" t="s">
        <v>4987</v>
      </c>
      <c r="DD540" s="19" t="s">
        <v>2113</v>
      </c>
      <c r="DE540" s="19" t="s">
        <v>2113</v>
      </c>
      <c r="DF540" s="19" t="s">
        <v>3163</v>
      </c>
      <c r="DG540" s="19" t="s">
        <v>2324</v>
      </c>
      <c r="DH540" s="19" t="s">
        <v>2144</v>
      </c>
      <c r="DI540" s="24">
        <v>45519.0</v>
      </c>
      <c r="DJ540" s="19" t="s">
        <v>2325</v>
      </c>
      <c r="DK540" s="19" t="s">
        <v>2145</v>
      </c>
      <c r="DL540" s="19" t="s">
        <v>2326</v>
      </c>
      <c r="DM540" s="19"/>
      <c r="DN540" s="19">
        <v>5.0</v>
      </c>
      <c r="DO540" s="19">
        <v>5.0</v>
      </c>
      <c r="DP540" s="19" t="s">
        <v>11184</v>
      </c>
      <c r="DQ540" s="19" t="s">
        <v>11185</v>
      </c>
      <c r="DR540" s="19" t="s">
        <v>11186</v>
      </c>
      <c r="DS540" s="19" t="s">
        <v>2185</v>
      </c>
      <c r="DT540" s="19" t="s">
        <v>2209</v>
      </c>
      <c r="DU540" s="19"/>
      <c r="DV540" s="19"/>
      <c r="DW540" s="19" t="s">
        <v>2188</v>
      </c>
      <c r="DX540" s="19">
        <v>5.0</v>
      </c>
      <c r="DY540" s="19">
        <v>10.0</v>
      </c>
      <c r="DZ540" s="19">
        <v>0.0</v>
      </c>
      <c r="EA540" s="19">
        <v>10.0</v>
      </c>
      <c r="EB540" s="19">
        <v>0.0</v>
      </c>
      <c r="EC540" s="19">
        <v>0.0</v>
      </c>
      <c r="ED540" s="19" t="s">
        <v>2325</v>
      </c>
      <c r="EE540" s="24">
        <v>45519.0</v>
      </c>
      <c r="EF540" s="19" t="s">
        <v>2325</v>
      </c>
      <c r="EG540" s="19" t="s">
        <v>2145</v>
      </c>
      <c r="EH540" s="19" t="s">
        <v>2326</v>
      </c>
      <c r="EI540" s="22">
        <v>14.625</v>
      </c>
      <c r="EJ540" s="19">
        <v>36.0</v>
      </c>
      <c r="EK540" s="19"/>
      <c r="EL540" s="19" t="s">
        <v>2282</v>
      </c>
      <c r="EM540" s="19" t="s">
        <v>11175</v>
      </c>
      <c r="EN540" s="19" t="s">
        <v>1595</v>
      </c>
      <c r="EO540" s="19" t="s">
        <v>11177</v>
      </c>
      <c r="EP540" s="19" t="s">
        <v>2122</v>
      </c>
      <c r="EQ540" s="19" t="s">
        <v>3279</v>
      </c>
      <c r="ER540" s="19"/>
      <c r="ES540" s="19" t="s">
        <v>1595</v>
      </c>
      <c r="ET540" s="19" t="s">
        <v>1595</v>
      </c>
      <c r="EU540" s="19" t="s">
        <v>11173</v>
      </c>
      <c r="EV540" s="19">
        <v>10723.0</v>
      </c>
      <c r="EW540" s="19" t="s">
        <v>16</v>
      </c>
      <c r="EX540" s="19">
        <v>1.0</v>
      </c>
      <c r="EY540" s="25" t="s">
        <v>1594</v>
      </c>
      <c r="EZ540" s="19" t="s">
        <v>2154</v>
      </c>
      <c r="FA540" s="5" t="s">
        <v>11187</v>
      </c>
      <c r="FB540" s="26" t="s">
        <v>2156</v>
      </c>
      <c r="FC540" s="26"/>
    </row>
    <row r="541">
      <c r="A541" s="19" t="s">
        <v>2112</v>
      </c>
      <c r="B541" s="19"/>
      <c r="C541" s="19" t="s">
        <v>2113</v>
      </c>
      <c r="D541" s="19" t="s">
        <v>11188</v>
      </c>
      <c r="E541" s="19" t="s">
        <v>11189</v>
      </c>
      <c r="F541" s="19" t="s">
        <v>1596</v>
      </c>
      <c r="G541" s="19"/>
      <c r="H541" s="19" t="s">
        <v>1596</v>
      </c>
      <c r="I541" s="19" t="s">
        <v>1598</v>
      </c>
      <c r="J541" s="19" t="s">
        <v>11190</v>
      </c>
      <c r="K541" s="19" t="s">
        <v>11191</v>
      </c>
      <c r="L541" s="20">
        <v>45428.0</v>
      </c>
      <c r="M541" s="20">
        <v>45429.0</v>
      </c>
      <c r="N541" s="20">
        <v>45429.0</v>
      </c>
      <c r="O541" s="19" t="s">
        <v>1597</v>
      </c>
      <c r="P541" s="19">
        <v>0.0</v>
      </c>
      <c r="Q541" s="19">
        <v>26.0</v>
      </c>
      <c r="R541" s="19">
        <v>9773.0</v>
      </c>
      <c r="S541" s="20" t="s">
        <v>11192</v>
      </c>
      <c r="T541" s="20">
        <v>45461.0</v>
      </c>
      <c r="U541" s="19" t="s">
        <v>1596</v>
      </c>
      <c r="V541" s="19"/>
      <c r="W541" s="19"/>
      <c r="X541" s="21">
        <v>0.0</v>
      </c>
      <c r="Y541" s="21">
        <v>5.0</v>
      </c>
      <c r="Z541" s="21">
        <v>5.0</v>
      </c>
      <c r="AA541" s="21">
        <v>0.0</v>
      </c>
      <c r="AB541" s="5">
        <v>10.0</v>
      </c>
      <c r="AC541" s="19">
        <v>2.5</v>
      </c>
      <c r="AD541" s="19">
        <v>2.0</v>
      </c>
      <c r="AE541" s="19">
        <v>2.0</v>
      </c>
      <c r="AF541" s="19">
        <v>2.5</v>
      </c>
      <c r="AG541" s="19">
        <v>1.5</v>
      </c>
      <c r="AH541" s="19">
        <v>3.0</v>
      </c>
      <c r="AI541" s="22">
        <v>6.609375</v>
      </c>
      <c r="AJ541" s="19">
        <v>15.0</v>
      </c>
      <c r="AK541" s="19">
        <v>15.0</v>
      </c>
      <c r="AL541" s="19">
        <v>15.0</v>
      </c>
      <c r="AM541" s="19">
        <v>45.0</v>
      </c>
      <c r="AN541" s="19">
        <v>51.6</v>
      </c>
      <c r="AO541" s="19">
        <v>61.6</v>
      </c>
      <c r="AP541" s="19">
        <v>955.0</v>
      </c>
      <c r="AQ541" s="23">
        <v>532.0</v>
      </c>
      <c r="AR541" s="23">
        <v>42.0</v>
      </c>
      <c r="AS541" s="19" t="s">
        <v>11193</v>
      </c>
      <c r="AT541" s="19" t="s">
        <v>2117</v>
      </c>
      <c r="AU541" s="19" t="s">
        <v>5980</v>
      </c>
      <c r="AV541" s="19" t="s">
        <v>5981</v>
      </c>
      <c r="AW541" s="19"/>
      <c r="AX541" s="20">
        <v>35688.0</v>
      </c>
      <c r="AY541" s="19" t="s">
        <v>2529</v>
      </c>
      <c r="AZ541" s="19" t="s">
        <v>2122</v>
      </c>
      <c r="BA541" s="19" t="s">
        <v>5983</v>
      </c>
      <c r="BB541" s="19" t="s">
        <v>7494</v>
      </c>
      <c r="BC541" s="19" t="s">
        <v>11194</v>
      </c>
      <c r="BD541" s="19" t="s">
        <v>11195</v>
      </c>
      <c r="BE541" s="19" t="s">
        <v>11196</v>
      </c>
      <c r="BF541" s="19">
        <v>1.198198538E10</v>
      </c>
      <c r="BG541" s="19" t="s">
        <v>3518</v>
      </c>
      <c r="BH541" s="19" t="s">
        <v>2128</v>
      </c>
      <c r="BI541" s="19"/>
      <c r="BJ541" s="19" t="s">
        <v>2427</v>
      </c>
      <c r="BK541" s="19" t="s">
        <v>17</v>
      </c>
      <c r="BL541" s="19"/>
      <c r="BM541" s="19" t="s">
        <v>5563</v>
      </c>
      <c r="BN541" s="19" t="s">
        <v>17</v>
      </c>
      <c r="BO541" s="19" t="s">
        <v>2132</v>
      </c>
      <c r="BP541" s="19"/>
      <c r="BQ541" s="19" t="s">
        <v>2174</v>
      </c>
      <c r="BR541" s="19" t="s">
        <v>2174</v>
      </c>
      <c r="BS541" s="19" t="s">
        <v>3521</v>
      </c>
      <c r="BT541" s="19" t="s">
        <v>75</v>
      </c>
      <c r="BU541" s="19" t="s">
        <v>4538</v>
      </c>
      <c r="BV541" s="19"/>
      <c r="BW541" s="19" t="s">
        <v>2113</v>
      </c>
      <c r="BX541" s="19"/>
      <c r="BY541" s="19"/>
      <c r="BZ541" s="19"/>
      <c r="CA541" s="19"/>
      <c r="CB541" s="19" t="s">
        <v>2113</v>
      </c>
      <c r="CC541" s="19"/>
      <c r="CD541" s="19" t="s">
        <v>2137</v>
      </c>
      <c r="CE541" s="19" t="s">
        <v>16</v>
      </c>
      <c r="CF541" s="19"/>
      <c r="CG541" s="19"/>
      <c r="CH541" s="19" t="s">
        <v>16</v>
      </c>
      <c r="CI541" s="21">
        <v>0.0</v>
      </c>
      <c r="CJ541" s="19" t="s">
        <v>17</v>
      </c>
      <c r="CK541" s="19"/>
      <c r="CL541" s="19"/>
      <c r="CM541" s="19" t="s">
        <v>2344</v>
      </c>
      <c r="CN541" s="19" t="s">
        <v>2537</v>
      </c>
      <c r="CO541" s="19"/>
      <c r="CP541" s="19" t="s">
        <v>2246</v>
      </c>
      <c r="CQ541" s="19"/>
      <c r="CR541" s="19" t="s">
        <v>2113</v>
      </c>
      <c r="CS541" s="19" t="s">
        <v>2113</v>
      </c>
      <c r="CT541" s="19"/>
      <c r="CU541" s="19"/>
      <c r="CV541" s="19" t="s">
        <v>2141</v>
      </c>
      <c r="CW541" s="19"/>
      <c r="CX541" s="19"/>
      <c r="CY541" s="19"/>
      <c r="CZ541" s="19"/>
      <c r="DA541" s="19" t="s">
        <v>16</v>
      </c>
      <c r="DB541" s="19" t="s">
        <v>17</v>
      </c>
      <c r="DC541" s="19" t="s">
        <v>4043</v>
      </c>
      <c r="DD541" s="19"/>
      <c r="DE541" s="19"/>
      <c r="DF541" s="19" t="s">
        <v>2540</v>
      </c>
      <c r="DG541" s="19" t="s">
        <v>2538</v>
      </c>
      <c r="DH541" s="19" t="s">
        <v>2144</v>
      </c>
      <c r="DI541" s="24">
        <v>45533.0</v>
      </c>
      <c r="DJ541" s="19" t="s">
        <v>2174</v>
      </c>
      <c r="DK541" s="19" t="s">
        <v>2271</v>
      </c>
      <c r="DL541" s="19" t="s">
        <v>2207</v>
      </c>
      <c r="DM541" s="19" t="s">
        <v>6057</v>
      </c>
      <c r="DN541" s="19">
        <v>7.0</v>
      </c>
      <c r="DO541" s="19">
        <v>7.0</v>
      </c>
      <c r="DP541" s="19" t="s">
        <v>11197</v>
      </c>
      <c r="DQ541" s="19" t="s">
        <v>11198</v>
      </c>
      <c r="DR541" s="19" t="s">
        <v>11199</v>
      </c>
      <c r="DS541" s="19" t="s">
        <v>2151</v>
      </c>
      <c r="DT541" s="19" t="s">
        <v>2186</v>
      </c>
      <c r="DU541" s="19"/>
      <c r="DV541" s="19" t="s">
        <v>6059</v>
      </c>
      <c r="DW541" s="19" t="s">
        <v>2188</v>
      </c>
      <c r="DX541" s="19">
        <v>15.0</v>
      </c>
      <c r="DY541" s="19">
        <v>5.0</v>
      </c>
      <c r="DZ541" s="19">
        <v>0.0</v>
      </c>
      <c r="EA541" s="19">
        <v>5.0</v>
      </c>
      <c r="EB541" s="19">
        <v>0.0</v>
      </c>
      <c r="EC541" s="19">
        <v>0.0</v>
      </c>
      <c r="ED541" s="19" t="s">
        <v>2174</v>
      </c>
      <c r="EE541" s="24">
        <v>45533.0</v>
      </c>
      <c r="EF541" s="19" t="s">
        <v>2174</v>
      </c>
      <c r="EG541" s="19" t="s">
        <v>2271</v>
      </c>
      <c r="EH541" s="19" t="s">
        <v>2207</v>
      </c>
      <c r="EI541" s="22">
        <v>6.609375</v>
      </c>
      <c r="EJ541" s="19">
        <v>45.0</v>
      </c>
      <c r="EK541" s="19" t="s">
        <v>2113</v>
      </c>
      <c r="EL541" s="19" t="s">
        <v>2117</v>
      </c>
      <c r="EM541" s="19" t="s">
        <v>5980</v>
      </c>
      <c r="EN541" s="19" t="s">
        <v>1598</v>
      </c>
      <c r="EO541" s="19" t="s">
        <v>2529</v>
      </c>
      <c r="EP541" s="19" t="s">
        <v>2122</v>
      </c>
      <c r="EQ541" s="19" t="s">
        <v>2537</v>
      </c>
      <c r="ER541" s="19"/>
      <c r="ES541" s="19" t="s">
        <v>1598</v>
      </c>
      <c r="ET541" s="19" t="s">
        <v>1598</v>
      </c>
      <c r="EU541" s="19" t="s">
        <v>11191</v>
      </c>
      <c r="EV541" s="19">
        <v>9773.0</v>
      </c>
      <c r="EW541" s="19" t="s">
        <v>16</v>
      </c>
      <c r="EX541" s="19">
        <v>5.0</v>
      </c>
      <c r="EY541" s="25" t="s">
        <v>1597</v>
      </c>
      <c r="EZ541" s="19" t="s">
        <v>2154</v>
      </c>
      <c r="FA541" s="5" t="s">
        <v>11200</v>
      </c>
      <c r="FB541" s="26" t="s">
        <v>2156</v>
      </c>
      <c r="FC541" s="26"/>
    </row>
    <row r="542">
      <c r="A542" s="19" t="s">
        <v>2112</v>
      </c>
      <c r="B542" s="19"/>
      <c r="C542" s="19" t="s">
        <v>2113</v>
      </c>
      <c r="D542" s="19" t="s">
        <v>11201</v>
      </c>
      <c r="E542" s="19" t="s">
        <v>11201</v>
      </c>
      <c r="F542" s="19" t="s">
        <v>1599</v>
      </c>
      <c r="G542" s="19" t="s">
        <v>11201</v>
      </c>
      <c r="H542" s="19" t="s">
        <v>1599</v>
      </c>
      <c r="I542" s="19" t="s">
        <v>1601</v>
      </c>
      <c r="J542" s="19" t="s">
        <v>11202</v>
      </c>
      <c r="K542" s="19" t="s">
        <v>11203</v>
      </c>
      <c r="L542" s="20">
        <v>45405.0</v>
      </c>
      <c r="M542" s="20">
        <v>45411.0</v>
      </c>
      <c r="N542" s="20">
        <v>45411.0</v>
      </c>
      <c r="O542" s="19" t="s">
        <v>1600</v>
      </c>
      <c r="P542" s="19">
        <v>0.0</v>
      </c>
      <c r="Q542" s="19">
        <v>23.0</v>
      </c>
      <c r="R542" s="19">
        <v>8752.0</v>
      </c>
      <c r="S542" s="20" t="s">
        <v>11204</v>
      </c>
      <c r="T542" s="20">
        <v>45461.0</v>
      </c>
      <c r="U542" s="19" t="s">
        <v>1599</v>
      </c>
      <c r="V542" s="19"/>
      <c r="W542" s="19"/>
      <c r="X542" s="21">
        <v>0.0</v>
      </c>
      <c r="Y542" s="21">
        <v>0.0</v>
      </c>
      <c r="Z542" s="21">
        <v>5.0</v>
      </c>
      <c r="AA542" s="21">
        <v>0.0</v>
      </c>
      <c r="AB542" s="5">
        <v>5.0</v>
      </c>
      <c r="AC542" s="19">
        <v>3.8</v>
      </c>
      <c r="AD542" s="19">
        <v>4.0</v>
      </c>
      <c r="AE542" s="19">
        <v>4.0</v>
      </c>
      <c r="AF542" s="19">
        <v>3.2</v>
      </c>
      <c r="AG542" s="19">
        <v>4.2</v>
      </c>
      <c r="AH542" s="19">
        <v>3.8</v>
      </c>
      <c r="AI542" s="22">
        <v>11.60625</v>
      </c>
      <c r="AJ542" s="19">
        <v>15.0</v>
      </c>
      <c r="AK542" s="19">
        <v>15.0</v>
      </c>
      <c r="AL542" s="19">
        <v>15.0</v>
      </c>
      <c r="AM542" s="19">
        <v>45.0</v>
      </c>
      <c r="AN542" s="19">
        <v>56.6</v>
      </c>
      <c r="AO542" s="19">
        <v>61.6</v>
      </c>
      <c r="AP542" s="19">
        <v>1064.0</v>
      </c>
      <c r="AQ542" s="23">
        <v>533.0</v>
      </c>
      <c r="AR542" s="23">
        <v>41.0</v>
      </c>
      <c r="AS542" s="22"/>
      <c r="AT542" s="19" t="s">
        <v>2163</v>
      </c>
      <c r="AU542" s="19" t="s">
        <v>11205</v>
      </c>
      <c r="AV542" s="19" t="s">
        <v>11206</v>
      </c>
      <c r="AW542" s="19" t="s">
        <v>2166</v>
      </c>
      <c r="AX542" s="20">
        <v>36709.0</v>
      </c>
      <c r="AY542" s="19" t="s">
        <v>2358</v>
      </c>
      <c r="AZ542" s="19" t="s">
        <v>2310</v>
      </c>
      <c r="BA542" s="19" t="s">
        <v>11207</v>
      </c>
      <c r="BB542" s="19" t="s">
        <v>8961</v>
      </c>
      <c r="BC542" s="19" t="s">
        <v>11208</v>
      </c>
      <c r="BD542" s="19" t="s">
        <v>11209</v>
      </c>
      <c r="BE542" s="19" t="s">
        <v>11202</v>
      </c>
      <c r="BF542" s="19">
        <v>1.19394407E10</v>
      </c>
      <c r="BG542" s="19" t="s">
        <v>4038</v>
      </c>
      <c r="BH542" s="19" t="s">
        <v>2128</v>
      </c>
      <c r="BI542" s="19"/>
      <c r="BJ542" s="19" t="s">
        <v>2427</v>
      </c>
      <c r="BK542" s="19" t="s">
        <v>17</v>
      </c>
      <c r="BL542" s="19"/>
      <c r="BM542" s="19" t="s">
        <v>5411</v>
      </c>
      <c r="BN542" s="19" t="s">
        <v>17</v>
      </c>
      <c r="BO542" s="19" t="s">
        <v>2132</v>
      </c>
      <c r="BP542" s="19" t="s">
        <v>11210</v>
      </c>
      <c r="BQ542" s="19" t="s">
        <v>2174</v>
      </c>
      <c r="BR542" s="19" t="s">
        <v>2174</v>
      </c>
      <c r="BS542" s="19" t="s">
        <v>2134</v>
      </c>
      <c r="BT542" s="19" t="s">
        <v>34</v>
      </c>
      <c r="BU542" s="19" t="s">
        <v>4405</v>
      </c>
      <c r="BV542" s="19"/>
      <c r="BW542" s="19"/>
      <c r="BX542" s="19"/>
      <c r="BY542" s="19"/>
      <c r="BZ542" s="19"/>
      <c r="CA542" s="19" t="s">
        <v>2113</v>
      </c>
      <c r="CB542" s="19" t="s">
        <v>2113</v>
      </c>
      <c r="CC542" s="19"/>
      <c r="CD542" s="19" t="s">
        <v>2137</v>
      </c>
      <c r="CE542" s="19" t="s">
        <v>16</v>
      </c>
      <c r="CF542" s="19"/>
      <c r="CG542" s="19"/>
      <c r="CH542" s="19" t="s">
        <v>16</v>
      </c>
      <c r="CI542" s="21">
        <v>0.0</v>
      </c>
      <c r="CJ542" s="19" t="s">
        <v>16</v>
      </c>
      <c r="CK542" s="19" t="s">
        <v>2113</v>
      </c>
      <c r="CL542" s="19"/>
      <c r="CM542" s="19" t="s">
        <v>2138</v>
      </c>
      <c r="CN542" s="19" t="s">
        <v>2266</v>
      </c>
      <c r="CO542" s="19"/>
      <c r="CP542" s="19" t="s">
        <v>2246</v>
      </c>
      <c r="CQ542" s="19" t="s">
        <v>2113</v>
      </c>
      <c r="CR542" s="19"/>
      <c r="CS542" s="19"/>
      <c r="CT542" s="19" t="s">
        <v>2113</v>
      </c>
      <c r="CU542" s="19" t="s">
        <v>2113</v>
      </c>
      <c r="CV542" s="19" t="s">
        <v>2141</v>
      </c>
      <c r="CW542" s="19"/>
      <c r="CX542" s="19"/>
      <c r="CY542" s="19" t="s">
        <v>2113</v>
      </c>
      <c r="CZ542" s="19" t="s">
        <v>2113</v>
      </c>
      <c r="DA542" s="19" t="s">
        <v>16</v>
      </c>
      <c r="DB542" s="19" t="s">
        <v>16</v>
      </c>
      <c r="DC542" s="19" t="s">
        <v>3856</v>
      </c>
      <c r="DD542" s="19" t="s">
        <v>2113</v>
      </c>
      <c r="DE542" s="19" t="s">
        <v>2113</v>
      </c>
      <c r="DF542" s="19" t="s">
        <v>2268</v>
      </c>
      <c r="DG542" s="19" t="s">
        <v>7621</v>
      </c>
      <c r="DH542" s="19" t="s">
        <v>2144</v>
      </c>
      <c r="DI542" s="24">
        <v>45526.0</v>
      </c>
      <c r="DJ542" s="19" t="s">
        <v>2174</v>
      </c>
      <c r="DK542" s="19" t="s">
        <v>2271</v>
      </c>
      <c r="DL542" s="19" t="s">
        <v>2183</v>
      </c>
      <c r="DM542" s="19"/>
      <c r="DN542" s="19">
        <v>12.0</v>
      </c>
      <c r="DO542" s="19">
        <v>12.0</v>
      </c>
      <c r="DP542" s="19" t="s">
        <v>11211</v>
      </c>
      <c r="DQ542" s="19" t="s">
        <v>11212</v>
      </c>
      <c r="DR542" s="19" t="s">
        <v>11213</v>
      </c>
      <c r="DS542" s="19" t="s">
        <v>2151</v>
      </c>
      <c r="DT542" s="19" t="s">
        <v>2209</v>
      </c>
      <c r="DU542" s="19"/>
      <c r="DV542" s="19"/>
      <c r="DW542" s="19" t="s">
        <v>2479</v>
      </c>
      <c r="DX542" s="19">
        <v>16.0</v>
      </c>
      <c r="DY542" s="19">
        <v>0.0</v>
      </c>
      <c r="DZ542" s="19">
        <v>0.0</v>
      </c>
      <c r="EA542" s="19">
        <v>0.0</v>
      </c>
      <c r="EB542" s="19">
        <v>0.0</v>
      </c>
      <c r="EC542" s="19">
        <v>0.0</v>
      </c>
      <c r="ED542" s="19" t="s">
        <v>2174</v>
      </c>
      <c r="EE542" s="24">
        <v>45526.0</v>
      </c>
      <c r="EF542" s="19" t="s">
        <v>2174</v>
      </c>
      <c r="EG542" s="19" t="s">
        <v>2271</v>
      </c>
      <c r="EH542" s="19" t="s">
        <v>2183</v>
      </c>
      <c r="EI542" s="22">
        <v>11.60625</v>
      </c>
      <c r="EJ542" s="19">
        <v>45.0</v>
      </c>
      <c r="EK542" s="19"/>
      <c r="EL542" s="19" t="s">
        <v>2163</v>
      </c>
      <c r="EM542" s="19" t="s">
        <v>11205</v>
      </c>
      <c r="EN542" s="19" t="s">
        <v>1601</v>
      </c>
      <c r="EO542" s="19" t="s">
        <v>2358</v>
      </c>
      <c r="EP542" s="19" t="s">
        <v>2310</v>
      </c>
      <c r="EQ542" s="19" t="s">
        <v>2266</v>
      </c>
      <c r="ER542" s="19"/>
      <c r="ES542" s="19" t="s">
        <v>1601</v>
      </c>
      <c r="ET542" s="19" t="s">
        <v>1601</v>
      </c>
      <c r="EU542" s="19" t="s">
        <v>11203</v>
      </c>
      <c r="EV542" s="19">
        <v>8752.0</v>
      </c>
      <c r="EW542" s="19" t="s">
        <v>16</v>
      </c>
      <c r="EX542" s="19">
        <v>5.0</v>
      </c>
      <c r="EY542" s="25" t="s">
        <v>1600</v>
      </c>
      <c r="EZ542" s="19" t="s">
        <v>2154</v>
      </c>
      <c r="FA542" s="5" t="s">
        <v>11214</v>
      </c>
      <c r="FB542" s="26" t="s">
        <v>2156</v>
      </c>
      <c r="FC542" s="26"/>
    </row>
    <row r="543">
      <c r="A543" s="19" t="s">
        <v>2156</v>
      </c>
      <c r="B543" s="19"/>
      <c r="C543" s="19" t="s">
        <v>2113</v>
      </c>
      <c r="D543" s="19" t="s">
        <v>1602</v>
      </c>
      <c r="E543" s="19" t="s">
        <v>11215</v>
      </c>
      <c r="F543" s="19" t="s">
        <v>1602</v>
      </c>
      <c r="G543" s="19"/>
      <c r="H543" s="19" t="s">
        <v>1602</v>
      </c>
      <c r="I543" s="19" t="s">
        <v>1604</v>
      </c>
      <c r="J543" s="19" t="s">
        <v>11216</v>
      </c>
      <c r="K543" s="19" t="s">
        <v>11217</v>
      </c>
      <c r="L543" s="20">
        <v>45445.0</v>
      </c>
      <c r="M543" s="20">
        <v>45446.0</v>
      </c>
      <c r="N543" s="20">
        <v>45446.0</v>
      </c>
      <c r="O543" s="19" t="s">
        <v>1603</v>
      </c>
      <c r="P543" s="19">
        <v>0.0</v>
      </c>
      <c r="Q543" s="19">
        <v>21.0</v>
      </c>
      <c r="R543" s="19">
        <v>7833.0</v>
      </c>
      <c r="S543" s="20" t="s">
        <v>11218</v>
      </c>
      <c r="T543" s="20">
        <v>45461.0</v>
      </c>
      <c r="U543" s="19" t="s">
        <v>1602</v>
      </c>
      <c r="V543" s="19"/>
      <c r="W543" s="19" t="s">
        <v>11219</v>
      </c>
      <c r="X543" s="21">
        <v>0.0</v>
      </c>
      <c r="Y543" s="21">
        <v>0.0</v>
      </c>
      <c r="Z543" s="21">
        <v>3.0</v>
      </c>
      <c r="AA543" s="21">
        <v>0.0</v>
      </c>
      <c r="AB543" s="5">
        <v>3.0</v>
      </c>
      <c r="AC543" s="19">
        <v>5.0</v>
      </c>
      <c r="AD543" s="19">
        <v>4.0</v>
      </c>
      <c r="AE543" s="19">
        <v>5.0</v>
      </c>
      <c r="AF543" s="19">
        <v>5.0</v>
      </c>
      <c r="AG543" s="19">
        <v>4.0</v>
      </c>
      <c r="AH543" s="19">
        <v>4.0</v>
      </c>
      <c r="AI543" s="22">
        <v>13.59375</v>
      </c>
      <c r="AJ543" s="19">
        <v>15.0</v>
      </c>
      <c r="AK543" s="19">
        <v>15.0</v>
      </c>
      <c r="AL543" s="19">
        <v>15.0</v>
      </c>
      <c r="AM543" s="19">
        <v>45.0</v>
      </c>
      <c r="AN543" s="19">
        <v>58.6</v>
      </c>
      <c r="AO543" s="19">
        <v>61.6</v>
      </c>
      <c r="AP543" s="19">
        <v>1290.0</v>
      </c>
      <c r="AQ543" s="23">
        <v>534.0</v>
      </c>
      <c r="AR543" s="23">
        <v>48.0</v>
      </c>
      <c r="AS543" s="22"/>
      <c r="AT543" s="19" t="s">
        <v>2282</v>
      </c>
      <c r="AU543" s="19" t="s">
        <v>11220</v>
      </c>
      <c r="AV543" s="19" t="s">
        <v>11221</v>
      </c>
      <c r="AW543" s="19" t="s">
        <v>3923</v>
      </c>
      <c r="AX543" s="20">
        <v>37628.0</v>
      </c>
      <c r="AY543" s="19" t="s">
        <v>6385</v>
      </c>
      <c r="AZ543" s="19" t="s">
        <v>2122</v>
      </c>
      <c r="BA543" s="19" t="s">
        <v>11222</v>
      </c>
      <c r="BB543" s="19" t="s">
        <v>11223</v>
      </c>
      <c r="BC543" s="19" t="s">
        <v>11224</v>
      </c>
      <c r="BD543" s="19" t="s">
        <v>11225</v>
      </c>
      <c r="BE543" s="19" t="s">
        <v>11216</v>
      </c>
      <c r="BF543" s="19">
        <v>1.1971678784E10</v>
      </c>
      <c r="BG543" s="19" t="s">
        <v>4038</v>
      </c>
      <c r="BH543" s="19" t="s">
        <v>2128</v>
      </c>
      <c r="BI543" s="19"/>
      <c r="BJ543" s="19" t="s">
        <v>2128</v>
      </c>
      <c r="BK543" s="19" t="s">
        <v>17</v>
      </c>
      <c r="BL543" s="19"/>
      <c r="BM543" s="19" t="s">
        <v>5411</v>
      </c>
      <c r="BN543" s="19" t="s">
        <v>17</v>
      </c>
      <c r="BO543" s="19" t="s">
        <v>2473</v>
      </c>
      <c r="BP543" s="19"/>
      <c r="BQ543" s="19" t="s">
        <v>2133</v>
      </c>
      <c r="BR543" s="19" t="s">
        <v>2133</v>
      </c>
      <c r="BS543" s="19" t="s">
        <v>2243</v>
      </c>
      <c r="BT543" s="19" t="s">
        <v>52</v>
      </c>
      <c r="BU543" s="19" t="s">
        <v>11226</v>
      </c>
      <c r="BV543" s="19"/>
      <c r="BW543" s="19" t="s">
        <v>2113</v>
      </c>
      <c r="BX543" s="19"/>
      <c r="BY543" s="19"/>
      <c r="BZ543" s="19"/>
      <c r="CA543" s="19"/>
      <c r="CB543" s="19" t="s">
        <v>2113</v>
      </c>
      <c r="CC543" s="19"/>
      <c r="CD543" s="19" t="s">
        <v>2137</v>
      </c>
      <c r="CE543" s="19" t="s">
        <v>16</v>
      </c>
      <c r="CF543" s="19"/>
      <c r="CG543" s="19"/>
      <c r="CH543" s="19" t="s">
        <v>16</v>
      </c>
      <c r="CI543" s="21">
        <v>0.0</v>
      </c>
      <c r="CJ543" s="19" t="s">
        <v>16</v>
      </c>
      <c r="CK543" s="19"/>
      <c r="CL543" s="19"/>
      <c r="CM543" s="19" t="s">
        <v>2344</v>
      </c>
      <c r="CN543" s="19" t="s">
        <v>6390</v>
      </c>
      <c r="CO543" s="19"/>
      <c r="CP543" s="19" t="s">
        <v>2246</v>
      </c>
      <c r="CQ543" s="19"/>
      <c r="CR543" s="19"/>
      <c r="CS543" s="19"/>
      <c r="CT543" s="19" t="s">
        <v>2113</v>
      </c>
      <c r="CU543" s="19" t="s">
        <v>2113</v>
      </c>
      <c r="CV543" s="19" t="s">
        <v>2141</v>
      </c>
      <c r="CW543" s="19" t="s">
        <v>2113</v>
      </c>
      <c r="CX543" s="19" t="s">
        <v>2113</v>
      </c>
      <c r="CY543" s="19" t="s">
        <v>2113</v>
      </c>
      <c r="CZ543" s="19" t="s">
        <v>2113</v>
      </c>
      <c r="DA543" s="19" t="s">
        <v>16</v>
      </c>
      <c r="DB543" s="19" t="s">
        <v>16</v>
      </c>
      <c r="DC543" s="19" t="s">
        <v>2142</v>
      </c>
      <c r="DD543" s="19" t="s">
        <v>2113</v>
      </c>
      <c r="DE543" s="19" t="s">
        <v>2113</v>
      </c>
      <c r="DF543" s="19" t="s">
        <v>2477</v>
      </c>
      <c r="DG543" s="19" t="s">
        <v>2627</v>
      </c>
      <c r="DH543" s="19" t="s">
        <v>2144</v>
      </c>
      <c r="DI543" s="24">
        <v>45519.0</v>
      </c>
      <c r="DJ543" s="19" t="s">
        <v>2133</v>
      </c>
      <c r="DK543" s="19" t="s">
        <v>2145</v>
      </c>
      <c r="DL543" s="19" t="s">
        <v>2146</v>
      </c>
      <c r="DM543" s="19"/>
      <c r="DN543" s="19">
        <v>5.0</v>
      </c>
      <c r="DO543" s="19">
        <v>5.0</v>
      </c>
      <c r="DP543" s="19" t="s">
        <v>11227</v>
      </c>
      <c r="DQ543" s="19" t="s">
        <v>11228</v>
      </c>
      <c r="DR543" s="19" t="s">
        <v>11229</v>
      </c>
      <c r="DS543" s="19" t="s">
        <v>2365</v>
      </c>
      <c r="DT543" s="19" t="s">
        <v>2301</v>
      </c>
      <c r="DU543" s="19"/>
      <c r="DV543" s="19"/>
      <c r="DW543" s="19" t="s">
        <v>2153</v>
      </c>
      <c r="DX543" s="19">
        <v>9.0</v>
      </c>
      <c r="DY543" s="19">
        <v>0.0</v>
      </c>
      <c r="DZ543" s="19">
        <v>0.0</v>
      </c>
      <c r="EA543" s="19">
        <v>0.0</v>
      </c>
      <c r="EB543" s="19">
        <v>0.0</v>
      </c>
      <c r="EC543" s="19">
        <v>0.0</v>
      </c>
      <c r="ED543" s="19" t="s">
        <v>2133</v>
      </c>
      <c r="EE543" s="24">
        <v>45519.0</v>
      </c>
      <c r="EF543" s="19" t="s">
        <v>2133</v>
      </c>
      <c r="EG543" s="19" t="s">
        <v>2145</v>
      </c>
      <c r="EH543" s="19" t="s">
        <v>2146</v>
      </c>
      <c r="EI543" s="22">
        <v>13.59375</v>
      </c>
      <c r="EJ543" s="19">
        <v>45.0</v>
      </c>
      <c r="EK543" s="19"/>
      <c r="EL543" s="19" t="s">
        <v>2282</v>
      </c>
      <c r="EM543" s="19" t="s">
        <v>11220</v>
      </c>
      <c r="EN543" s="19" t="s">
        <v>1604</v>
      </c>
      <c r="EO543" s="19" t="s">
        <v>6385</v>
      </c>
      <c r="EP543" s="19" t="s">
        <v>2122</v>
      </c>
      <c r="EQ543" s="19" t="s">
        <v>6390</v>
      </c>
      <c r="ER543" s="19"/>
      <c r="ES543" s="19" t="s">
        <v>1604</v>
      </c>
      <c r="ET543" s="19" t="s">
        <v>1604</v>
      </c>
      <c r="EU543" s="19" t="s">
        <v>11217</v>
      </c>
      <c r="EV543" s="19">
        <v>7833.0</v>
      </c>
      <c r="EW543" s="19" t="s">
        <v>16</v>
      </c>
      <c r="EX543" s="19">
        <v>3.0</v>
      </c>
      <c r="EY543" s="25" t="s">
        <v>1603</v>
      </c>
      <c r="EZ543" s="19" t="s">
        <v>2154</v>
      </c>
      <c r="FA543" s="5" t="s">
        <v>11230</v>
      </c>
      <c r="FB543" s="26" t="s">
        <v>2156</v>
      </c>
      <c r="FC543" s="26"/>
    </row>
    <row r="544" hidden="1">
      <c r="A544" s="19" t="s">
        <v>2156</v>
      </c>
      <c r="B544" s="19"/>
      <c r="C544" s="19" t="s">
        <v>2113</v>
      </c>
      <c r="D544" s="27" t="s">
        <v>11231</v>
      </c>
      <c r="E544" s="19" t="s">
        <v>11232</v>
      </c>
      <c r="F544" s="19" t="s">
        <v>11231</v>
      </c>
      <c r="G544" s="19" t="s">
        <v>11232</v>
      </c>
      <c r="H544" s="27" t="s">
        <v>11231</v>
      </c>
      <c r="I544" s="19" t="s">
        <v>11233</v>
      </c>
      <c r="J544" s="19" t="s">
        <v>11234</v>
      </c>
      <c r="K544" s="19" t="s">
        <v>11235</v>
      </c>
      <c r="L544" s="20">
        <v>45425.0</v>
      </c>
      <c r="M544" s="20">
        <v>45428.0</v>
      </c>
      <c r="N544" s="20">
        <v>45428.0</v>
      </c>
      <c r="O544" s="19" t="s">
        <v>11236</v>
      </c>
      <c r="P544" s="19">
        <v>0.0</v>
      </c>
      <c r="Q544" s="19">
        <v>20.0</v>
      </c>
      <c r="R544" s="19">
        <v>7496.0</v>
      </c>
      <c r="S544" s="20" t="s">
        <v>11237</v>
      </c>
      <c r="T544" s="20">
        <v>45461.0</v>
      </c>
      <c r="U544" s="19" t="s">
        <v>11231</v>
      </c>
      <c r="V544" s="19"/>
      <c r="W544" s="19" t="s">
        <v>11238</v>
      </c>
      <c r="X544" s="21">
        <v>0.0</v>
      </c>
      <c r="Y544" s="21">
        <v>10.0</v>
      </c>
      <c r="Z544" s="21">
        <v>4.0</v>
      </c>
      <c r="AA544" s="21">
        <v>2.0</v>
      </c>
      <c r="AB544" s="5">
        <v>16.0</v>
      </c>
      <c r="AC544" s="19">
        <v>4.0</v>
      </c>
      <c r="AD544" s="19">
        <v>4.0</v>
      </c>
      <c r="AE544" s="19">
        <v>3.0</v>
      </c>
      <c r="AF544" s="19">
        <v>4.0</v>
      </c>
      <c r="AG544" s="19">
        <v>3.0</v>
      </c>
      <c r="AH544" s="19">
        <v>3.0</v>
      </c>
      <c r="AI544" s="22">
        <v>10.5</v>
      </c>
      <c r="AJ544" s="19">
        <v>13.0</v>
      </c>
      <c r="AK544" s="19">
        <v>12.0</v>
      </c>
      <c r="AL544" s="19">
        <v>10.0</v>
      </c>
      <c r="AM544" s="19">
        <v>35.0</v>
      </c>
      <c r="AN544" s="19">
        <v>45.5</v>
      </c>
      <c r="AO544" s="19">
        <v>61.5</v>
      </c>
      <c r="AP544" s="19">
        <v>383.0</v>
      </c>
      <c r="AQ544" s="19">
        <v>543.0</v>
      </c>
      <c r="AR544" s="19">
        <v>50.0</v>
      </c>
      <c r="AS544" s="22"/>
      <c r="AT544" s="19" t="s">
        <v>2163</v>
      </c>
      <c r="AU544" s="19" t="s">
        <v>11239</v>
      </c>
      <c r="AV544" s="19" t="s">
        <v>11240</v>
      </c>
      <c r="AW544" s="19"/>
      <c r="AX544" s="20">
        <v>37965.0</v>
      </c>
      <c r="AY544" s="19" t="s">
        <v>2375</v>
      </c>
      <c r="AZ544" s="19" t="s">
        <v>2554</v>
      </c>
      <c r="BA544" s="19" t="s">
        <v>2166</v>
      </c>
      <c r="BB544" s="19" t="s">
        <v>11241</v>
      </c>
      <c r="BC544" s="19" t="s">
        <v>11242</v>
      </c>
      <c r="BD544" s="19" t="s">
        <v>11243</v>
      </c>
      <c r="BE544" s="19" t="s">
        <v>11234</v>
      </c>
      <c r="BF544" s="19">
        <v>1.1951992276E10</v>
      </c>
      <c r="BG544" s="19" t="s">
        <v>2127</v>
      </c>
      <c r="BH544" s="19" t="s">
        <v>2128</v>
      </c>
      <c r="BI544" s="19"/>
      <c r="BJ544" s="19" t="s">
        <v>2128</v>
      </c>
      <c r="BK544" s="19" t="s">
        <v>17</v>
      </c>
      <c r="BL544" s="19"/>
      <c r="BM544" s="19" t="s">
        <v>5563</v>
      </c>
      <c r="BN544" s="19" t="s">
        <v>3521</v>
      </c>
      <c r="BO544" s="19" t="s">
        <v>2317</v>
      </c>
      <c r="BP544" s="19"/>
      <c r="BQ544" s="19" t="s">
        <v>2133</v>
      </c>
      <c r="BR544" s="19" t="s">
        <v>2133</v>
      </c>
      <c r="BS544" s="19" t="s">
        <v>2134</v>
      </c>
      <c r="BT544" s="19" t="s">
        <v>52</v>
      </c>
      <c r="BU544" s="19" t="s">
        <v>8868</v>
      </c>
      <c r="BV544" s="19"/>
      <c r="BW544" s="19" t="s">
        <v>2113</v>
      </c>
      <c r="BX544" s="19"/>
      <c r="BY544" s="19"/>
      <c r="BZ544" s="19"/>
      <c r="CA544" s="19"/>
      <c r="CB544" s="19"/>
      <c r="CC544" s="19"/>
      <c r="CD544" s="19" t="s">
        <v>2137</v>
      </c>
      <c r="CE544" s="19" t="s">
        <v>16</v>
      </c>
      <c r="CF544" s="19"/>
      <c r="CG544" s="19"/>
      <c r="CH544" s="19" t="s">
        <v>16</v>
      </c>
      <c r="CI544" s="21">
        <v>0.0</v>
      </c>
      <c r="CJ544" s="19" t="s">
        <v>17</v>
      </c>
      <c r="CK544" s="19"/>
      <c r="CL544" s="19"/>
      <c r="CM544" s="19" t="s">
        <v>2926</v>
      </c>
      <c r="CN544" s="19" t="s">
        <v>2382</v>
      </c>
      <c r="CO544" s="19"/>
      <c r="CP544" s="19" t="s">
        <v>2246</v>
      </c>
      <c r="CQ544" s="19"/>
      <c r="CR544" s="19"/>
      <c r="CS544" s="19"/>
      <c r="CT544" s="19" t="s">
        <v>2113</v>
      </c>
      <c r="CU544" s="19" t="s">
        <v>2113</v>
      </c>
      <c r="CV544" s="19" t="s">
        <v>2141</v>
      </c>
      <c r="CW544" s="19"/>
      <c r="CX544" s="19"/>
      <c r="CY544" s="19" t="s">
        <v>2113</v>
      </c>
      <c r="CZ544" s="19" t="s">
        <v>2113</v>
      </c>
      <c r="DA544" s="19" t="s">
        <v>16</v>
      </c>
      <c r="DB544" s="19" t="s">
        <v>17</v>
      </c>
      <c r="DC544" s="19" t="s">
        <v>2627</v>
      </c>
      <c r="DD544" s="19" t="s">
        <v>2113</v>
      </c>
      <c r="DE544" s="19" t="s">
        <v>2113</v>
      </c>
      <c r="DF544" s="19" t="s">
        <v>2578</v>
      </c>
      <c r="DG544" s="19" t="s">
        <v>2248</v>
      </c>
      <c r="DH544" s="19" t="s">
        <v>2144</v>
      </c>
      <c r="DI544" s="24">
        <v>45519.0</v>
      </c>
      <c r="DJ544" s="19" t="s">
        <v>2133</v>
      </c>
      <c r="DK544" s="19" t="s">
        <v>2145</v>
      </c>
      <c r="DL544" s="19" t="s">
        <v>2146</v>
      </c>
      <c r="DM544" s="19"/>
      <c r="DN544" s="19">
        <v>5.0</v>
      </c>
      <c r="DO544" s="19">
        <v>5.0</v>
      </c>
      <c r="DP544" s="19" t="s">
        <v>11244</v>
      </c>
      <c r="DQ544" s="19" t="s">
        <v>11245</v>
      </c>
      <c r="DR544" s="19" t="s">
        <v>11246</v>
      </c>
      <c r="DS544" s="19" t="s">
        <v>2365</v>
      </c>
      <c r="DT544" s="19" t="s">
        <v>2229</v>
      </c>
      <c r="DU544" s="19"/>
      <c r="DV544" s="19"/>
      <c r="DW544" s="19" t="s">
        <v>2153</v>
      </c>
      <c r="DX544" s="19">
        <v>9.0</v>
      </c>
      <c r="DY544" s="19">
        <v>10.0</v>
      </c>
      <c r="DZ544" s="19">
        <v>2.0</v>
      </c>
      <c r="EA544" s="19">
        <v>10.0</v>
      </c>
      <c r="EB544" s="19">
        <v>0.0</v>
      </c>
      <c r="EC544" s="19">
        <v>0.0</v>
      </c>
      <c r="ED544" s="19" t="s">
        <v>2133</v>
      </c>
      <c r="EE544" s="24">
        <v>45519.0</v>
      </c>
      <c r="EF544" s="19" t="s">
        <v>2133</v>
      </c>
      <c r="EG544" s="19" t="s">
        <v>2145</v>
      </c>
      <c r="EH544" s="19" t="s">
        <v>2146</v>
      </c>
      <c r="EI544" s="22">
        <v>10.5</v>
      </c>
      <c r="EJ544" s="19">
        <v>35.0</v>
      </c>
      <c r="EK544" s="19" t="s">
        <v>2113</v>
      </c>
      <c r="EL544" s="19" t="s">
        <v>2163</v>
      </c>
      <c r="EM544" s="19" t="s">
        <v>11239</v>
      </c>
      <c r="EN544" s="19" t="s">
        <v>11233</v>
      </c>
      <c r="EO544" s="19" t="s">
        <v>2375</v>
      </c>
      <c r="EP544" s="19" t="s">
        <v>2554</v>
      </c>
      <c r="EQ544" s="19" t="s">
        <v>2382</v>
      </c>
      <c r="ER544" s="19"/>
      <c r="ES544" s="19" t="s">
        <v>11233</v>
      </c>
      <c r="ET544" s="19" t="s">
        <v>11233</v>
      </c>
      <c r="EU544" s="19" t="s">
        <v>11235</v>
      </c>
      <c r="EV544" s="19">
        <v>7496.0</v>
      </c>
      <c r="EW544" s="19" t="s">
        <v>16</v>
      </c>
      <c r="EX544" s="19">
        <v>4.0</v>
      </c>
      <c r="EY544" s="25" t="s">
        <v>11236</v>
      </c>
      <c r="EZ544" s="19" t="s">
        <v>2154</v>
      </c>
      <c r="FA544" s="5" t="s">
        <v>11247</v>
      </c>
      <c r="FB544" s="26" t="s">
        <v>2633</v>
      </c>
      <c r="FC544" s="26" t="s">
        <v>2634</v>
      </c>
    </row>
    <row r="545">
      <c r="A545" s="19" t="s">
        <v>2112</v>
      </c>
      <c r="B545" s="19"/>
      <c r="C545" s="19" t="s">
        <v>2113</v>
      </c>
      <c r="D545" s="19" t="s">
        <v>1605</v>
      </c>
      <c r="E545" s="19" t="s">
        <v>11248</v>
      </c>
      <c r="F545" s="19" t="s">
        <v>1605</v>
      </c>
      <c r="G545" s="19"/>
      <c r="H545" s="19" t="s">
        <v>1605</v>
      </c>
      <c r="I545" s="19" t="s">
        <v>1607</v>
      </c>
      <c r="J545" s="19" t="s">
        <v>11249</v>
      </c>
      <c r="K545" s="19" t="s">
        <v>11250</v>
      </c>
      <c r="L545" s="20">
        <v>45398.0</v>
      </c>
      <c r="M545" s="20">
        <v>45411.0</v>
      </c>
      <c r="N545" s="20">
        <v>45411.0</v>
      </c>
      <c r="O545" s="19" t="s">
        <v>1606</v>
      </c>
      <c r="P545" s="19">
        <v>0.0</v>
      </c>
      <c r="Q545" s="19">
        <v>20.0</v>
      </c>
      <c r="R545" s="19">
        <v>7652.0</v>
      </c>
      <c r="S545" s="20" t="s">
        <v>11251</v>
      </c>
      <c r="T545" s="20">
        <v>45461.0</v>
      </c>
      <c r="U545" s="19" t="s">
        <v>1605</v>
      </c>
      <c r="V545" s="19"/>
      <c r="W545" s="19"/>
      <c r="X545" s="21">
        <v>0.0</v>
      </c>
      <c r="Y545" s="21">
        <v>10.0</v>
      </c>
      <c r="Z545" s="21">
        <v>3.0</v>
      </c>
      <c r="AA545" s="21">
        <v>0.0</v>
      </c>
      <c r="AB545" s="5">
        <v>13.0</v>
      </c>
      <c r="AC545" s="19">
        <v>5.0</v>
      </c>
      <c r="AD545" s="19">
        <v>4.0</v>
      </c>
      <c r="AE545" s="19">
        <v>4.0</v>
      </c>
      <c r="AF545" s="19">
        <v>4.0</v>
      </c>
      <c r="AG545" s="19">
        <v>4.0</v>
      </c>
      <c r="AH545" s="19">
        <v>4.0</v>
      </c>
      <c r="AI545" s="22">
        <v>12.46875</v>
      </c>
      <c r="AJ545" s="19">
        <v>13.0</v>
      </c>
      <c r="AK545" s="19">
        <v>13.0</v>
      </c>
      <c r="AL545" s="19">
        <v>10.0</v>
      </c>
      <c r="AM545" s="19">
        <v>36.0</v>
      </c>
      <c r="AN545" s="19">
        <v>48.5</v>
      </c>
      <c r="AO545" s="19">
        <v>61.5</v>
      </c>
      <c r="AP545" s="19">
        <v>760.0</v>
      </c>
      <c r="AQ545" s="23">
        <v>535.0</v>
      </c>
      <c r="AR545" s="23">
        <v>49.0</v>
      </c>
      <c r="AS545" s="22"/>
      <c r="AT545" s="19" t="s">
        <v>2117</v>
      </c>
      <c r="AU545" s="19" t="s">
        <v>11252</v>
      </c>
      <c r="AV545" s="19" t="s">
        <v>11253</v>
      </c>
      <c r="AW545" s="19"/>
      <c r="AX545" s="20">
        <v>37809.0</v>
      </c>
      <c r="AY545" s="19" t="s">
        <v>6385</v>
      </c>
      <c r="AZ545" s="19" t="s">
        <v>2310</v>
      </c>
      <c r="BA545" s="19" t="s">
        <v>11254</v>
      </c>
      <c r="BB545" s="19" t="s">
        <v>2764</v>
      </c>
      <c r="BC545" s="19" t="s">
        <v>11255</v>
      </c>
      <c r="BD545" s="19" t="s">
        <v>11256</v>
      </c>
      <c r="BE545" s="19" t="s">
        <v>11257</v>
      </c>
      <c r="BF545" s="19">
        <v>1.1951665839E10</v>
      </c>
      <c r="BG545" s="19" t="s">
        <v>2127</v>
      </c>
      <c r="BH545" s="19" t="s">
        <v>2128</v>
      </c>
      <c r="BI545" s="19"/>
      <c r="BJ545" s="19" t="s">
        <v>2128</v>
      </c>
      <c r="BK545" s="19" t="s">
        <v>16</v>
      </c>
      <c r="BL545" s="19"/>
      <c r="BM545" s="19" t="s">
        <v>5411</v>
      </c>
      <c r="BN545" s="19" t="s">
        <v>2172</v>
      </c>
      <c r="BO545" s="19" t="s">
        <v>2473</v>
      </c>
      <c r="BP545" s="19" t="s">
        <v>11258</v>
      </c>
      <c r="BQ545" s="19" t="s">
        <v>2133</v>
      </c>
      <c r="BR545" s="19" t="s">
        <v>2133</v>
      </c>
      <c r="BS545" s="19" t="s">
        <v>2134</v>
      </c>
      <c r="BT545" s="19" t="s">
        <v>52</v>
      </c>
      <c r="BU545" s="19"/>
      <c r="BV545" s="19"/>
      <c r="BW545" s="19" t="s">
        <v>2113</v>
      </c>
      <c r="BX545" s="19"/>
      <c r="BY545" s="19"/>
      <c r="BZ545" s="19"/>
      <c r="CA545" s="19"/>
      <c r="CB545" s="19" t="s">
        <v>2113</v>
      </c>
      <c r="CC545" s="19"/>
      <c r="CD545" s="19" t="s">
        <v>2137</v>
      </c>
      <c r="CE545" s="19" t="s">
        <v>16</v>
      </c>
      <c r="CF545" s="19"/>
      <c r="CG545" s="19"/>
      <c r="CH545" s="19" t="s">
        <v>16</v>
      </c>
      <c r="CI545" s="21">
        <v>0.0</v>
      </c>
      <c r="CJ545" s="19" t="s">
        <v>17</v>
      </c>
      <c r="CK545" s="19"/>
      <c r="CL545" s="19"/>
      <c r="CM545" s="19" t="s">
        <v>2344</v>
      </c>
      <c r="CN545" s="19" t="s">
        <v>6390</v>
      </c>
      <c r="CO545" s="19"/>
      <c r="CP545" s="19" t="s">
        <v>2134</v>
      </c>
      <c r="CQ545" s="19"/>
      <c r="CR545" s="19" t="s">
        <v>2113</v>
      </c>
      <c r="CS545" s="19" t="s">
        <v>2113</v>
      </c>
      <c r="CT545" s="19" t="s">
        <v>2113</v>
      </c>
      <c r="CU545" s="19" t="s">
        <v>2113</v>
      </c>
      <c r="CV545" s="19" t="s">
        <v>2141</v>
      </c>
      <c r="CW545" s="19" t="s">
        <v>2113</v>
      </c>
      <c r="CX545" s="19" t="s">
        <v>2113</v>
      </c>
      <c r="CY545" s="19" t="s">
        <v>2113</v>
      </c>
      <c r="CZ545" s="19" t="s">
        <v>2113</v>
      </c>
      <c r="DA545" s="19" t="s">
        <v>16</v>
      </c>
      <c r="DB545" s="19" t="s">
        <v>17</v>
      </c>
      <c r="DC545" s="19" t="s">
        <v>11259</v>
      </c>
      <c r="DD545" s="19" t="s">
        <v>2113</v>
      </c>
      <c r="DE545" s="19" t="s">
        <v>2113</v>
      </c>
      <c r="DF545" s="19" t="s">
        <v>2297</v>
      </c>
      <c r="DG545" s="19" t="s">
        <v>6005</v>
      </c>
      <c r="DH545" s="19" t="s">
        <v>2144</v>
      </c>
      <c r="DI545" s="24">
        <v>45525.0</v>
      </c>
      <c r="DJ545" s="19" t="s">
        <v>2133</v>
      </c>
      <c r="DK545" s="19" t="s">
        <v>2271</v>
      </c>
      <c r="DL545" s="19" t="s">
        <v>2146</v>
      </c>
      <c r="DM545" s="19" t="s">
        <v>2408</v>
      </c>
      <c r="DN545" s="19">
        <v>10.0</v>
      </c>
      <c r="DO545" s="19">
        <v>10.0</v>
      </c>
      <c r="DP545" s="19" t="s">
        <v>11260</v>
      </c>
      <c r="DQ545" s="19" t="s">
        <v>11261</v>
      </c>
      <c r="DR545" s="19" t="s">
        <v>11262</v>
      </c>
      <c r="DS545" s="19" t="s">
        <v>2365</v>
      </c>
      <c r="DT545" s="19" t="s">
        <v>2366</v>
      </c>
      <c r="DU545" s="19"/>
      <c r="DV545" s="19"/>
      <c r="DW545" s="19" t="s">
        <v>2188</v>
      </c>
      <c r="DX545" s="19">
        <v>10.0</v>
      </c>
      <c r="DY545" s="19">
        <v>10.0</v>
      </c>
      <c r="DZ545" s="19">
        <v>0.0</v>
      </c>
      <c r="EA545" s="19">
        <v>10.0</v>
      </c>
      <c r="EB545" s="19">
        <v>0.0</v>
      </c>
      <c r="EC545" s="19">
        <v>0.0</v>
      </c>
      <c r="ED545" s="19" t="s">
        <v>2133</v>
      </c>
      <c r="EE545" s="24">
        <v>45525.0</v>
      </c>
      <c r="EF545" s="19" t="s">
        <v>2133</v>
      </c>
      <c r="EG545" s="19" t="s">
        <v>2271</v>
      </c>
      <c r="EH545" s="19" t="s">
        <v>2146</v>
      </c>
      <c r="EI545" s="22">
        <v>12.46875</v>
      </c>
      <c r="EJ545" s="19">
        <v>36.0</v>
      </c>
      <c r="EK545" s="19" t="s">
        <v>2113</v>
      </c>
      <c r="EL545" s="19" t="s">
        <v>2117</v>
      </c>
      <c r="EM545" s="19" t="s">
        <v>11252</v>
      </c>
      <c r="EN545" s="19" t="s">
        <v>1607</v>
      </c>
      <c r="EO545" s="19" t="s">
        <v>6385</v>
      </c>
      <c r="EP545" s="19" t="s">
        <v>2310</v>
      </c>
      <c r="EQ545" s="19" t="s">
        <v>6390</v>
      </c>
      <c r="ER545" s="19"/>
      <c r="ES545" s="19" t="s">
        <v>1607</v>
      </c>
      <c r="ET545" s="19" t="s">
        <v>1607</v>
      </c>
      <c r="EU545" s="19" t="s">
        <v>11250</v>
      </c>
      <c r="EV545" s="19">
        <v>7652.0</v>
      </c>
      <c r="EW545" s="19" t="s">
        <v>16</v>
      </c>
      <c r="EX545" s="19">
        <v>3.0</v>
      </c>
      <c r="EY545" s="25" t="s">
        <v>1606</v>
      </c>
      <c r="EZ545" s="19" t="s">
        <v>2154</v>
      </c>
      <c r="FA545" s="5" t="s">
        <v>11263</v>
      </c>
      <c r="FB545" s="26" t="s">
        <v>2156</v>
      </c>
      <c r="FC545" s="26"/>
    </row>
    <row r="546">
      <c r="A546" s="19" t="s">
        <v>2112</v>
      </c>
      <c r="B546" s="19"/>
      <c r="C546" s="19" t="s">
        <v>2113</v>
      </c>
      <c r="D546" s="19" t="s">
        <v>1608</v>
      </c>
      <c r="E546" s="19" t="s">
        <v>11264</v>
      </c>
      <c r="F546" s="19" t="s">
        <v>1608</v>
      </c>
      <c r="G546" s="19"/>
      <c r="H546" s="19" t="s">
        <v>1608</v>
      </c>
      <c r="I546" s="19" t="s">
        <v>1610</v>
      </c>
      <c r="J546" s="19" t="s">
        <v>11265</v>
      </c>
      <c r="K546" s="19" t="s">
        <v>11266</v>
      </c>
      <c r="L546" s="20">
        <v>45453.0</v>
      </c>
      <c r="M546" s="20">
        <v>45455.0</v>
      </c>
      <c r="N546" s="20">
        <v>45455.0</v>
      </c>
      <c r="O546" s="19" t="s">
        <v>1609</v>
      </c>
      <c r="P546" s="19">
        <v>0.0</v>
      </c>
      <c r="Q546" s="19">
        <v>20.0</v>
      </c>
      <c r="R546" s="19">
        <v>7512.0</v>
      </c>
      <c r="S546" s="20" t="s">
        <v>8288</v>
      </c>
      <c r="T546" s="20">
        <v>45461.0</v>
      </c>
      <c r="U546" s="19" t="s">
        <v>1608</v>
      </c>
      <c r="V546" s="19"/>
      <c r="W546" s="19"/>
      <c r="X546" s="21">
        <v>0.0</v>
      </c>
      <c r="Y546" s="21">
        <v>10.0</v>
      </c>
      <c r="Z546" s="21">
        <v>2.0</v>
      </c>
      <c r="AA546" s="21">
        <v>3.0</v>
      </c>
      <c r="AB546" s="5">
        <v>15.0</v>
      </c>
      <c r="AC546" s="19">
        <v>3.0</v>
      </c>
      <c r="AD546" s="19">
        <v>4.5</v>
      </c>
      <c r="AE546" s="19">
        <v>5.0</v>
      </c>
      <c r="AF546" s="19">
        <v>3.5</v>
      </c>
      <c r="AG546" s="19">
        <v>4.0</v>
      </c>
      <c r="AH546" s="19">
        <v>4.0</v>
      </c>
      <c r="AI546" s="22">
        <v>12.421875</v>
      </c>
      <c r="AJ546" s="19">
        <v>11.0</v>
      </c>
      <c r="AK546" s="19">
        <v>11.0</v>
      </c>
      <c r="AL546" s="19">
        <v>12.0</v>
      </c>
      <c r="AM546" s="19">
        <v>34.0</v>
      </c>
      <c r="AN546" s="19">
        <v>46.4</v>
      </c>
      <c r="AO546" s="19">
        <v>61.4</v>
      </c>
      <c r="AP546" s="19">
        <v>574.0</v>
      </c>
      <c r="AQ546" s="23">
        <v>536.0</v>
      </c>
      <c r="AR546" s="23">
        <v>17.0</v>
      </c>
      <c r="AS546" s="22" t="s">
        <v>4071</v>
      </c>
      <c r="AT546" s="19" t="s">
        <v>2282</v>
      </c>
      <c r="AU546" s="19" t="s">
        <v>7836</v>
      </c>
      <c r="AV546" s="19" t="s">
        <v>11267</v>
      </c>
      <c r="AW546" s="19"/>
      <c r="AX546" s="20">
        <v>37949.0</v>
      </c>
      <c r="AY546" s="19" t="s">
        <v>7839</v>
      </c>
      <c r="AZ546" s="19" t="s">
        <v>2122</v>
      </c>
      <c r="BA546" s="19" t="s">
        <v>11268</v>
      </c>
      <c r="BB546" s="19" t="s">
        <v>5387</v>
      </c>
      <c r="BC546" s="19" t="s">
        <v>11269</v>
      </c>
      <c r="BD546" s="19" t="s">
        <v>11270</v>
      </c>
      <c r="BE546" s="19" t="s">
        <v>11265</v>
      </c>
      <c r="BF546" s="19">
        <v>1.1910820681E10</v>
      </c>
      <c r="BG546" s="19" t="s">
        <v>2127</v>
      </c>
      <c r="BH546" s="19" t="s">
        <v>2128</v>
      </c>
      <c r="BI546" s="19"/>
      <c r="BJ546" s="19"/>
      <c r="BK546" s="19" t="s">
        <v>16</v>
      </c>
      <c r="BL546" s="19"/>
      <c r="BM546" s="19" t="s">
        <v>5411</v>
      </c>
      <c r="BN546" s="19" t="s">
        <v>2172</v>
      </c>
      <c r="BO546" s="19" t="s">
        <v>3199</v>
      </c>
      <c r="BP546" s="19" t="s">
        <v>11271</v>
      </c>
      <c r="BQ546" s="19" t="s">
        <v>3251</v>
      </c>
      <c r="BR546" s="19" t="s">
        <v>3251</v>
      </c>
      <c r="BS546" s="19" t="s">
        <v>2134</v>
      </c>
      <c r="BT546" s="19" t="s">
        <v>177</v>
      </c>
      <c r="BU546" s="19" t="s">
        <v>2177</v>
      </c>
      <c r="BV546" s="19"/>
      <c r="BW546" s="19"/>
      <c r="BX546" s="19"/>
      <c r="BY546" s="19" t="s">
        <v>2113</v>
      </c>
      <c r="BZ546" s="19"/>
      <c r="CA546" s="19"/>
      <c r="CB546" s="19" t="s">
        <v>2113</v>
      </c>
      <c r="CC546" s="19" t="s">
        <v>2113</v>
      </c>
      <c r="CD546" s="19" t="s">
        <v>2137</v>
      </c>
      <c r="CE546" s="19" t="s">
        <v>16</v>
      </c>
      <c r="CF546" s="19"/>
      <c r="CG546" s="19"/>
      <c r="CH546" s="19" t="s">
        <v>17</v>
      </c>
      <c r="CI546" s="21">
        <v>3.0</v>
      </c>
      <c r="CJ546" s="19" t="s">
        <v>16</v>
      </c>
      <c r="CK546" s="19"/>
      <c r="CL546" s="19"/>
      <c r="CM546" s="19" t="s">
        <v>2138</v>
      </c>
      <c r="CN546" s="19" t="s">
        <v>3253</v>
      </c>
      <c r="CO546" s="19"/>
      <c r="CP546" s="19" t="s">
        <v>2134</v>
      </c>
      <c r="CQ546" s="19"/>
      <c r="CR546" s="19" t="s">
        <v>2113</v>
      </c>
      <c r="CS546" s="19" t="s">
        <v>2113</v>
      </c>
      <c r="CT546" s="19" t="s">
        <v>2113</v>
      </c>
      <c r="CU546" s="19" t="s">
        <v>2113</v>
      </c>
      <c r="CV546" s="19" t="s">
        <v>2141</v>
      </c>
      <c r="CW546" s="19"/>
      <c r="CX546" s="19"/>
      <c r="CY546" s="19" t="s">
        <v>2113</v>
      </c>
      <c r="CZ546" s="19" t="s">
        <v>2113</v>
      </c>
      <c r="DA546" s="19" t="s">
        <v>16</v>
      </c>
      <c r="DB546" s="19" t="s">
        <v>16</v>
      </c>
      <c r="DC546" s="19" t="s">
        <v>2804</v>
      </c>
      <c r="DD546" s="19" t="s">
        <v>2113</v>
      </c>
      <c r="DE546" s="19" t="s">
        <v>2113</v>
      </c>
      <c r="DF546" s="19" t="s">
        <v>3222</v>
      </c>
      <c r="DG546" s="19" t="s">
        <v>3103</v>
      </c>
      <c r="DH546" s="19" t="s">
        <v>2144</v>
      </c>
      <c r="DI546" s="24">
        <v>45519.0</v>
      </c>
      <c r="DJ546" s="19" t="s">
        <v>3257</v>
      </c>
      <c r="DK546" s="19" t="s">
        <v>2145</v>
      </c>
      <c r="DL546" s="19" t="s">
        <v>2207</v>
      </c>
      <c r="DM546" s="19" t="s">
        <v>9317</v>
      </c>
      <c r="DN546" s="19">
        <v>2.0</v>
      </c>
      <c r="DO546" s="19">
        <v>2.0</v>
      </c>
      <c r="DP546" s="19" t="s">
        <v>11272</v>
      </c>
      <c r="DQ546" s="19" t="s">
        <v>11273</v>
      </c>
      <c r="DR546" s="19" t="s">
        <v>11274</v>
      </c>
      <c r="DS546" s="19" t="s">
        <v>2365</v>
      </c>
      <c r="DT546" s="19" t="s">
        <v>2350</v>
      </c>
      <c r="DU546" s="19"/>
      <c r="DV546" s="19"/>
      <c r="DW546" s="19" t="s">
        <v>2188</v>
      </c>
      <c r="DX546" s="19">
        <v>10.0</v>
      </c>
      <c r="DY546" s="19">
        <v>10.0</v>
      </c>
      <c r="DZ546" s="19">
        <v>0.0</v>
      </c>
      <c r="EA546" s="19">
        <v>10.0</v>
      </c>
      <c r="EB546" s="19">
        <v>3.0</v>
      </c>
      <c r="EC546" s="19">
        <v>0.0</v>
      </c>
      <c r="ED546" s="19" t="s">
        <v>3257</v>
      </c>
      <c r="EE546" s="24">
        <v>45519.0</v>
      </c>
      <c r="EF546" s="19" t="s">
        <v>3257</v>
      </c>
      <c r="EG546" s="19" t="s">
        <v>2145</v>
      </c>
      <c r="EH546" s="19" t="s">
        <v>2207</v>
      </c>
      <c r="EI546" s="22">
        <v>12.421875</v>
      </c>
      <c r="EJ546" s="19">
        <v>34.0</v>
      </c>
      <c r="EK546" s="19"/>
      <c r="EL546" s="19" t="s">
        <v>2282</v>
      </c>
      <c r="EM546" s="19" t="s">
        <v>7836</v>
      </c>
      <c r="EN546" s="19" t="s">
        <v>1610</v>
      </c>
      <c r="EO546" s="19" t="s">
        <v>7839</v>
      </c>
      <c r="EP546" s="19" t="s">
        <v>2122</v>
      </c>
      <c r="EQ546" s="19" t="s">
        <v>3253</v>
      </c>
      <c r="ER546" s="19"/>
      <c r="ES546" s="19" t="s">
        <v>1610</v>
      </c>
      <c r="ET546" s="19" t="s">
        <v>1610</v>
      </c>
      <c r="EU546" s="19" t="s">
        <v>11266</v>
      </c>
      <c r="EV546" s="19">
        <v>7512.0</v>
      </c>
      <c r="EW546" s="19" t="s">
        <v>16</v>
      </c>
      <c r="EX546" s="19">
        <v>2.0</v>
      </c>
      <c r="EY546" s="25" t="s">
        <v>1609</v>
      </c>
      <c r="EZ546" s="19" t="s">
        <v>2154</v>
      </c>
      <c r="FA546" s="5" t="s">
        <v>11275</v>
      </c>
      <c r="FB546" s="26" t="s">
        <v>2156</v>
      </c>
      <c r="FC546" s="26"/>
    </row>
    <row r="547">
      <c r="A547" s="19" t="s">
        <v>2156</v>
      </c>
      <c r="B547" s="19"/>
      <c r="C547" s="19" t="s">
        <v>2113</v>
      </c>
      <c r="D547" s="19" t="s">
        <v>11276</v>
      </c>
      <c r="E547" s="19" t="s">
        <v>11277</v>
      </c>
      <c r="F547" s="19" t="s">
        <v>11276</v>
      </c>
      <c r="G547" s="19"/>
      <c r="H547" s="19" t="s">
        <v>1611</v>
      </c>
      <c r="I547" s="19" t="s">
        <v>1613</v>
      </c>
      <c r="J547" s="19" t="s">
        <v>11278</v>
      </c>
      <c r="K547" s="19" t="s">
        <v>11279</v>
      </c>
      <c r="L547" s="20">
        <v>45460.0</v>
      </c>
      <c r="M547" s="20">
        <v>45462.0</v>
      </c>
      <c r="N547" s="20">
        <v>45462.0</v>
      </c>
      <c r="O547" s="19" t="s">
        <v>1612</v>
      </c>
      <c r="P547" s="19">
        <v>0.0</v>
      </c>
      <c r="Q547" s="19">
        <v>22.0</v>
      </c>
      <c r="R547" s="19">
        <v>8120.0</v>
      </c>
      <c r="S547" s="20" t="s">
        <v>11280</v>
      </c>
      <c r="T547" s="20">
        <v>45461.0</v>
      </c>
      <c r="U547" s="19" t="s">
        <v>11276</v>
      </c>
      <c r="V547" s="19"/>
      <c r="W547" s="19"/>
      <c r="X547" s="21">
        <v>0.0</v>
      </c>
      <c r="Y547" s="21">
        <v>10.0</v>
      </c>
      <c r="Z547" s="21">
        <v>1.0</v>
      </c>
      <c r="AA547" s="21">
        <v>0.0</v>
      </c>
      <c r="AB547" s="5">
        <v>11.0</v>
      </c>
      <c r="AC547" s="19">
        <v>4.0</v>
      </c>
      <c r="AD547" s="19">
        <v>4.0</v>
      </c>
      <c r="AE547" s="19">
        <v>3.5</v>
      </c>
      <c r="AF547" s="19">
        <v>4.5</v>
      </c>
      <c r="AG547" s="19">
        <v>3.0</v>
      </c>
      <c r="AH547" s="19">
        <v>4.0</v>
      </c>
      <c r="AI547" s="22">
        <v>11.4375</v>
      </c>
      <c r="AJ547" s="19">
        <v>14.0</v>
      </c>
      <c r="AK547" s="19">
        <v>15.0</v>
      </c>
      <c r="AL547" s="19">
        <v>10.0</v>
      </c>
      <c r="AM547" s="19">
        <v>39.0</v>
      </c>
      <c r="AN547" s="19">
        <v>50.4</v>
      </c>
      <c r="AO547" s="19">
        <v>61.4</v>
      </c>
      <c r="AP547" s="19">
        <v>935.0</v>
      </c>
      <c r="AQ547" s="23">
        <v>537.0</v>
      </c>
      <c r="AR547" s="23">
        <v>43.0</v>
      </c>
      <c r="AS547" s="22" t="s">
        <v>2642</v>
      </c>
      <c r="AT547" s="19" t="s">
        <v>2282</v>
      </c>
      <c r="AU547" s="19" t="s">
        <v>11281</v>
      </c>
      <c r="AV547" s="19" t="s">
        <v>11282</v>
      </c>
      <c r="AW547" s="19"/>
      <c r="AX547" s="20">
        <v>37341.0</v>
      </c>
      <c r="AY547" s="19" t="s">
        <v>3632</v>
      </c>
      <c r="AZ547" s="19" t="s">
        <v>2122</v>
      </c>
      <c r="BA547" s="19" t="s">
        <v>11283</v>
      </c>
      <c r="BB547" s="19" t="s">
        <v>11284</v>
      </c>
      <c r="BC547" s="19" t="s">
        <v>11285</v>
      </c>
      <c r="BD547" s="19" t="s">
        <v>11286</v>
      </c>
      <c r="BE547" s="19"/>
      <c r="BF547" s="19"/>
      <c r="BG547" s="19" t="s">
        <v>2127</v>
      </c>
      <c r="BH547" s="19" t="s">
        <v>2649</v>
      </c>
      <c r="BI547" s="19"/>
      <c r="BJ547" s="19"/>
      <c r="BK547" s="19" t="s">
        <v>16</v>
      </c>
      <c r="BL547" s="19" t="s">
        <v>2113</v>
      </c>
      <c r="BM547" s="19" t="s">
        <v>5796</v>
      </c>
      <c r="BN547" s="19" t="s">
        <v>17</v>
      </c>
      <c r="BO547" s="19" t="s">
        <v>3082</v>
      </c>
      <c r="BP547" s="19" t="s">
        <v>11287</v>
      </c>
      <c r="BQ547" s="19" t="s">
        <v>2325</v>
      </c>
      <c r="BR547" s="19" t="s">
        <v>2325</v>
      </c>
      <c r="BS547" s="19" t="s">
        <v>2243</v>
      </c>
      <c r="BT547" s="19" t="s">
        <v>118</v>
      </c>
      <c r="BU547" s="19" t="s">
        <v>11288</v>
      </c>
      <c r="BV547" s="19"/>
      <c r="BW547" s="19"/>
      <c r="BX547" s="19"/>
      <c r="BY547" s="19"/>
      <c r="BZ547" s="19" t="s">
        <v>2113</v>
      </c>
      <c r="CA547" s="19"/>
      <c r="CB547" s="19"/>
      <c r="CC547" s="19"/>
      <c r="CD547" s="19" t="s">
        <v>2137</v>
      </c>
      <c r="CE547" s="19" t="s">
        <v>16</v>
      </c>
      <c r="CF547" s="19"/>
      <c r="CG547" s="19"/>
      <c r="CH547" s="19" t="s">
        <v>16</v>
      </c>
      <c r="CI547" s="21">
        <v>0.0</v>
      </c>
      <c r="CJ547" s="19" t="s">
        <v>16</v>
      </c>
      <c r="CK547" s="19"/>
      <c r="CL547" s="19"/>
      <c r="CM547" s="19" t="s">
        <v>2344</v>
      </c>
      <c r="CN547" s="19" t="s">
        <v>3503</v>
      </c>
      <c r="CO547" s="19"/>
      <c r="CP547" s="19"/>
      <c r="CQ547" s="19"/>
      <c r="CR547" s="19"/>
      <c r="CS547" s="19"/>
      <c r="CT547" s="19"/>
      <c r="CU547" s="19"/>
      <c r="CV547" s="19" t="s">
        <v>2141</v>
      </c>
      <c r="CW547" s="19" t="s">
        <v>2113</v>
      </c>
      <c r="CX547" s="19" t="s">
        <v>2113</v>
      </c>
      <c r="CY547" s="19" t="s">
        <v>2113</v>
      </c>
      <c r="CZ547" s="19" t="s">
        <v>2113</v>
      </c>
      <c r="DA547" s="19" t="s">
        <v>16</v>
      </c>
      <c r="DB547" s="19" t="s">
        <v>16</v>
      </c>
      <c r="DC547" s="19" t="s">
        <v>3221</v>
      </c>
      <c r="DD547" s="19" t="s">
        <v>2113</v>
      </c>
      <c r="DE547" s="19" t="s">
        <v>2113</v>
      </c>
      <c r="DF547" s="19" t="s">
        <v>2602</v>
      </c>
      <c r="DG547" s="19" t="s">
        <v>2433</v>
      </c>
      <c r="DH547" s="19" t="s">
        <v>2144</v>
      </c>
      <c r="DI547" s="24">
        <v>45517.0</v>
      </c>
      <c r="DJ547" s="19" t="s">
        <v>2325</v>
      </c>
      <c r="DK547" s="19" t="s">
        <v>2145</v>
      </c>
      <c r="DL547" s="19" t="s">
        <v>2326</v>
      </c>
      <c r="DM547" s="19"/>
      <c r="DN547" s="19">
        <v>1.0</v>
      </c>
      <c r="DO547" s="19">
        <v>1.0</v>
      </c>
      <c r="DP547" s="19" t="s">
        <v>11289</v>
      </c>
      <c r="DQ547" s="19" t="s">
        <v>11290</v>
      </c>
      <c r="DR547" s="19" t="s">
        <v>11291</v>
      </c>
      <c r="DS547" s="19" t="s">
        <v>2185</v>
      </c>
      <c r="DT547" s="19" t="s">
        <v>2366</v>
      </c>
      <c r="DU547" s="19"/>
      <c r="DV547" s="19"/>
      <c r="DW547" s="19" t="s">
        <v>2153</v>
      </c>
      <c r="DX547" s="19">
        <v>3.0</v>
      </c>
      <c r="DY547" s="19">
        <v>10.0</v>
      </c>
      <c r="DZ547" s="19">
        <v>0.0</v>
      </c>
      <c r="EA547" s="19">
        <v>10.0</v>
      </c>
      <c r="EB547" s="19">
        <v>0.0</v>
      </c>
      <c r="EC547" s="19">
        <v>0.0</v>
      </c>
      <c r="ED547" s="19" t="s">
        <v>2325</v>
      </c>
      <c r="EE547" s="24">
        <v>45517.0</v>
      </c>
      <c r="EF547" s="19" t="s">
        <v>2325</v>
      </c>
      <c r="EG547" s="19" t="s">
        <v>2145</v>
      </c>
      <c r="EH547" s="19" t="s">
        <v>2326</v>
      </c>
      <c r="EI547" s="22">
        <v>11.4375</v>
      </c>
      <c r="EJ547" s="19">
        <v>39.0</v>
      </c>
      <c r="EK547" s="19"/>
      <c r="EL547" s="19" t="s">
        <v>2282</v>
      </c>
      <c r="EM547" s="19" t="s">
        <v>11281</v>
      </c>
      <c r="EN547" s="19" t="s">
        <v>1613</v>
      </c>
      <c r="EO547" s="19" t="s">
        <v>3632</v>
      </c>
      <c r="EP547" s="19" t="s">
        <v>2122</v>
      </c>
      <c r="EQ547" s="19" t="s">
        <v>3503</v>
      </c>
      <c r="ER547" s="19"/>
      <c r="ES547" s="19" t="s">
        <v>1613</v>
      </c>
      <c r="ET547" s="19" t="s">
        <v>1613</v>
      </c>
      <c r="EU547" s="19" t="s">
        <v>11279</v>
      </c>
      <c r="EV547" s="19">
        <v>8120.0</v>
      </c>
      <c r="EW547" s="19" t="s">
        <v>16</v>
      </c>
      <c r="EX547" s="19">
        <v>1.0</v>
      </c>
      <c r="EY547" s="25" t="s">
        <v>1612</v>
      </c>
      <c r="EZ547" s="19" t="s">
        <v>2154</v>
      </c>
      <c r="FA547" s="5" t="s">
        <v>11292</v>
      </c>
      <c r="FB547" s="26" t="s">
        <v>2156</v>
      </c>
      <c r="FC547" s="26"/>
    </row>
    <row r="548">
      <c r="A548" s="19" t="s">
        <v>2112</v>
      </c>
      <c r="B548" s="19"/>
      <c r="C548" s="19" t="s">
        <v>2113</v>
      </c>
      <c r="D548" s="19" t="s">
        <v>11293</v>
      </c>
      <c r="E548" s="19" t="s">
        <v>11293</v>
      </c>
      <c r="F548" s="19" t="s">
        <v>1614</v>
      </c>
      <c r="G548" s="19"/>
      <c r="H548" s="19" t="s">
        <v>1614</v>
      </c>
      <c r="I548" s="19" t="s">
        <v>1616</v>
      </c>
      <c r="J548" s="19" t="s">
        <v>11294</v>
      </c>
      <c r="K548" s="19" t="s">
        <v>11295</v>
      </c>
      <c r="L548" s="20">
        <v>45408.0</v>
      </c>
      <c r="M548" s="20">
        <v>45411.0</v>
      </c>
      <c r="N548" s="20">
        <v>45411.0</v>
      </c>
      <c r="O548" s="19" t="s">
        <v>1615</v>
      </c>
      <c r="P548" s="19">
        <v>0.0</v>
      </c>
      <c r="Q548" s="19">
        <v>18.0</v>
      </c>
      <c r="R548" s="19">
        <v>6677.0</v>
      </c>
      <c r="S548" s="20" t="s">
        <v>11296</v>
      </c>
      <c r="T548" s="20">
        <v>45461.0</v>
      </c>
      <c r="U548" s="19" t="s">
        <v>1614</v>
      </c>
      <c r="V548" s="19"/>
      <c r="W548" s="19"/>
      <c r="X548" s="21">
        <v>0.0</v>
      </c>
      <c r="Y548" s="21">
        <v>10.0</v>
      </c>
      <c r="Z548" s="21">
        <v>3.0</v>
      </c>
      <c r="AA548" s="21">
        <v>0.0</v>
      </c>
      <c r="AB548" s="5">
        <v>13.0</v>
      </c>
      <c r="AC548" s="19">
        <v>4.0</v>
      </c>
      <c r="AD548" s="19">
        <v>3.0</v>
      </c>
      <c r="AE548" s="19">
        <v>2.5</v>
      </c>
      <c r="AF548" s="19">
        <v>3.0</v>
      </c>
      <c r="AG548" s="19">
        <v>2.5</v>
      </c>
      <c r="AH548" s="19">
        <v>3.5</v>
      </c>
      <c r="AI548" s="22">
        <v>9.09375</v>
      </c>
      <c r="AJ548" s="19">
        <v>15.0</v>
      </c>
      <c r="AK548" s="19">
        <v>12.0</v>
      </c>
      <c r="AL548" s="19">
        <v>12.0</v>
      </c>
      <c r="AM548" s="19">
        <v>39.0</v>
      </c>
      <c r="AN548" s="19">
        <v>48.1</v>
      </c>
      <c r="AO548" s="19">
        <v>61.1</v>
      </c>
      <c r="AP548" s="19">
        <v>818.0</v>
      </c>
      <c r="AQ548" s="23">
        <v>538.0</v>
      </c>
      <c r="AR548" s="23">
        <v>79.0</v>
      </c>
      <c r="AS548" s="19" t="s">
        <v>11297</v>
      </c>
      <c r="AT548" s="19" t="s">
        <v>2163</v>
      </c>
      <c r="AU548" s="19" t="s">
        <v>11298</v>
      </c>
      <c r="AV548" s="19" t="s">
        <v>11299</v>
      </c>
      <c r="AW548" s="19" t="s">
        <v>2166</v>
      </c>
      <c r="AX548" s="20">
        <v>38784.0</v>
      </c>
      <c r="AY548" s="19" t="s">
        <v>3015</v>
      </c>
      <c r="AZ548" s="19" t="s">
        <v>2122</v>
      </c>
      <c r="BA548" s="19" t="s">
        <v>11300</v>
      </c>
      <c r="BB548" s="19" t="s">
        <v>11301</v>
      </c>
      <c r="BC548" s="19" t="s">
        <v>11302</v>
      </c>
      <c r="BD548" s="19" t="s">
        <v>11303</v>
      </c>
      <c r="BE548" s="19" t="s">
        <v>11304</v>
      </c>
      <c r="BF548" s="19">
        <v>1.194518794E10</v>
      </c>
      <c r="BG548" s="19" t="s">
        <v>2127</v>
      </c>
      <c r="BH548" s="19" t="s">
        <v>4080</v>
      </c>
      <c r="BI548" s="19"/>
      <c r="BJ548" s="19" t="s">
        <v>2128</v>
      </c>
      <c r="BK548" s="19" t="s">
        <v>17</v>
      </c>
      <c r="BL548" s="19" t="s">
        <v>2113</v>
      </c>
      <c r="BM548" s="19" t="s">
        <v>5411</v>
      </c>
      <c r="BN548" s="19" t="s">
        <v>2172</v>
      </c>
      <c r="BO548" s="19" t="s">
        <v>2473</v>
      </c>
      <c r="BP548" s="19"/>
      <c r="BQ548" s="19" t="s">
        <v>2133</v>
      </c>
      <c r="BR548" s="19" t="s">
        <v>2133</v>
      </c>
      <c r="BS548" s="19" t="s">
        <v>2134</v>
      </c>
      <c r="BT548" s="19" t="s">
        <v>38</v>
      </c>
      <c r="BU548" s="19"/>
      <c r="BV548" s="19"/>
      <c r="BW548" s="19"/>
      <c r="BX548" s="19"/>
      <c r="BY548" s="19" t="s">
        <v>2113</v>
      </c>
      <c r="BZ548" s="19" t="s">
        <v>2113</v>
      </c>
      <c r="CA548" s="19" t="s">
        <v>2113</v>
      </c>
      <c r="CB548" s="19" t="s">
        <v>2113</v>
      </c>
      <c r="CC548" s="19"/>
      <c r="CD548" s="19" t="s">
        <v>2137</v>
      </c>
      <c r="CE548" s="19" t="s">
        <v>16</v>
      </c>
      <c r="CF548" s="19"/>
      <c r="CG548" s="19"/>
      <c r="CH548" s="19" t="s">
        <v>16</v>
      </c>
      <c r="CI548" s="21">
        <v>0.0</v>
      </c>
      <c r="CJ548" s="19" t="s">
        <v>17</v>
      </c>
      <c r="CK548" s="19"/>
      <c r="CL548" s="19"/>
      <c r="CM548" s="19" t="s">
        <v>2344</v>
      </c>
      <c r="CN548" s="19" t="s">
        <v>3020</v>
      </c>
      <c r="CO548" s="19"/>
      <c r="CP548" s="19" t="s">
        <v>2134</v>
      </c>
      <c r="CQ548" s="19"/>
      <c r="CR548" s="19"/>
      <c r="CS548" s="19"/>
      <c r="CT548" s="19" t="s">
        <v>2113</v>
      </c>
      <c r="CU548" s="19" t="s">
        <v>2113</v>
      </c>
      <c r="CV548" s="19" t="s">
        <v>2141</v>
      </c>
      <c r="CW548" s="19"/>
      <c r="CX548" s="19"/>
      <c r="CY548" s="19"/>
      <c r="CZ548" s="19"/>
      <c r="DA548" s="19" t="s">
        <v>16</v>
      </c>
      <c r="DB548" s="19" t="s">
        <v>17</v>
      </c>
      <c r="DC548" s="19" t="s">
        <v>2142</v>
      </c>
      <c r="DD548" s="19" t="s">
        <v>2113</v>
      </c>
      <c r="DE548" s="19" t="s">
        <v>2113</v>
      </c>
      <c r="DF548" s="19" t="s">
        <v>2477</v>
      </c>
      <c r="DG548" s="19" t="s">
        <v>2601</v>
      </c>
      <c r="DH548" s="19" t="s">
        <v>2144</v>
      </c>
      <c r="DI548" s="24">
        <v>45533.0</v>
      </c>
      <c r="DJ548" s="19" t="s">
        <v>2133</v>
      </c>
      <c r="DK548" s="19" t="s">
        <v>2271</v>
      </c>
      <c r="DL548" s="19" t="s">
        <v>2207</v>
      </c>
      <c r="DM548" s="19" t="s">
        <v>6057</v>
      </c>
      <c r="DN548" s="19">
        <v>16.0</v>
      </c>
      <c r="DO548" s="19">
        <v>16.0</v>
      </c>
      <c r="DP548" s="19" t="s">
        <v>11305</v>
      </c>
      <c r="DQ548" s="19" t="s">
        <v>11306</v>
      </c>
      <c r="DR548" s="19" t="s">
        <v>11307</v>
      </c>
      <c r="DS548" s="19" t="s">
        <v>2151</v>
      </c>
      <c r="DT548" s="19" t="s">
        <v>2366</v>
      </c>
      <c r="DU548" s="19"/>
      <c r="DV548" s="19" t="s">
        <v>11308</v>
      </c>
      <c r="DW548" s="19" t="s">
        <v>2153</v>
      </c>
      <c r="DX548" s="19">
        <v>12.0</v>
      </c>
      <c r="DY548" s="19">
        <v>10.0</v>
      </c>
      <c r="DZ548" s="19">
        <v>0.0</v>
      </c>
      <c r="EA548" s="19">
        <v>10.0</v>
      </c>
      <c r="EB548" s="19">
        <v>0.0</v>
      </c>
      <c r="EC548" s="19">
        <v>0.0</v>
      </c>
      <c r="ED548" s="19" t="s">
        <v>2133</v>
      </c>
      <c r="EE548" s="24">
        <v>45533.0</v>
      </c>
      <c r="EF548" s="19" t="s">
        <v>2133</v>
      </c>
      <c r="EG548" s="19" t="s">
        <v>2271</v>
      </c>
      <c r="EH548" s="19" t="s">
        <v>2207</v>
      </c>
      <c r="EI548" s="22">
        <v>9.09375</v>
      </c>
      <c r="EJ548" s="19">
        <v>39.0</v>
      </c>
      <c r="EK548" s="19" t="s">
        <v>2113</v>
      </c>
      <c r="EL548" s="19" t="s">
        <v>2163</v>
      </c>
      <c r="EM548" s="19" t="s">
        <v>11298</v>
      </c>
      <c r="EN548" s="19" t="s">
        <v>1616</v>
      </c>
      <c r="EO548" s="19" t="s">
        <v>3015</v>
      </c>
      <c r="EP548" s="19" t="s">
        <v>2122</v>
      </c>
      <c r="EQ548" s="19" t="s">
        <v>3020</v>
      </c>
      <c r="ER548" s="19"/>
      <c r="ES548" s="19" t="s">
        <v>1616</v>
      </c>
      <c r="ET548" s="19" t="s">
        <v>1616</v>
      </c>
      <c r="EU548" s="19" t="s">
        <v>11295</v>
      </c>
      <c r="EV548" s="19">
        <v>6677.0</v>
      </c>
      <c r="EW548" s="19" t="s">
        <v>16</v>
      </c>
      <c r="EX548" s="19">
        <v>3.0</v>
      </c>
      <c r="EY548" s="25" t="s">
        <v>1615</v>
      </c>
      <c r="EZ548" s="19" t="s">
        <v>2154</v>
      </c>
      <c r="FA548" s="5" t="s">
        <v>11309</v>
      </c>
      <c r="FB548" s="26" t="s">
        <v>2156</v>
      </c>
      <c r="FC548" s="26"/>
    </row>
    <row r="549">
      <c r="A549" s="19" t="s">
        <v>2112</v>
      </c>
      <c r="B549" s="19"/>
      <c r="C549" s="19" t="s">
        <v>2113</v>
      </c>
      <c r="D549" s="19" t="s">
        <v>1617</v>
      </c>
      <c r="E549" s="19" t="s">
        <v>11310</v>
      </c>
      <c r="F549" s="19" t="s">
        <v>1617</v>
      </c>
      <c r="G549" s="19"/>
      <c r="H549" s="19" t="s">
        <v>1617</v>
      </c>
      <c r="I549" s="19" t="s">
        <v>1619</v>
      </c>
      <c r="J549" s="19" t="s">
        <v>11311</v>
      </c>
      <c r="K549" s="19" t="s">
        <v>11312</v>
      </c>
      <c r="L549" s="20">
        <v>45407.0</v>
      </c>
      <c r="M549" s="20">
        <v>45411.0</v>
      </c>
      <c r="N549" s="20">
        <v>45411.0</v>
      </c>
      <c r="O549" s="19" t="s">
        <v>1618</v>
      </c>
      <c r="P549" s="19">
        <v>0.0</v>
      </c>
      <c r="Q549" s="19">
        <v>18.0</v>
      </c>
      <c r="R549" s="19">
        <v>6681.0</v>
      </c>
      <c r="S549" s="20" t="s">
        <v>11313</v>
      </c>
      <c r="T549" s="20">
        <v>45461.0</v>
      </c>
      <c r="U549" s="19" t="s">
        <v>1617</v>
      </c>
      <c r="V549" s="19"/>
      <c r="W549" s="19"/>
      <c r="X549" s="21">
        <v>0.0</v>
      </c>
      <c r="Y549" s="21">
        <v>10.0</v>
      </c>
      <c r="Z549" s="21">
        <v>1.0</v>
      </c>
      <c r="AA549" s="21">
        <v>0.0</v>
      </c>
      <c r="AB549" s="5">
        <v>11.0</v>
      </c>
      <c r="AC549" s="19">
        <v>4.6</v>
      </c>
      <c r="AD549" s="19">
        <v>4.2</v>
      </c>
      <c r="AE549" s="19">
        <v>4.2</v>
      </c>
      <c r="AF549" s="19">
        <v>4.8</v>
      </c>
      <c r="AG549" s="19">
        <v>4.0</v>
      </c>
      <c r="AH549" s="19">
        <v>4.6</v>
      </c>
      <c r="AI549" s="22">
        <v>13.087500000000002</v>
      </c>
      <c r="AJ549" s="19">
        <v>12.0</v>
      </c>
      <c r="AK549" s="19">
        <v>12.0</v>
      </c>
      <c r="AL549" s="19">
        <v>13.0</v>
      </c>
      <c r="AM549" s="19">
        <v>37.0</v>
      </c>
      <c r="AN549" s="19">
        <v>50.1</v>
      </c>
      <c r="AO549" s="19">
        <v>61.1</v>
      </c>
      <c r="AP549" s="19">
        <v>950.0</v>
      </c>
      <c r="AQ549" s="23">
        <v>539.0</v>
      </c>
      <c r="AR549" s="23">
        <v>43.0</v>
      </c>
      <c r="AS549" s="22"/>
      <c r="AT549" s="19" t="s">
        <v>2282</v>
      </c>
      <c r="AU549" s="19" t="s">
        <v>11314</v>
      </c>
      <c r="AV549" s="19" t="s">
        <v>11315</v>
      </c>
      <c r="AW549" s="19" t="s">
        <v>11316</v>
      </c>
      <c r="AX549" s="20">
        <v>38780.0</v>
      </c>
      <c r="AY549" s="19" t="s">
        <v>7740</v>
      </c>
      <c r="AZ549" s="19" t="s">
        <v>2122</v>
      </c>
      <c r="BA549" s="19" t="s">
        <v>11317</v>
      </c>
      <c r="BB549" s="19" t="s">
        <v>6585</v>
      </c>
      <c r="BC549" s="19" t="s">
        <v>11318</v>
      </c>
      <c r="BD549" s="19" t="s">
        <v>11319</v>
      </c>
      <c r="BE549" s="19"/>
      <c r="BF549" s="19"/>
      <c r="BG549" s="19" t="s">
        <v>2127</v>
      </c>
      <c r="BH549" s="19" t="s">
        <v>2128</v>
      </c>
      <c r="BI549" s="19"/>
      <c r="BJ549" s="19" t="s">
        <v>2128</v>
      </c>
      <c r="BK549" s="19" t="s">
        <v>17</v>
      </c>
      <c r="BL549" s="19"/>
      <c r="BM549" s="19" t="s">
        <v>5563</v>
      </c>
      <c r="BN549" s="19" t="s">
        <v>17</v>
      </c>
      <c r="BO549" s="19" t="s">
        <v>3082</v>
      </c>
      <c r="BP549" s="19"/>
      <c r="BQ549" s="19" t="s">
        <v>2174</v>
      </c>
      <c r="BR549" s="19" t="s">
        <v>2174</v>
      </c>
      <c r="BS549" s="19" t="s">
        <v>2134</v>
      </c>
      <c r="BT549" s="19" t="s">
        <v>75</v>
      </c>
      <c r="BU549" s="19" t="s">
        <v>11320</v>
      </c>
      <c r="BV549" s="19"/>
      <c r="BW549" s="19"/>
      <c r="BX549" s="19"/>
      <c r="BY549" s="19" t="s">
        <v>2113</v>
      </c>
      <c r="BZ549" s="19"/>
      <c r="CA549" s="19"/>
      <c r="CB549" s="19" t="s">
        <v>2113</v>
      </c>
      <c r="CC549" s="19"/>
      <c r="CD549" s="19" t="s">
        <v>2137</v>
      </c>
      <c r="CE549" s="19" t="s">
        <v>16</v>
      </c>
      <c r="CF549" s="19"/>
      <c r="CG549" s="19"/>
      <c r="CH549" s="19" t="s">
        <v>16</v>
      </c>
      <c r="CI549" s="21">
        <v>0.0</v>
      </c>
      <c r="CJ549" s="19" t="s">
        <v>16</v>
      </c>
      <c r="CK549" s="19"/>
      <c r="CL549" s="19"/>
      <c r="CM549" s="19" t="s">
        <v>2926</v>
      </c>
      <c r="CN549" s="19" t="s">
        <v>3085</v>
      </c>
      <c r="CO549" s="19" t="s">
        <v>2177</v>
      </c>
      <c r="CP549" s="19" t="s">
        <v>2134</v>
      </c>
      <c r="CQ549" s="19"/>
      <c r="CR549" s="19" t="s">
        <v>2113</v>
      </c>
      <c r="CS549" s="19" t="s">
        <v>2113</v>
      </c>
      <c r="CT549" s="19" t="s">
        <v>2113</v>
      </c>
      <c r="CU549" s="19" t="s">
        <v>2113</v>
      </c>
      <c r="CV549" s="19" t="s">
        <v>2179</v>
      </c>
      <c r="CW549" s="19"/>
      <c r="CX549" s="19"/>
      <c r="CY549" s="19" t="s">
        <v>2113</v>
      </c>
      <c r="CZ549" s="19" t="s">
        <v>2113</v>
      </c>
      <c r="DA549" s="19" t="s">
        <v>16</v>
      </c>
      <c r="DB549" s="19" t="s">
        <v>16</v>
      </c>
      <c r="DC549" s="19" t="s">
        <v>2539</v>
      </c>
      <c r="DD549" s="19" t="s">
        <v>2113</v>
      </c>
      <c r="DE549" s="19" t="s">
        <v>2113</v>
      </c>
      <c r="DF549" s="19" t="s">
        <v>2247</v>
      </c>
      <c r="DG549" s="19" t="s">
        <v>2769</v>
      </c>
      <c r="DH549" s="19" t="s">
        <v>2144</v>
      </c>
      <c r="DI549" s="24">
        <v>45517.0</v>
      </c>
      <c r="DJ549" s="19" t="s">
        <v>2174</v>
      </c>
      <c r="DK549" s="19" t="s">
        <v>2145</v>
      </c>
      <c r="DL549" s="19" t="s">
        <v>2183</v>
      </c>
      <c r="DM549" s="19" t="s">
        <v>2184</v>
      </c>
      <c r="DN549" s="19">
        <v>1.0</v>
      </c>
      <c r="DO549" s="19">
        <v>1.0</v>
      </c>
      <c r="DP549" s="19"/>
      <c r="DQ549" s="19"/>
      <c r="DR549" s="19"/>
      <c r="DS549" s="19" t="s">
        <v>2365</v>
      </c>
      <c r="DT549" s="19" t="s">
        <v>2366</v>
      </c>
      <c r="DU549" s="19" t="s">
        <v>11321</v>
      </c>
      <c r="DV549" s="19"/>
      <c r="DW549" s="19" t="s">
        <v>2479</v>
      </c>
      <c r="DX549" s="19">
        <v>11.0</v>
      </c>
      <c r="DY549" s="19">
        <v>10.0</v>
      </c>
      <c r="DZ549" s="19">
        <v>0.0</v>
      </c>
      <c r="EA549" s="19">
        <v>10.0</v>
      </c>
      <c r="EB549" s="19">
        <v>0.0</v>
      </c>
      <c r="EC549" s="19">
        <v>0.0</v>
      </c>
      <c r="ED549" s="19" t="s">
        <v>2174</v>
      </c>
      <c r="EE549" s="24">
        <v>45517.0</v>
      </c>
      <c r="EF549" s="19" t="s">
        <v>2174</v>
      </c>
      <c r="EG549" s="19" t="s">
        <v>2145</v>
      </c>
      <c r="EH549" s="19" t="s">
        <v>2183</v>
      </c>
      <c r="EI549" s="22">
        <v>13.087500000000002</v>
      </c>
      <c r="EJ549" s="19">
        <v>37.0</v>
      </c>
      <c r="EK549" s="19"/>
      <c r="EL549" s="19" t="s">
        <v>2282</v>
      </c>
      <c r="EM549" s="19" t="s">
        <v>11314</v>
      </c>
      <c r="EN549" s="19" t="s">
        <v>1619</v>
      </c>
      <c r="EO549" s="19" t="s">
        <v>7740</v>
      </c>
      <c r="EP549" s="19" t="s">
        <v>2122</v>
      </c>
      <c r="EQ549" s="19" t="s">
        <v>3085</v>
      </c>
      <c r="ER549" s="19" t="s">
        <v>2177</v>
      </c>
      <c r="ES549" s="19" t="s">
        <v>1619</v>
      </c>
      <c r="ET549" s="19" t="s">
        <v>1619</v>
      </c>
      <c r="EU549" s="19" t="s">
        <v>11312</v>
      </c>
      <c r="EV549" s="19">
        <v>6681.0</v>
      </c>
      <c r="EW549" s="19" t="s">
        <v>16</v>
      </c>
      <c r="EX549" s="19">
        <v>1.0</v>
      </c>
      <c r="EY549" s="25" t="s">
        <v>1618</v>
      </c>
      <c r="EZ549" s="19" t="s">
        <v>2154</v>
      </c>
      <c r="FA549" s="5" t="s">
        <v>11322</v>
      </c>
      <c r="FB549" s="26" t="s">
        <v>2156</v>
      </c>
      <c r="FC549" s="26"/>
    </row>
    <row r="550">
      <c r="A550" s="19" t="s">
        <v>2112</v>
      </c>
      <c r="B550" s="19"/>
      <c r="C550" s="19" t="s">
        <v>2113</v>
      </c>
      <c r="D550" s="19" t="s">
        <v>1620</v>
      </c>
      <c r="E550" s="19" t="s">
        <v>11323</v>
      </c>
      <c r="F550" s="19" t="s">
        <v>1620</v>
      </c>
      <c r="G550" s="19" t="s">
        <v>11323</v>
      </c>
      <c r="H550" s="19" t="s">
        <v>1620</v>
      </c>
      <c r="I550" s="19" t="s">
        <v>1622</v>
      </c>
      <c r="J550" s="19" t="s">
        <v>11324</v>
      </c>
      <c r="K550" s="19" t="s">
        <v>11325</v>
      </c>
      <c r="L550" s="20">
        <v>45400.0</v>
      </c>
      <c r="M550" s="20">
        <v>45411.0</v>
      </c>
      <c r="N550" s="20">
        <v>45411.0</v>
      </c>
      <c r="O550" s="19" t="s">
        <v>1621</v>
      </c>
      <c r="P550" s="19">
        <v>0.0</v>
      </c>
      <c r="Q550" s="19">
        <v>22.0</v>
      </c>
      <c r="R550" s="19">
        <v>8114.0</v>
      </c>
      <c r="S550" s="20" t="s">
        <v>11326</v>
      </c>
      <c r="T550" s="20">
        <v>45461.0</v>
      </c>
      <c r="U550" s="19" t="s">
        <v>1620</v>
      </c>
      <c r="V550" s="19"/>
      <c r="W550" s="19" t="s">
        <v>2131</v>
      </c>
      <c r="X550" s="21">
        <v>0.0</v>
      </c>
      <c r="Y550" s="21">
        <v>0.0</v>
      </c>
      <c r="Z550" s="21">
        <v>5.0</v>
      </c>
      <c r="AA550" s="21">
        <v>0.0</v>
      </c>
      <c r="AB550" s="5">
        <v>5.0</v>
      </c>
      <c r="AC550" s="19">
        <v>4.0</v>
      </c>
      <c r="AD550" s="19">
        <v>4.6</v>
      </c>
      <c r="AE550" s="19">
        <v>3.6</v>
      </c>
      <c r="AF550" s="19">
        <v>4.0</v>
      </c>
      <c r="AG550" s="19">
        <v>3.6</v>
      </c>
      <c r="AH550" s="19">
        <v>4.4</v>
      </c>
      <c r="AI550" s="22">
        <v>12.09375</v>
      </c>
      <c r="AJ550" s="19">
        <v>15.0</v>
      </c>
      <c r="AK550" s="19">
        <v>15.0</v>
      </c>
      <c r="AL550" s="19">
        <v>14.0</v>
      </c>
      <c r="AM550" s="19">
        <v>44.0</v>
      </c>
      <c r="AN550" s="19">
        <v>56.1</v>
      </c>
      <c r="AO550" s="19">
        <v>61.1</v>
      </c>
      <c r="AP550" s="19">
        <v>1095.0</v>
      </c>
      <c r="AQ550" s="23">
        <v>540.0</v>
      </c>
      <c r="AR550" s="23">
        <v>44.0</v>
      </c>
      <c r="AS550" s="22"/>
      <c r="AT550" s="19" t="s">
        <v>2117</v>
      </c>
      <c r="AU550" s="19" t="s">
        <v>11327</v>
      </c>
      <c r="AV550" s="19" t="s">
        <v>11328</v>
      </c>
      <c r="AW550" s="19" t="s">
        <v>2166</v>
      </c>
      <c r="AX550" s="20">
        <v>37347.0</v>
      </c>
      <c r="AY550" s="19" t="s">
        <v>2529</v>
      </c>
      <c r="AZ550" s="19" t="s">
        <v>2122</v>
      </c>
      <c r="BA550" s="19" t="s">
        <v>11329</v>
      </c>
      <c r="BB550" s="19" t="s">
        <v>11330</v>
      </c>
      <c r="BC550" s="19" t="s">
        <v>11331</v>
      </c>
      <c r="BD550" s="19" t="s">
        <v>11332</v>
      </c>
      <c r="BE550" s="19" t="s">
        <v>11324</v>
      </c>
      <c r="BF550" s="19">
        <v>1.1946872206E10</v>
      </c>
      <c r="BG550" s="19" t="s">
        <v>4038</v>
      </c>
      <c r="BH550" s="19" t="s">
        <v>2128</v>
      </c>
      <c r="BI550" s="19"/>
      <c r="BJ550" s="19" t="s">
        <v>2128</v>
      </c>
      <c r="BK550" s="19" t="s">
        <v>17</v>
      </c>
      <c r="BL550" s="19"/>
      <c r="BM550" s="19" t="s">
        <v>5411</v>
      </c>
      <c r="BN550" s="19" t="s">
        <v>17</v>
      </c>
      <c r="BO550" s="19" t="s">
        <v>2132</v>
      </c>
      <c r="BP550" s="19"/>
      <c r="BQ550" s="19" t="s">
        <v>2174</v>
      </c>
      <c r="BR550" s="19" t="s">
        <v>2174</v>
      </c>
      <c r="BS550" s="19" t="s">
        <v>2134</v>
      </c>
      <c r="BT550" s="19" t="s">
        <v>75</v>
      </c>
      <c r="BU550" s="19" t="s">
        <v>11333</v>
      </c>
      <c r="BV550" s="19"/>
      <c r="BW550" s="19" t="s">
        <v>2113</v>
      </c>
      <c r="BX550" s="19"/>
      <c r="BY550" s="19"/>
      <c r="BZ550" s="19"/>
      <c r="CA550" s="19"/>
      <c r="CB550" s="19" t="s">
        <v>2113</v>
      </c>
      <c r="CC550" s="19"/>
      <c r="CD550" s="19" t="s">
        <v>2137</v>
      </c>
      <c r="CE550" s="19" t="s">
        <v>16</v>
      </c>
      <c r="CF550" s="19"/>
      <c r="CG550" s="19"/>
      <c r="CH550" s="19" t="s">
        <v>16</v>
      </c>
      <c r="CI550" s="21">
        <v>0.0</v>
      </c>
      <c r="CJ550" s="19" t="s">
        <v>17</v>
      </c>
      <c r="CK550" s="19"/>
      <c r="CL550" s="19"/>
      <c r="CM550" s="19" t="s">
        <v>2138</v>
      </c>
      <c r="CN550" s="19" t="s">
        <v>2537</v>
      </c>
      <c r="CO550" s="19"/>
      <c r="CP550" s="19" t="s">
        <v>2246</v>
      </c>
      <c r="CQ550" s="19"/>
      <c r="CR550" s="19" t="s">
        <v>2113</v>
      </c>
      <c r="CS550" s="19" t="s">
        <v>2113</v>
      </c>
      <c r="CT550" s="19" t="s">
        <v>2113</v>
      </c>
      <c r="CU550" s="19" t="s">
        <v>2113</v>
      </c>
      <c r="CV550" s="19" t="s">
        <v>2141</v>
      </c>
      <c r="CW550" s="19" t="s">
        <v>2113</v>
      </c>
      <c r="CX550" s="19" t="s">
        <v>2113</v>
      </c>
      <c r="CY550" s="19" t="s">
        <v>2113</v>
      </c>
      <c r="CZ550" s="19" t="s">
        <v>2113</v>
      </c>
      <c r="DA550" s="19" t="s">
        <v>16</v>
      </c>
      <c r="DB550" s="19" t="s">
        <v>17</v>
      </c>
      <c r="DC550" s="19" t="s">
        <v>4926</v>
      </c>
      <c r="DD550" s="19" t="s">
        <v>2113</v>
      </c>
      <c r="DE550" s="19" t="s">
        <v>2113</v>
      </c>
      <c r="DF550" s="19" t="s">
        <v>2227</v>
      </c>
      <c r="DG550" s="19" t="s">
        <v>4043</v>
      </c>
      <c r="DH550" s="19" t="s">
        <v>2144</v>
      </c>
      <c r="DI550" s="24">
        <v>45519.0</v>
      </c>
      <c r="DJ550" s="19" t="s">
        <v>2174</v>
      </c>
      <c r="DK550" s="19" t="s">
        <v>2271</v>
      </c>
      <c r="DL550" s="19" t="s">
        <v>2183</v>
      </c>
      <c r="DM550" s="19" t="s">
        <v>2272</v>
      </c>
      <c r="DN550" s="19">
        <v>6.0</v>
      </c>
      <c r="DO550" s="19">
        <v>6.0</v>
      </c>
      <c r="DP550" s="19" t="s">
        <v>11334</v>
      </c>
      <c r="DQ550" s="19" t="s">
        <v>11335</v>
      </c>
      <c r="DR550" s="19" t="s">
        <v>11336</v>
      </c>
      <c r="DS550" s="19" t="s">
        <v>2151</v>
      </c>
      <c r="DT550" s="19" t="s">
        <v>2301</v>
      </c>
      <c r="DU550" s="19"/>
      <c r="DV550" s="19"/>
      <c r="DW550" s="19" t="s">
        <v>2188</v>
      </c>
      <c r="DX550" s="19">
        <v>15.0</v>
      </c>
      <c r="DY550" s="19">
        <v>0.0</v>
      </c>
      <c r="DZ550" s="19">
        <v>0.0</v>
      </c>
      <c r="EA550" s="19">
        <v>0.0</v>
      </c>
      <c r="EB550" s="19">
        <v>0.0</v>
      </c>
      <c r="EC550" s="19">
        <v>0.0</v>
      </c>
      <c r="ED550" s="19" t="s">
        <v>2174</v>
      </c>
      <c r="EE550" s="24">
        <v>45519.0</v>
      </c>
      <c r="EF550" s="19" t="s">
        <v>2174</v>
      </c>
      <c r="EG550" s="19" t="s">
        <v>2271</v>
      </c>
      <c r="EH550" s="19" t="s">
        <v>2183</v>
      </c>
      <c r="EI550" s="22">
        <v>12.09375</v>
      </c>
      <c r="EJ550" s="19">
        <v>44.0</v>
      </c>
      <c r="EK550" s="19" t="s">
        <v>2113</v>
      </c>
      <c r="EL550" s="19" t="s">
        <v>2117</v>
      </c>
      <c r="EM550" s="19" t="s">
        <v>11327</v>
      </c>
      <c r="EN550" s="19" t="s">
        <v>1622</v>
      </c>
      <c r="EO550" s="19" t="s">
        <v>2529</v>
      </c>
      <c r="EP550" s="19" t="s">
        <v>2122</v>
      </c>
      <c r="EQ550" s="19" t="s">
        <v>2537</v>
      </c>
      <c r="ER550" s="19"/>
      <c r="ES550" s="19" t="s">
        <v>1622</v>
      </c>
      <c r="ET550" s="19" t="s">
        <v>1622</v>
      </c>
      <c r="EU550" s="19" t="s">
        <v>11325</v>
      </c>
      <c r="EV550" s="19">
        <v>8114.0</v>
      </c>
      <c r="EW550" s="19" t="s">
        <v>16</v>
      </c>
      <c r="EX550" s="19">
        <v>5.0</v>
      </c>
      <c r="EY550" s="25" t="s">
        <v>1621</v>
      </c>
      <c r="EZ550" s="19" t="s">
        <v>2154</v>
      </c>
      <c r="FA550" s="5" t="s">
        <v>11337</v>
      </c>
      <c r="FB550" s="26" t="s">
        <v>2156</v>
      </c>
      <c r="FC550" s="26"/>
    </row>
    <row r="551">
      <c r="A551" s="19" t="s">
        <v>2112</v>
      </c>
      <c r="B551" s="19"/>
      <c r="C551" s="19" t="s">
        <v>2113</v>
      </c>
      <c r="D551" s="19" t="s">
        <v>11338</v>
      </c>
      <c r="E551" s="19" t="s">
        <v>11339</v>
      </c>
      <c r="F551" s="19" t="s">
        <v>11338</v>
      </c>
      <c r="G551" s="19"/>
      <c r="H551" s="19" t="s">
        <v>1623</v>
      </c>
      <c r="I551" s="19" t="s">
        <v>1625</v>
      </c>
      <c r="J551" s="19" t="s">
        <v>11340</v>
      </c>
      <c r="K551" s="19" t="s">
        <v>11341</v>
      </c>
      <c r="L551" s="20">
        <v>45445.0</v>
      </c>
      <c r="M551" s="20">
        <v>45446.0</v>
      </c>
      <c r="N551" s="20">
        <v>45446.0</v>
      </c>
      <c r="O551" s="19" t="s">
        <v>1624</v>
      </c>
      <c r="P551" s="19">
        <v>0.0</v>
      </c>
      <c r="Q551" s="19">
        <v>28.0</v>
      </c>
      <c r="R551" s="19">
        <v>10387.0</v>
      </c>
      <c r="S551" s="20" t="s">
        <v>11342</v>
      </c>
      <c r="T551" s="20">
        <v>45461.0</v>
      </c>
      <c r="U551" s="19" t="s">
        <v>11338</v>
      </c>
      <c r="V551" s="19"/>
      <c r="W551" s="19" t="s">
        <v>11343</v>
      </c>
      <c r="X551" s="21">
        <v>0.0</v>
      </c>
      <c r="Y551" s="21">
        <v>10.0</v>
      </c>
      <c r="Z551" s="21">
        <v>3.0</v>
      </c>
      <c r="AA551" s="21">
        <v>0.0</v>
      </c>
      <c r="AB551" s="5">
        <v>13.0</v>
      </c>
      <c r="AC551" s="19">
        <v>3.0</v>
      </c>
      <c r="AD551" s="19">
        <v>3.0</v>
      </c>
      <c r="AE551" s="19">
        <v>3.0</v>
      </c>
      <c r="AF551" s="19">
        <v>3.0</v>
      </c>
      <c r="AG551" s="19">
        <v>3.0</v>
      </c>
      <c r="AH551" s="19">
        <v>3.0</v>
      </c>
      <c r="AI551" s="22">
        <v>9.0</v>
      </c>
      <c r="AJ551" s="19">
        <v>14.0</v>
      </c>
      <c r="AK551" s="19">
        <v>12.0</v>
      </c>
      <c r="AL551" s="19">
        <v>13.0</v>
      </c>
      <c r="AM551" s="19">
        <v>39.0</v>
      </c>
      <c r="AN551" s="19">
        <v>48.0</v>
      </c>
      <c r="AO551" s="19">
        <v>61.0</v>
      </c>
      <c r="AP551" s="19">
        <v>668.0</v>
      </c>
      <c r="AQ551" s="23">
        <v>541.0</v>
      </c>
      <c r="AR551" s="23">
        <v>80.0</v>
      </c>
      <c r="AS551" s="22"/>
      <c r="AT551" s="19" t="s">
        <v>2117</v>
      </c>
      <c r="AU551" s="19" t="s">
        <v>11344</v>
      </c>
      <c r="AV551" s="19" t="s">
        <v>11345</v>
      </c>
      <c r="AW551" s="19" t="s">
        <v>11346</v>
      </c>
      <c r="AX551" s="20">
        <v>35074.0</v>
      </c>
      <c r="AY551" s="19" t="s">
        <v>2467</v>
      </c>
      <c r="AZ551" s="19" t="s">
        <v>2122</v>
      </c>
      <c r="BA551" s="19" t="s">
        <v>11347</v>
      </c>
      <c r="BB551" s="19" t="s">
        <v>11348</v>
      </c>
      <c r="BC551" s="19" t="s">
        <v>11349</v>
      </c>
      <c r="BD551" s="19" t="s">
        <v>11350</v>
      </c>
      <c r="BE551" s="19" t="s">
        <v>11351</v>
      </c>
      <c r="BF551" s="19">
        <v>1.1948259161E10</v>
      </c>
      <c r="BG551" s="19" t="s">
        <v>2127</v>
      </c>
      <c r="BH551" s="19" t="s">
        <v>2128</v>
      </c>
      <c r="BI551" s="19"/>
      <c r="BJ551" s="19" t="s">
        <v>2427</v>
      </c>
      <c r="BK551" s="19" t="s">
        <v>17</v>
      </c>
      <c r="BL551" s="19"/>
      <c r="BM551" s="19" t="s">
        <v>5411</v>
      </c>
      <c r="BN551" s="19" t="s">
        <v>3951</v>
      </c>
      <c r="BO551" s="19" t="s">
        <v>2473</v>
      </c>
      <c r="BP551" s="19"/>
      <c r="BQ551" s="19" t="s">
        <v>2133</v>
      </c>
      <c r="BR551" s="19" t="s">
        <v>2133</v>
      </c>
      <c r="BS551" s="19" t="s">
        <v>2134</v>
      </c>
      <c r="BT551" s="19" t="s">
        <v>38</v>
      </c>
      <c r="BU551" s="19" t="s">
        <v>11352</v>
      </c>
      <c r="BV551" s="19"/>
      <c r="BW551" s="19"/>
      <c r="BX551" s="19"/>
      <c r="BY551" s="19"/>
      <c r="BZ551" s="19"/>
      <c r="CA551" s="19" t="s">
        <v>2113</v>
      </c>
      <c r="CB551" s="19" t="s">
        <v>2113</v>
      </c>
      <c r="CC551" s="19"/>
      <c r="CD551" s="19" t="s">
        <v>2137</v>
      </c>
      <c r="CE551" s="19" t="s">
        <v>16</v>
      </c>
      <c r="CF551" s="19"/>
      <c r="CG551" s="19"/>
      <c r="CH551" s="19" t="s">
        <v>16</v>
      </c>
      <c r="CI551" s="21">
        <v>0.0</v>
      </c>
      <c r="CJ551" s="19" t="s">
        <v>17</v>
      </c>
      <c r="CK551" s="19"/>
      <c r="CL551" s="19"/>
      <c r="CM551" s="19" t="s">
        <v>2344</v>
      </c>
      <c r="CN551" s="19" t="s">
        <v>2475</v>
      </c>
      <c r="CO551" s="19"/>
      <c r="CP551" s="19" t="s">
        <v>2246</v>
      </c>
      <c r="CQ551" s="19"/>
      <c r="CR551" s="19" t="s">
        <v>2113</v>
      </c>
      <c r="CS551" s="19" t="s">
        <v>2113</v>
      </c>
      <c r="CT551" s="19" t="s">
        <v>2113</v>
      </c>
      <c r="CU551" s="19" t="s">
        <v>2113</v>
      </c>
      <c r="CV551" s="19" t="s">
        <v>2141</v>
      </c>
      <c r="CW551" s="19" t="s">
        <v>2113</v>
      </c>
      <c r="CX551" s="19" t="s">
        <v>2113</v>
      </c>
      <c r="CY551" s="19" t="s">
        <v>2113</v>
      </c>
      <c r="CZ551" s="19" t="s">
        <v>2113</v>
      </c>
      <c r="DA551" s="19" t="s">
        <v>16</v>
      </c>
      <c r="DB551" s="19" t="s">
        <v>17</v>
      </c>
      <c r="DC551" s="19" t="s">
        <v>2477</v>
      </c>
      <c r="DD551" s="19" t="s">
        <v>2113</v>
      </c>
      <c r="DE551" s="19" t="s">
        <v>2113</v>
      </c>
      <c r="DF551" s="19" t="s">
        <v>3524</v>
      </c>
      <c r="DG551" s="19" t="s">
        <v>2843</v>
      </c>
      <c r="DH551" s="19" t="s">
        <v>2144</v>
      </c>
      <c r="DI551" s="24">
        <v>45525.0</v>
      </c>
      <c r="DJ551" s="19" t="s">
        <v>2133</v>
      </c>
      <c r="DK551" s="19" t="s">
        <v>2145</v>
      </c>
      <c r="DL551" s="19" t="s">
        <v>2146</v>
      </c>
      <c r="DM551" s="19" t="s">
        <v>3003</v>
      </c>
      <c r="DN551" s="19">
        <v>9.0</v>
      </c>
      <c r="DO551" s="19">
        <v>9.0</v>
      </c>
      <c r="DP551" s="19" t="s">
        <v>11353</v>
      </c>
      <c r="DQ551" s="19" t="s">
        <v>11354</v>
      </c>
      <c r="DR551" s="19" t="s">
        <v>11355</v>
      </c>
      <c r="DS551" s="19" t="s">
        <v>2185</v>
      </c>
      <c r="DT551" s="19" t="s">
        <v>2301</v>
      </c>
      <c r="DU551" s="19"/>
      <c r="DV551" s="19"/>
      <c r="DW551" s="19" t="s">
        <v>2479</v>
      </c>
      <c r="DX551" s="19">
        <v>6.0</v>
      </c>
      <c r="DY551" s="19">
        <v>10.0</v>
      </c>
      <c r="DZ551" s="19">
        <v>0.0</v>
      </c>
      <c r="EA551" s="19">
        <v>10.0</v>
      </c>
      <c r="EB551" s="19">
        <v>0.0</v>
      </c>
      <c r="EC551" s="19">
        <v>0.0</v>
      </c>
      <c r="ED551" s="19" t="s">
        <v>2133</v>
      </c>
      <c r="EE551" s="24">
        <v>45525.0</v>
      </c>
      <c r="EF551" s="19" t="s">
        <v>2133</v>
      </c>
      <c r="EG551" s="19" t="s">
        <v>2145</v>
      </c>
      <c r="EH551" s="19" t="s">
        <v>2146</v>
      </c>
      <c r="EI551" s="22">
        <v>9.0</v>
      </c>
      <c r="EJ551" s="19">
        <v>39.0</v>
      </c>
      <c r="EK551" s="19" t="s">
        <v>2113</v>
      </c>
      <c r="EL551" s="19" t="s">
        <v>2117</v>
      </c>
      <c r="EM551" s="19" t="s">
        <v>11344</v>
      </c>
      <c r="EN551" s="19" t="s">
        <v>1625</v>
      </c>
      <c r="EO551" s="19" t="s">
        <v>2467</v>
      </c>
      <c r="EP551" s="19" t="s">
        <v>2122</v>
      </c>
      <c r="EQ551" s="19" t="s">
        <v>2475</v>
      </c>
      <c r="ER551" s="19"/>
      <c r="ES551" s="19" t="s">
        <v>1625</v>
      </c>
      <c r="ET551" s="19" t="s">
        <v>1625</v>
      </c>
      <c r="EU551" s="19" t="s">
        <v>11341</v>
      </c>
      <c r="EV551" s="19">
        <v>10387.0</v>
      </c>
      <c r="EW551" s="19" t="s">
        <v>16</v>
      </c>
      <c r="EX551" s="19">
        <v>3.0</v>
      </c>
      <c r="EY551" s="25" t="s">
        <v>1624</v>
      </c>
      <c r="EZ551" s="19" t="s">
        <v>2154</v>
      </c>
      <c r="FA551" s="5" t="s">
        <v>11356</v>
      </c>
      <c r="FB551" s="26" t="s">
        <v>2156</v>
      </c>
      <c r="FC551" s="26"/>
    </row>
    <row r="552">
      <c r="A552" s="19" t="s">
        <v>2112</v>
      </c>
      <c r="B552" s="19"/>
      <c r="C552" s="19" t="s">
        <v>2113</v>
      </c>
      <c r="D552" s="19" t="s">
        <v>1626</v>
      </c>
      <c r="E552" s="19" t="s">
        <v>11357</v>
      </c>
      <c r="F552" s="19" t="s">
        <v>1626</v>
      </c>
      <c r="G552" s="19"/>
      <c r="H552" s="19" t="s">
        <v>1626</v>
      </c>
      <c r="I552" s="19" t="s">
        <v>1628</v>
      </c>
      <c r="J552" s="19" t="s">
        <v>11358</v>
      </c>
      <c r="K552" s="19" t="s">
        <v>11359</v>
      </c>
      <c r="L552" s="20">
        <v>45403.0</v>
      </c>
      <c r="M552" s="20">
        <v>45411.0</v>
      </c>
      <c r="N552" s="20">
        <v>45411.0</v>
      </c>
      <c r="O552" s="19" t="s">
        <v>1627</v>
      </c>
      <c r="P552" s="19">
        <v>0.0</v>
      </c>
      <c r="Q552" s="19">
        <v>23.0</v>
      </c>
      <c r="R552" s="19">
        <v>8546.0</v>
      </c>
      <c r="S552" s="20" t="s">
        <v>11360</v>
      </c>
      <c r="T552" s="20">
        <v>45461.0</v>
      </c>
      <c r="U552" s="19" t="s">
        <v>1626</v>
      </c>
      <c r="V552" s="19"/>
      <c r="W552" s="19" t="s">
        <v>11361</v>
      </c>
      <c r="X552" s="21">
        <v>0.0</v>
      </c>
      <c r="Y552" s="21">
        <v>0.0</v>
      </c>
      <c r="Z552" s="21">
        <v>5.0</v>
      </c>
      <c r="AA552" s="21">
        <v>0.0</v>
      </c>
      <c r="AB552" s="5">
        <v>5.0</v>
      </c>
      <c r="AC552" s="19">
        <v>3.6</v>
      </c>
      <c r="AD552" s="19">
        <v>4.0</v>
      </c>
      <c r="AE552" s="19">
        <v>3.6</v>
      </c>
      <c r="AF552" s="19">
        <v>3.3</v>
      </c>
      <c r="AG552" s="19">
        <v>3.3</v>
      </c>
      <c r="AH552" s="19">
        <v>4.0</v>
      </c>
      <c r="AI552" s="22">
        <v>10.9875</v>
      </c>
      <c r="AJ552" s="19">
        <v>15.0</v>
      </c>
      <c r="AK552" s="19">
        <v>15.0</v>
      </c>
      <c r="AL552" s="19">
        <v>15.0</v>
      </c>
      <c r="AM552" s="19">
        <v>45.0</v>
      </c>
      <c r="AN552" s="19">
        <v>56.0</v>
      </c>
      <c r="AO552" s="19">
        <v>61.0</v>
      </c>
      <c r="AP552" s="19">
        <v>1073.0</v>
      </c>
      <c r="AQ552" s="23">
        <v>542.0</v>
      </c>
      <c r="AR552" s="23">
        <v>45.0</v>
      </c>
      <c r="AS552" s="22"/>
      <c r="AT552" s="19" t="s">
        <v>2117</v>
      </c>
      <c r="AU552" s="19" t="s">
        <v>11362</v>
      </c>
      <c r="AV552" s="19" t="s">
        <v>11363</v>
      </c>
      <c r="AW552" s="19"/>
      <c r="AX552" s="20">
        <v>36915.0</v>
      </c>
      <c r="AY552" s="19" t="s">
        <v>2529</v>
      </c>
      <c r="AZ552" s="19" t="s">
        <v>2122</v>
      </c>
      <c r="BA552" s="19" t="s">
        <v>11364</v>
      </c>
      <c r="BB552" s="19" t="s">
        <v>7340</v>
      </c>
      <c r="BC552" s="19" t="s">
        <v>11365</v>
      </c>
      <c r="BD552" s="19" t="s">
        <v>11366</v>
      </c>
      <c r="BE552" s="19" t="s">
        <v>11358</v>
      </c>
      <c r="BF552" s="19">
        <v>1.1953910636E10</v>
      </c>
      <c r="BG552" s="19" t="s">
        <v>4038</v>
      </c>
      <c r="BH552" s="19" t="s">
        <v>2128</v>
      </c>
      <c r="BI552" s="19"/>
      <c r="BJ552" s="19" t="s">
        <v>2129</v>
      </c>
      <c r="BK552" s="19" t="s">
        <v>17</v>
      </c>
      <c r="BL552" s="19"/>
      <c r="BM552" s="19" t="s">
        <v>5411</v>
      </c>
      <c r="BN552" s="19" t="s">
        <v>17</v>
      </c>
      <c r="BO552" s="19" t="s">
        <v>2132</v>
      </c>
      <c r="BP552" s="19"/>
      <c r="BQ552" s="19" t="s">
        <v>2174</v>
      </c>
      <c r="BR552" s="19" t="s">
        <v>2174</v>
      </c>
      <c r="BS552" s="19" t="s">
        <v>2134</v>
      </c>
      <c r="BT552" s="19" t="s">
        <v>75</v>
      </c>
      <c r="BU552" s="19" t="s">
        <v>5248</v>
      </c>
      <c r="BV552" s="19"/>
      <c r="BW552" s="19" t="s">
        <v>2113</v>
      </c>
      <c r="BX552" s="19"/>
      <c r="BY552" s="19"/>
      <c r="BZ552" s="19"/>
      <c r="CA552" s="19"/>
      <c r="CB552" s="19" t="s">
        <v>2113</v>
      </c>
      <c r="CC552" s="19"/>
      <c r="CD552" s="19" t="s">
        <v>2137</v>
      </c>
      <c r="CE552" s="19" t="s">
        <v>16</v>
      </c>
      <c r="CF552" s="19"/>
      <c r="CG552" s="19"/>
      <c r="CH552" s="19" t="s">
        <v>16</v>
      </c>
      <c r="CI552" s="21">
        <v>0.0</v>
      </c>
      <c r="CJ552" s="19" t="s">
        <v>17</v>
      </c>
      <c r="CK552" s="19"/>
      <c r="CL552" s="19"/>
      <c r="CM552" s="19" t="s">
        <v>2138</v>
      </c>
      <c r="CN552" s="19" t="s">
        <v>2537</v>
      </c>
      <c r="CO552" s="19"/>
      <c r="CP552" s="19" t="s">
        <v>2246</v>
      </c>
      <c r="CQ552" s="19"/>
      <c r="CR552" s="19"/>
      <c r="CS552" s="19"/>
      <c r="CT552" s="19"/>
      <c r="CU552" s="19"/>
      <c r="CV552" s="19" t="s">
        <v>2141</v>
      </c>
      <c r="CW552" s="19" t="s">
        <v>2113</v>
      </c>
      <c r="CX552" s="19" t="s">
        <v>2113</v>
      </c>
      <c r="CY552" s="19" t="s">
        <v>2113</v>
      </c>
      <c r="CZ552" s="19" t="s">
        <v>2113</v>
      </c>
      <c r="DA552" s="19" t="s">
        <v>16</v>
      </c>
      <c r="DB552" s="19" t="s">
        <v>17</v>
      </c>
      <c r="DC552" s="19" t="s">
        <v>2538</v>
      </c>
      <c r="DD552" s="19"/>
      <c r="DE552" s="19"/>
      <c r="DF552" s="19" t="s">
        <v>2345</v>
      </c>
      <c r="DG552" s="19" t="s">
        <v>4042</v>
      </c>
      <c r="DH552" s="19" t="s">
        <v>2144</v>
      </c>
      <c r="DI552" s="24">
        <v>45525.0</v>
      </c>
      <c r="DJ552" s="19" t="s">
        <v>2174</v>
      </c>
      <c r="DK552" s="19" t="s">
        <v>2145</v>
      </c>
      <c r="DL552" s="19" t="s">
        <v>2183</v>
      </c>
      <c r="DM552" s="19" t="s">
        <v>2249</v>
      </c>
      <c r="DN552" s="19">
        <v>9.0</v>
      </c>
      <c r="DO552" s="19">
        <v>9.0</v>
      </c>
      <c r="DP552" s="19" t="s">
        <v>11367</v>
      </c>
      <c r="DQ552" s="19" t="s">
        <v>11368</v>
      </c>
      <c r="DR552" s="19" t="s">
        <v>11369</v>
      </c>
      <c r="DS552" s="19" t="s">
        <v>2151</v>
      </c>
      <c r="DT552" s="19" t="s">
        <v>2186</v>
      </c>
      <c r="DU552" s="19"/>
      <c r="DV552" s="19"/>
      <c r="DW552" s="19" t="s">
        <v>2188</v>
      </c>
      <c r="DX552" s="19">
        <v>15.0</v>
      </c>
      <c r="DY552" s="19">
        <v>0.0</v>
      </c>
      <c r="DZ552" s="19">
        <v>0.0</v>
      </c>
      <c r="EA552" s="19">
        <v>0.0</v>
      </c>
      <c r="EB552" s="19">
        <v>0.0</v>
      </c>
      <c r="EC552" s="19">
        <v>0.0</v>
      </c>
      <c r="ED552" s="19" t="s">
        <v>2174</v>
      </c>
      <c r="EE552" s="24">
        <v>45525.0</v>
      </c>
      <c r="EF552" s="19" t="s">
        <v>2174</v>
      </c>
      <c r="EG552" s="19" t="s">
        <v>2145</v>
      </c>
      <c r="EH552" s="19" t="s">
        <v>2183</v>
      </c>
      <c r="EI552" s="22">
        <v>10.9875</v>
      </c>
      <c r="EJ552" s="19">
        <v>45.0</v>
      </c>
      <c r="EK552" s="19" t="s">
        <v>2113</v>
      </c>
      <c r="EL552" s="19" t="s">
        <v>2117</v>
      </c>
      <c r="EM552" s="19" t="s">
        <v>11362</v>
      </c>
      <c r="EN552" s="19" t="s">
        <v>1628</v>
      </c>
      <c r="EO552" s="19" t="s">
        <v>2529</v>
      </c>
      <c r="EP552" s="19" t="s">
        <v>2122</v>
      </c>
      <c r="EQ552" s="19" t="s">
        <v>2537</v>
      </c>
      <c r="ER552" s="19"/>
      <c r="ES552" s="19" t="s">
        <v>1628</v>
      </c>
      <c r="ET552" s="19" t="s">
        <v>1628</v>
      </c>
      <c r="EU552" s="19" t="s">
        <v>11359</v>
      </c>
      <c r="EV552" s="19">
        <v>8546.0</v>
      </c>
      <c r="EW552" s="19" t="s">
        <v>16</v>
      </c>
      <c r="EX552" s="19">
        <v>5.0</v>
      </c>
      <c r="EY552" s="25" t="s">
        <v>1627</v>
      </c>
      <c r="EZ552" s="19" t="s">
        <v>2154</v>
      </c>
      <c r="FA552" s="5" t="s">
        <v>11370</v>
      </c>
      <c r="FB552" s="26" t="s">
        <v>2156</v>
      </c>
      <c r="FC552" s="26"/>
    </row>
    <row r="553">
      <c r="A553" s="19" t="s">
        <v>2112</v>
      </c>
      <c r="B553" s="19"/>
      <c r="C553" s="19" t="s">
        <v>2113</v>
      </c>
      <c r="D553" s="19" t="s">
        <v>1629</v>
      </c>
      <c r="E553" s="19" t="s">
        <v>11371</v>
      </c>
      <c r="F553" s="19" t="s">
        <v>1629</v>
      </c>
      <c r="G553" s="19"/>
      <c r="H553" s="19" t="s">
        <v>1629</v>
      </c>
      <c r="I553" s="19" t="s">
        <v>1631</v>
      </c>
      <c r="J553" s="19" t="s">
        <v>11372</v>
      </c>
      <c r="K553" s="19" t="s">
        <v>11373</v>
      </c>
      <c r="L553" s="20">
        <v>45434.0</v>
      </c>
      <c r="M553" s="20">
        <v>45434.0</v>
      </c>
      <c r="N553" s="20">
        <v>45434.0</v>
      </c>
      <c r="O553" s="19" t="s">
        <v>1630</v>
      </c>
      <c r="P553" s="19">
        <v>0.0</v>
      </c>
      <c r="Q553" s="19">
        <v>26.0</v>
      </c>
      <c r="R553" s="19">
        <v>9841.0</v>
      </c>
      <c r="S553" s="20" t="s">
        <v>11374</v>
      </c>
      <c r="T553" s="20">
        <v>45461.0</v>
      </c>
      <c r="U553" s="19" t="s">
        <v>1629</v>
      </c>
      <c r="V553" s="19"/>
      <c r="W553" s="19" t="s">
        <v>2131</v>
      </c>
      <c r="X553" s="21">
        <v>0.0</v>
      </c>
      <c r="Y553" s="21">
        <v>0.0</v>
      </c>
      <c r="Z553" s="21">
        <v>5.0</v>
      </c>
      <c r="AA553" s="21">
        <v>0.0</v>
      </c>
      <c r="AB553" s="5">
        <v>5.0</v>
      </c>
      <c r="AC553" s="19">
        <v>3.4</v>
      </c>
      <c r="AD553" s="19">
        <v>4.0</v>
      </c>
      <c r="AE553" s="19">
        <v>3.6</v>
      </c>
      <c r="AF553" s="19">
        <v>3.6</v>
      </c>
      <c r="AG553" s="19">
        <v>3.4</v>
      </c>
      <c r="AH553" s="19">
        <v>3.6</v>
      </c>
      <c r="AI553" s="22">
        <v>10.89375</v>
      </c>
      <c r="AJ553" s="19">
        <v>15.0</v>
      </c>
      <c r="AK553" s="19">
        <v>15.0</v>
      </c>
      <c r="AL553" s="19">
        <v>15.0</v>
      </c>
      <c r="AM553" s="19">
        <v>45.0</v>
      </c>
      <c r="AN553" s="19">
        <v>55.9</v>
      </c>
      <c r="AO553" s="19">
        <v>60.9</v>
      </c>
      <c r="AP553" s="19">
        <v>1036.0</v>
      </c>
      <c r="AQ553" s="23">
        <v>543.0</v>
      </c>
      <c r="AR553" s="23">
        <v>69.0</v>
      </c>
      <c r="AS553" s="22"/>
      <c r="AT553" s="19" t="s">
        <v>2117</v>
      </c>
      <c r="AU553" s="19" t="s">
        <v>2217</v>
      </c>
      <c r="AV553" s="19" t="s">
        <v>10673</v>
      </c>
      <c r="AW553" s="19" t="s">
        <v>11375</v>
      </c>
      <c r="AX553" s="20">
        <v>35620.0</v>
      </c>
      <c r="AY553" s="19" t="s">
        <v>2167</v>
      </c>
      <c r="AZ553" s="19" t="s">
        <v>2310</v>
      </c>
      <c r="BA553" s="19" t="s">
        <v>10675</v>
      </c>
      <c r="BB553" s="19" t="s">
        <v>6705</v>
      </c>
      <c r="BC553" s="19" t="s">
        <v>11376</v>
      </c>
      <c r="BD553" s="19" t="s">
        <v>11377</v>
      </c>
      <c r="BE553" s="19" t="s">
        <v>11372</v>
      </c>
      <c r="BF553" s="19">
        <v>1.1932842922E10</v>
      </c>
      <c r="BG553" s="19" t="s">
        <v>4038</v>
      </c>
      <c r="BH553" s="19" t="s">
        <v>2128</v>
      </c>
      <c r="BI553" s="19"/>
      <c r="BJ553" s="19" t="s">
        <v>2128</v>
      </c>
      <c r="BK553" s="19" t="s">
        <v>17</v>
      </c>
      <c r="BL553" s="19"/>
      <c r="BM553" s="19" t="s">
        <v>5411</v>
      </c>
      <c r="BN553" s="19" t="s">
        <v>17</v>
      </c>
      <c r="BO553" s="19" t="s">
        <v>2132</v>
      </c>
      <c r="BP553" s="19"/>
      <c r="BQ553" s="19" t="s">
        <v>2174</v>
      </c>
      <c r="BR553" s="19" t="s">
        <v>2174</v>
      </c>
      <c r="BS553" s="19" t="s">
        <v>2134</v>
      </c>
      <c r="BT553" s="19" t="s">
        <v>21</v>
      </c>
      <c r="BU553" s="19" t="s">
        <v>11378</v>
      </c>
      <c r="BV553" s="19"/>
      <c r="BW553" s="19" t="s">
        <v>2113</v>
      </c>
      <c r="BX553" s="19"/>
      <c r="BY553" s="19"/>
      <c r="BZ553" s="19"/>
      <c r="CA553" s="19"/>
      <c r="CB553" s="19"/>
      <c r="CC553" s="19"/>
      <c r="CD553" s="19" t="s">
        <v>2137</v>
      </c>
      <c r="CE553" s="19" t="s">
        <v>16</v>
      </c>
      <c r="CF553" s="19"/>
      <c r="CG553" s="19"/>
      <c r="CH553" s="19" t="s">
        <v>16</v>
      </c>
      <c r="CI553" s="21">
        <v>0.0</v>
      </c>
      <c r="CJ553" s="19" t="s">
        <v>16</v>
      </c>
      <c r="CK553" s="19"/>
      <c r="CL553" s="19"/>
      <c r="CM553" s="19" t="s">
        <v>2138</v>
      </c>
      <c r="CN553" s="19" t="s">
        <v>2176</v>
      </c>
      <c r="CO553" s="19"/>
      <c r="CP553" s="19" t="s">
        <v>2246</v>
      </c>
      <c r="CQ553" s="19"/>
      <c r="CR553" s="19" t="s">
        <v>2113</v>
      </c>
      <c r="CS553" s="19" t="s">
        <v>2113</v>
      </c>
      <c r="CT553" s="19"/>
      <c r="CU553" s="19"/>
      <c r="CV553" s="19" t="s">
        <v>2141</v>
      </c>
      <c r="CW553" s="19"/>
      <c r="CX553" s="19"/>
      <c r="CY553" s="19"/>
      <c r="CZ553" s="19"/>
      <c r="DA553" s="19" t="s">
        <v>16</v>
      </c>
      <c r="DB553" s="19" t="s">
        <v>16</v>
      </c>
      <c r="DC553" s="19" t="s">
        <v>2345</v>
      </c>
      <c r="DD553" s="19" t="s">
        <v>2113</v>
      </c>
      <c r="DE553" s="19" t="s">
        <v>2113</v>
      </c>
      <c r="DF553" s="19" t="s">
        <v>2433</v>
      </c>
      <c r="DG553" s="19" t="s">
        <v>2207</v>
      </c>
      <c r="DH553" s="19" t="s">
        <v>2144</v>
      </c>
      <c r="DI553" s="24">
        <v>45519.0</v>
      </c>
      <c r="DJ553" s="19" t="s">
        <v>2174</v>
      </c>
      <c r="DK553" s="19" t="s">
        <v>2271</v>
      </c>
      <c r="DL553" s="19" t="s">
        <v>2183</v>
      </c>
      <c r="DM553" s="19" t="s">
        <v>2272</v>
      </c>
      <c r="DN553" s="19">
        <v>6.0</v>
      </c>
      <c r="DO553" s="19">
        <v>6.0</v>
      </c>
      <c r="DP553" s="19" t="s">
        <v>11379</v>
      </c>
      <c r="DQ553" s="19" t="s">
        <v>11380</v>
      </c>
      <c r="DR553" s="19" t="s">
        <v>11381</v>
      </c>
      <c r="DS553" s="19" t="s">
        <v>2151</v>
      </c>
      <c r="DT553" s="19" t="s">
        <v>2209</v>
      </c>
      <c r="DU553" s="19"/>
      <c r="DV553" s="19"/>
      <c r="DW553" s="19" t="s">
        <v>2153</v>
      </c>
      <c r="DX553" s="19">
        <v>13.0</v>
      </c>
      <c r="DY553" s="19">
        <v>0.0</v>
      </c>
      <c r="DZ553" s="19">
        <v>0.0</v>
      </c>
      <c r="EA553" s="19">
        <v>0.0</v>
      </c>
      <c r="EB553" s="19">
        <v>0.0</v>
      </c>
      <c r="EC553" s="19">
        <v>0.0</v>
      </c>
      <c r="ED553" s="19" t="s">
        <v>2174</v>
      </c>
      <c r="EE553" s="24">
        <v>45519.0</v>
      </c>
      <c r="EF553" s="19" t="s">
        <v>2174</v>
      </c>
      <c r="EG553" s="19" t="s">
        <v>2271</v>
      </c>
      <c r="EH553" s="19" t="s">
        <v>2183</v>
      </c>
      <c r="EI553" s="22">
        <v>10.89375</v>
      </c>
      <c r="EJ553" s="19">
        <v>45.0</v>
      </c>
      <c r="EK553" s="19"/>
      <c r="EL553" s="19" t="s">
        <v>2117</v>
      </c>
      <c r="EM553" s="19" t="s">
        <v>2217</v>
      </c>
      <c r="EN553" s="19" t="s">
        <v>1631</v>
      </c>
      <c r="EO553" s="19" t="s">
        <v>2167</v>
      </c>
      <c r="EP553" s="19" t="s">
        <v>2310</v>
      </c>
      <c r="EQ553" s="19" t="s">
        <v>2176</v>
      </c>
      <c r="ER553" s="19"/>
      <c r="ES553" s="19" t="s">
        <v>1631</v>
      </c>
      <c r="ET553" s="19" t="s">
        <v>1631</v>
      </c>
      <c r="EU553" s="19" t="s">
        <v>11373</v>
      </c>
      <c r="EV553" s="19">
        <v>9841.0</v>
      </c>
      <c r="EW553" s="19" t="s">
        <v>16</v>
      </c>
      <c r="EX553" s="19">
        <v>5.0</v>
      </c>
      <c r="EY553" s="25" t="s">
        <v>1630</v>
      </c>
      <c r="EZ553" s="19" t="s">
        <v>2154</v>
      </c>
      <c r="FA553" s="5" t="s">
        <v>11382</v>
      </c>
      <c r="FB553" s="26" t="s">
        <v>2156</v>
      </c>
      <c r="FC553" s="26"/>
    </row>
    <row r="554">
      <c r="A554" s="19" t="s">
        <v>2112</v>
      </c>
      <c r="B554" s="19"/>
      <c r="C554" s="19" t="s">
        <v>2113</v>
      </c>
      <c r="D554" s="19" t="s">
        <v>1632</v>
      </c>
      <c r="E554" s="19" t="s">
        <v>11383</v>
      </c>
      <c r="F554" s="19" t="s">
        <v>1632</v>
      </c>
      <c r="G554" s="19" t="s">
        <v>1632</v>
      </c>
      <c r="H554" s="19" t="s">
        <v>1632</v>
      </c>
      <c r="I554" s="19" t="s">
        <v>1634</v>
      </c>
      <c r="J554" s="19" t="s">
        <v>11384</v>
      </c>
      <c r="K554" s="19" t="s">
        <v>11385</v>
      </c>
      <c r="L554" s="20">
        <v>45453.0</v>
      </c>
      <c r="M554" s="20">
        <v>45455.0</v>
      </c>
      <c r="N554" s="20">
        <v>45455.0</v>
      </c>
      <c r="O554" s="19" t="s">
        <v>1633</v>
      </c>
      <c r="P554" s="19">
        <v>0.0</v>
      </c>
      <c r="Q554" s="19">
        <v>26.0</v>
      </c>
      <c r="R554" s="19">
        <v>9615.0</v>
      </c>
      <c r="S554" s="20" t="s">
        <v>10328</v>
      </c>
      <c r="T554" s="20">
        <v>45461.0</v>
      </c>
      <c r="U554" s="19" t="s">
        <v>1632</v>
      </c>
      <c r="V554" s="19"/>
      <c r="W554" s="19"/>
      <c r="X554" s="21">
        <v>0.0</v>
      </c>
      <c r="Y554" s="21">
        <v>0.0</v>
      </c>
      <c r="Z554" s="21">
        <v>3.0</v>
      </c>
      <c r="AA554" s="21">
        <v>0.0</v>
      </c>
      <c r="AB554" s="5">
        <v>3.0</v>
      </c>
      <c r="AC554" s="19">
        <v>4.5</v>
      </c>
      <c r="AD554" s="19">
        <v>5.0</v>
      </c>
      <c r="AE554" s="19">
        <v>4.5</v>
      </c>
      <c r="AF554" s="19">
        <v>3.0</v>
      </c>
      <c r="AG554" s="19">
        <v>4.5</v>
      </c>
      <c r="AH554" s="19">
        <v>3.5</v>
      </c>
      <c r="AI554" s="22">
        <v>12.890625</v>
      </c>
      <c r="AJ554" s="19">
        <v>15.0</v>
      </c>
      <c r="AK554" s="19">
        <v>15.0</v>
      </c>
      <c r="AL554" s="19">
        <v>15.0</v>
      </c>
      <c r="AM554" s="19">
        <v>45.0</v>
      </c>
      <c r="AN554" s="19">
        <v>57.9</v>
      </c>
      <c r="AO554" s="19">
        <v>60.9</v>
      </c>
      <c r="AP554" s="19">
        <v>1234.0</v>
      </c>
      <c r="AQ554" s="23">
        <v>544.0</v>
      </c>
      <c r="AR554" s="23">
        <v>30.0</v>
      </c>
      <c r="AS554" s="22" t="s">
        <v>4071</v>
      </c>
      <c r="AT554" s="19" t="s">
        <v>2117</v>
      </c>
      <c r="AU554" s="19" t="s">
        <v>11386</v>
      </c>
      <c r="AV554" s="19" t="s">
        <v>11387</v>
      </c>
      <c r="AW554" s="19" t="s">
        <v>2166</v>
      </c>
      <c r="AX554" s="20">
        <v>35846.0</v>
      </c>
      <c r="AY554" s="19" t="s">
        <v>5087</v>
      </c>
      <c r="AZ554" s="19" t="s">
        <v>2122</v>
      </c>
      <c r="BA554" s="19" t="s">
        <v>11388</v>
      </c>
      <c r="BB554" s="19" t="s">
        <v>11389</v>
      </c>
      <c r="BC554" s="19" t="s">
        <v>11390</v>
      </c>
      <c r="BD554" s="19" t="s">
        <v>11391</v>
      </c>
      <c r="BE554" s="19" t="s">
        <v>11384</v>
      </c>
      <c r="BF554" s="19">
        <v>1.1992543209E10</v>
      </c>
      <c r="BG554" s="19" t="s">
        <v>2127</v>
      </c>
      <c r="BH554" s="19" t="s">
        <v>2128</v>
      </c>
      <c r="BI554" s="19"/>
      <c r="BJ554" s="19"/>
      <c r="BK554" s="19" t="s">
        <v>16</v>
      </c>
      <c r="BL554" s="19"/>
      <c r="BM554" s="19" t="s">
        <v>5411</v>
      </c>
      <c r="BN554" s="19" t="s">
        <v>17</v>
      </c>
      <c r="BO554" s="19" t="s">
        <v>2473</v>
      </c>
      <c r="BP554" s="19" t="s">
        <v>11392</v>
      </c>
      <c r="BQ554" s="19" t="s">
        <v>3832</v>
      </c>
      <c r="BR554" s="19" t="s">
        <v>3832</v>
      </c>
      <c r="BS554" s="19" t="s">
        <v>3521</v>
      </c>
      <c r="BT554" s="19" t="s">
        <v>268</v>
      </c>
      <c r="BU554" s="19" t="s">
        <v>11393</v>
      </c>
      <c r="BV554" s="19"/>
      <c r="BW554" s="19" t="s">
        <v>2113</v>
      </c>
      <c r="BX554" s="19"/>
      <c r="BY554" s="19"/>
      <c r="BZ554" s="19"/>
      <c r="CA554" s="19"/>
      <c r="CB554" s="19" t="s">
        <v>2113</v>
      </c>
      <c r="CC554" s="19"/>
      <c r="CD554" s="19" t="s">
        <v>2137</v>
      </c>
      <c r="CE554" s="19" t="s">
        <v>16</v>
      </c>
      <c r="CF554" s="19"/>
      <c r="CG554" s="19"/>
      <c r="CH554" s="19" t="s">
        <v>16</v>
      </c>
      <c r="CI554" s="21">
        <v>0.0</v>
      </c>
      <c r="CJ554" s="19" t="s">
        <v>17</v>
      </c>
      <c r="CK554" s="19"/>
      <c r="CL554" s="19"/>
      <c r="CM554" s="19" t="s">
        <v>2138</v>
      </c>
      <c r="CN554" s="19" t="s">
        <v>3835</v>
      </c>
      <c r="CO554" s="19"/>
      <c r="CP554" s="19"/>
      <c r="CQ554" s="19"/>
      <c r="CR554" s="19" t="s">
        <v>2113</v>
      </c>
      <c r="CS554" s="19" t="s">
        <v>2113</v>
      </c>
      <c r="CT554" s="19" t="s">
        <v>2113</v>
      </c>
      <c r="CU554" s="19" t="s">
        <v>2113</v>
      </c>
      <c r="CV554" s="19" t="s">
        <v>2179</v>
      </c>
      <c r="CW554" s="19" t="s">
        <v>2113</v>
      </c>
      <c r="CX554" s="19" t="s">
        <v>2113</v>
      </c>
      <c r="CY554" s="19" t="s">
        <v>2113</v>
      </c>
      <c r="CZ554" s="19" t="s">
        <v>2113</v>
      </c>
      <c r="DA554" s="19" t="s">
        <v>16</v>
      </c>
      <c r="DB554" s="19" t="s">
        <v>17</v>
      </c>
      <c r="DC554" s="19" t="s">
        <v>3836</v>
      </c>
      <c r="DD554" s="19" t="s">
        <v>2113</v>
      </c>
      <c r="DE554" s="19" t="s">
        <v>2113</v>
      </c>
      <c r="DF554" s="19" t="s">
        <v>3103</v>
      </c>
      <c r="DG554" s="19" t="s">
        <v>2433</v>
      </c>
      <c r="DH554" s="19" t="s">
        <v>2144</v>
      </c>
      <c r="DI554" s="24">
        <v>45519.0</v>
      </c>
      <c r="DJ554" s="19" t="s">
        <v>3257</v>
      </c>
      <c r="DK554" s="19" t="s">
        <v>2145</v>
      </c>
      <c r="DL554" s="19" t="s">
        <v>2207</v>
      </c>
      <c r="DM554" s="19" t="s">
        <v>9317</v>
      </c>
      <c r="DN554" s="19">
        <v>2.0</v>
      </c>
      <c r="DO554" s="19">
        <v>2.0</v>
      </c>
      <c r="DP554" s="19"/>
      <c r="DQ554" s="19"/>
      <c r="DR554" s="19"/>
      <c r="DS554" s="19" t="s">
        <v>2185</v>
      </c>
      <c r="DT554" s="19" t="s">
        <v>2301</v>
      </c>
      <c r="DU554" s="19" t="s">
        <v>11394</v>
      </c>
      <c r="DV554" s="19"/>
      <c r="DW554" s="19" t="s">
        <v>2153</v>
      </c>
      <c r="DX554" s="19">
        <v>2.0</v>
      </c>
      <c r="DY554" s="19">
        <v>0.0</v>
      </c>
      <c r="DZ554" s="19">
        <v>0.0</v>
      </c>
      <c r="EA554" s="19">
        <v>0.0</v>
      </c>
      <c r="EB554" s="19">
        <v>0.0</v>
      </c>
      <c r="EC554" s="19">
        <v>0.0</v>
      </c>
      <c r="ED554" s="19" t="s">
        <v>3257</v>
      </c>
      <c r="EE554" s="24">
        <v>45519.0</v>
      </c>
      <c r="EF554" s="19" t="s">
        <v>3257</v>
      </c>
      <c r="EG554" s="19" t="s">
        <v>2145</v>
      </c>
      <c r="EH554" s="19" t="s">
        <v>2207</v>
      </c>
      <c r="EI554" s="22">
        <v>12.890625</v>
      </c>
      <c r="EJ554" s="19">
        <v>45.0</v>
      </c>
      <c r="EK554" s="19" t="s">
        <v>2113</v>
      </c>
      <c r="EL554" s="19" t="s">
        <v>2117</v>
      </c>
      <c r="EM554" s="19" t="s">
        <v>11386</v>
      </c>
      <c r="EN554" s="19" t="s">
        <v>1634</v>
      </c>
      <c r="EO554" s="19" t="s">
        <v>5087</v>
      </c>
      <c r="EP554" s="19" t="s">
        <v>2122</v>
      </c>
      <c r="EQ554" s="19" t="s">
        <v>3835</v>
      </c>
      <c r="ER554" s="19"/>
      <c r="ES554" s="19" t="s">
        <v>1634</v>
      </c>
      <c r="ET554" s="19" t="s">
        <v>1634</v>
      </c>
      <c r="EU554" s="19" t="s">
        <v>11385</v>
      </c>
      <c r="EV554" s="19">
        <v>9615.0</v>
      </c>
      <c r="EW554" s="19" t="s">
        <v>16</v>
      </c>
      <c r="EX554" s="19">
        <v>3.0</v>
      </c>
      <c r="EY554" s="25" t="s">
        <v>1633</v>
      </c>
      <c r="EZ554" s="19" t="s">
        <v>2154</v>
      </c>
      <c r="FA554" s="5" t="s">
        <v>11395</v>
      </c>
      <c r="FB554" s="26" t="s">
        <v>2156</v>
      </c>
      <c r="FC554" s="26"/>
    </row>
    <row r="555">
      <c r="A555" s="19" t="s">
        <v>2112</v>
      </c>
      <c r="B555" s="19"/>
      <c r="C555" s="19" t="s">
        <v>2113</v>
      </c>
      <c r="D555" s="19" t="s">
        <v>1635</v>
      </c>
      <c r="E555" s="19" t="s">
        <v>1635</v>
      </c>
      <c r="F555" s="19" t="s">
        <v>1635</v>
      </c>
      <c r="G555" s="19"/>
      <c r="H555" s="19" t="s">
        <v>1635</v>
      </c>
      <c r="I555" s="19" t="s">
        <v>1637</v>
      </c>
      <c r="J555" s="19" t="s">
        <v>11396</v>
      </c>
      <c r="K555" s="19" t="s">
        <v>11397</v>
      </c>
      <c r="L555" s="20">
        <v>45460.0</v>
      </c>
      <c r="M555" s="20">
        <v>45462.0</v>
      </c>
      <c r="N555" s="20">
        <v>45462.0</v>
      </c>
      <c r="O555" s="19" t="s">
        <v>1636</v>
      </c>
      <c r="P555" s="19">
        <v>0.0</v>
      </c>
      <c r="Q555" s="19">
        <v>23.0</v>
      </c>
      <c r="R555" s="19">
        <v>8406.0</v>
      </c>
      <c r="S555" s="20" t="s">
        <v>11398</v>
      </c>
      <c r="T555" s="20">
        <v>45461.0</v>
      </c>
      <c r="U555" s="19" t="s">
        <v>1635</v>
      </c>
      <c r="V555" s="19"/>
      <c r="W555" s="19"/>
      <c r="X555" s="21">
        <v>0.0</v>
      </c>
      <c r="Y555" s="21">
        <v>0.0</v>
      </c>
      <c r="Z555" s="21">
        <v>3.0</v>
      </c>
      <c r="AA555" s="21">
        <v>0.0</v>
      </c>
      <c r="AB555" s="5">
        <v>3.0</v>
      </c>
      <c r="AC555" s="19">
        <v>5.0</v>
      </c>
      <c r="AD555" s="19">
        <v>5.0</v>
      </c>
      <c r="AE555" s="19">
        <v>5.0</v>
      </c>
      <c r="AF555" s="19">
        <v>4.0</v>
      </c>
      <c r="AG555" s="19">
        <v>4.0</v>
      </c>
      <c r="AH555" s="19">
        <v>4.0</v>
      </c>
      <c r="AI555" s="22">
        <v>13.875</v>
      </c>
      <c r="AJ555" s="19">
        <v>14.0</v>
      </c>
      <c r="AK555" s="19">
        <v>15.0</v>
      </c>
      <c r="AL555" s="19">
        <v>15.0</v>
      </c>
      <c r="AM555" s="19">
        <v>44.0</v>
      </c>
      <c r="AN555" s="19">
        <v>57.9</v>
      </c>
      <c r="AO555" s="19">
        <v>60.9</v>
      </c>
      <c r="AP555" s="19">
        <v>1270.0</v>
      </c>
      <c r="AQ555" s="23">
        <v>545.0</v>
      </c>
      <c r="AR555" s="23">
        <v>31.0</v>
      </c>
      <c r="AS555" s="22"/>
      <c r="AT555" s="19" t="s">
        <v>2117</v>
      </c>
      <c r="AU555" s="19" t="s">
        <v>11399</v>
      </c>
      <c r="AV555" s="19" t="s">
        <v>11400</v>
      </c>
      <c r="AW555" s="19" t="s">
        <v>11401</v>
      </c>
      <c r="AX555" s="20">
        <v>37055.0</v>
      </c>
      <c r="AY555" s="19" t="s">
        <v>3826</v>
      </c>
      <c r="AZ555" s="19" t="s">
        <v>2122</v>
      </c>
      <c r="BA555" s="19" t="s">
        <v>11402</v>
      </c>
      <c r="BB555" s="19" t="s">
        <v>11403</v>
      </c>
      <c r="BC555" s="19" t="s">
        <v>11404</v>
      </c>
      <c r="BD555" s="19" t="s">
        <v>11405</v>
      </c>
      <c r="BE555" s="19" t="s">
        <v>11406</v>
      </c>
      <c r="BF555" s="19">
        <v>1.193211064E10</v>
      </c>
      <c r="BG555" s="19" t="s">
        <v>4038</v>
      </c>
      <c r="BH555" s="19" t="s">
        <v>2128</v>
      </c>
      <c r="BI555" s="19"/>
      <c r="BJ555" s="19" t="s">
        <v>2128</v>
      </c>
      <c r="BK555" s="19" t="s">
        <v>17</v>
      </c>
      <c r="BL555" s="19"/>
      <c r="BM555" s="19" t="s">
        <v>5411</v>
      </c>
      <c r="BN555" s="19" t="s">
        <v>17</v>
      </c>
      <c r="BO555" s="19" t="s">
        <v>2473</v>
      </c>
      <c r="BP555" s="19" t="s">
        <v>11407</v>
      </c>
      <c r="BQ555" s="19" t="s">
        <v>3832</v>
      </c>
      <c r="BR555" s="19" t="s">
        <v>3832</v>
      </c>
      <c r="BS555" s="19" t="s">
        <v>2243</v>
      </c>
      <c r="BT555" s="19" t="s">
        <v>268</v>
      </c>
      <c r="BU555" s="19" t="s">
        <v>11408</v>
      </c>
      <c r="BV555" s="19"/>
      <c r="BW555" s="19" t="s">
        <v>2113</v>
      </c>
      <c r="BX555" s="19"/>
      <c r="BY555" s="19"/>
      <c r="BZ555" s="19"/>
      <c r="CA555" s="19"/>
      <c r="CB555" s="19" t="s">
        <v>2113</v>
      </c>
      <c r="CC555" s="19"/>
      <c r="CD555" s="19" t="s">
        <v>2137</v>
      </c>
      <c r="CE555" s="19" t="s">
        <v>16</v>
      </c>
      <c r="CF555" s="19"/>
      <c r="CG555" s="19"/>
      <c r="CH555" s="19" t="s">
        <v>16</v>
      </c>
      <c r="CI555" s="21">
        <v>0.0</v>
      </c>
      <c r="CJ555" s="19" t="s">
        <v>17</v>
      </c>
      <c r="CK555" s="19"/>
      <c r="CL555" s="19"/>
      <c r="CM555" s="19" t="s">
        <v>2138</v>
      </c>
      <c r="CN555" s="19" t="s">
        <v>3835</v>
      </c>
      <c r="CO555" s="19"/>
      <c r="CP555" s="19" t="s">
        <v>2246</v>
      </c>
      <c r="CQ555" s="19"/>
      <c r="CR555" s="19" t="s">
        <v>2113</v>
      </c>
      <c r="CS555" s="19" t="s">
        <v>2113</v>
      </c>
      <c r="CT555" s="19"/>
      <c r="CU555" s="19"/>
      <c r="CV555" s="19" t="s">
        <v>2141</v>
      </c>
      <c r="CW555" s="19" t="s">
        <v>2113</v>
      </c>
      <c r="CX555" s="19" t="s">
        <v>2113</v>
      </c>
      <c r="CY555" s="19"/>
      <c r="CZ555" s="19"/>
      <c r="DA555" s="19" t="s">
        <v>16</v>
      </c>
      <c r="DB555" s="19" t="s">
        <v>17</v>
      </c>
      <c r="DC555" s="19" t="s">
        <v>3836</v>
      </c>
      <c r="DD555" s="19" t="s">
        <v>2113</v>
      </c>
      <c r="DE555" s="19" t="s">
        <v>2113</v>
      </c>
      <c r="DF555" s="19" t="s">
        <v>3163</v>
      </c>
      <c r="DG555" s="19" t="s">
        <v>3991</v>
      </c>
      <c r="DH555" s="19" t="s">
        <v>2144</v>
      </c>
      <c r="DI555" s="24">
        <v>45519.0</v>
      </c>
      <c r="DJ555" s="19" t="s">
        <v>3257</v>
      </c>
      <c r="DK555" s="19" t="s">
        <v>2271</v>
      </c>
      <c r="DL555" s="19" t="s">
        <v>2207</v>
      </c>
      <c r="DM555" s="19" t="s">
        <v>3450</v>
      </c>
      <c r="DN555" s="19">
        <v>3.0</v>
      </c>
      <c r="DO555" s="19">
        <v>3.0</v>
      </c>
      <c r="DP555" s="19" t="s">
        <v>11409</v>
      </c>
      <c r="DQ555" s="19" t="s">
        <v>11410</v>
      </c>
      <c r="DR555" s="19" t="s">
        <v>11411</v>
      </c>
      <c r="DS555" s="19" t="s">
        <v>2185</v>
      </c>
      <c r="DT555" s="19" t="s">
        <v>2209</v>
      </c>
      <c r="DU555" s="19"/>
      <c r="DV555" s="19"/>
      <c r="DW555" s="19" t="s">
        <v>2153</v>
      </c>
      <c r="DX555" s="19">
        <v>2.0</v>
      </c>
      <c r="DY555" s="19">
        <v>0.0</v>
      </c>
      <c r="DZ555" s="19">
        <v>0.0</v>
      </c>
      <c r="EA555" s="19">
        <v>0.0</v>
      </c>
      <c r="EB555" s="19">
        <v>0.0</v>
      </c>
      <c r="EC555" s="19">
        <v>0.0</v>
      </c>
      <c r="ED555" s="19" t="s">
        <v>3257</v>
      </c>
      <c r="EE555" s="24">
        <v>45519.0</v>
      </c>
      <c r="EF555" s="19" t="s">
        <v>3257</v>
      </c>
      <c r="EG555" s="19" t="s">
        <v>2271</v>
      </c>
      <c r="EH555" s="19" t="s">
        <v>2207</v>
      </c>
      <c r="EI555" s="22">
        <v>13.875</v>
      </c>
      <c r="EJ555" s="19">
        <v>44.0</v>
      </c>
      <c r="EK555" s="19" t="s">
        <v>2113</v>
      </c>
      <c r="EL555" s="19" t="s">
        <v>2117</v>
      </c>
      <c r="EM555" s="19" t="s">
        <v>11399</v>
      </c>
      <c r="EN555" s="19" t="s">
        <v>1637</v>
      </c>
      <c r="EO555" s="19" t="s">
        <v>3826</v>
      </c>
      <c r="EP555" s="19" t="s">
        <v>2122</v>
      </c>
      <c r="EQ555" s="19" t="s">
        <v>3835</v>
      </c>
      <c r="ER555" s="19"/>
      <c r="ES555" s="19" t="s">
        <v>1637</v>
      </c>
      <c r="ET555" s="19" t="s">
        <v>1637</v>
      </c>
      <c r="EU555" s="19" t="s">
        <v>11397</v>
      </c>
      <c r="EV555" s="19">
        <v>8406.0</v>
      </c>
      <c r="EW555" s="19" t="s">
        <v>16</v>
      </c>
      <c r="EX555" s="19">
        <v>3.0</v>
      </c>
      <c r="EY555" s="25" t="s">
        <v>1636</v>
      </c>
      <c r="EZ555" s="19" t="s">
        <v>2154</v>
      </c>
      <c r="FA555" s="5" t="s">
        <v>11412</v>
      </c>
      <c r="FB555" s="26" t="s">
        <v>2156</v>
      </c>
      <c r="FC555" s="26"/>
    </row>
    <row r="556">
      <c r="A556" s="19" t="s">
        <v>2112</v>
      </c>
      <c r="B556" s="19"/>
      <c r="C556" s="19" t="s">
        <v>2113</v>
      </c>
      <c r="D556" s="19" t="s">
        <v>1638</v>
      </c>
      <c r="E556" s="19" t="s">
        <v>11413</v>
      </c>
      <c r="F556" s="19" t="s">
        <v>1638</v>
      </c>
      <c r="G556" s="19"/>
      <c r="H556" s="19" t="s">
        <v>1638</v>
      </c>
      <c r="I556" s="19" t="s">
        <v>1640</v>
      </c>
      <c r="J556" s="19" t="s">
        <v>11414</v>
      </c>
      <c r="K556" s="19" t="s">
        <v>11415</v>
      </c>
      <c r="L556" s="20">
        <v>45418.0</v>
      </c>
      <c r="M556" s="20">
        <v>45428.0</v>
      </c>
      <c r="N556" s="20">
        <v>45428.0</v>
      </c>
      <c r="O556" s="19" t="s">
        <v>1639</v>
      </c>
      <c r="P556" s="19">
        <v>0.0</v>
      </c>
      <c r="Q556" s="19">
        <v>25.0</v>
      </c>
      <c r="R556" s="19">
        <v>9288.0</v>
      </c>
      <c r="S556" s="20" t="s">
        <v>11416</v>
      </c>
      <c r="T556" s="20">
        <v>45461.0</v>
      </c>
      <c r="U556" s="19" t="s">
        <v>1638</v>
      </c>
      <c r="V556" s="19"/>
      <c r="W556" s="19" t="s">
        <v>9299</v>
      </c>
      <c r="X556" s="21">
        <v>0.0</v>
      </c>
      <c r="Y556" s="21">
        <v>0.0</v>
      </c>
      <c r="Z556" s="21">
        <v>4.0</v>
      </c>
      <c r="AA556" s="21">
        <v>0.0</v>
      </c>
      <c r="AB556" s="5">
        <v>4.0</v>
      </c>
      <c r="AC556" s="19">
        <v>5.0</v>
      </c>
      <c r="AD556" s="19">
        <v>4.0</v>
      </c>
      <c r="AE556" s="19">
        <v>4.0</v>
      </c>
      <c r="AF556" s="19">
        <v>4.0</v>
      </c>
      <c r="AG556" s="19">
        <v>4.0</v>
      </c>
      <c r="AH556" s="19">
        <v>5.0</v>
      </c>
      <c r="AI556" s="22">
        <v>12.84375</v>
      </c>
      <c r="AJ556" s="19">
        <v>14.0</v>
      </c>
      <c r="AK556" s="19">
        <v>15.0</v>
      </c>
      <c r="AL556" s="19">
        <v>15.0</v>
      </c>
      <c r="AM556" s="19">
        <v>44.0</v>
      </c>
      <c r="AN556" s="19">
        <v>56.8</v>
      </c>
      <c r="AO556" s="19">
        <v>60.8</v>
      </c>
      <c r="AP556" s="19">
        <v>1169.0</v>
      </c>
      <c r="AQ556" s="23">
        <v>546.0</v>
      </c>
      <c r="AR556" s="23">
        <v>50.0</v>
      </c>
      <c r="AS556" s="22"/>
      <c r="AT556" s="19" t="s">
        <v>2117</v>
      </c>
      <c r="AU556" s="19" t="s">
        <v>11417</v>
      </c>
      <c r="AV556" s="19" t="s">
        <v>11418</v>
      </c>
      <c r="AW556" s="19" t="s">
        <v>11419</v>
      </c>
      <c r="AX556" s="20">
        <v>36173.0</v>
      </c>
      <c r="AY556" s="19" t="s">
        <v>7951</v>
      </c>
      <c r="AZ556" s="19" t="s">
        <v>2445</v>
      </c>
      <c r="BA556" s="19" t="s">
        <v>11420</v>
      </c>
      <c r="BB556" s="19" t="s">
        <v>6884</v>
      </c>
      <c r="BC556" s="19" t="s">
        <v>11421</v>
      </c>
      <c r="BD556" s="19" t="s">
        <v>11422</v>
      </c>
      <c r="BE556" s="19" t="s">
        <v>11423</v>
      </c>
      <c r="BF556" s="19">
        <v>1.1986057583E10</v>
      </c>
      <c r="BG556" s="19" t="s">
        <v>4038</v>
      </c>
      <c r="BH556" s="19" t="s">
        <v>2128</v>
      </c>
      <c r="BI556" s="19"/>
      <c r="BJ556" s="19" t="s">
        <v>2427</v>
      </c>
      <c r="BK556" s="19" t="s">
        <v>17</v>
      </c>
      <c r="BL556" s="19"/>
      <c r="BM556" s="19" t="s">
        <v>5411</v>
      </c>
      <c r="BN556" s="19" t="s">
        <v>17</v>
      </c>
      <c r="BO556" s="19" t="s">
        <v>2317</v>
      </c>
      <c r="BP556" s="19" t="s">
        <v>11424</v>
      </c>
      <c r="BQ556" s="19" t="s">
        <v>2133</v>
      </c>
      <c r="BR556" s="19" t="s">
        <v>2133</v>
      </c>
      <c r="BS556" s="19" t="s">
        <v>2243</v>
      </c>
      <c r="BT556" s="19" t="s">
        <v>52</v>
      </c>
      <c r="BU556" s="19" t="s">
        <v>11425</v>
      </c>
      <c r="BV556" s="19"/>
      <c r="BW556" s="19"/>
      <c r="BX556" s="19"/>
      <c r="BY556" s="19" t="s">
        <v>2113</v>
      </c>
      <c r="BZ556" s="19" t="s">
        <v>2113</v>
      </c>
      <c r="CA556" s="19"/>
      <c r="CB556" s="19" t="s">
        <v>2113</v>
      </c>
      <c r="CC556" s="19"/>
      <c r="CD556" s="19" t="s">
        <v>2137</v>
      </c>
      <c r="CE556" s="19" t="s">
        <v>16</v>
      </c>
      <c r="CF556" s="19"/>
      <c r="CG556" s="19"/>
      <c r="CH556" s="19" t="s">
        <v>16</v>
      </c>
      <c r="CI556" s="21">
        <v>0.0</v>
      </c>
      <c r="CJ556" s="19" t="s">
        <v>17</v>
      </c>
      <c r="CK556" s="19"/>
      <c r="CL556" s="19"/>
      <c r="CM556" s="19" t="s">
        <v>2138</v>
      </c>
      <c r="CN556" s="19" t="s">
        <v>2382</v>
      </c>
      <c r="CO556" s="19"/>
      <c r="CP556" s="19" t="s">
        <v>2246</v>
      </c>
      <c r="CQ556" s="19"/>
      <c r="CR556" s="19" t="s">
        <v>2113</v>
      </c>
      <c r="CS556" s="19" t="s">
        <v>2113</v>
      </c>
      <c r="CT556" s="19"/>
      <c r="CU556" s="19"/>
      <c r="CV556" s="19" t="s">
        <v>2141</v>
      </c>
      <c r="CW556" s="19" t="s">
        <v>2113</v>
      </c>
      <c r="CX556" s="19" t="s">
        <v>2113</v>
      </c>
      <c r="CY556" s="19"/>
      <c r="CZ556" s="19"/>
      <c r="DA556" s="19" t="s">
        <v>16</v>
      </c>
      <c r="DB556" s="19" t="s">
        <v>17</v>
      </c>
      <c r="DC556" s="19" t="s">
        <v>2627</v>
      </c>
      <c r="DD556" s="19"/>
      <c r="DE556" s="19"/>
      <c r="DF556" s="19" t="s">
        <v>2248</v>
      </c>
      <c r="DG556" s="19" t="s">
        <v>2146</v>
      </c>
      <c r="DH556" s="19" t="s">
        <v>2144</v>
      </c>
      <c r="DI556" s="24">
        <v>45533.0</v>
      </c>
      <c r="DJ556" s="19" t="s">
        <v>2133</v>
      </c>
      <c r="DK556" s="19" t="s">
        <v>2271</v>
      </c>
      <c r="DL556" s="19" t="s">
        <v>2146</v>
      </c>
      <c r="DM556" s="19" t="s">
        <v>2906</v>
      </c>
      <c r="DN556" s="19">
        <v>18.0</v>
      </c>
      <c r="DO556" s="19">
        <v>18.0</v>
      </c>
      <c r="DP556" s="19" t="s">
        <v>11426</v>
      </c>
      <c r="DQ556" s="19" t="s">
        <v>11427</v>
      </c>
      <c r="DR556" s="19" t="s">
        <v>11428</v>
      </c>
      <c r="DS556" s="19" t="s">
        <v>2151</v>
      </c>
      <c r="DT556" s="19" t="s">
        <v>2209</v>
      </c>
      <c r="DU556" s="19"/>
      <c r="DV556" s="19"/>
      <c r="DW556" s="19" t="s">
        <v>2153</v>
      </c>
      <c r="DX556" s="19">
        <v>12.0</v>
      </c>
      <c r="DY556" s="19">
        <v>0.0</v>
      </c>
      <c r="DZ556" s="19">
        <v>0.0</v>
      </c>
      <c r="EA556" s="19">
        <v>0.0</v>
      </c>
      <c r="EB556" s="19">
        <v>0.0</v>
      </c>
      <c r="EC556" s="19">
        <v>0.0</v>
      </c>
      <c r="ED556" s="19" t="s">
        <v>2133</v>
      </c>
      <c r="EE556" s="24">
        <v>45533.0</v>
      </c>
      <c r="EF556" s="19" t="s">
        <v>2133</v>
      </c>
      <c r="EG556" s="19" t="s">
        <v>2271</v>
      </c>
      <c r="EH556" s="19" t="s">
        <v>2146</v>
      </c>
      <c r="EI556" s="22">
        <v>12.84375</v>
      </c>
      <c r="EJ556" s="19">
        <v>44.0</v>
      </c>
      <c r="EK556" s="19" t="s">
        <v>2113</v>
      </c>
      <c r="EL556" s="19" t="s">
        <v>2117</v>
      </c>
      <c r="EM556" s="19" t="s">
        <v>11417</v>
      </c>
      <c r="EN556" s="19" t="s">
        <v>1640</v>
      </c>
      <c r="EO556" s="19" t="s">
        <v>7951</v>
      </c>
      <c r="EP556" s="19" t="s">
        <v>2445</v>
      </c>
      <c r="EQ556" s="19" t="s">
        <v>2382</v>
      </c>
      <c r="ER556" s="19"/>
      <c r="ES556" s="19" t="s">
        <v>1640</v>
      </c>
      <c r="ET556" s="19" t="s">
        <v>1640</v>
      </c>
      <c r="EU556" s="19" t="s">
        <v>11415</v>
      </c>
      <c r="EV556" s="19">
        <v>9288.0</v>
      </c>
      <c r="EW556" s="19" t="s">
        <v>16</v>
      </c>
      <c r="EX556" s="19">
        <v>4.0</v>
      </c>
      <c r="EY556" s="25" t="s">
        <v>1639</v>
      </c>
      <c r="EZ556" s="19" t="s">
        <v>2154</v>
      </c>
      <c r="FA556" s="5" t="s">
        <v>11429</v>
      </c>
      <c r="FB556" s="26" t="s">
        <v>2156</v>
      </c>
      <c r="FC556" s="26"/>
    </row>
    <row r="557">
      <c r="A557" s="19" t="s">
        <v>2156</v>
      </c>
      <c r="B557" s="19"/>
      <c r="C557" s="19" t="s">
        <v>2113</v>
      </c>
      <c r="D557" s="19" t="s">
        <v>1641</v>
      </c>
      <c r="E557" s="19" t="s">
        <v>11430</v>
      </c>
      <c r="F557" s="19" t="s">
        <v>11431</v>
      </c>
      <c r="G557" s="19" t="s">
        <v>11432</v>
      </c>
      <c r="H557" s="19" t="s">
        <v>1641</v>
      </c>
      <c r="I557" s="19" t="s">
        <v>1643</v>
      </c>
      <c r="J557" s="19" t="s">
        <v>11433</v>
      </c>
      <c r="K557" s="19" t="s">
        <v>11434</v>
      </c>
      <c r="L557" s="20">
        <v>45446.0</v>
      </c>
      <c r="M557" s="20">
        <v>45447.0</v>
      </c>
      <c r="N557" s="20">
        <v>45447.0</v>
      </c>
      <c r="O557" s="19" t="s">
        <v>1642</v>
      </c>
      <c r="P557" s="19">
        <v>0.0</v>
      </c>
      <c r="Q557" s="19">
        <v>27.0</v>
      </c>
      <c r="R557" s="19">
        <v>9976.0</v>
      </c>
      <c r="S557" s="20" t="s">
        <v>11435</v>
      </c>
      <c r="T557" s="20">
        <v>45461.0</v>
      </c>
      <c r="U557" s="19" t="s">
        <v>11431</v>
      </c>
      <c r="V557" s="19"/>
      <c r="W557" s="19"/>
      <c r="X557" s="21">
        <v>0.0</v>
      </c>
      <c r="Y557" s="21">
        <v>0.0</v>
      </c>
      <c r="Z557" s="21">
        <v>3.0</v>
      </c>
      <c r="AA557" s="21">
        <v>0.0</v>
      </c>
      <c r="AB557" s="5">
        <v>3.0</v>
      </c>
      <c r="AC557" s="19">
        <v>4.0</v>
      </c>
      <c r="AD557" s="19">
        <v>4.0</v>
      </c>
      <c r="AE557" s="19">
        <v>4.5</v>
      </c>
      <c r="AF557" s="19">
        <v>4.0</v>
      </c>
      <c r="AG557" s="19">
        <v>4.5</v>
      </c>
      <c r="AH557" s="19">
        <v>4.5</v>
      </c>
      <c r="AI557" s="22">
        <v>12.75</v>
      </c>
      <c r="AJ557" s="19">
        <v>15.0</v>
      </c>
      <c r="AK557" s="19">
        <v>15.0</v>
      </c>
      <c r="AL557" s="19">
        <v>15.0</v>
      </c>
      <c r="AM557" s="19">
        <v>45.0</v>
      </c>
      <c r="AN557" s="19">
        <v>57.8</v>
      </c>
      <c r="AO557" s="19">
        <v>60.8</v>
      </c>
      <c r="AP557" s="19">
        <v>1224.0</v>
      </c>
      <c r="AQ557" s="23">
        <v>547.0</v>
      </c>
      <c r="AR557" s="23">
        <v>47.0</v>
      </c>
      <c r="AS557" s="22"/>
      <c r="AT557" s="19" t="s">
        <v>2163</v>
      </c>
      <c r="AU557" s="19" t="s">
        <v>5838</v>
      </c>
      <c r="AV557" s="19" t="s">
        <v>11436</v>
      </c>
      <c r="AW557" s="19"/>
      <c r="AX557" s="20">
        <v>35485.0</v>
      </c>
      <c r="AY557" s="19" t="s">
        <v>3053</v>
      </c>
      <c r="AZ557" s="19" t="s">
        <v>2310</v>
      </c>
      <c r="BA557" s="19" t="s">
        <v>11437</v>
      </c>
      <c r="BB557" s="19" t="s">
        <v>4516</v>
      </c>
      <c r="BC557" s="19" t="s">
        <v>11438</v>
      </c>
      <c r="BD557" s="19" t="s">
        <v>11439</v>
      </c>
      <c r="BE557" s="19" t="s">
        <v>11433</v>
      </c>
      <c r="BF557" s="19">
        <v>1.1949176326E10</v>
      </c>
      <c r="BG557" s="19" t="s">
        <v>2127</v>
      </c>
      <c r="BH557" s="19" t="s">
        <v>2128</v>
      </c>
      <c r="BI557" s="19"/>
      <c r="BJ557" s="19" t="s">
        <v>2128</v>
      </c>
      <c r="BK557" s="19" t="s">
        <v>17</v>
      </c>
      <c r="BL557" s="19"/>
      <c r="BM557" s="19" t="s">
        <v>5411</v>
      </c>
      <c r="BN557" s="19" t="s">
        <v>17</v>
      </c>
      <c r="BO557" s="19" t="s">
        <v>2473</v>
      </c>
      <c r="BP557" s="19" t="s">
        <v>11440</v>
      </c>
      <c r="BQ557" s="19" t="s">
        <v>2325</v>
      </c>
      <c r="BR557" s="19" t="s">
        <v>2325</v>
      </c>
      <c r="BS557" s="19" t="s">
        <v>3521</v>
      </c>
      <c r="BT557" s="19" t="s">
        <v>59</v>
      </c>
      <c r="BU557" s="19" t="s">
        <v>11441</v>
      </c>
      <c r="BV557" s="19"/>
      <c r="BW557" s="19" t="s">
        <v>2113</v>
      </c>
      <c r="BX557" s="19"/>
      <c r="BY557" s="19"/>
      <c r="BZ557" s="19"/>
      <c r="CA557" s="19"/>
      <c r="CB557" s="19" t="s">
        <v>2113</v>
      </c>
      <c r="CC557" s="19"/>
      <c r="CD557" s="19" t="s">
        <v>2137</v>
      </c>
      <c r="CE557" s="19" t="s">
        <v>16</v>
      </c>
      <c r="CF557" s="19"/>
      <c r="CG557" s="19"/>
      <c r="CH557" s="19" t="s">
        <v>16</v>
      </c>
      <c r="CI557" s="21">
        <v>0.0</v>
      </c>
      <c r="CJ557" s="19" t="s">
        <v>16</v>
      </c>
      <c r="CK557" s="19"/>
      <c r="CL557" s="19"/>
      <c r="CM557" s="19" t="s">
        <v>2138</v>
      </c>
      <c r="CN557" s="19" t="s">
        <v>3064</v>
      </c>
      <c r="CO557" s="19"/>
      <c r="CP557" s="19" t="s">
        <v>2140</v>
      </c>
      <c r="CQ557" s="19"/>
      <c r="CR557" s="19" t="s">
        <v>2113</v>
      </c>
      <c r="CS557" s="19" t="s">
        <v>2113</v>
      </c>
      <c r="CT557" s="19" t="s">
        <v>2113</v>
      </c>
      <c r="CU557" s="19" t="s">
        <v>2113</v>
      </c>
      <c r="CV557" s="19" t="s">
        <v>2141</v>
      </c>
      <c r="CW557" s="19" t="s">
        <v>2113</v>
      </c>
      <c r="CX557" s="19" t="s">
        <v>2113</v>
      </c>
      <c r="CY557" s="19"/>
      <c r="CZ557" s="19"/>
      <c r="DA557" s="19" t="s">
        <v>16</v>
      </c>
      <c r="DB557" s="19" t="s">
        <v>16</v>
      </c>
      <c r="DC557" s="19" t="s">
        <v>4209</v>
      </c>
      <c r="DD557" s="19" t="s">
        <v>2113</v>
      </c>
      <c r="DE557" s="19" t="s">
        <v>2113</v>
      </c>
      <c r="DF557" s="19" t="s">
        <v>2432</v>
      </c>
      <c r="DG557" s="19" t="s">
        <v>3484</v>
      </c>
      <c r="DH557" s="19" t="s">
        <v>2144</v>
      </c>
      <c r="DI557" s="24">
        <v>45519.0</v>
      </c>
      <c r="DJ557" s="19" t="s">
        <v>2325</v>
      </c>
      <c r="DK557" s="19" t="s">
        <v>2271</v>
      </c>
      <c r="DL557" s="19" t="s">
        <v>2326</v>
      </c>
      <c r="DM557" s="19"/>
      <c r="DN557" s="19">
        <v>6.0</v>
      </c>
      <c r="DO557" s="19">
        <v>6.0</v>
      </c>
      <c r="DP557" s="19" t="s">
        <v>11442</v>
      </c>
      <c r="DQ557" s="19" t="s">
        <v>11443</v>
      </c>
      <c r="DR557" s="19" t="s">
        <v>11444</v>
      </c>
      <c r="DS557" s="19" t="s">
        <v>2185</v>
      </c>
      <c r="DT557" s="19" t="s">
        <v>2229</v>
      </c>
      <c r="DU557" s="19"/>
      <c r="DV557" s="19"/>
      <c r="DW557" s="19" t="s">
        <v>2188</v>
      </c>
      <c r="DX557" s="19">
        <v>5.0</v>
      </c>
      <c r="DY557" s="19">
        <v>0.0</v>
      </c>
      <c r="DZ557" s="19">
        <v>0.0</v>
      </c>
      <c r="EA557" s="19">
        <v>0.0</v>
      </c>
      <c r="EB557" s="19">
        <v>0.0</v>
      </c>
      <c r="EC557" s="19">
        <v>0.0</v>
      </c>
      <c r="ED557" s="19" t="s">
        <v>2325</v>
      </c>
      <c r="EE557" s="24">
        <v>45519.0</v>
      </c>
      <c r="EF557" s="19" t="s">
        <v>2325</v>
      </c>
      <c r="EG557" s="19" t="s">
        <v>2271</v>
      </c>
      <c r="EH557" s="19" t="s">
        <v>2326</v>
      </c>
      <c r="EI557" s="22">
        <v>12.75</v>
      </c>
      <c r="EJ557" s="19">
        <v>45.0</v>
      </c>
      <c r="EK557" s="19"/>
      <c r="EL557" s="19" t="s">
        <v>2163</v>
      </c>
      <c r="EM557" s="19" t="s">
        <v>5838</v>
      </c>
      <c r="EN557" s="19" t="s">
        <v>1643</v>
      </c>
      <c r="EO557" s="19" t="s">
        <v>3053</v>
      </c>
      <c r="EP557" s="19" t="s">
        <v>2310</v>
      </c>
      <c r="EQ557" s="19" t="s">
        <v>3064</v>
      </c>
      <c r="ER557" s="19"/>
      <c r="ES557" s="19" t="s">
        <v>1643</v>
      </c>
      <c r="ET557" s="19" t="s">
        <v>1643</v>
      </c>
      <c r="EU557" s="19" t="s">
        <v>11434</v>
      </c>
      <c r="EV557" s="19">
        <v>9976.0</v>
      </c>
      <c r="EW557" s="19" t="s">
        <v>16</v>
      </c>
      <c r="EX557" s="19">
        <v>3.0</v>
      </c>
      <c r="EY557" s="25" t="s">
        <v>1642</v>
      </c>
      <c r="EZ557" s="19" t="s">
        <v>2154</v>
      </c>
      <c r="FA557" s="5" t="s">
        <v>11445</v>
      </c>
      <c r="FB557" s="26" t="s">
        <v>2156</v>
      </c>
      <c r="FC557" s="26"/>
    </row>
    <row r="558">
      <c r="A558" s="19" t="s">
        <v>2112</v>
      </c>
      <c r="B558" s="19"/>
      <c r="C558" s="19" t="s">
        <v>2113</v>
      </c>
      <c r="D558" s="19" t="s">
        <v>1644</v>
      </c>
      <c r="E558" s="19" t="s">
        <v>11446</v>
      </c>
      <c r="F558" s="19" t="s">
        <v>1644</v>
      </c>
      <c r="G558" s="19" t="s">
        <v>11446</v>
      </c>
      <c r="H558" s="19" t="s">
        <v>1644</v>
      </c>
      <c r="I558" s="19" t="s">
        <v>1646</v>
      </c>
      <c r="J558" s="19" t="s">
        <v>11447</v>
      </c>
      <c r="K558" s="19" t="s">
        <v>11448</v>
      </c>
      <c r="L558" s="20">
        <v>45446.0</v>
      </c>
      <c r="M558" s="20">
        <v>45447.0</v>
      </c>
      <c r="N558" s="20">
        <v>45447.0</v>
      </c>
      <c r="O558" s="19" t="s">
        <v>1645</v>
      </c>
      <c r="P558" s="19">
        <v>0.0</v>
      </c>
      <c r="Q558" s="19">
        <v>25.0</v>
      </c>
      <c r="R558" s="19">
        <v>9155.0</v>
      </c>
      <c r="S558" s="20" t="s">
        <v>11449</v>
      </c>
      <c r="T558" s="20">
        <v>45461.0</v>
      </c>
      <c r="U558" s="19" t="s">
        <v>1644</v>
      </c>
      <c r="V558" s="19"/>
      <c r="W558" s="19"/>
      <c r="X558" s="21">
        <v>0.0</v>
      </c>
      <c r="Y558" s="21">
        <v>0.0</v>
      </c>
      <c r="Z558" s="21">
        <v>3.0</v>
      </c>
      <c r="AA558" s="21">
        <v>0.0</v>
      </c>
      <c r="AB558" s="5">
        <v>3.0</v>
      </c>
      <c r="AC558" s="19">
        <v>5.0</v>
      </c>
      <c r="AD558" s="19">
        <v>5.0</v>
      </c>
      <c r="AE558" s="19">
        <v>5.0</v>
      </c>
      <c r="AF558" s="19">
        <v>5.0</v>
      </c>
      <c r="AG558" s="19">
        <v>4.5</v>
      </c>
      <c r="AH558" s="19">
        <v>5.0</v>
      </c>
      <c r="AI558" s="22">
        <v>14.8125</v>
      </c>
      <c r="AJ558" s="19">
        <v>13.0</v>
      </c>
      <c r="AK558" s="19">
        <v>15.0</v>
      </c>
      <c r="AL558" s="19">
        <v>15.0</v>
      </c>
      <c r="AM558" s="19">
        <v>43.0</v>
      </c>
      <c r="AN558" s="19">
        <v>57.8</v>
      </c>
      <c r="AO558" s="19">
        <v>60.8</v>
      </c>
      <c r="AP558" s="19">
        <v>1243.0</v>
      </c>
      <c r="AQ558" s="23">
        <v>548.0</v>
      </c>
      <c r="AR558" s="23">
        <v>35.0</v>
      </c>
      <c r="AS558" s="22"/>
      <c r="AT558" s="19" t="s">
        <v>2282</v>
      </c>
      <c r="AU558" s="19" t="s">
        <v>6418</v>
      </c>
      <c r="AV558" s="19" t="s">
        <v>11450</v>
      </c>
      <c r="AW558" s="19"/>
      <c r="AX558" s="20">
        <v>36306.0</v>
      </c>
      <c r="AY558" s="19" t="s">
        <v>3537</v>
      </c>
      <c r="AZ558" s="19" t="s">
        <v>2122</v>
      </c>
      <c r="BA558" s="19" t="s">
        <v>11451</v>
      </c>
      <c r="BB558" s="19" t="s">
        <v>7340</v>
      </c>
      <c r="BC558" s="19" t="s">
        <v>11452</v>
      </c>
      <c r="BD558" s="19" t="s">
        <v>11453</v>
      </c>
      <c r="BE558" s="19" t="s">
        <v>11454</v>
      </c>
      <c r="BF558" s="19">
        <v>1.1983224637E10</v>
      </c>
      <c r="BG558" s="19" t="s">
        <v>4038</v>
      </c>
      <c r="BH558" s="19" t="s">
        <v>2128</v>
      </c>
      <c r="BI558" s="19"/>
      <c r="BJ558" s="19" t="s">
        <v>2128</v>
      </c>
      <c r="BK558" s="19" t="s">
        <v>17</v>
      </c>
      <c r="BL558" s="19"/>
      <c r="BM558" s="19" t="s">
        <v>5411</v>
      </c>
      <c r="BN558" s="19" t="s">
        <v>17</v>
      </c>
      <c r="BO558" s="19" t="s">
        <v>2473</v>
      </c>
      <c r="BP558" s="19" t="s">
        <v>11455</v>
      </c>
      <c r="BQ558" s="19" t="s">
        <v>2133</v>
      </c>
      <c r="BR558" s="19" t="s">
        <v>2133</v>
      </c>
      <c r="BS558" s="19" t="s">
        <v>2243</v>
      </c>
      <c r="BT558" s="19" t="s">
        <v>222</v>
      </c>
      <c r="BU558" s="19" t="s">
        <v>11456</v>
      </c>
      <c r="BV558" s="19"/>
      <c r="BW558" s="19"/>
      <c r="BX558" s="19" t="s">
        <v>2113</v>
      </c>
      <c r="BY558" s="19" t="s">
        <v>2113</v>
      </c>
      <c r="BZ558" s="19" t="s">
        <v>2113</v>
      </c>
      <c r="CA558" s="19"/>
      <c r="CB558" s="19" t="s">
        <v>2113</v>
      </c>
      <c r="CC558" s="19"/>
      <c r="CD558" s="19" t="s">
        <v>2137</v>
      </c>
      <c r="CE558" s="19" t="s">
        <v>16</v>
      </c>
      <c r="CF558" s="19"/>
      <c r="CG558" s="19"/>
      <c r="CH558" s="19" t="s">
        <v>16</v>
      </c>
      <c r="CI558" s="21">
        <v>0.0</v>
      </c>
      <c r="CJ558" s="19" t="s">
        <v>16</v>
      </c>
      <c r="CK558" s="19"/>
      <c r="CL558" s="19"/>
      <c r="CM558" s="19" t="s">
        <v>2138</v>
      </c>
      <c r="CN558" s="19" t="s">
        <v>3544</v>
      </c>
      <c r="CO558" s="19"/>
      <c r="CP558" s="19" t="s">
        <v>2246</v>
      </c>
      <c r="CQ558" s="19" t="s">
        <v>2113</v>
      </c>
      <c r="CR558" s="19"/>
      <c r="CS558" s="19"/>
      <c r="CT558" s="19"/>
      <c r="CU558" s="19"/>
      <c r="CV558" s="19" t="s">
        <v>2141</v>
      </c>
      <c r="CW558" s="19" t="s">
        <v>2113</v>
      </c>
      <c r="CX558" s="19" t="s">
        <v>2113</v>
      </c>
      <c r="CY558" s="19"/>
      <c r="CZ558" s="19"/>
      <c r="DA558" s="19" t="s">
        <v>16</v>
      </c>
      <c r="DB558" s="19" t="s">
        <v>16</v>
      </c>
      <c r="DC558" s="19" t="s">
        <v>11457</v>
      </c>
      <c r="DD558" s="19" t="s">
        <v>2113</v>
      </c>
      <c r="DE558" s="19" t="s">
        <v>2113</v>
      </c>
      <c r="DF558" s="19" t="s">
        <v>2146</v>
      </c>
      <c r="DG558" s="19" t="s">
        <v>2579</v>
      </c>
      <c r="DH558" s="19" t="s">
        <v>2144</v>
      </c>
      <c r="DI558" s="24">
        <v>45532.0</v>
      </c>
      <c r="DJ558" s="19" t="s">
        <v>2133</v>
      </c>
      <c r="DK558" s="19" t="s">
        <v>2271</v>
      </c>
      <c r="DL558" s="19" t="s">
        <v>2146</v>
      </c>
      <c r="DM558" s="19" t="s">
        <v>3526</v>
      </c>
      <c r="DN558" s="19">
        <v>16.0</v>
      </c>
      <c r="DO558" s="19">
        <v>16.0</v>
      </c>
      <c r="DP558" s="19" t="s">
        <v>11458</v>
      </c>
      <c r="DQ558" s="19" t="s">
        <v>11459</v>
      </c>
      <c r="DR558" s="19" t="s">
        <v>11460</v>
      </c>
      <c r="DS558" s="19" t="s">
        <v>2151</v>
      </c>
      <c r="DT558" s="19" t="s">
        <v>2350</v>
      </c>
      <c r="DU558" s="19"/>
      <c r="DV558" s="19"/>
      <c r="DW558" s="19" t="s">
        <v>2153</v>
      </c>
      <c r="DX558" s="19">
        <v>12.0</v>
      </c>
      <c r="DY558" s="19">
        <v>0.0</v>
      </c>
      <c r="DZ558" s="19">
        <v>0.0</v>
      </c>
      <c r="EA558" s="19">
        <v>0.0</v>
      </c>
      <c r="EB558" s="19">
        <v>0.0</v>
      </c>
      <c r="EC558" s="19">
        <v>0.0</v>
      </c>
      <c r="ED558" s="19" t="s">
        <v>2133</v>
      </c>
      <c r="EE558" s="24">
        <v>45532.0</v>
      </c>
      <c r="EF558" s="19" t="s">
        <v>2133</v>
      </c>
      <c r="EG558" s="19" t="s">
        <v>2271</v>
      </c>
      <c r="EH558" s="19" t="s">
        <v>2146</v>
      </c>
      <c r="EI558" s="22">
        <v>14.8125</v>
      </c>
      <c r="EJ558" s="19">
        <v>43.0</v>
      </c>
      <c r="EK558" s="19"/>
      <c r="EL558" s="19" t="s">
        <v>2282</v>
      </c>
      <c r="EM558" s="19" t="s">
        <v>6418</v>
      </c>
      <c r="EN558" s="19" t="s">
        <v>1646</v>
      </c>
      <c r="EO558" s="19" t="s">
        <v>3537</v>
      </c>
      <c r="EP558" s="19" t="s">
        <v>2122</v>
      </c>
      <c r="EQ558" s="19" t="s">
        <v>3544</v>
      </c>
      <c r="ER558" s="19"/>
      <c r="ES558" s="19" t="s">
        <v>1646</v>
      </c>
      <c r="ET558" s="19" t="s">
        <v>1646</v>
      </c>
      <c r="EU558" s="19" t="s">
        <v>11448</v>
      </c>
      <c r="EV558" s="19">
        <v>9155.0</v>
      </c>
      <c r="EW558" s="19" t="s">
        <v>16</v>
      </c>
      <c r="EX558" s="19">
        <v>3.0</v>
      </c>
      <c r="EY558" s="25" t="s">
        <v>1645</v>
      </c>
      <c r="EZ558" s="19" t="s">
        <v>2154</v>
      </c>
      <c r="FA558" s="5" t="s">
        <v>11461</v>
      </c>
      <c r="FB558" s="26" t="s">
        <v>2156</v>
      </c>
      <c r="FC558" s="26"/>
    </row>
    <row r="559">
      <c r="A559" s="19" t="s">
        <v>2112</v>
      </c>
      <c r="B559" s="19"/>
      <c r="C559" s="19" t="s">
        <v>2113</v>
      </c>
      <c r="D559" s="19" t="s">
        <v>1647</v>
      </c>
      <c r="E559" s="19" t="s">
        <v>11462</v>
      </c>
      <c r="F559" s="19" t="s">
        <v>11463</v>
      </c>
      <c r="G559" s="19" t="s">
        <v>11462</v>
      </c>
      <c r="H559" s="19" t="s">
        <v>1647</v>
      </c>
      <c r="I559" s="19" t="s">
        <v>1649</v>
      </c>
      <c r="J559" s="19" t="s">
        <v>11464</v>
      </c>
      <c r="K559" s="19" t="s">
        <v>11465</v>
      </c>
      <c r="L559" s="20">
        <v>45446.0</v>
      </c>
      <c r="M559" s="20">
        <v>45447.0</v>
      </c>
      <c r="N559" s="20">
        <v>45447.0</v>
      </c>
      <c r="O559" s="19" t="s">
        <v>1648</v>
      </c>
      <c r="P559" s="19">
        <v>0.0</v>
      </c>
      <c r="Q559" s="19">
        <v>20.0</v>
      </c>
      <c r="R559" s="19">
        <v>7393.0</v>
      </c>
      <c r="S559" s="20" t="s">
        <v>11466</v>
      </c>
      <c r="T559" s="20">
        <v>45461.0</v>
      </c>
      <c r="U559" s="19" t="s">
        <v>11463</v>
      </c>
      <c r="V559" s="19"/>
      <c r="W559" s="19" t="s">
        <v>9151</v>
      </c>
      <c r="X559" s="21">
        <v>0.0</v>
      </c>
      <c r="Y559" s="21">
        <v>10.0</v>
      </c>
      <c r="Z559" s="21">
        <v>5.0</v>
      </c>
      <c r="AA559" s="21">
        <v>0.0</v>
      </c>
      <c r="AB559" s="5">
        <v>15.0</v>
      </c>
      <c r="AC559" s="19">
        <v>5.0</v>
      </c>
      <c r="AD559" s="19">
        <v>5.0</v>
      </c>
      <c r="AE559" s="19">
        <v>5.0</v>
      </c>
      <c r="AF559" s="19">
        <v>5.0</v>
      </c>
      <c r="AG559" s="19">
        <v>5.0</v>
      </c>
      <c r="AH559" s="19">
        <v>4.0</v>
      </c>
      <c r="AI559" s="22">
        <v>14.625</v>
      </c>
      <c r="AJ559" s="19">
        <v>13.0</v>
      </c>
      <c r="AK559" s="19">
        <v>10.0</v>
      </c>
      <c r="AL559" s="19">
        <v>8.0</v>
      </c>
      <c r="AM559" s="19">
        <v>31.0</v>
      </c>
      <c r="AN559" s="19">
        <v>45.6</v>
      </c>
      <c r="AO559" s="19">
        <v>60.6</v>
      </c>
      <c r="AP559" s="19">
        <v>511.0</v>
      </c>
      <c r="AQ559" s="23">
        <v>549.0</v>
      </c>
      <c r="AR559" s="23">
        <v>54.0</v>
      </c>
      <c r="AS559" s="22"/>
      <c r="AT559" s="19" t="s">
        <v>2163</v>
      </c>
      <c r="AU559" s="19" t="s">
        <v>11467</v>
      </c>
      <c r="AV559" s="19" t="s">
        <v>11468</v>
      </c>
      <c r="AW559" s="19" t="s">
        <v>9811</v>
      </c>
      <c r="AX559" s="20">
        <v>38068.0</v>
      </c>
      <c r="AY559" s="19" t="s">
        <v>2121</v>
      </c>
      <c r="AZ559" s="19" t="s">
        <v>2122</v>
      </c>
      <c r="BA559" s="19" t="s">
        <v>11469</v>
      </c>
      <c r="BB559" s="19" t="s">
        <v>9811</v>
      </c>
      <c r="BC559" s="19" t="s">
        <v>11470</v>
      </c>
      <c r="BD559" s="19" t="s">
        <v>11471</v>
      </c>
      <c r="BE559" s="19" t="s">
        <v>11472</v>
      </c>
      <c r="BF559" s="19">
        <v>1.1985255732E10</v>
      </c>
      <c r="BG559" s="19" t="s">
        <v>2127</v>
      </c>
      <c r="BH559" s="19" t="s">
        <v>2128</v>
      </c>
      <c r="BI559" s="19"/>
      <c r="BJ559" s="19"/>
      <c r="BK559" s="19" t="s">
        <v>16</v>
      </c>
      <c r="BL559" s="19"/>
      <c r="BM559" s="19" t="s">
        <v>5411</v>
      </c>
      <c r="BN559" s="19" t="s">
        <v>2401</v>
      </c>
      <c r="BO559" s="19" t="s">
        <v>2132</v>
      </c>
      <c r="BP559" s="19"/>
      <c r="BQ559" s="19" t="s">
        <v>2133</v>
      </c>
      <c r="BR559" s="19" t="s">
        <v>2133</v>
      </c>
      <c r="BS559" s="19" t="s">
        <v>2243</v>
      </c>
      <c r="BT559" s="19" t="s">
        <v>15</v>
      </c>
      <c r="BU559" s="19" t="s">
        <v>11473</v>
      </c>
      <c r="BV559" s="19"/>
      <c r="BW559" s="19" t="s">
        <v>2113</v>
      </c>
      <c r="BX559" s="19"/>
      <c r="BY559" s="19"/>
      <c r="BZ559" s="19"/>
      <c r="CA559" s="19"/>
      <c r="CB559" s="19" t="s">
        <v>2113</v>
      </c>
      <c r="CC559" s="19"/>
      <c r="CD559" s="19" t="s">
        <v>2137</v>
      </c>
      <c r="CE559" s="19" t="s">
        <v>16</v>
      </c>
      <c r="CF559" s="19"/>
      <c r="CG559" s="19"/>
      <c r="CH559" s="19" t="s">
        <v>16</v>
      </c>
      <c r="CI559" s="21">
        <v>0.0</v>
      </c>
      <c r="CJ559" s="19" t="s">
        <v>17</v>
      </c>
      <c r="CK559" s="19"/>
      <c r="CL559" s="19"/>
      <c r="CM559" s="19" t="s">
        <v>2344</v>
      </c>
      <c r="CN559" s="19" t="s">
        <v>2139</v>
      </c>
      <c r="CO559" s="19"/>
      <c r="CP559" s="19" t="s">
        <v>2267</v>
      </c>
      <c r="CQ559" s="19"/>
      <c r="CR559" s="19" t="s">
        <v>2113</v>
      </c>
      <c r="CS559" s="19" t="s">
        <v>2113</v>
      </c>
      <c r="CT559" s="19" t="s">
        <v>2113</v>
      </c>
      <c r="CU559" s="19" t="s">
        <v>2113</v>
      </c>
      <c r="CV559" s="19" t="s">
        <v>2141</v>
      </c>
      <c r="CW559" s="19" t="s">
        <v>2113</v>
      </c>
      <c r="CX559" s="19" t="s">
        <v>2113</v>
      </c>
      <c r="CY559" s="19" t="s">
        <v>2113</v>
      </c>
      <c r="CZ559" s="19" t="s">
        <v>2113</v>
      </c>
      <c r="DA559" s="19" t="s">
        <v>16</v>
      </c>
      <c r="DB559" s="19" t="s">
        <v>17</v>
      </c>
      <c r="DC559" s="19" t="s">
        <v>2406</v>
      </c>
      <c r="DD559" s="19" t="s">
        <v>2113</v>
      </c>
      <c r="DE559" s="19" t="s">
        <v>2113</v>
      </c>
      <c r="DF559" s="19" t="s">
        <v>2142</v>
      </c>
      <c r="DG559" s="19" t="s">
        <v>3525</v>
      </c>
      <c r="DH559" s="19" t="s">
        <v>2144</v>
      </c>
      <c r="DI559" s="24">
        <v>45525.0</v>
      </c>
      <c r="DJ559" s="19" t="s">
        <v>2133</v>
      </c>
      <c r="DK559" s="19" t="s">
        <v>2271</v>
      </c>
      <c r="DL559" s="19" t="s">
        <v>2146</v>
      </c>
      <c r="DM559" s="19" t="s">
        <v>2408</v>
      </c>
      <c r="DN559" s="19">
        <v>10.0</v>
      </c>
      <c r="DO559" s="19">
        <v>10.0</v>
      </c>
      <c r="DP559" s="19" t="s">
        <v>11474</v>
      </c>
      <c r="DQ559" s="19" t="s">
        <v>11475</v>
      </c>
      <c r="DR559" s="19" t="s">
        <v>11476</v>
      </c>
      <c r="DS559" s="19" t="s">
        <v>2365</v>
      </c>
      <c r="DT559" s="19" t="s">
        <v>2209</v>
      </c>
      <c r="DU559" s="19"/>
      <c r="DV559" s="19"/>
      <c r="DW559" s="19" t="s">
        <v>2153</v>
      </c>
      <c r="DX559" s="19">
        <v>8.0</v>
      </c>
      <c r="DY559" s="19">
        <v>10.0</v>
      </c>
      <c r="DZ559" s="19">
        <v>0.0</v>
      </c>
      <c r="EA559" s="19">
        <v>10.0</v>
      </c>
      <c r="EB559" s="19">
        <v>0.0</v>
      </c>
      <c r="EC559" s="19">
        <v>0.0</v>
      </c>
      <c r="ED559" s="19" t="s">
        <v>2133</v>
      </c>
      <c r="EE559" s="24">
        <v>45525.0</v>
      </c>
      <c r="EF559" s="19" t="s">
        <v>2133</v>
      </c>
      <c r="EG559" s="19" t="s">
        <v>2271</v>
      </c>
      <c r="EH559" s="19" t="s">
        <v>2146</v>
      </c>
      <c r="EI559" s="22">
        <v>14.625</v>
      </c>
      <c r="EJ559" s="19">
        <v>31.0</v>
      </c>
      <c r="EK559" s="19" t="s">
        <v>2113</v>
      </c>
      <c r="EL559" s="19" t="s">
        <v>2163</v>
      </c>
      <c r="EM559" s="19" t="s">
        <v>11467</v>
      </c>
      <c r="EN559" s="19" t="s">
        <v>1649</v>
      </c>
      <c r="EO559" s="19" t="s">
        <v>2121</v>
      </c>
      <c r="EP559" s="19" t="s">
        <v>2122</v>
      </c>
      <c r="EQ559" s="19" t="s">
        <v>2139</v>
      </c>
      <c r="ER559" s="19"/>
      <c r="ES559" s="19" t="s">
        <v>1649</v>
      </c>
      <c r="ET559" s="19" t="s">
        <v>1649</v>
      </c>
      <c r="EU559" s="19" t="s">
        <v>11465</v>
      </c>
      <c r="EV559" s="19">
        <v>7393.0</v>
      </c>
      <c r="EW559" s="19" t="s">
        <v>16</v>
      </c>
      <c r="EX559" s="19">
        <v>5.0</v>
      </c>
      <c r="EY559" s="25" t="s">
        <v>1648</v>
      </c>
      <c r="EZ559" s="19" t="s">
        <v>2154</v>
      </c>
      <c r="FA559" s="5" t="s">
        <v>11477</v>
      </c>
      <c r="FB559" s="26" t="s">
        <v>2156</v>
      </c>
      <c r="FC559" s="26"/>
    </row>
    <row r="560">
      <c r="A560" s="19" t="s">
        <v>2156</v>
      </c>
      <c r="B560" s="19"/>
      <c r="C560" s="19" t="s">
        <v>2113</v>
      </c>
      <c r="D560" s="19" t="s">
        <v>1650</v>
      </c>
      <c r="E560" s="19" t="s">
        <v>11478</v>
      </c>
      <c r="F560" s="19" t="s">
        <v>1650</v>
      </c>
      <c r="G560" s="19"/>
      <c r="H560" s="19" t="s">
        <v>1650</v>
      </c>
      <c r="I560" s="19" t="s">
        <v>1652</v>
      </c>
      <c r="J560" s="19" t="s">
        <v>11479</v>
      </c>
      <c r="K560" s="19" t="s">
        <v>11480</v>
      </c>
      <c r="L560" s="20">
        <v>45460.0</v>
      </c>
      <c r="M560" s="20">
        <v>45462.0</v>
      </c>
      <c r="N560" s="20">
        <v>45462.0</v>
      </c>
      <c r="O560" s="19" t="s">
        <v>1651</v>
      </c>
      <c r="P560" s="19">
        <v>0.0</v>
      </c>
      <c r="Q560" s="19">
        <v>21.0</v>
      </c>
      <c r="R560" s="19">
        <v>7992.0</v>
      </c>
      <c r="S560" s="20" t="s">
        <v>11481</v>
      </c>
      <c r="T560" s="20">
        <v>45461.0</v>
      </c>
      <c r="U560" s="19" t="s">
        <v>1650</v>
      </c>
      <c r="V560" s="19"/>
      <c r="W560" s="19"/>
      <c r="X560" s="21">
        <v>0.0</v>
      </c>
      <c r="Y560" s="21">
        <v>0.0</v>
      </c>
      <c r="Z560" s="21">
        <v>5.0</v>
      </c>
      <c r="AA560" s="21">
        <v>0.0</v>
      </c>
      <c r="AB560" s="5">
        <v>5.0</v>
      </c>
      <c r="AC560" s="19">
        <v>5.0</v>
      </c>
      <c r="AD560" s="19">
        <v>5.0</v>
      </c>
      <c r="AE560" s="19">
        <v>5.0</v>
      </c>
      <c r="AF560" s="19">
        <v>4.5</v>
      </c>
      <c r="AG560" s="19">
        <v>4.5</v>
      </c>
      <c r="AH560" s="19">
        <v>5.0</v>
      </c>
      <c r="AI560" s="22">
        <v>14.625</v>
      </c>
      <c r="AJ560" s="19">
        <v>13.0</v>
      </c>
      <c r="AK560" s="19">
        <v>15.0</v>
      </c>
      <c r="AL560" s="19">
        <v>13.0</v>
      </c>
      <c r="AM560" s="19">
        <v>41.0</v>
      </c>
      <c r="AN560" s="19">
        <v>55.6</v>
      </c>
      <c r="AO560" s="19">
        <v>60.6</v>
      </c>
      <c r="AP560" s="19">
        <v>1100.0</v>
      </c>
      <c r="AQ560" s="23">
        <v>550.0</v>
      </c>
      <c r="AR560" s="23">
        <v>48.0</v>
      </c>
      <c r="AS560" s="22"/>
      <c r="AT560" s="19" t="s">
        <v>2163</v>
      </c>
      <c r="AU560" s="19" t="s">
        <v>11482</v>
      </c>
      <c r="AV560" s="19" t="s">
        <v>11483</v>
      </c>
      <c r="AW560" s="19" t="s">
        <v>2621</v>
      </c>
      <c r="AX560" s="20">
        <v>37469.0</v>
      </c>
      <c r="AY560" s="19" t="s">
        <v>2421</v>
      </c>
      <c r="AZ560" s="19" t="s">
        <v>2122</v>
      </c>
      <c r="BA560" s="19" t="s">
        <v>11484</v>
      </c>
      <c r="BB560" s="19" t="s">
        <v>2621</v>
      </c>
      <c r="BC560" s="19" t="s">
        <v>11485</v>
      </c>
      <c r="BD560" s="19" t="s">
        <v>11486</v>
      </c>
      <c r="BE560" s="19" t="s">
        <v>11479</v>
      </c>
      <c r="BF560" s="19" t="s">
        <v>11487</v>
      </c>
      <c r="BG560" s="19" t="s">
        <v>4038</v>
      </c>
      <c r="BH560" s="19" t="s">
        <v>2649</v>
      </c>
      <c r="BI560" s="19"/>
      <c r="BJ560" s="19" t="s">
        <v>2128</v>
      </c>
      <c r="BK560" s="19" t="s">
        <v>17</v>
      </c>
      <c r="BL560" s="19"/>
      <c r="BM560" s="19" t="s">
        <v>5563</v>
      </c>
      <c r="BN560" s="19" t="s">
        <v>4275</v>
      </c>
      <c r="BO560" s="19" t="s">
        <v>2132</v>
      </c>
      <c r="BP560" s="19" t="s">
        <v>11488</v>
      </c>
      <c r="BQ560" s="19" t="s">
        <v>2325</v>
      </c>
      <c r="BR560" s="19" t="s">
        <v>2325</v>
      </c>
      <c r="BS560" s="19" t="s">
        <v>2134</v>
      </c>
      <c r="BT560" s="19" t="s">
        <v>59</v>
      </c>
      <c r="BU560" s="19" t="s">
        <v>11489</v>
      </c>
      <c r="BV560" s="19"/>
      <c r="BW560" s="19"/>
      <c r="BX560" s="19"/>
      <c r="BY560" s="19" t="s">
        <v>2113</v>
      </c>
      <c r="BZ560" s="19" t="s">
        <v>2113</v>
      </c>
      <c r="CA560" s="19"/>
      <c r="CB560" s="19" t="s">
        <v>2113</v>
      </c>
      <c r="CC560" s="19"/>
      <c r="CD560" s="19" t="s">
        <v>2137</v>
      </c>
      <c r="CE560" s="19" t="s">
        <v>16</v>
      </c>
      <c r="CF560" s="19"/>
      <c r="CG560" s="19"/>
      <c r="CH560" s="19" t="s">
        <v>16</v>
      </c>
      <c r="CI560" s="21">
        <v>0.0</v>
      </c>
      <c r="CJ560" s="19" t="s">
        <v>17</v>
      </c>
      <c r="CK560" s="19"/>
      <c r="CL560" s="19"/>
      <c r="CM560" s="19" t="s">
        <v>2138</v>
      </c>
      <c r="CN560" s="19" t="s">
        <v>2431</v>
      </c>
      <c r="CO560" s="19"/>
      <c r="CP560" s="19" t="s">
        <v>2246</v>
      </c>
      <c r="CQ560" s="19"/>
      <c r="CR560" s="19" t="s">
        <v>2113</v>
      </c>
      <c r="CS560" s="19" t="s">
        <v>2113</v>
      </c>
      <c r="CT560" s="19" t="s">
        <v>2113</v>
      </c>
      <c r="CU560" s="19" t="s">
        <v>2113</v>
      </c>
      <c r="CV560" s="19" t="s">
        <v>2141</v>
      </c>
      <c r="CW560" s="19" t="s">
        <v>2113</v>
      </c>
      <c r="CX560" s="19" t="s">
        <v>2113</v>
      </c>
      <c r="CY560" s="19" t="s">
        <v>2113</v>
      </c>
      <c r="CZ560" s="19" t="s">
        <v>2113</v>
      </c>
      <c r="DA560" s="19" t="s">
        <v>16</v>
      </c>
      <c r="DB560" s="19" t="s">
        <v>17</v>
      </c>
      <c r="DC560" s="19" t="s">
        <v>2497</v>
      </c>
      <c r="DD560" s="19" t="s">
        <v>2113</v>
      </c>
      <c r="DE560" s="19" t="s">
        <v>2113</v>
      </c>
      <c r="DF560" s="19" t="s">
        <v>2433</v>
      </c>
      <c r="DG560" s="19" t="s">
        <v>2496</v>
      </c>
      <c r="DH560" s="19" t="s">
        <v>2144</v>
      </c>
      <c r="DI560" s="24">
        <v>45518.0</v>
      </c>
      <c r="DJ560" s="19" t="s">
        <v>2325</v>
      </c>
      <c r="DK560" s="19" t="s">
        <v>2145</v>
      </c>
      <c r="DL560" s="19" t="s">
        <v>2326</v>
      </c>
      <c r="DM560" s="19"/>
      <c r="DN560" s="19">
        <v>3.0</v>
      </c>
      <c r="DO560" s="19">
        <v>3.0</v>
      </c>
      <c r="DP560" s="19" t="s">
        <v>11490</v>
      </c>
      <c r="DQ560" s="19" t="s">
        <v>11491</v>
      </c>
      <c r="DR560" s="19" t="s">
        <v>11492</v>
      </c>
      <c r="DS560" s="19" t="s">
        <v>2185</v>
      </c>
      <c r="DT560" s="19" t="s">
        <v>2350</v>
      </c>
      <c r="DU560" s="19"/>
      <c r="DV560" s="19"/>
      <c r="DW560" s="19" t="s">
        <v>2153</v>
      </c>
      <c r="DX560" s="19">
        <v>3.0</v>
      </c>
      <c r="DY560" s="19">
        <v>0.0</v>
      </c>
      <c r="DZ560" s="19">
        <v>0.0</v>
      </c>
      <c r="EA560" s="19">
        <v>0.0</v>
      </c>
      <c r="EB560" s="19">
        <v>0.0</v>
      </c>
      <c r="EC560" s="19">
        <v>0.0</v>
      </c>
      <c r="ED560" s="19" t="s">
        <v>2325</v>
      </c>
      <c r="EE560" s="24">
        <v>45518.0</v>
      </c>
      <c r="EF560" s="19" t="s">
        <v>2325</v>
      </c>
      <c r="EG560" s="19" t="s">
        <v>2145</v>
      </c>
      <c r="EH560" s="19" t="s">
        <v>2326</v>
      </c>
      <c r="EI560" s="22">
        <v>14.625</v>
      </c>
      <c r="EJ560" s="19">
        <v>41.0</v>
      </c>
      <c r="EK560" s="19" t="s">
        <v>2113</v>
      </c>
      <c r="EL560" s="19" t="s">
        <v>2163</v>
      </c>
      <c r="EM560" s="19" t="s">
        <v>11482</v>
      </c>
      <c r="EN560" s="19" t="s">
        <v>1652</v>
      </c>
      <c r="EO560" s="19" t="s">
        <v>2421</v>
      </c>
      <c r="EP560" s="19" t="s">
        <v>2122</v>
      </c>
      <c r="EQ560" s="19" t="s">
        <v>2431</v>
      </c>
      <c r="ER560" s="19"/>
      <c r="ES560" s="19" t="s">
        <v>1652</v>
      </c>
      <c r="ET560" s="19" t="s">
        <v>1652</v>
      </c>
      <c r="EU560" s="19" t="s">
        <v>11480</v>
      </c>
      <c r="EV560" s="19">
        <v>7992.0</v>
      </c>
      <c r="EW560" s="19" t="s">
        <v>16</v>
      </c>
      <c r="EX560" s="19">
        <v>5.0</v>
      </c>
      <c r="EY560" s="25" t="s">
        <v>1651</v>
      </c>
      <c r="EZ560" s="19" t="s">
        <v>2154</v>
      </c>
      <c r="FA560" s="5" t="s">
        <v>11493</v>
      </c>
      <c r="FB560" s="26" t="s">
        <v>2156</v>
      </c>
      <c r="FC560" s="26"/>
    </row>
    <row r="561">
      <c r="A561" s="19" t="s">
        <v>11494</v>
      </c>
      <c r="B561" s="19"/>
      <c r="C561" s="19" t="s">
        <v>2113</v>
      </c>
      <c r="D561" s="19" t="s">
        <v>11495</v>
      </c>
      <c r="E561" s="19" t="s">
        <v>11496</v>
      </c>
      <c r="F561" s="19" t="s">
        <v>1653</v>
      </c>
      <c r="G561" s="19" t="s">
        <v>11497</v>
      </c>
      <c r="H561" s="19" t="s">
        <v>1653</v>
      </c>
      <c r="I561" s="19" t="s">
        <v>1655</v>
      </c>
      <c r="J561" s="19" t="s">
        <v>11498</v>
      </c>
      <c r="K561" s="19" t="s">
        <v>11499</v>
      </c>
      <c r="L561" s="20">
        <v>45446.0</v>
      </c>
      <c r="M561" s="20">
        <v>45447.0</v>
      </c>
      <c r="N561" s="20">
        <v>45447.0</v>
      </c>
      <c r="O561" s="19" t="s">
        <v>1654</v>
      </c>
      <c r="P561" s="19">
        <v>0.0</v>
      </c>
      <c r="Q561" s="19">
        <v>23.0</v>
      </c>
      <c r="R561" s="19">
        <v>8682.0</v>
      </c>
      <c r="S561" s="20" t="s">
        <v>10882</v>
      </c>
      <c r="T561" s="20">
        <v>45461.0</v>
      </c>
      <c r="U561" s="19" t="s">
        <v>1653</v>
      </c>
      <c r="V561" s="19"/>
      <c r="W561" s="19" t="s">
        <v>11500</v>
      </c>
      <c r="X561" s="21">
        <v>0.0</v>
      </c>
      <c r="Y561" s="21">
        <v>0.0</v>
      </c>
      <c r="Z561" s="21">
        <v>2.0</v>
      </c>
      <c r="AA561" s="21">
        <v>2.0</v>
      </c>
      <c r="AB561" s="5">
        <v>4.0</v>
      </c>
      <c r="AC561" s="19">
        <v>5.0</v>
      </c>
      <c r="AD561" s="19">
        <v>5.0</v>
      </c>
      <c r="AE561" s="19">
        <v>5.0</v>
      </c>
      <c r="AF561" s="19">
        <v>5.0</v>
      </c>
      <c r="AG561" s="19">
        <v>5.0</v>
      </c>
      <c r="AH561" s="19">
        <v>4.0</v>
      </c>
      <c r="AI561" s="22">
        <v>14.625</v>
      </c>
      <c r="AJ561" s="19">
        <v>13.0</v>
      </c>
      <c r="AK561" s="19">
        <v>15.0</v>
      </c>
      <c r="AL561" s="19">
        <v>14.0</v>
      </c>
      <c r="AM561" s="19">
        <v>42.0</v>
      </c>
      <c r="AN561" s="19">
        <v>56.6</v>
      </c>
      <c r="AO561" s="19">
        <v>60.6</v>
      </c>
      <c r="AP561" s="19">
        <v>1213.0</v>
      </c>
      <c r="AQ561" s="23">
        <v>551.0</v>
      </c>
      <c r="AR561" s="23">
        <v>36.0</v>
      </c>
      <c r="AS561" s="22"/>
      <c r="AT561" s="19" t="s">
        <v>2282</v>
      </c>
      <c r="AU561" s="19" t="s">
        <v>7981</v>
      </c>
      <c r="AV561" s="19" t="s">
        <v>11501</v>
      </c>
      <c r="AW561" s="19" t="s">
        <v>11502</v>
      </c>
      <c r="AX561" s="20">
        <v>36779.0</v>
      </c>
      <c r="AY561" s="19" t="s">
        <v>7984</v>
      </c>
      <c r="AZ561" s="19" t="s">
        <v>2554</v>
      </c>
      <c r="BA561" s="19" t="s">
        <v>11503</v>
      </c>
      <c r="BB561" s="19" t="s">
        <v>5890</v>
      </c>
      <c r="BC561" s="19" t="s">
        <v>11504</v>
      </c>
      <c r="BD561" s="19" t="s">
        <v>11505</v>
      </c>
      <c r="BE561" s="19" t="s">
        <v>11498</v>
      </c>
      <c r="BF561" s="19">
        <v>1.1970317318E10</v>
      </c>
      <c r="BG561" s="19" t="s">
        <v>4316</v>
      </c>
      <c r="BH561" s="19" t="s">
        <v>2128</v>
      </c>
      <c r="BI561" s="19"/>
      <c r="BJ561" s="19" t="s">
        <v>2128</v>
      </c>
      <c r="BK561" s="19" t="s">
        <v>17</v>
      </c>
      <c r="BL561" s="19" t="s">
        <v>2113</v>
      </c>
      <c r="BM561" s="19" t="s">
        <v>5563</v>
      </c>
      <c r="BN561" s="19" t="s">
        <v>11506</v>
      </c>
      <c r="BO561" s="19" t="s">
        <v>3199</v>
      </c>
      <c r="BP561" s="19" t="s">
        <v>11507</v>
      </c>
      <c r="BQ561" s="19" t="s">
        <v>2133</v>
      </c>
      <c r="BR561" s="19" t="s">
        <v>2133</v>
      </c>
      <c r="BS561" s="19" t="s">
        <v>2134</v>
      </c>
      <c r="BT561" s="19" t="s">
        <v>222</v>
      </c>
      <c r="BU561" s="19" t="s">
        <v>5057</v>
      </c>
      <c r="BV561" s="19"/>
      <c r="BW561" s="19"/>
      <c r="BX561" s="19"/>
      <c r="BY561" s="19"/>
      <c r="BZ561" s="19" t="s">
        <v>2113</v>
      </c>
      <c r="CA561" s="19"/>
      <c r="CB561" s="19"/>
      <c r="CC561" s="19" t="s">
        <v>2113</v>
      </c>
      <c r="CD561" s="19" t="s">
        <v>2137</v>
      </c>
      <c r="CE561" s="19" t="s">
        <v>16</v>
      </c>
      <c r="CF561" s="19"/>
      <c r="CG561" s="19"/>
      <c r="CH561" s="19" t="s">
        <v>16</v>
      </c>
      <c r="CI561" s="21">
        <v>0.0</v>
      </c>
      <c r="CJ561" s="19" t="s">
        <v>16</v>
      </c>
      <c r="CK561" s="19"/>
      <c r="CL561" s="19"/>
      <c r="CM561" s="19" t="s">
        <v>2344</v>
      </c>
      <c r="CN561" s="19" t="s">
        <v>4465</v>
      </c>
      <c r="CO561" s="19"/>
      <c r="CP561" s="19" t="s">
        <v>2246</v>
      </c>
      <c r="CQ561" s="19"/>
      <c r="CR561" s="19"/>
      <c r="CS561" s="19"/>
      <c r="CT561" s="19" t="s">
        <v>2113</v>
      </c>
      <c r="CU561" s="19" t="s">
        <v>2113</v>
      </c>
      <c r="CV561" s="19" t="s">
        <v>2179</v>
      </c>
      <c r="CW561" s="19"/>
      <c r="CX561" s="19"/>
      <c r="CY561" s="19"/>
      <c r="CZ561" s="19"/>
      <c r="DA561" s="19" t="s">
        <v>16</v>
      </c>
      <c r="DB561" s="19" t="s">
        <v>16</v>
      </c>
      <c r="DC561" s="19" t="s">
        <v>2671</v>
      </c>
      <c r="DD561" s="19" t="s">
        <v>2113</v>
      </c>
      <c r="DE561" s="19" t="s">
        <v>2113</v>
      </c>
      <c r="DF561" s="19" t="s">
        <v>2579</v>
      </c>
      <c r="DG561" s="19" t="s">
        <v>2433</v>
      </c>
      <c r="DH561" s="19" t="s">
        <v>2144</v>
      </c>
      <c r="DI561" s="24">
        <v>45519.0</v>
      </c>
      <c r="DJ561" s="19" t="s">
        <v>2133</v>
      </c>
      <c r="DK561" s="19" t="s">
        <v>2145</v>
      </c>
      <c r="DL561" s="19" t="s">
        <v>2146</v>
      </c>
      <c r="DM561" s="19"/>
      <c r="DN561" s="19">
        <v>5.0</v>
      </c>
      <c r="DO561" s="19">
        <v>5.0</v>
      </c>
      <c r="DP561" s="19"/>
      <c r="DQ561" s="19"/>
      <c r="DR561" s="19"/>
      <c r="DS561" s="19" t="s">
        <v>2185</v>
      </c>
      <c r="DT561" s="19" t="s">
        <v>2350</v>
      </c>
      <c r="DU561" s="19" t="s">
        <v>11508</v>
      </c>
      <c r="DV561" s="19"/>
      <c r="DW561" s="19" t="s">
        <v>2188</v>
      </c>
      <c r="DX561" s="19">
        <v>5.0</v>
      </c>
      <c r="DY561" s="19">
        <v>0.0</v>
      </c>
      <c r="DZ561" s="19">
        <v>2.0</v>
      </c>
      <c r="EA561" s="19">
        <v>0.0</v>
      </c>
      <c r="EB561" s="19">
        <v>0.0</v>
      </c>
      <c r="EC561" s="19">
        <v>0.0</v>
      </c>
      <c r="ED561" s="19" t="s">
        <v>2133</v>
      </c>
      <c r="EE561" s="24">
        <v>45519.0</v>
      </c>
      <c r="EF561" s="19" t="s">
        <v>2133</v>
      </c>
      <c r="EG561" s="19" t="s">
        <v>2145</v>
      </c>
      <c r="EH561" s="19" t="s">
        <v>2146</v>
      </c>
      <c r="EI561" s="22">
        <v>14.625</v>
      </c>
      <c r="EJ561" s="19">
        <v>42.0</v>
      </c>
      <c r="EK561" s="19"/>
      <c r="EL561" s="19" t="s">
        <v>2282</v>
      </c>
      <c r="EM561" s="19" t="s">
        <v>7981</v>
      </c>
      <c r="EN561" s="19" t="s">
        <v>1655</v>
      </c>
      <c r="EO561" s="19" t="s">
        <v>7984</v>
      </c>
      <c r="EP561" s="19" t="s">
        <v>2554</v>
      </c>
      <c r="EQ561" s="19" t="s">
        <v>4465</v>
      </c>
      <c r="ER561" s="19"/>
      <c r="ES561" s="19" t="s">
        <v>1655</v>
      </c>
      <c r="ET561" s="19" t="s">
        <v>1655</v>
      </c>
      <c r="EU561" s="19" t="s">
        <v>11499</v>
      </c>
      <c r="EV561" s="19">
        <v>8682.0</v>
      </c>
      <c r="EW561" s="19" t="s">
        <v>16</v>
      </c>
      <c r="EX561" s="19">
        <v>2.0</v>
      </c>
      <c r="EY561" s="25" t="s">
        <v>1654</v>
      </c>
      <c r="EZ561" s="19" t="s">
        <v>2154</v>
      </c>
      <c r="FA561" s="5" t="s">
        <v>11509</v>
      </c>
      <c r="FB561" s="26" t="s">
        <v>2156</v>
      </c>
      <c r="FC561" s="26"/>
    </row>
    <row r="562">
      <c r="A562" s="19" t="s">
        <v>2112</v>
      </c>
      <c r="B562" s="19"/>
      <c r="C562" s="19" t="s">
        <v>2113</v>
      </c>
      <c r="D562" s="19" t="s">
        <v>1656</v>
      </c>
      <c r="E562" s="19" t="s">
        <v>11510</v>
      </c>
      <c r="F562" s="19" t="s">
        <v>11511</v>
      </c>
      <c r="G562" s="19" t="s">
        <v>11512</v>
      </c>
      <c r="H562" s="19" t="s">
        <v>1656</v>
      </c>
      <c r="I562" s="19" t="s">
        <v>1658</v>
      </c>
      <c r="J562" s="19" t="s">
        <v>11513</v>
      </c>
      <c r="K562" s="19" t="s">
        <v>11514</v>
      </c>
      <c r="L562" s="20">
        <v>45407.0</v>
      </c>
      <c r="M562" s="20">
        <v>45411.0</v>
      </c>
      <c r="N562" s="20">
        <v>45411.0</v>
      </c>
      <c r="O562" s="19" t="s">
        <v>1657</v>
      </c>
      <c r="P562" s="19">
        <v>0.0</v>
      </c>
      <c r="Q562" s="19">
        <v>20.0</v>
      </c>
      <c r="R562" s="19">
        <v>7359.0</v>
      </c>
      <c r="S562" s="20" t="s">
        <v>11515</v>
      </c>
      <c r="T562" s="20">
        <v>45461.0</v>
      </c>
      <c r="U562" s="19" t="s">
        <v>11511</v>
      </c>
      <c r="V562" s="19"/>
      <c r="W562" s="19"/>
      <c r="X562" s="21">
        <v>0.0</v>
      </c>
      <c r="Y562" s="21">
        <v>0.0</v>
      </c>
      <c r="Z562" s="21">
        <v>5.0</v>
      </c>
      <c r="AA562" s="21">
        <v>0.0</v>
      </c>
      <c r="AB562" s="5">
        <v>5.0</v>
      </c>
      <c r="AC562" s="19">
        <v>4.1</v>
      </c>
      <c r="AD562" s="19">
        <v>4.3</v>
      </c>
      <c r="AE562" s="19">
        <v>4.3</v>
      </c>
      <c r="AF562" s="19">
        <v>4.1</v>
      </c>
      <c r="AG562" s="19">
        <v>3.8</v>
      </c>
      <c r="AH562" s="19">
        <v>4.1</v>
      </c>
      <c r="AI562" s="22">
        <v>12.46875</v>
      </c>
      <c r="AJ562" s="19">
        <v>13.0</v>
      </c>
      <c r="AK562" s="19">
        <v>15.0</v>
      </c>
      <c r="AL562" s="19">
        <v>15.0</v>
      </c>
      <c r="AM562" s="19">
        <v>43.0</v>
      </c>
      <c r="AN562" s="19">
        <v>55.5</v>
      </c>
      <c r="AO562" s="19">
        <v>60.5</v>
      </c>
      <c r="AP562" s="19">
        <v>1122.0</v>
      </c>
      <c r="AQ562" s="23">
        <v>552.0</v>
      </c>
      <c r="AR562" s="23">
        <v>49.0</v>
      </c>
      <c r="AS562" s="22"/>
      <c r="AT562" s="19" t="s">
        <v>2117</v>
      </c>
      <c r="AU562" s="19" t="s">
        <v>11516</v>
      </c>
      <c r="AV562" s="19" t="s">
        <v>11517</v>
      </c>
      <c r="AW562" s="19" t="s">
        <v>11518</v>
      </c>
      <c r="AX562" s="20">
        <v>38102.0</v>
      </c>
      <c r="AY562" s="19" t="s">
        <v>2487</v>
      </c>
      <c r="AZ562" s="19" t="s">
        <v>2310</v>
      </c>
      <c r="BA562" s="19" t="s">
        <v>11519</v>
      </c>
      <c r="BB562" s="19" t="s">
        <v>9005</v>
      </c>
      <c r="BC562" s="19" t="s">
        <v>11520</v>
      </c>
      <c r="BD562" s="19" t="s">
        <v>11521</v>
      </c>
      <c r="BE562" s="19" t="s">
        <v>11522</v>
      </c>
      <c r="BF562" s="19">
        <v>1.1977478248E10</v>
      </c>
      <c r="BG562" s="19" t="s">
        <v>4038</v>
      </c>
      <c r="BH562" s="19" t="s">
        <v>2128</v>
      </c>
      <c r="BI562" s="19"/>
      <c r="BJ562" s="19" t="s">
        <v>2129</v>
      </c>
      <c r="BK562" s="19" t="s">
        <v>17</v>
      </c>
      <c r="BL562" s="19"/>
      <c r="BM562" s="19" t="s">
        <v>5563</v>
      </c>
      <c r="BN562" s="19" t="s">
        <v>3888</v>
      </c>
      <c r="BO562" s="19" t="s">
        <v>2132</v>
      </c>
      <c r="BP562" s="19"/>
      <c r="BQ562" s="19" t="s">
        <v>2325</v>
      </c>
      <c r="BR562" s="19" t="s">
        <v>2325</v>
      </c>
      <c r="BS562" s="19" t="s">
        <v>3521</v>
      </c>
      <c r="BT562" s="19" t="s">
        <v>59</v>
      </c>
      <c r="BU562" s="19" t="s">
        <v>11523</v>
      </c>
      <c r="BV562" s="19"/>
      <c r="BW562" s="19" t="s">
        <v>2113</v>
      </c>
      <c r="BX562" s="19"/>
      <c r="BY562" s="19"/>
      <c r="BZ562" s="19"/>
      <c r="CA562" s="19"/>
      <c r="CB562" s="19" t="s">
        <v>2113</v>
      </c>
      <c r="CC562" s="19"/>
      <c r="CD562" s="19" t="s">
        <v>2137</v>
      </c>
      <c r="CE562" s="19" t="s">
        <v>16</v>
      </c>
      <c r="CF562" s="19"/>
      <c r="CG562" s="19"/>
      <c r="CH562" s="19" t="s">
        <v>16</v>
      </c>
      <c r="CI562" s="21">
        <v>0.0</v>
      </c>
      <c r="CJ562" s="19" t="s">
        <v>17</v>
      </c>
      <c r="CK562" s="19"/>
      <c r="CL562" s="19"/>
      <c r="CM562" s="19" t="s">
        <v>2344</v>
      </c>
      <c r="CN562" s="19" t="s">
        <v>2431</v>
      </c>
      <c r="CO562" s="19"/>
      <c r="CP562" s="19" t="s">
        <v>3954</v>
      </c>
      <c r="CQ562" s="19"/>
      <c r="CR562" s="19" t="s">
        <v>2113</v>
      </c>
      <c r="CS562" s="19" t="s">
        <v>2113</v>
      </c>
      <c r="CT562" s="19" t="s">
        <v>2113</v>
      </c>
      <c r="CU562" s="19" t="s">
        <v>2113</v>
      </c>
      <c r="CV562" s="19" t="s">
        <v>2141</v>
      </c>
      <c r="CW562" s="19"/>
      <c r="CX562" s="19"/>
      <c r="CY562" s="19" t="s">
        <v>2113</v>
      </c>
      <c r="CZ562" s="19" t="s">
        <v>2113</v>
      </c>
      <c r="DA562" s="19" t="s">
        <v>16</v>
      </c>
      <c r="DB562" s="19" t="s">
        <v>17</v>
      </c>
      <c r="DC562" s="19" t="s">
        <v>2653</v>
      </c>
      <c r="DD562" s="19" t="s">
        <v>2113</v>
      </c>
      <c r="DE562" s="19" t="s">
        <v>2113</v>
      </c>
      <c r="DF562" s="19" t="s">
        <v>2496</v>
      </c>
      <c r="DG562" s="19" t="s">
        <v>3222</v>
      </c>
      <c r="DH562" s="19" t="s">
        <v>2144</v>
      </c>
      <c r="DI562" s="24">
        <v>45525.0</v>
      </c>
      <c r="DJ562" s="19" t="s">
        <v>2325</v>
      </c>
      <c r="DK562" s="19" t="s">
        <v>2271</v>
      </c>
      <c r="DL562" s="19" t="s">
        <v>2326</v>
      </c>
      <c r="DM562" s="19"/>
      <c r="DN562" s="19">
        <v>10.0</v>
      </c>
      <c r="DO562" s="19">
        <v>10.0</v>
      </c>
      <c r="DP562" s="19" t="s">
        <v>11524</v>
      </c>
      <c r="DQ562" s="19" t="s">
        <v>11525</v>
      </c>
      <c r="DR562" s="19" t="s">
        <v>11526</v>
      </c>
      <c r="DS562" s="19" t="s">
        <v>2151</v>
      </c>
      <c r="DT562" s="19" t="s">
        <v>2229</v>
      </c>
      <c r="DU562" s="19"/>
      <c r="DV562" s="19"/>
      <c r="DW562" s="19" t="s">
        <v>2479</v>
      </c>
      <c r="DX562" s="19">
        <v>16.0</v>
      </c>
      <c r="DY562" s="19">
        <v>0.0</v>
      </c>
      <c r="DZ562" s="19">
        <v>0.0</v>
      </c>
      <c r="EA562" s="19">
        <v>0.0</v>
      </c>
      <c r="EB562" s="19">
        <v>0.0</v>
      </c>
      <c r="EC562" s="19">
        <v>0.0</v>
      </c>
      <c r="ED562" s="19" t="s">
        <v>2325</v>
      </c>
      <c r="EE562" s="24">
        <v>45525.0</v>
      </c>
      <c r="EF562" s="19" t="s">
        <v>2325</v>
      </c>
      <c r="EG562" s="19" t="s">
        <v>2271</v>
      </c>
      <c r="EH562" s="19" t="s">
        <v>2326</v>
      </c>
      <c r="EI562" s="22">
        <v>12.46875</v>
      </c>
      <c r="EJ562" s="19">
        <v>43.0</v>
      </c>
      <c r="EK562" s="19" t="s">
        <v>2113</v>
      </c>
      <c r="EL562" s="19" t="s">
        <v>2117</v>
      </c>
      <c r="EM562" s="19" t="s">
        <v>11516</v>
      </c>
      <c r="EN562" s="19" t="s">
        <v>1658</v>
      </c>
      <c r="EO562" s="19" t="s">
        <v>2487</v>
      </c>
      <c r="EP562" s="19" t="s">
        <v>2310</v>
      </c>
      <c r="EQ562" s="19" t="s">
        <v>2431</v>
      </c>
      <c r="ER562" s="19"/>
      <c r="ES562" s="19" t="s">
        <v>1658</v>
      </c>
      <c r="ET562" s="19" t="s">
        <v>1658</v>
      </c>
      <c r="EU562" s="19" t="s">
        <v>11514</v>
      </c>
      <c r="EV562" s="19">
        <v>7359.0</v>
      </c>
      <c r="EW562" s="19" t="s">
        <v>16</v>
      </c>
      <c r="EX562" s="19">
        <v>5.0</v>
      </c>
      <c r="EY562" s="25" t="s">
        <v>1657</v>
      </c>
      <c r="EZ562" s="19" t="s">
        <v>2154</v>
      </c>
      <c r="FA562" s="5" t="s">
        <v>11527</v>
      </c>
      <c r="FB562" s="26" t="s">
        <v>2156</v>
      </c>
      <c r="FC562" s="26"/>
    </row>
    <row r="563">
      <c r="A563" s="19" t="s">
        <v>2156</v>
      </c>
      <c r="B563" s="19"/>
      <c r="C563" s="19" t="s">
        <v>2113</v>
      </c>
      <c r="D563" s="19" t="s">
        <v>1659</v>
      </c>
      <c r="E563" s="19" t="s">
        <v>11528</v>
      </c>
      <c r="F563" s="19" t="s">
        <v>1659</v>
      </c>
      <c r="G563" s="19"/>
      <c r="H563" s="19" t="s">
        <v>1659</v>
      </c>
      <c r="I563" s="19" t="s">
        <v>1661</v>
      </c>
      <c r="J563" s="19" t="s">
        <v>11529</v>
      </c>
      <c r="K563" s="19" t="s">
        <v>11530</v>
      </c>
      <c r="L563" s="20">
        <v>45408.0</v>
      </c>
      <c r="M563" s="20">
        <v>45411.0</v>
      </c>
      <c r="N563" s="20">
        <v>45411.0</v>
      </c>
      <c r="O563" s="19" t="s">
        <v>1660</v>
      </c>
      <c r="P563" s="19">
        <v>0.0</v>
      </c>
      <c r="Q563" s="19">
        <v>25.0</v>
      </c>
      <c r="R563" s="19">
        <v>9325.0</v>
      </c>
      <c r="S563" s="20" t="s">
        <v>11531</v>
      </c>
      <c r="T563" s="20">
        <v>45461.0</v>
      </c>
      <c r="U563" s="19" t="s">
        <v>1659</v>
      </c>
      <c r="V563" s="19"/>
      <c r="W563" s="19"/>
      <c r="X563" s="21">
        <v>0.0</v>
      </c>
      <c r="Y563" s="21">
        <v>0.0</v>
      </c>
      <c r="Z563" s="21">
        <v>4.0</v>
      </c>
      <c r="AA563" s="21">
        <v>3.0</v>
      </c>
      <c r="AB563" s="5">
        <v>7.0</v>
      </c>
      <c r="AC563" s="19">
        <v>5.0</v>
      </c>
      <c r="AD563" s="19">
        <v>4.5</v>
      </c>
      <c r="AE563" s="19">
        <v>5.0</v>
      </c>
      <c r="AF563" s="19">
        <v>5.0</v>
      </c>
      <c r="AG563" s="19">
        <v>4.5</v>
      </c>
      <c r="AH563" s="19">
        <v>5.0</v>
      </c>
      <c r="AI563" s="22">
        <v>14.484375</v>
      </c>
      <c r="AJ563" s="19">
        <v>11.3</v>
      </c>
      <c r="AK563" s="19">
        <v>14.0</v>
      </c>
      <c r="AL563" s="19">
        <v>13.7</v>
      </c>
      <c r="AM563" s="19">
        <v>39.0</v>
      </c>
      <c r="AN563" s="19">
        <v>53.5</v>
      </c>
      <c r="AO563" s="19">
        <v>60.5</v>
      </c>
      <c r="AP563" s="19">
        <v>1018.0</v>
      </c>
      <c r="AQ563" s="23">
        <v>553.0</v>
      </c>
      <c r="AR563" s="23">
        <v>38.0</v>
      </c>
      <c r="AS563" s="22" t="s">
        <v>2642</v>
      </c>
      <c r="AT563" s="19" t="s">
        <v>2163</v>
      </c>
      <c r="AU563" s="19" t="s">
        <v>10645</v>
      </c>
      <c r="AV563" s="19" t="s">
        <v>11532</v>
      </c>
      <c r="AW563" s="19" t="s">
        <v>2701</v>
      </c>
      <c r="AX563" s="20">
        <v>36136.0</v>
      </c>
      <c r="AY563" s="19" t="s">
        <v>2702</v>
      </c>
      <c r="AZ563" s="19" t="s">
        <v>2445</v>
      </c>
      <c r="BA563" s="19" t="s">
        <v>11533</v>
      </c>
      <c r="BB563" s="19" t="s">
        <v>11534</v>
      </c>
      <c r="BC563" s="19" t="s">
        <v>11535</v>
      </c>
      <c r="BD563" s="19" t="s">
        <v>11536</v>
      </c>
      <c r="BE563" s="19"/>
      <c r="BF563" s="19"/>
      <c r="BG563" s="19" t="s">
        <v>4038</v>
      </c>
      <c r="BH563" s="19" t="s">
        <v>2128</v>
      </c>
      <c r="BI563" s="19"/>
      <c r="BJ563" s="19" t="s">
        <v>2128</v>
      </c>
      <c r="BK563" s="19" t="s">
        <v>17</v>
      </c>
      <c r="BL563" s="19" t="s">
        <v>2113</v>
      </c>
      <c r="BM563" s="19" t="s">
        <v>5411</v>
      </c>
      <c r="BN563" s="19" t="s">
        <v>17</v>
      </c>
      <c r="BO563" s="19" t="s">
        <v>2317</v>
      </c>
      <c r="BP563" s="19" t="s">
        <v>11537</v>
      </c>
      <c r="BQ563" s="19" t="s">
        <v>2318</v>
      </c>
      <c r="BR563" s="19" t="s">
        <v>2318</v>
      </c>
      <c r="BS563" s="19" t="s">
        <v>2243</v>
      </c>
      <c r="BT563" s="19" t="s">
        <v>42</v>
      </c>
      <c r="BU563" s="19" t="s">
        <v>11538</v>
      </c>
      <c r="BV563" s="19"/>
      <c r="BW563" s="19"/>
      <c r="BX563" s="19" t="s">
        <v>2113</v>
      </c>
      <c r="BY563" s="19" t="s">
        <v>2113</v>
      </c>
      <c r="BZ563" s="19" t="s">
        <v>2113</v>
      </c>
      <c r="CA563" s="19" t="s">
        <v>2113</v>
      </c>
      <c r="CB563" s="19" t="s">
        <v>2113</v>
      </c>
      <c r="CC563" s="19" t="s">
        <v>2113</v>
      </c>
      <c r="CD563" s="19" t="s">
        <v>2137</v>
      </c>
      <c r="CE563" s="19" t="s">
        <v>16</v>
      </c>
      <c r="CF563" s="19"/>
      <c r="CG563" s="19"/>
      <c r="CH563" s="19" t="s">
        <v>17</v>
      </c>
      <c r="CI563" s="21">
        <v>3.0</v>
      </c>
      <c r="CJ563" s="19" t="s">
        <v>17</v>
      </c>
      <c r="CK563" s="19"/>
      <c r="CL563" s="19"/>
      <c r="CM563" s="19" t="s">
        <v>2344</v>
      </c>
      <c r="CN563" s="19" t="s">
        <v>2321</v>
      </c>
      <c r="CO563" s="19"/>
      <c r="CP563" s="19" t="s">
        <v>2246</v>
      </c>
      <c r="CQ563" s="19"/>
      <c r="CR563" s="19" t="s">
        <v>2113</v>
      </c>
      <c r="CS563" s="19" t="s">
        <v>2113</v>
      </c>
      <c r="CT563" s="19" t="s">
        <v>2113</v>
      </c>
      <c r="CU563" s="19" t="s">
        <v>2113</v>
      </c>
      <c r="CV563" s="19" t="s">
        <v>2141</v>
      </c>
      <c r="CW563" s="19" t="s">
        <v>2113</v>
      </c>
      <c r="CX563" s="19" t="s">
        <v>2113</v>
      </c>
      <c r="CY563" s="19"/>
      <c r="CZ563" s="19"/>
      <c r="DA563" s="19" t="s">
        <v>16</v>
      </c>
      <c r="DB563" s="19" t="s">
        <v>17</v>
      </c>
      <c r="DC563" s="19" t="s">
        <v>2324</v>
      </c>
      <c r="DD563" s="19"/>
      <c r="DE563" s="19"/>
      <c r="DF563" s="19" t="s">
        <v>2248</v>
      </c>
      <c r="DG563" s="19" t="s">
        <v>3955</v>
      </c>
      <c r="DH563" s="19" t="s">
        <v>2144</v>
      </c>
      <c r="DI563" s="24">
        <v>45517.0</v>
      </c>
      <c r="DJ563" s="19" t="s">
        <v>2325</v>
      </c>
      <c r="DK563" s="19" t="s">
        <v>2145</v>
      </c>
      <c r="DL563" s="19" t="s">
        <v>2326</v>
      </c>
      <c r="DM563" s="19"/>
      <c r="DN563" s="19">
        <v>1.0</v>
      </c>
      <c r="DO563" s="19">
        <v>1.0</v>
      </c>
      <c r="DP563" s="19" t="s">
        <v>11539</v>
      </c>
      <c r="DQ563" s="19" t="s">
        <v>11540</v>
      </c>
      <c r="DR563" s="19" t="s">
        <v>11541</v>
      </c>
      <c r="DS563" s="19" t="s">
        <v>2185</v>
      </c>
      <c r="DT563" s="19" t="s">
        <v>2229</v>
      </c>
      <c r="DU563" s="19"/>
      <c r="DV563" s="19"/>
      <c r="DW563" s="19" t="s">
        <v>3306</v>
      </c>
      <c r="DX563" s="19">
        <v>4.0</v>
      </c>
      <c r="DY563" s="19">
        <v>0.0</v>
      </c>
      <c r="DZ563" s="19">
        <v>0.0</v>
      </c>
      <c r="EA563" s="19">
        <v>0.0</v>
      </c>
      <c r="EB563" s="19">
        <v>3.0</v>
      </c>
      <c r="EC563" s="19">
        <v>0.0</v>
      </c>
      <c r="ED563" s="19" t="s">
        <v>2325</v>
      </c>
      <c r="EE563" s="24">
        <v>45517.0</v>
      </c>
      <c r="EF563" s="19" t="s">
        <v>2325</v>
      </c>
      <c r="EG563" s="19" t="s">
        <v>2145</v>
      </c>
      <c r="EH563" s="19" t="s">
        <v>2326</v>
      </c>
      <c r="EI563" s="22">
        <v>14.484375</v>
      </c>
      <c r="EJ563" s="19">
        <v>39.0</v>
      </c>
      <c r="EK563" s="19" t="s">
        <v>2113</v>
      </c>
      <c r="EL563" s="19" t="s">
        <v>2163</v>
      </c>
      <c r="EM563" s="19" t="s">
        <v>10645</v>
      </c>
      <c r="EN563" s="19" t="s">
        <v>1661</v>
      </c>
      <c r="EO563" s="19" t="s">
        <v>2702</v>
      </c>
      <c r="EP563" s="19" t="s">
        <v>2445</v>
      </c>
      <c r="EQ563" s="19" t="s">
        <v>2321</v>
      </c>
      <c r="ER563" s="19"/>
      <c r="ES563" s="19" t="s">
        <v>1661</v>
      </c>
      <c r="ET563" s="19" t="s">
        <v>1661</v>
      </c>
      <c r="EU563" s="19" t="s">
        <v>11530</v>
      </c>
      <c r="EV563" s="19">
        <v>9325.0</v>
      </c>
      <c r="EW563" s="19" t="s">
        <v>16</v>
      </c>
      <c r="EX563" s="19">
        <v>4.0</v>
      </c>
      <c r="EY563" s="25" t="s">
        <v>1660</v>
      </c>
      <c r="EZ563" s="19" t="s">
        <v>2154</v>
      </c>
      <c r="FA563" s="5" t="s">
        <v>11542</v>
      </c>
      <c r="FB563" s="26" t="s">
        <v>2156</v>
      </c>
      <c r="FC563" s="26"/>
    </row>
    <row r="564">
      <c r="A564" s="19" t="s">
        <v>2112</v>
      </c>
      <c r="B564" s="19"/>
      <c r="C564" s="19" t="s">
        <v>2113</v>
      </c>
      <c r="D564" s="19" t="s">
        <v>1662</v>
      </c>
      <c r="E564" s="19" t="s">
        <v>11543</v>
      </c>
      <c r="F564" s="19" t="s">
        <v>1662</v>
      </c>
      <c r="G564" s="19"/>
      <c r="H564" s="19" t="s">
        <v>1662</v>
      </c>
      <c r="I564" s="19" t="s">
        <v>1664</v>
      </c>
      <c r="J564" s="19" t="s">
        <v>11544</v>
      </c>
      <c r="K564" s="19" t="s">
        <v>11545</v>
      </c>
      <c r="L564" s="20">
        <v>45405.0</v>
      </c>
      <c r="M564" s="20">
        <v>45411.0</v>
      </c>
      <c r="N564" s="20">
        <v>45411.0</v>
      </c>
      <c r="O564" s="19" t="s">
        <v>1663</v>
      </c>
      <c r="P564" s="19">
        <v>0.0</v>
      </c>
      <c r="Q564" s="19">
        <v>28.0</v>
      </c>
      <c r="R564" s="19">
        <v>10376.0</v>
      </c>
      <c r="S564" s="20" t="s">
        <v>11546</v>
      </c>
      <c r="T564" s="20">
        <v>45461.0</v>
      </c>
      <c r="U564" s="19" t="s">
        <v>1662</v>
      </c>
      <c r="V564" s="19"/>
      <c r="W564" s="19"/>
      <c r="X564" s="21">
        <v>0.0</v>
      </c>
      <c r="Y564" s="21">
        <v>0.0</v>
      </c>
      <c r="Z564" s="21">
        <v>5.0</v>
      </c>
      <c r="AA564" s="21">
        <v>0.0</v>
      </c>
      <c r="AB564" s="5">
        <v>5.0</v>
      </c>
      <c r="AC564" s="19">
        <v>4.0</v>
      </c>
      <c r="AD564" s="19">
        <v>4.0</v>
      </c>
      <c r="AE564" s="19">
        <v>4.0</v>
      </c>
      <c r="AF564" s="19">
        <v>3.5</v>
      </c>
      <c r="AG564" s="19">
        <v>3.5</v>
      </c>
      <c r="AH564" s="19">
        <v>3.0</v>
      </c>
      <c r="AI564" s="22">
        <v>11.25</v>
      </c>
      <c r="AJ564" s="19">
        <v>15.0</v>
      </c>
      <c r="AK564" s="19">
        <v>15.0</v>
      </c>
      <c r="AL564" s="19">
        <v>14.0</v>
      </c>
      <c r="AM564" s="19">
        <v>44.0</v>
      </c>
      <c r="AN564" s="19">
        <v>55.3</v>
      </c>
      <c r="AO564" s="19">
        <v>60.3</v>
      </c>
      <c r="AP564" s="19">
        <v>1030.0</v>
      </c>
      <c r="AQ564" s="23">
        <v>554.0</v>
      </c>
      <c r="AR564" s="23">
        <v>50.0</v>
      </c>
      <c r="AS564" s="19"/>
      <c r="AT564" s="19" t="s">
        <v>2117</v>
      </c>
      <c r="AU564" s="19" t="s">
        <v>5887</v>
      </c>
      <c r="AV564" s="19" t="s">
        <v>11547</v>
      </c>
      <c r="AW564" s="19"/>
      <c r="AX564" s="20">
        <v>35085.0</v>
      </c>
      <c r="AY564" s="19" t="s">
        <v>2421</v>
      </c>
      <c r="AZ564" s="19" t="s">
        <v>2122</v>
      </c>
      <c r="BA564" s="19" t="s">
        <v>11548</v>
      </c>
      <c r="BB564" s="19" t="s">
        <v>11549</v>
      </c>
      <c r="BC564" s="19" t="s">
        <v>11550</v>
      </c>
      <c r="BD564" s="19" t="s">
        <v>11551</v>
      </c>
      <c r="BE564" s="19" t="s">
        <v>11552</v>
      </c>
      <c r="BF564" s="19">
        <v>1.1966435926E10</v>
      </c>
      <c r="BG564" s="19" t="s">
        <v>2127</v>
      </c>
      <c r="BH564" s="19" t="s">
        <v>2128</v>
      </c>
      <c r="BI564" s="19"/>
      <c r="BJ564" s="19" t="s">
        <v>2128</v>
      </c>
      <c r="BK564" s="19" t="s">
        <v>17</v>
      </c>
      <c r="BL564" s="19"/>
      <c r="BM564" s="19" t="s">
        <v>5563</v>
      </c>
      <c r="BN564" s="19" t="s">
        <v>17</v>
      </c>
      <c r="BO564" s="19" t="s">
        <v>2132</v>
      </c>
      <c r="BP564" s="19" t="s">
        <v>11553</v>
      </c>
      <c r="BQ564" s="19" t="s">
        <v>2325</v>
      </c>
      <c r="BR564" s="19" t="s">
        <v>2325</v>
      </c>
      <c r="BS564" s="19" t="s">
        <v>3521</v>
      </c>
      <c r="BT564" s="19" t="s">
        <v>59</v>
      </c>
      <c r="BU564" s="19" t="s">
        <v>11554</v>
      </c>
      <c r="BV564" s="19"/>
      <c r="BW564" s="19"/>
      <c r="BX564" s="19"/>
      <c r="BY564" s="19"/>
      <c r="BZ564" s="19" t="s">
        <v>2113</v>
      </c>
      <c r="CA564" s="19"/>
      <c r="CB564" s="19" t="s">
        <v>2113</v>
      </c>
      <c r="CC564" s="19"/>
      <c r="CD564" s="19" t="s">
        <v>2137</v>
      </c>
      <c r="CE564" s="19" t="s">
        <v>16</v>
      </c>
      <c r="CF564" s="19"/>
      <c r="CG564" s="19"/>
      <c r="CH564" s="19" t="s">
        <v>16</v>
      </c>
      <c r="CI564" s="21">
        <v>0.0</v>
      </c>
      <c r="CJ564" s="19" t="s">
        <v>16</v>
      </c>
      <c r="CK564" s="19"/>
      <c r="CL564" s="19"/>
      <c r="CM564" s="19" t="s">
        <v>2138</v>
      </c>
      <c r="CN564" s="19" t="s">
        <v>2431</v>
      </c>
      <c r="CO564" s="19"/>
      <c r="CP564" s="19" t="s">
        <v>2267</v>
      </c>
      <c r="CQ564" s="19"/>
      <c r="CR564" s="19" t="s">
        <v>2113</v>
      </c>
      <c r="CS564" s="19" t="s">
        <v>2113</v>
      </c>
      <c r="CT564" s="19" t="s">
        <v>2113</v>
      </c>
      <c r="CU564" s="19" t="s">
        <v>2113</v>
      </c>
      <c r="CV564" s="19" t="s">
        <v>2141</v>
      </c>
      <c r="CW564" s="19"/>
      <c r="CX564" s="19"/>
      <c r="CY564" s="19"/>
      <c r="CZ564" s="19"/>
      <c r="DA564" s="19" t="s">
        <v>16</v>
      </c>
      <c r="DB564" s="19" t="s">
        <v>16</v>
      </c>
      <c r="DC564" s="19" t="s">
        <v>2432</v>
      </c>
      <c r="DD564" s="19" t="s">
        <v>2113</v>
      </c>
      <c r="DE564" s="19" t="s">
        <v>2113</v>
      </c>
      <c r="DF564" s="19" t="s">
        <v>2804</v>
      </c>
      <c r="DG564" s="19" t="s">
        <v>2323</v>
      </c>
      <c r="DH564" s="19" t="s">
        <v>2144</v>
      </c>
      <c r="DI564" s="24">
        <v>45533.0</v>
      </c>
      <c r="DJ564" s="19" t="s">
        <v>2325</v>
      </c>
      <c r="DK564" s="19" t="s">
        <v>2145</v>
      </c>
      <c r="DL564" s="19" t="s">
        <v>2207</v>
      </c>
      <c r="DM564" s="19" t="s">
        <v>2208</v>
      </c>
      <c r="DN564" s="19">
        <v>2.0</v>
      </c>
      <c r="DO564" s="19">
        <v>2.0</v>
      </c>
      <c r="DP564" s="19" t="s">
        <v>11555</v>
      </c>
      <c r="DQ564" s="19" t="s">
        <v>11556</v>
      </c>
      <c r="DR564" s="19" t="s">
        <v>11557</v>
      </c>
      <c r="DS564" s="19" t="s">
        <v>2185</v>
      </c>
      <c r="DT564" s="19" t="s">
        <v>2186</v>
      </c>
      <c r="DU564" s="19"/>
      <c r="DV564" s="19" t="s">
        <v>11558</v>
      </c>
      <c r="DW564" s="19" t="s">
        <v>2153</v>
      </c>
      <c r="DX564" s="19">
        <v>3.0</v>
      </c>
      <c r="DY564" s="19">
        <v>0.0</v>
      </c>
      <c r="DZ564" s="19">
        <v>0.0</v>
      </c>
      <c r="EA564" s="19">
        <v>0.0</v>
      </c>
      <c r="EB564" s="19">
        <v>0.0</v>
      </c>
      <c r="EC564" s="19">
        <v>0.0</v>
      </c>
      <c r="ED564" s="19" t="s">
        <v>2325</v>
      </c>
      <c r="EE564" s="24">
        <v>45533.0</v>
      </c>
      <c r="EF564" s="19" t="s">
        <v>2325</v>
      </c>
      <c r="EG564" s="19" t="s">
        <v>2145</v>
      </c>
      <c r="EH564" s="19" t="s">
        <v>2207</v>
      </c>
      <c r="EI564" s="22">
        <v>11.25</v>
      </c>
      <c r="EJ564" s="19">
        <v>44.0</v>
      </c>
      <c r="EK564" s="19"/>
      <c r="EL564" s="19" t="s">
        <v>2117</v>
      </c>
      <c r="EM564" s="19" t="s">
        <v>5887</v>
      </c>
      <c r="EN564" s="19" t="s">
        <v>1664</v>
      </c>
      <c r="EO564" s="19" t="s">
        <v>2421</v>
      </c>
      <c r="EP564" s="19" t="s">
        <v>2122</v>
      </c>
      <c r="EQ564" s="19" t="s">
        <v>2431</v>
      </c>
      <c r="ER564" s="19"/>
      <c r="ES564" s="19" t="s">
        <v>1664</v>
      </c>
      <c r="ET564" s="19" t="s">
        <v>1664</v>
      </c>
      <c r="EU564" s="19" t="s">
        <v>11545</v>
      </c>
      <c r="EV564" s="19">
        <v>10376.0</v>
      </c>
      <c r="EW564" s="19" t="s">
        <v>16</v>
      </c>
      <c r="EX564" s="19">
        <v>5.0</v>
      </c>
      <c r="EY564" s="25" t="s">
        <v>1663</v>
      </c>
      <c r="EZ564" s="19" t="s">
        <v>2154</v>
      </c>
      <c r="FA564" s="5" t="s">
        <v>11559</v>
      </c>
      <c r="FB564" s="26" t="s">
        <v>2156</v>
      </c>
      <c r="FC564" s="26"/>
    </row>
    <row r="565">
      <c r="A565" s="19" t="s">
        <v>2112</v>
      </c>
      <c r="B565" s="19"/>
      <c r="C565" s="19" t="s">
        <v>2113</v>
      </c>
      <c r="D565" s="19" t="s">
        <v>1665</v>
      </c>
      <c r="E565" s="19" t="s">
        <v>11560</v>
      </c>
      <c r="F565" s="19" t="s">
        <v>1665</v>
      </c>
      <c r="G565" s="19"/>
      <c r="H565" s="19" t="s">
        <v>1665</v>
      </c>
      <c r="I565" s="19" t="s">
        <v>1667</v>
      </c>
      <c r="J565" s="19" t="s">
        <v>11561</v>
      </c>
      <c r="K565" s="19" t="s">
        <v>11562</v>
      </c>
      <c r="L565" s="20">
        <v>45446.0</v>
      </c>
      <c r="M565" s="20">
        <v>45447.0</v>
      </c>
      <c r="N565" s="20">
        <v>45447.0</v>
      </c>
      <c r="O565" s="19" t="s">
        <v>1666</v>
      </c>
      <c r="P565" s="19">
        <v>0.0</v>
      </c>
      <c r="Q565" s="19">
        <v>21.0</v>
      </c>
      <c r="R565" s="19">
        <v>7724.0</v>
      </c>
      <c r="S565" s="20" t="s">
        <v>11563</v>
      </c>
      <c r="T565" s="20">
        <v>45461.0</v>
      </c>
      <c r="U565" s="19" t="s">
        <v>1665</v>
      </c>
      <c r="V565" s="19"/>
      <c r="W565" s="19"/>
      <c r="X565" s="21">
        <v>0.0</v>
      </c>
      <c r="Y565" s="21">
        <v>0.0</v>
      </c>
      <c r="Z565" s="21">
        <v>5.0</v>
      </c>
      <c r="AA565" s="21">
        <v>0.0</v>
      </c>
      <c r="AB565" s="5">
        <v>5.0</v>
      </c>
      <c r="AC565" s="19">
        <v>4.6</v>
      </c>
      <c r="AD565" s="19">
        <v>4.0</v>
      </c>
      <c r="AE565" s="19">
        <v>4.3</v>
      </c>
      <c r="AF565" s="19">
        <v>3.6</v>
      </c>
      <c r="AG565" s="19">
        <v>4.2</v>
      </c>
      <c r="AH565" s="19">
        <v>3.6</v>
      </c>
      <c r="AI565" s="22">
        <v>12.28125</v>
      </c>
      <c r="AJ565" s="19">
        <v>15.0</v>
      </c>
      <c r="AK565" s="19">
        <v>15.0</v>
      </c>
      <c r="AL565" s="19">
        <v>13.0</v>
      </c>
      <c r="AM565" s="19">
        <v>43.0</v>
      </c>
      <c r="AN565" s="19">
        <v>55.3</v>
      </c>
      <c r="AO565" s="19">
        <v>60.3</v>
      </c>
      <c r="AP565" s="19">
        <v>1107.0</v>
      </c>
      <c r="AQ565" s="23">
        <v>555.0</v>
      </c>
      <c r="AR565" s="23">
        <v>46.0</v>
      </c>
      <c r="AS565" s="22"/>
      <c r="AT565" s="19" t="s">
        <v>2163</v>
      </c>
      <c r="AU565" s="19" t="s">
        <v>11564</v>
      </c>
      <c r="AV565" s="19" t="s">
        <v>11565</v>
      </c>
      <c r="AW565" s="19" t="s">
        <v>2166</v>
      </c>
      <c r="AX565" s="20">
        <v>37737.0</v>
      </c>
      <c r="AY565" s="19" t="s">
        <v>6195</v>
      </c>
      <c r="AZ565" s="19" t="s">
        <v>2122</v>
      </c>
      <c r="BA565" s="19" t="s">
        <v>11566</v>
      </c>
      <c r="BB565" s="19" t="s">
        <v>5859</v>
      </c>
      <c r="BC565" s="19" t="s">
        <v>11567</v>
      </c>
      <c r="BD565" s="19" t="s">
        <v>11568</v>
      </c>
      <c r="BE565" s="19" t="s">
        <v>11561</v>
      </c>
      <c r="BF565" s="19">
        <v>1.1966253888E10</v>
      </c>
      <c r="BG565" s="19" t="s">
        <v>2127</v>
      </c>
      <c r="BH565" s="19" t="s">
        <v>2128</v>
      </c>
      <c r="BI565" s="19"/>
      <c r="BJ565" s="19" t="s">
        <v>2129</v>
      </c>
      <c r="BK565" s="19" t="s">
        <v>16</v>
      </c>
      <c r="BL565" s="19"/>
      <c r="BM565" s="19" t="s">
        <v>5411</v>
      </c>
      <c r="BN565" s="19" t="s">
        <v>17</v>
      </c>
      <c r="BO565" s="19" t="s">
        <v>2132</v>
      </c>
      <c r="BP565" s="19" t="s">
        <v>11569</v>
      </c>
      <c r="BQ565" s="19" t="s">
        <v>2174</v>
      </c>
      <c r="BR565" s="19" t="s">
        <v>2174</v>
      </c>
      <c r="BS565" s="19" t="s">
        <v>3521</v>
      </c>
      <c r="BT565" s="19" t="s">
        <v>75</v>
      </c>
      <c r="BU565" s="19" t="s">
        <v>11570</v>
      </c>
      <c r="BV565" s="19"/>
      <c r="BW565" s="19" t="s">
        <v>2113</v>
      </c>
      <c r="BX565" s="19"/>
      <c r="BY565" s="19"/>
      <c r="BZ565" s="19"/>
      <c r="CA565" s="19"/>
      <c r="CB565" s="19"/>
      <c r="CC565" s="19"/>
      <c r="CD565" s="19" t="s">
        <v>2137</v>
      </c>
      <c r="CE565" s="19" t="s">
        <v>16</v>
      </c>
      <c r="CF565" s="19"/>
      <c r="CG565" s="19"/>
      <c r="CH565" s="19" t="s">
        <v>16</v>
      </c>
      <c r="CI565" s="21">
        <v>0.0</v>
      </c>
      <c r="CJ565" s="19" t="s">
        <v>17</v>
      </c>
      <c r="CK565" s="19"/>
      <c r="CL565" s="19"/>
      <c r="CM565" s="19" t="s">
        <v>2138</v>
      </c>
      <c r="CN565" s="19" t="s">
        <v>2537</v>
      </c>
      <c r="CO565" s="19"/>
      <c r="CP565" s="19" t="s">
        <v>2246</v>
      </c>
      <c r="CQ565" s="19"/>
      <c r="CR565" s="19"/>
      <c r="CS565" s="19"/>
      <c r="CT565" s="19" t="s">
        <v>2113</v>
      </c>
      <c r="CU565" s="19" t="s">
        <v>2113</v>
      </c>
      <c r="CV565" s="19" t="s">
        <v>2141</v>
      </c>
      <c r="CW565" s="19"/>
      <c r="CX565" s="19"/>
      <c r="CY565" s="19" t="s">
        <v>2113</v>
      </c>
      <c r="CZ565" s="19" t="s">
        <v>2113</v>
      </c>
      <c r="DA565" s="19" t="s">
        <v>16</v>
      </c>
      <c r="DB565" s="19" t="s">
        <v>17</v>
      </c>
      <c r="DC565" s="19" t="s">
        <v>2538</v>
      </c>
      <c r="DD565" s="19" t="s">
        <v>2113</v>
      </c>
      <c r="DE565" s="19" t="s">
        <v>2113</v>
      </c>
      <c r="DF565" s="19" t="s">
        <v>4042</v>
      </c>
      <c r="DG565" s="19" t="s">
        <v>2345</v>
      </c>
      <c r="DH565" s="19" t="s">
        <v>2144</v>
      </c>
      <c r="DI565" s="24">
        <v>45526.0</v>
      </c>
      <c r="DJ565" s="19" t="s">
        <v>2174</v>
      </c>
      <c r="DK565" s="19" t="s">
        <v>2145</v>
      </c>
      <c r="DL565" s="19" t="s">
        <v>2183</v>
      </c>
      <c r="DM565" s="19"/>
      <c r="DN565" s="19">
        <v>11.0</v>
      </c>
      <c r="DO565" s="19">
        <v>11.0</v>
      </c>
      <c r="DP565" s="19" t="s">
        <v>11571</v>
      </c>
      <c r="DQ565" s="19" t="s">
        <v>11572</v>
      </c>
      <c r="DR565" s="19" t="s">
        <v>11573</v>
      </c>
      <c r="DS565" s="19" t="s">
        <v>2151</v>
      </c>
      <c r="DT565" s="19" t="s">
        <v>2186</v>
      </c>
      <c r="DU565" s="19"/>
      <c r="DV565" s="19"/>
      <c r="DW565" s="19" t="s">
        <v>2479</v>
      </c>
      <c r="DX565" s="19">
        <v>16.0</v>
      </c>
      <c r="DY565" s="19">
        <v>0.0</v>
      </c>
      <c r="DZ565" s="19">
        <v>0.0</v>
      </c>
      <c r="EA565" s="19">
        <v>0.0</v>
      </c>
      <c r="EB565" s="19">
        <v>0.0</v>
      </c>
      <c r="EC565" s="19">
        <v>0.0</v>
      </c>
      <c r="ED565" s="19" t="s">
        <v>2174</v>
      </c>
      <c r="EE565" s="24">
        <v>45526.0</v>
      </c>
      <c r="EF565" s="19" t="s">
        <v>2174</v>
      </c>
      <c r="EG565" s="19" t="s">
        <v>2145</v>
      </c>
      <c r="EH565" s="19" t="s">
        <v>2183</v>
      </c>
      <c r="EI565" s="22">
        <v>12.28125</v>
      </c>
      <c r="EJ565" s="19">
        <v>43.0</v>
      </c>
      <c r="EK565" s="19" t="s">
        <v>2113</v>
      </c>
      <c r="EL565" s="19" t="s">
        <v>2163</v>
      </c>
      <c r="EM565" s="19" t="s">
        <v>11564</v>
      </c>
      <c r="EN565" s="19" t="s">
        <v>1667</v>
      </c>
      <c r="EO565" s="19" t="s">
        <v>6195</v>
      </c>
      <c r="EP565" s="19" t="s">
        <v>2122</v>
      </c>
      <c r="EQ565" s="19" t="s">
        <v>2537</v>
      </c>
      <c r="ER565" s="19"/>
      <c r="ES565" s="19" t="s">
        <v>1667</v>
      </c>
      <c r="ET565" s="19" t="s">
        <v>1667</v>
      </c>
      <c r="EU565" s="19" t="s">
        <v>11562</v>
      </c>
      <c r="EV565" s="19">
        <v>7724.0</v>
      </c>
      <c r="EW565" s="19" t="s">
        <v>16</v>
      </c>
      <c r="EX565" s="19">
        <v>5.0</v>
      </c>
      <c r="EY565" s="25" t="s">
        <v>1666</v>
      </c>
      <c r="EZ565" s="19" t="s">
        <v>2154</v>
      </c>
      <c r="FA565" s="5" t="s">
        <v>11574</v>
      </c>
      <c r="FB565" s="26" t="s">
        <v>2156</v>
      </c>
      <c r="FC565" s="26"/>
    </row>
    <row r="566">
      <c r="A566" s="19" t="s">
        <v>2112</v>
      </c>
      <c r="B566" s="19"/>
      <c r="C566" s="19" t="s">
        <v>2113</v>
      </c>
      <c r="D566" s="19" t="s">
        <v>1668</v>
      </c>
      <c r="E566" s="19" t="s">
        <v>11575</v>
      </c>
      <c r="F566" s="19" t="s">
        <v>1668</v>
      </c>
      <c r="G566" s="19"/>
      <c r="H566" s="19" t="s">
        <v>1668</v>
      </c>
      <c r="I566" s="19" t="s">
        <v>1670</v>
      </c>
      <c r="J566" s="19" t="s">
        <v>11576</v>
      </c>
      <c r="K566" s="19" t="s">
        <v>11577</v>
      </c>
      <c r="L566" s="20">
        <v>45446.0</v>
      </c>
      <c r="M566" s="20">
        <v>45446.0</v>
      </c>
      <c r="N566" s="20">
        <v>45446.0</v>
      </c>
      <c r="O566" s="19" t="s">
        <v>1669</v>
      </c>
      <c r="P566" s="19">
        <v>0.0</v>
      </c>
      <c r="Q566" s="19">
        <v>24.0</v>
      </c>
      <c r="R566" s="19">
        <v>8936.0</v>
      </c>
      <c r="S566" s="20" t="s">
        <v>11578</v>
      </c>
      <c r="T566" s="20">
        <v>45461.0</v>
      </c>
      <c r="U566" s="19" t="s">
        <v>1668</v>
      </c>
      <c r="V566" s="19"/>
      <c r="W566" s="19"/>
      <c r="X566" s="21">
        <v>0.0</v>
      </c>
      <c r="Y566" s="21">
        <v>0.0</v>
      </c>
      <c r="Z566" s="21">
        <v>5.0</v>
      </c>
      <c r="AA566" s="21">
        <v>0.0</v>
      </c>
      <c r="AB566" s="5">
        <v>5.0</v>
      </c>
      <c r="AC566" s="19">
        <v>4.8</v>
      </c>
      <c r="AD566" s="19">
        <v>4.0</v>
      </c>
      <c r="AE566" s="19">
        <v>4.6</v>
      </c>
      <c r="AF566" s="19">
        <v>4.4</v>
      </c>
      <c r="AG566" s="19">
        <v>4.4</v>
      </c>
      <c r="AH566" s="19">
        <v>4.4</v>
      </c>
      <c r="AI566" s="22">
        <v>13.275</v>
      </c>
      <c r="AJ566" s="19">
        <v>12.0</v>
      </c>
      <c r="AK566" s="19">
        <v>15.0</v>
      </c>
      <c r="AL566" s="19">
        <v>15.0</v>
      </c>
      <c r="AM566" s="19">
        <v>42.0</v>
      </c>
      <c r="AN566" s="19">
        <v>55.3</v>
      </c>
      <c r="AO566" s="19">
        <v>60.3</v>
      </c>
      <c r="AP566" s="19">
        <v>1054.0</v>
      </c>
      <c r="AQ566" s="23">
        <v>556.0</v>
      </c>
      <c r="AR566" s="23">
        <v>70.0</v>
      </c>
      <c r="AS566" s="22"/>
      <c r="AT566" s="19" t="s">
        <v>2282</v>
      </c>
      <c r="AU566" s="19" t="s">
        <v>7352</v>
      </c>
      <c r="AV566" s="19" t="s">
        <v>11579</v>
      </c>
      <c r="AW566" s="19"/>
      <c r="AX566" s="20">
        <v>36525.0</v>
      </c>
      <c r="AY566" s="19" t="s">
        <v>2338</v>
      </c>
      <c r="AZ566" s="19" t="s">
        <v>2122</v>
      </c>
      <c r="BA566" s="19" t="s">
        <v>11580</v>
      </c>
      <c r="BB566" s="19" t="s">
        <v>11581</v>
      </c>
      <c r="BC566" s="19" t="s">
        <v>11582</v>
      </c>
      <c r="BD566" s="19" t="s">
        <v>11583</v>
      </c>
      <c r="BE566" s="19" t="s">
        <v>11576</v>
      </c>
      <c r="BF566" s="19">
        <v>1.5991679369E10</v>
      </c>
      <c r="BG566" s="19" t="s">
        <v>2127</v>
      </c>
      <c r="BH566" s="19" t="s">
        <v>2128</v>
      </c>
      <c r="BI566" s="19"/>
      <c r="BJ566" s="19" t="s">
        <v>2128</v>
      </c>
      <c r="BK566" s="19" t="s">
        <v>17</v>
      </c>
      <c r="BL566" s="19" t="s">
        <v>2113</v>
      </c>
      <c r="BM566" s="19" t="s">
        <v>5411</v>
      </c>
      <c r="BN566" s="19" t="s">
        <v>17</v>
      </c>
      <c r="BO566" s="19" t="s">
        <v>2132</v>
      </c>
      <c r="BP566" s="19" t="s">
        <v>11584</v>
      </c>
      <c r="BQ566" s="19" t="s">
        <v>2174</v>
      </c>
      <c r="BR566" s="19" t="s">
        <v>2174</v>
      </c>
      <c r="BS566" s="19" t="s">
        <v>3521</v>
      </c>
      <c r="BT566" s="19" t="s">
        <v>21</v>
      </c>
      <c r="BU566" s="19" t="s">
        <v>11585</v>
      </c>
      <c r="BV566" s="19"/>
      <c r="BW566" s="19"/>
      <c r="BX566" s="19" t="s">
        <v>2113</v>
      </c>
      <c r="BY566" s="19" t="s">
        <v>2113</v>
      </c>
      <c r="BZ566" s="19" t="s">
        <v>2113</v>
      </c>
      <c r="CA566" s="19" t="s">
        <v>2113</v>
      </c>
      <c r="CB566" s="19"/>
      <c r="CC566" s="19"/>
      <c r="CD566" s="19" t="s">
        <v>2137</v>
      </c>
      <c r="CE566" s="19" t="s">
        <v>16</v>
      </c>
      <c r="CF566" s="19"/>
      <c r="CG566" s="19"/>
      <c r="CH566" s="19" t="s">
        <v>16</v>
      </c>
      <c r="CI566" s="21">
        <v>0.0</v>
      </c>
      <c r="CJ566" s="19" t="s">
        <v>16</v>
      </c>
      <c r="CK566" s="19"/>
      <c r="CL566" s="19"/>
      <c r="CM566" s="19" t="s">
        <v>2138</v>
      </c>
      <c r="CN566" s="19" t="s">
        <v>2204</v>
      </c>
      <c r="CO566" s="19"/>
      <c r="CP566" s="19" t="s">
        <v>2178</v>
      </c>
      <c r="CQ566" s="19"/>
      <c r="CR566" s="19" t="s">
        <v>2113</v>
      </c>
      <c r="CS566" s="19" t="s">
        <v>2113</v>
      </c>
      <c r="CT566" s="19"/>
      <c r="CU566" s="19"/>
      <c r="CV566" s="19" t="s">
        <v>2179</v>
      </c>
      <c r="CW566" s="19" t="s">
        <v>2113</v>
      </c>
      <c r="CX566" s="19" t="s">
        <v>2113</v>
      </c>
      <c r="CY566" s="19"/>
      <c r="CZ566" s="19"/>
      <c r="DA566" s="19" t="s">
        <v>16</v>
      </c>
      <c r="DB566" s="19" t="s">
        <v>16</v>
      </c>
      <c r="DC566" s="19" t="s">
        <v>2247</v>
      </c>
      <c r="DD566" s="19" t="s">
        <v>2113</v>
      </c>
      <c r="DE566" s="19" t="s">
        <v>2113</v>
      </c>
      <c r="DF566" s="19" t="s">
        <v>2804</v>
      </c>
      <c r="DG566" s="19" t="s">
        <v>2323</v>
      </c>
      <c r="DH566" s="19" t="s">
        <v>2144</v>
      </c>
      <c r="DI566" s="24">
        <v>45531.0</v>
      </c>
      <c r="DJ566" s="19" t="s">
        <v>2174</v>
      </c>
      <c r="DK566" s="19" t="s">
        <v>2271</v>
      </c>
      <c r="DL566" s="19" t="s">
        <v>2183</v>
      </c>
      <c r="DM566" s="19"/>
      <c r="DN566" s="19">
        <v>8.0</v>
      </c>
      <c r="DO566" s="19">
        <v>8.0</v>
      </c>
      <c r="DP566" s="19"/>
      <c r="DQ566" s="19"/>
      <c r="DR566" s="19"/>
      <c r="DS566" s="19" t="s">
        <v>2151</v>
      </c>
      <c r="DT566" s="19" t="s">
        <v>2186</v>
      </c>
      <c r="DU566" s="19" t="s">
        <v>11586</v>
      </c>
      <c r="DV566" s="19"/>
      <c r="DW566" s="19" t="s">
        <v>2153</v>
      </c>
      <c r="DX566" s="19">
        <v>14.0</v>
      </c>
      <c r="DY566" s="19">
        <v>0.0</v>
      </c>
      <c r="DZ566" s="19">
        <v>0.0</v>
      </c>
      <c r="EA566" s="19">
        <v>0.0</v>
      </c>
      <c r="EB566" s="19">
        <v>0.0</v>
      </c>
      <c r="EC566" s="19">
        <v>0.0</v>
      </c>
      <c r="ED566" s="19" t="s">
        <v>2174</v>
      </c>
      <c r="EE566" s="24">
        <v>45531.0</v>
      </c>
      <c r="EF566" s="19" t="s">
        <v>2174</v>
      </c>
      <c r="EG566" s="19" t="s">
        <v>2271</v>
      </c>
      <c r="EH566" s="19" t="s">
        <v>2183</v>
      </c>
      <c r="EI566" s="22">
        <v>13.275</v>
      </c>
      <c r="EJ566" s="19">
        <v>42.0</v>
      </c>
      <c r="EK566" s="19"/>
      <c r="EL566" s="19" t="s">
        <v>2282</v>
      </c>
      <c r="EM566" s="19" t="s">
        <v>7352</v>
      </c>
      <c r="EN566" s="19" t="s">
        <v>1670</v>
      </c>
      <c r="EO566" s="19" t="s">
        <v>2338</v>
      </c>
      <c r="EP566" s="19" t="s">
        <v>2122</v>
      </c>
      <c r="EQ566" s="19" t="s">
        <v>2204</v>
      </c>
      <c r="ER566" s="19"/>
      <c r="ES566" s="19" t="s">
        <v>1670</v>
      </c>
      <c r="ET566" s="19" t="s">
        <v>1670</v>
      </c>
      <c r="EU566" s="19" t="s">
        <v>11577</v>
      </c>
      <c r="EV566" s="19">
        <v>8936.0</v>
      </c>
      <c r="EW566" s="19" t="s">
        <v>16</v>
      </c>
      <c r="EX566" s="19">
        <v>5.0</v>
      </c>
      <c r="EY566" s="25" t="s">
        <v>1669</v>
      </c>
      <c r="EZ566" s="19" t="s">
        <v>2154</v>
      </c>
      <c r="FA566" s="5" t="s">
        <v>11587</v>
      </c>
      <c r="FB566" s="26" t="s">
        <v>2156</v>
      </c>
      <c r="FC566" s="26"/>
    </row>
    <row r="567">
      <c r="A567" s="19" t="s">
        <v>2112</v>
      </c>
      <c r="B567" s="19"/>
      <c r="C567" s="19" t="s">
        <v>2113</v>
      </c>
      <c r="D567" s="19" t="s">
        <v>11588</v>
      </c>
      <c r="E567" s="19" t="s">
        <v>11589</v>
      </c>
      <c r="F567" s="19" t="s">
        <v>1671</v>
      </c>
      <c r="G567" s="19" t="s">
        <v>11590</v>
      </c>
      <c r="H567" s="19" t="s">
        <v>1671</v>
      </c>
      <c r="I567" s="19" t="s">
        <v>1673</v>
      </c>
      <c r="J567" s="19" t="s">
        <v>11591</v>
      </c>
      <c r="K567" s="19" t="s">
        <v>11592</v>
      </c>
      <c r="L567" s="20">
        <v>45446.0</v>
      </c>
      <c r="M567" s="20">
        <v>45447.0</v>
      </c>
      <c r="N567" s="20">
        <v>45447.0</v>
      </c>
      <c r="O567" s="19" t="s">
        <v>1672</v>
      </c>
      <c r="P567" s="19">
        <v>0.0</v>
      </c>
      <c r="Q567" s="19">
        <v>19.0</v>
      </c>
      <c r="R567" s="19">
        <v>7139.0</v>
      </c>
      <c r="S567" s="20" t="s">
        <v>11593</v>
      </c>
      <c r="T567" s="20">
        <v>45461.0</v>
      </c>
      <c r="U567" s="19" t="s">
        <v>1671</v>
      </c>
      <c r="V567" s="19"/>
      <c r="W567" s="19"/>
      <c r="X567" s="21">
        <v>0.0</v>
      </c>
      <c r="Y567" s="21">
        <v>0.0</v>
      </c>
      <c r="Z567" s="21">
        <v>5.0</v>
      </c>
      <c r="AA567" s="21">
        <v>2.0</v>
      </c>
      <c r="AB567" s="5">
        <v>7.0</v>
      </c>
      <c r="AC567" s="19">
        <v>3.3</v>
      </c>
      <c r="AD567" s="19">
        <v>3.6</v>
      </c>
      <c r="AE567" s="19">
        <v>3.3</v>
      </c>
      <c r="AF567" s="19">
        <v>3.3</v>
      </c>
      <c r="AG567" s="19">
        <v>3.1</v>
      </c>
      <c r="AH567" s="19">
        <v>3.6</v>
      </c>
      <c r="AI567" s="22">
        <v>10.134374999999999</v>
      </c>
      <c r="AJ567" s="19">
        <v>15.0</v>
      </c>
      <c r="AK567" s="19">
        <v>15.0</v>
      </c>
      <c r="AL567" s="19">
        <v>13.0</v>
      </c>
      <c r="AM567" s="19">
        <v>43.0</v>
      </c>
      <c r="AN567" s="19">
        <v>53.1</v>
      </c>
      <c r="AO567" s="19">
        <v>60.1</v>
      </c>
      <c r="AP567" s="19">
        <v>1016.0</v>
      </c>
      <c r="AQ567" s="23">
        <v>557.0</v>
      </c>
      <c r="AR567" s="23">
        <v>47.0</v>
      </c>
      <c r="AS567" s="22"/>
      <c r="AT567" s="19" t="s">
        <v>2117</v>
      </c>
      <c r="AU567" s="19" t="s">
        <v>11594</v>
      </c>
      <c r="AV567" s="19" t="s">
        <v>11595</v>
      </c>
      <c r="AW567" s="19"/>
      <c r="AX567" s="20">
        <v>38322.0</v>
      </c>
      <c r="AY567" s="19" t="s">
        <v>2529</v>
      </c>
      <c r="AZ567" s="19" t="s">
        <v>2554</v>
      </c>
      <c r="BA567" s="19" t="s">
        <v>11596</v>
      </c>
      <c r="BB567" s="19" t="s">
        <v>11597</v>
      </c>
      <c r="BC567" s="19" t="s">
        <v>11598</v>
      </c>
      <c r="BD567" s="19" t="s">
        <v>11599</v>
      </c>
      <c r="BE567" s="19" t="s">
        <v>11591</v>
      </c>
      <c r="BF567" s="19">
        <v>1.1934931672E10</v>
      </c>
      <c r="BG567" s="19" t="s">
        <v>4038</v>
      </c>
      <c r="BH567" s="19" t="s">
        <v>2128</v>
      </c>
      <c r="BI567" s="19"/>
      <c r="BJ567" s="19" t="s">
        <v>2128</v>
      </c>
      <c r="BK567" s="19" t="s">
        <v>17</v>
      </c>
      <c r="BL567" s="19"/>
      <c r="BM567" s="19" t="s">
        <v>5411</v>
      </c>
      <c r="BN567" s="19" t="s">
        <v>17</v>
      </c>
      <c r="BO567" s="19" t="s">
        <v>2132</v>
      </c>
      <c r="BP567" s="19" t="s">
        <v>11600</v>
      </c>
      <c r="BQ567" s="19" t="s">
        <v>2174</v>
      </c>
      <c r="BR567" s="19" t="s">
        <v>2174</v>
      </c>
      <c r="BS567" s="19" t="s">
        <v>2243</v>
      </c>
      <c r="BT567" s="19" t="s">
        <v>75</v>
      </c>
      <c r="BU567" s="19" t="s">
        <v>11601</v>
      </c>
      <c r="BV567" s="19"/>
      <c r="BW567" s="19" t="s">
        <v>2113</v>
      </c>
      <c r="BX567" s="19"/>
      <c r="BY567" s="19"/>
      <c r="BZ567" s="19"/>
      <c r="CA567" s="19"/>
      <c r="CB567" s="19" t="s">
        <v>2113</v>
      </c>
      <c r="CC567" s="19"/>
      <c r="CD567" s="19" t="s">
        <v>2137</v>
      </c>
      <c r="CE567" s="19" t="s">
        <v>16</v>
      </c>
      <c r="CF567" s="19"/>
      <c r="CG567" s="19"/>
      <c r="CH567" s="19" t="s">
        <v>16</v>
      </c>
      <c r="CI567" s="21">
        <v>0.0</v>
      </c>
      <c r="CJ567" s="19" t="s">
        <v>17</v>
      </c>
      <c r="CK567" s="19"/>
      <c r="CL567" s="19"/>
      <c r="CM567" s="19" t="s">
        <v>2344</v>
      </c>
      <c r="CN567" s="19" t="s">
        <v>2537</v>
      </c>
      <c r="CO567" s="19"/>
      <c r="CP567" s="19" t="s">
        <v>2246</v>
      </c>
      <c r="CQ567" s="19"/>
      <c r="CR567" s="19" t="s">
        <v>2113</v>
      </c>
      <c r="CS567" s="19" t="s">
        <v>2113</v>
      </c>
      <c r="CT567" s="19" t="s">
        <v>2113</v>
      </c>
      <c r="CU567" s="19" t="s">
        <v>2113</v>
      </c>
      <c r="CV567" s="19" t="s">
        <v>2141</v>
      </c>
      <c r="CW567" s="19" t="s">
        <v>2113</v>
      </c>
      <c r="CX567" s="19" t="s">
        <v>2113</v>
      </c>
      <c r="CY567" s="19" t="s">
        <v>2113</v>
      </c>
      <c r="CZ567" s="19" t="s">
        <v>2113</v>
      </c>
      <c r="DA567" s="19" t="s">
        <v>16</v>
      </c>
      <c r="DB567" s="19" t="s">
        <v>17</v>
      </c>
      <c r="DC567" s="19" t="s">
        <v>2538</v>
      </c>
      <c r="DD567" s="19" t="s">
        <v>2113</v>
      </c>
      <c r="DE567" s="19" t="s">
        <v>2113</v>
      </c>
      <c r="DF567" s="19" t="s">
        <v>3163</v>
      </c>
      <c r="DG567" s="19" t="s">
        <v>3562</v>
      </c>
      <c r="DH567" s="19" t="s">
        <v>2144</v>
      </c>
      <c r="DI567" s="24">
        <v>45526.0</v>
      </c>
      <c r="DJ567" s="19" t="s">
        <v>2174</v>
      </c>
      <c r="DK567" s="19" t="s">
        <v>2145</v>
      </c>
      <c r="DL567" s="19" t="s">
        <v>2183</v>
      </c>
      <c r="DM567" s="19"/>
      <c r="DN567" s="19">
        <v>11.0</v>
      </c>
      <c r="DO567" s="19">
        <v>11.0</v>
      </c>
      <c r="DP567" s="19" t="s">
        <v>11602</v>
      </c>
      <c r="DQ567" s="19" t="s">
        <v>11603</v>
      </c>
      <c r="DR567" s="19" t="s">
        <v>11604</v>
      </c>
      <c r="DS567" s="19" t="s">
        <v>2151</v>
      </c>
      <c r="DT567" s="19" t="s">
        <v>2186</v>
      </c>
      <c r="DU567" s="19"/>
      <c r="DV567" s="19"/>
      <c r="DW567" s="19" t="s">
        <v>2479</v>
      </c>
      <c r="DX567" s="19">
        <v>16.0</v>
      </c>
      <c r="DY567" s="19">
        <v>0.0</v>
      </c>
      <c r="DZ567" s="19">
        <v>2.0</v>
      </c>
      <c r="EA567" s="19">
        <v>0.0</v>
      </c>
      <c r="EB567" s="19">
        <v>0.0</v>
      </c>
      <c r="EC567" s="19">
        <v>0.0</v>
      </c>
      <c r="ED567" s="19" t="s">
        <v>2174</v>
      </c>
      <c r="EE567" s="24">
        <v>45526.0</v>
      </c>
      <c r="EF567" s="19" t="s">
        <v>2174</v>
      </c>
      <c r="EG567" s="19" t="s">
        <v>2145</v>
      </c>
      <c r="EH567" s="19" t="s">
        <v>2183</v>
      </c>
      <c r="EI567" s="22">
        <v>10.134374999999999</v>
      </c>
      <c r="EJ567" s="19">
        <v>43.0</v>
      </c>
      <c r="EK567" s="19" t="s">
        <v>2113</v>
      </c>
      <c r="EL567" s="19" t="s">
        <v>2117</v>
      </c>
      <c r="EM567" s="19" t="s">
        <v>11594</v>
      </c>
      <c r="EN567" s="19" t="s">
        <v>1673</v>
      </c>
      <c r="EO567" s="19" t="s">
        <v>2529</v>
      </c>
      <c r="EP567" s="19" t="s">
        <v>2554</v>
      </c>
      <c r="EQ567" s="19" t="s">
        <v>2537</v>
      </c>
      <c r="ER567" s="19"/>
      <c r="ES567" s="19" t="s">
        <v>1673</v>
      </c>
      <c r="ET567" s="19" t="s">
        <v>1673</v>
      </c>
      <c r="EU567" s="19" t="s">
        <v>11592</v>
      </c>
      <c r="EV567" s="19">
        <v>7139.0</v>
      </c>
      <c r="EW567" s="19" t="s">
        <v>16</v>
      </c>
      <c r="EX567" s="19">
        <v>5.0</v>
      </c>
      <c r="EY567" s="25" t="s">
        <v>1672</v>
      </c>
      <c r="EZ567" s="19" t="s">
        <v>2154</v>
      </c>
      <c r="FA567" s="5" t="s">
        <v>11605</v>
      </c>
      <c r="FB567" s="26" t="s">
        <v>2156</v>
      </c>
      <c r="FC567" s="26"/>
    </row>
    <row r="568">
      <c r="A568" s="19" t="s">
        <v>2156</v>
      </c>
      <c r="B568" s="19"/>
      <c r="C568" s="19" t="s">
        <v>2113</v>
      </c>
      <c r="D568" s="19" t="s">
        <v>1674</v>
      </c>
      <c r="E568" s="19" t="s">
        <v>11606</v>
      </c>
      <c r="F568" s="19" t="s">
        <v>1674</v>
      </c>
      <c r="G568" s="19"/>
      <c r="H568" s="19" t="s">
        <v>1674</v>
      </c>
      <c r="I568" s="19" t="s">
        <v>429</v>
      </c>
      <c r="J568" s="19" t="s">
        <v>11607</v>
      </c>
      <c r="K568" s="19" t="s">
        <v>11608</v>
      </c>
      <c r="L568" s="20">
        <v>45394.0</v>
      </c>
      <c r="M568" s="20">
        <v>45404.0</v>
      </c>
      <c r="N568" s="20">
        <v>45404.0</v>
      </c>
      <c r="O568" s="19" t="s">
        <v>1675</v>
      </c>
      <c r="P568" s="19">
        <v>0.0</v>
      </c>
      <c r="Q568" s="19">
        <v>19.0</v>
      </c>
      <c r="R568" s="19">
        <v>7083.0</v>
      </c>
      <c r="S568" s="20" t="s">
        <v>11609</v>
      </c>
      <c r="T568" s="20">
        <v>45461.0</v>
      </c>
      <c r="U568" s="19" t="s">
        <v>1674</v>
      </c>
      <c r="V568" s="19"/>
      <c r="W568" s="19"/>
      <c r="X568" s="21">
        <v>0.0</v>
      </c>
      <c r="Y568" s="21">
        <v>0.0</v>
      </c>
      <c r="Z568" s="21">
        <v>4.0</v>
      </c>
      <c r="AA568" s="21">
        <v>0.0</v>
      </c>
      <c r="AB568" s="5">
        <v>4.0</v>
      </c>
      <c r="AC568" s="19">
        <v>4.5</v>
      </c>
      <c r="AD568" s="19">
        <v>4.5</v>
      </c>
      <c r="AE568" s="19">
        <v>5.0</v>
      </c>
      <c r="AF568" s="19">
        <v>5.0</v>
      </c>
      <c r="AG568" s="19">
        <v>4.5</v>
      </c>
      <c r="AH568" s="19">
        <v>4.5</v>
      </c>
      <c r="AI568" s="22">
        <v>14.0625</v>
      </c>
      <c r="AJ568" s="19">
        <v>14.0</v>
      </c>
      <c r="AK568" s="19">
        <v>14.0</v>
      </c>
      <c r="AL568" s="19">
        <v>14.0</v>
      </c>
      <c r="AM568" s="19">
        <v>42.0</v>
      </c>
      <c r="AN568" s="19">
        <v>56.1</v>
      </c>
      <c r="AO568" s="19">
        <v>60.1</v>
      </c>
      <c r="AP568" s="19">
        <v>1205.0</v>
      </c>
      <c r="AQ568" s="23">
        <v>558.0</v>
      </c>
      <c r="AR568" s="23">
        <v>39.0</v>
      </c>
      <c r="AS568" s="22"/>
      <c r="AT568" s="19" t="s">
        <v>2117</v>
      </c>
      <c r="AU568" s="19" t="s">
        <v>11610</v>
      </c>
      <c r="AV568" s="19" t="s">
        <v>11611</v>
      </c>
      <c r="AW568" s="19" t="s">
        <v>3269</v>
      </c>
      <c r="AX568" s="20">
        <v>38378.0</v>
      </c>
      <c r="AY568" s="19" t="s">
        <v>2702</v>
      </c>
      <c r="AZ568" s="19" t="s">
        <v>2310</v>
      </c>
      <c r="BA568" s="19" t="s">
        <v>11612</v>
      </c>
      <c r="BB568" s="19" t="s">
        <v>7193</v>
      </c>
      <c r="BC568" s="19" t="s">
        <v>11613</v>
      </c>
      <c r="BD568" s="19" t="s">
        <v>11614</v>
      </c>
      <c r="BE568" s="19" t="s">
        <v>11615</v>
      </c>
      <c r="BF568" s="19" t="s">
        <v>11616</v>
      </c>
      <c r="BG568" s="19" t="s">
        <v>4038</v>
      </c>
      <c r="BH568" s="19" t="s">
        <v>2128</v>
      </c>
      <c r="BI568" s="19"/>
      <c r="BJ568" s="19" t="s">
        <v>2128</v>
      </c>
      <c r="BK568" s="19" t="s">
        <v>17</v>
      </c>
      <c r="BL568" s="19"/>
      <c r="BM568" s="19" t="s">
        <v>5563</v>
      </c>
      <c r="BN568" s="19" t="s">
        <v>17</v>
      </c>
      <c r="BO568" s="19" t="s">
        <v>2317</v>
      </c>
      <c r="BP568" s="19"/>
      <c r="BQ568" s="19" t="s">
        <v>2318</v>
      </c>
      <c r="BR568" s="19" t="s">
        <v>2318</v>
      </c>
      <c r="BS568" s="19" t="s">
        <v>2134</v>
      </c>
      <c r="BT568" s="19" t="s">
        <v>42</v>
      </c>
      <c r="BU568" s="19" t="s">
        <v>11617</v>
      </c>
      <c r="BV568" s="19"/>
      <c r="BW568" s="19" t="s">
        <v>2113</v>
      </c>
      <c r="BX568" s="19"/>
      <c r="BY568" s="19"/>
      <c r="BZ568" s="19"/>
      <c r="CA568" s="19"/>
      <c r="CB568" s="19" t="s">
        <v>2113</v>
      </c>
      <c r="CC568" s="19"/>
      <c r="CD568" s="19" t="s">
        <v>2137</v>
      </c>
      <c r="CE568" s="19" t="s">
        <v>16</v>
      </c>
      <c r="CF568" s="19"/>
      <c r="CG568" s="19"/>
      <c r="CH568" s="19" t="s">
        <v>16</v>
      </c>
      <c r="CI568" s="21">
        <v>0.0</v>
      </c>
      <c r="CJ568" s="19" t="s">
        <v>17</v>
      </c>
      <c r="CK568" s="19"/>
      <c r="CL568" s="19"/>
      <c r="CM568" s="19" t="s">
        <v>2926</v>
      </c>
      <c r="CN568" s="19" t="s">
        <v>2321</v>
      </c>
      <c r="CO568" s="19"/>
      <c r="CP568" s="19" t="s">
        <v>2246</v>
      </c>
      <c r="CQ568" s="19"/>
      <c r="CR568" s="19"/>
      <c r="CS568" s="19"/>
      <c r="CT568" s="19"/>
      <c r="CU568" s="19"/>
      <c r="CV568" s="19" t="s">
        <v>2141</v>
      </c>
      <c r="CW568" s="19"/>
      <c r="CX568" s="19"/>
      <c r="CY568" s="19" t="s">
        <v>2113</v>
      </c>
      <c r="CZ568" s="19" t="s">
        <v>2113</v>
      </c>
      <c r="DA568" s="19" t="s">
        <v>16</v>
      </c>
      <c r="DB568" s="19" t="s">
        <v>17</v>
      </c>
      <c r="DC568" s="19" t="s">
        <v>2324</v>
      </c>
      <c r="DD568" s="19" t="s">
        <v>2113</v>
      </c>
      <c r="DE568" s="19" t="s">
        <v>2113</v>
      </c>
      <c r="DF568" s="19" t="s">
        <v>2433</v>
      </c>
      <c r="DG568" s="19" t="s">
        <v>2248</v>
      </c>
      <c r="DH568" s="19" t="s">
        <v>2144</v>
      </c>
      <c r="DI568" s="24">
        <v>45518.0</v>
      </c>
      <c r="DJ568" s="19" t="s">
        <v>2325</v>
      </c>
      <c r="DK568" s="19" t="s">
        <v>2145</v>
      </c>
      <c r="DL568" s="19" t="s">
        <v>2326</v>
      </c>
      <c r="DM568" s="19"/>
      <c r="DN568" s="19">
        <v>3.0</v>
      </c>
      <c r="DO568" s="19">
        <v>3.0</v>
      </c>
      <c r="DP568" s="19" t="s">
        <v>11618</v>
      </c>
      <c r="DQ568" s="19" t="s">
        <v>11619</v>
      </c>
      <c r="DR568" s="19" t="s">
        <v>11620</v>
      </c>
      <c r="DS568" s="19" t="s">
        <v>2185</v>
      </c>
      <c r="DT568" s="19" t="s">
        <v>2366</v>
      </c>
      <c r="DU568" s="19"/>
      <c r="DV568" s="19"/>
      <c r="DW568" s="19" t="s">
        <v>2188</v>
      </c>
      <c r="DX568" s="19">
        <v>5.0</v>
      </c>
      <c r="DY568" s="19">
        <v>0.0</v>
      </c>
      <c r="DZ568" s="19">
        <v>0.0</v>
      </c>
      <c r="EA568" s="19">
        <v>0.0</v>
      </c>
      <c r="EB568" s="19">
        <v>0.0</v>
      </c>
      <c r="EC568" s="19">
        <v>0.0</v>
      </c>
      <c r="ED568" s="19" t="s">
        <v>2325</v>
      </c>
      <c r="EE568" s="24">
        <v>45518.0</v>
      </c>
      <c r="EF568" s="19" t="s">
        <v>2325</v>
      </c>
      <c r="EG568" s="19" t="s">
        <v>2145</v>
      </c>
      <c r="EH568" s="19" t="s">
        <v>2326</v>
      </c>
      <c r="EI568" s="22">
        <v>14.0625</v>
      </c>
      <c r="EJ568" s="19">
        <v>42.0</v>
      </c>
      <c r="EK568" s="19" t="s">
        <v>2113</v>
      </c>
      <c r="EL568" s="19" t="s">
        <v>2117</v>
      </c>
      <c r="EM568" s="19" t="s">
        <v>11610</v>
      </c>
      <c r="EN568" s="19" t="s">
        <v>429</v>
      </c>
      <c r="EO568" s="19" t="s">
        <v>2702</v>
      </c>
      <c r="EP568" s="19" t="s">
        <v>2310</v>
      </c>
      <c r="EQ568" s="19" t="s">
        <v>2321</v>
      </c>
      <c r="ER568" s="19"/>
      <c r="ES568" s="19" t="s">
        <v>429</v>
      </c>
      <c r="ET568" s="19" t="s">
        <v>429</v>
      </c>
      <c r="EU568" s="19" t="s">
        <v>11608</v>
      </c>
      <c r="EV568" s="19">
        <v>7083.0</v>
      </c>
      <c r="EW568" s="19" t="s">
        <v>16</v>
      </c>
      <c r="EX568" s="19">
        <v>4.0</v>
      </c>
      <c r="EY568" s="25" t="s">
        <v>1675</v>
      </c>
      <c r="EZ568" s="19" t="s">
        <v>2154</v>
      </c>
      <c r="FA568" s="5" t="s">
        <v>11621</v>
      </c>
      <c r="FB568" s="26" t="s">
        <v>2156</v>
      </c>
      <c r="FC568" s="26"/>
    </row>
    <row r="569">
      <c r="A569" s="19" t="s">
        <v>2112</v>
      </c>
      <c r="B569" s="19"/>
      <c r="C569" s="19" t="s">
        <v>2113</v>
      </c>
      <c r="D569" s="19" t="s">
        <v>1676</v>
      </c>
      <c r="E569" s="19" t="s">
        <v>11622</v>
      </c>
      <c r="F569" s="19" t="s">
        <v>11623</v>
      </c>
      <c r="G569" s="19" t="s">
        <v>11622</v>
      </c>
      <c r="H569" s="19" t="s">
        <v>1676</v>
      </c>
      <c r="I569" s="19" t="s">
        <v>1678</v>
      </c>
      <c r="J569" s="19" t="s">
        <v>11624</v>
      </c>
      <c r="K569" s="19" t="s">
        <v>11625</v>
      </c>
      <c r="L569" s="20">
        <v>45441.0</v>
      </c>
      <c r="M569" s="20">
        <v>45446.0</v>
      </c>
      <c r="N569" s="20">
        <v>45446.0</v>
      </c>
      <c r="O569" s="19" t="s">
        <v>1677</v>
      </c>
      <c r="P569" s="19">
        <v>0.0</v>
      </c>
      <c r="Q569" s="19">
        <v>22.0</v>
      </c>
      <c r="R569" s="19">
        <v>8366.0</v>
      </c>
      <c r="S569" s="20" t="s">
        <v>11626</v>
      </c>
      <c r="T569" s="20">
        <v>45461.0</v>
      </c>
      <c r="U569" s="19" t="s">
        <v>11623</v>
      </c>
      <c r="V569" s="19"/>
      <c r="W569" s="19"/>
      <c r="X569" s="21">
        <v>0.0</v>
      </c>
      <c r="Y569" s="21">
        <v>0.0</v>
      </c>
      <c r="Z569" s="21">
        <v>3.0</v>
      </c>
      <c r="AA569" s="21">
        <v>0.0</v>
      </c>
      <c r="AB569" s="5">
        <v>3.0</v>
      </c>
      <c r="AC569" s="19">
        <v>3.5</v>
      </c>
      <c r="AD569" s="19">
        <v>4.0</v>
      </c>
      <c r="AE569" s="19">
        <v>4.0</v>
      </c>
      <c r="AF569" s="19">
        <v>4.0</v>
      </c>
      <c r="AG569" s="19">
        <v>4.0</v>
      </c>
      <c r="AH569" s="19">
        <v>5.0</v>
      </c>
      <c r="AI569" s="22">
        <v>12.140625</v>
      </c>
      <c r="AJ569" s="19">
        <v>15.0</v>
      </c>
      <c r="AK569" s="19">
        <v>15.0</v>
      </c>
      <c r="AL569" s="19">
        <v>15.0</v>
      </c>
      <c r="AM569" s="19">
        <v>45.0</v>
      </c>
      <c r="AN569" s="19">
        <v>57.1</v>
      </c>
      <c r="AO569" s="19">
        <v>60.1</v>
      </c>
      <c r="AP569" s="19">
        <v>1272.0</v>
      </c>
      <c r="AQ569" s="23">
        <v>559.0</v>
      </c>
      <c r="AR569" s="23">
        <v>32.0</v>
      </c>
      <c r="AS569" s="22" t="s">
        <v>4071</v>
      </c>
      <c r="AT569" s="19" t="s">
        <v>2163</v>
      </c>
      <c r="AU569" s="19" t="s">
        <v>4072</v>
      </c>
      <c r="AV569" s="19" t="s">
        <v>4073</v>
      </c>
      <c r="AW569" s="19" t="s">
        <v>11627</v>
      </c>
      <c r="AX569" s="20">
        <v>37095.0</v>
      </c>
      <c r="AY569" s="19" t="s">
        <v>3826</v>
      </c>
      <c r="AZ569" s="19" t="s">
        <v>2310</v>
      </c>
      <c r="BA569" s="19" t="s">
        <v>4075</v>
      </c>
      <c r="BB569" s="19" t="s">
        <v>4076</v>
      </c>
      <c r="BC569" s="19" t="s">
        <v>11628</v>
      </c>
      <c r="BD569" s="19" t="s">
        <v>11629</v>
      </c>
      <c r="BE569" s="19" t="s">
        <v>11630</v>
      </c>
      <c r="BF569" s="19">
        <v>1.1987492542E10</v>
      </c>
      <c r="BG569" s="19" t="s">
        <v>4038</v>
      </c>
      <c r="BH569" s="19" t="s">
        <v>2128</v>
      </c>
      <c r="BI569" s="19"/>
      <c r="BJ569" s="19" t="s">
        <v>2128</v>
      </c>
      <c r="BK569" s="19" t="s">
        <v>17</v>
      </c>
      <c r="BL569" s="19" t="s">
        <v>2113</v>
      </c>
      <c r="BM569" s="19" t="s">
        <v>5411</v>
      </c>
      <c r="BN569" s="19" t="s">
        <v>17</v>
      </c>
      <c r="BO569" s="19" t="s">
        <v>2473</v>
      </c>
      <c r="BP569" s="19" t="s">
        <v>11631</v>
      </c>
      <c r="BQ569" s="19" t="s">
        <v>3832</v>
      </c>
      <c r="BR569" s="19" t="s">
        <v>3832</v>
      </c>
      <c r="BS569" s="19" t="s">
        <v>2134</v>
      </c>
      <c r="BT569" s="19" t="s">
        <v>268</v>
      </c>
      <c r="BU569" s="19" t="s">
        <v>4613</v>
      </c>
      <c r="BV569" s="19"/>
      <c r="BW569" s="19"/>
      <c r="BX569" s="19"/>
      <c r="BY569" s="19"/>
      <c r="BZ569" s="19"/>
      <c r="CA569" s="19"/>
      <c r="CB569" s="19" t="s">
        <v>2113</v>
      </c>
      <c r="CC569" s="19"/>
      <c r="CD569" s="19" t="s">
        <v>2137</v>
      </c>
      <c r="CE569" s="19" t="s">
        <v>16</v>
      </c>
      <c r="CF569" s="19"/>
      <c r="CG569" s="19"/>
      <c r="CH569" s="19" t="s">
        <v>16</v>
      </c>
      <c r="CI569" s="21">
        <v>0.0</v>
      </c>
      <c r="CJ569" s="19" t="s">
        <v>16</v>
      </c>
      <c r="CK569" s="19" t="s">
        <v>2113</v>
      </c>
      <c r="CL569" s="19"/>
      <c r="CM569" s="19" t="s">
        <v>2138</v>
      </c>
      <c r="CN569" s="19" t="s">
        <v>3835</v>
      </c>
      <c r="CO569" s="19"/>
      <c r="CP569" s="19" t="s">
        <v>2246</v>
      </c>
      <c r="CQ569" s="19"/>
      <c r="CR569" s="19" t="s">
        <v>2113</v>
      </c>
      <c r="CS569" s="19" t="s">
        <v>2113</v>
      </c>
      <c r="CT569" s="19"/>
      <c r="CU569" s="19"/>
      <c r="CV569" s="19" t="s">
        <v>2179</v>
      </c>
      <c r="CW569" s="19" t="s">
        <v>2113</v>
      </c>
      <c r="CX569" s="19" t="s">
        <v>2113</v>
      </c>
      <c r="CY569" s="19" t="s">
        <v>2113</v>
      </c>
      <c r="CZ569" s="19" t="s">
        <v>2113</v>
      </c>
      <c r="DA569" s="19" t="s">
        <v>16</v>
      </c>
      <c r="DB569" s="19" t="s">
        <v>16</v>
      </c>
      <c r="DC569" s="19" t="s">
        <v>3836</v>
      </c>
      <c r="DD569" s="19" t="s">
        <v>2113</v>
      </c>
      <c r="DE569" s="19" t="s">
        <v>2113</v>
      </c>
      <c r="DF569" s="19" t="s">
        <v>3222</v>
      </c>
      <c r="DG569" s="19" t="s">
        <v>4707</v>
      </c>
      <c r="DH569" s="19" t="s">
        <v>2144</v>
      </c>
      <c r="DI569" s="24">
        <v>45519.0</v>
      </c>
      <c r="DJ569" s="19" t="s">
        <v>3257</v>
      </c>
      <c r="DK569" s="19" t="s">
        <v>2145</v>
      </c>
      <c r="DL569" s="19" t="s">
        <v>2207</v>
      </c>
      <c r="DM569" s="19" t="s">
        <v>4085</v>
      </c>
      <c r="DN569" s="19">
        <v>2.0</v>
      </c>
      <c r="DO569" s="19">
        <v>2.0</v>
      </c>
      <c r="DP569" s="19"/>
      <c r="DQ569" s="19"/>
      <c r="DR569" s="19"/>
      <c r="DS569" s="19" t="s">
        <v>2185</v>
      </c>
      <c r="DT569" s="19" t="s">
        <v>2229</v>
      </c>
      <c r="DU569" s="19" t="s">
        <v>11632</v>
      </c>
      <c r="DV569" s="19"/>
      <c r="DW569" s="19" t="s">
        <v>2153</v>
      </c>
      <c r="DX569" s="19">
        <v>2.0</v>
      </c>
      <c r="DY569" s="19">
        <v>0.0</v>
      </c>
      <c r="DZ569" s="19">
        <v>0.0</v>
      </c>
      <c r="EA569" s="19">
        <v>0.0</v>
      </c>
      <c r="EB569" s="19">
        <v>0.0</v>
      </c>
      <c r="EC569" s="19">
        <v>0.0</v>
      </c>
      <c r="ED569" s="19" t="s">
        <v>3257</v>
      </c>
      <c r="EE569" s="24">
        <v>45519.0</v>
      </c>
      <c r="EF569" s="19" t="s">
        <v>3257</v>
      </c>
      <c r="EG569" s="19" t="s">
        <v>2145</v>
      </c>
      <c r="EH569" s="19" t="s">
        <v>2207</v>
      </c>
      <c r="EI569" s="22">
        <v>12.140625</v>
      </c>
      <c r="EJ569" s="19">
        <v>45.0</v>
      </c>
      <c r="EK569" s="19"/>
      <c r="EL569" s="19" t="s">
        <v>2163</v>
      </c>
      <c r="EM569" s="19" t="s">
        <v>4072</v>
      </c>
      <c r="EN569" s="19" t="s">
        <v>1678</v>
      </c>
      <c r="EO569" s="19" t="s">
        <v>3826</v>
      </c>
      <c r="EP569" s="19" t="s">
        <v>2310</v>
      </c>
      <c r="EQ569" s="19" t="s">
        <v>3835</v>
      </c>
      <c r="ER569" s="19"/>
      <c r="ES569" s="19" t="s">
        <v>1678</v>
      </c>
      <c r="ET569" s="19" t="s">
        <v>1678</v>
      </c>
      <c r="EU569" s="19" t="s">
        <v>11625</v>
      </c>
      <c r="EV569" s="19">
        <v>8366.0</v>
      </c>
      <c r="EW569" s="19" t="s">
        <v>16</v>
      </c>
      <c r="EX569" s="19">
        <v>3.0</v>
      </c>
      <c r="EY569" s="25" t="s">
        <v>1677</v>
      </c>
      <c r="EZ569" s="19" t="s">
        <v>2154</v>
      </c>
      <c r="FA569" s="5" t="s">
        <v>11633</v>
      </c>
      <c r="FB569" s="26" t="s">
        <v>2156</v>
      </c>
      <c r="FC569" s="26"/>
    </row>
    <row r="570">
      <c r="A570" s="19" t="s">
        <v>2112</v>
      </c>
      <c r="B570" s="19"/>
      <c r="C570" s="19" t="s">
        <v>2113</v>
      </c>
      <c r="D570" s="19" t="s">
        <v>11634</v>
      </c>
      <c r="E570" s="19" t="s">
        <v>11635</v>
      </c>
      <c r="F570" s="19" t="s">
        <v>11634</v>
      </c>
      <c r="G570" s="19"/>
      <c r="H570" s="19" t="s">
        <v>1679</v>
      </c>
      <c r="I570" s="19" t="s">
        <v>1681</v>
      </c>
      <c r="J570" s="19" t="s">
        <v>11636</v>
      </c>
      <c r="K570" s="19" t="s">
        <v>11637</v>
      </c>
      <c r="L570" s="20">
        <v>45458.0</v>
      </c>
      <c r="M570" s="20">
        <v>45460.0</v>
      </c>
      <c r="N570" s="20">
        <v>45460.0</v>
      </c>
      <c r="O570" s="19" t="s">
        <v>1680</v>
      </c>
      <c r="P570" s="19">
        <v>0.0</v>
      </c>
      <c r="Q570" s="19">
        <v>22.0</v>
      </c>
      <c r="R570" s="19">
        <v>8345.0</v>
      </c>
      <c r="S570" s="20" t="s">
        <v>11638</v>
      </c>
      <c r="T570" s="20">
        <v>45461.0</v>
      </c>
      <c r="U570" s="19" t="s">
        <v>11634</v>
      </c>
      <c r="V570" s="19"/>
      <c r="W570" s="19" t="s">
        <v>11639</v>
      </c>
      <c r="X570" s="21">
        <v>0.0</v>
      </c>
      <c r="Y570" s="21">
        <v>10.0</v>
      </c>
      <c r="Z570" s="21">
        <v>5.0</v>
      </c>
      <c r="AA570" s="21">
        <v>0.0</v>
      </c>
      <c r="AB570" s="5">
        <v>15.0</v>
      </c>
      <c r="AC570" s="19">
        <v>4.0</v>
      </c>
      <c r="AD570" s="19">
        <v>4.0</v>
      </c>
      <c r="AE570" s="19">
        <v>4.0</v>
      </c>
      <c r="AF570" s="19">
        <v>4.0</v>
      </c>
      <c r="AG570" s="19">
        <v>4.0</v>
      </c>
      <c r="AH570" s="19">
        <v>4.0</v>
      </c>
      <c r="AI570" s="22">
        <v>12.0</v>
      </c>
      <c r="AJ570" s="19">
        <v>12.0</v>
      </c>
      <c r="AK570" s="19">
        <v>10.0</v>
      </c>
      <c r="AL570" s="19">
        <v>11.0</v>
      </c>
      <c r="AM570" s="19">
        <v>33.0</v>
      </c>
      <c r="AN570" s="19">
        <v>45.0</v>
      </c>
      <c r="AO570" s="19">
        <v>60.0</v>
      </c>
      <c r="AP570" s="19">
        <v>455.0</v>
      </c>
      <c r="AQ570" s="23">
        <v>560.0</v>
      </c>
      <c r="AR570" s="23">
        <v>81.0</v>
      </c>
      <c r="AS570" s="22"/>
      <c r="AT570" s="19" t="s">
        <v>2117</v>
      </c>
      <c r="AU570" s="19" t="s">
        <v>2993</v>
      </c>
      <c r="AV570" s="19" t="s">
        <v>9248</v>
      </c>
      <c r="AW570" s="19" t="s">
        <v>4438</v>
      </c>
      <c r="AX570" s="20">
        <v>37116.0</v>
      </c>
      <c r="AY570" s="19" t="s">
        <v>2286</v>
      </c>
      <c r="AZ570" s="19" t="s">
        <v>2310</v>
      </c>
      <c r="BA570" s="19" t="s">
        <v>9249</v>
      </c>
      <c r="BB570" s="19" t="s">
        <v>8025</v>
      </c>
      <c r="BC570" s="19" t="s">
        <v>11640</v>
      </c>
      <c r="BD570" s="19" t="s">
        <v>11641</v>
      </c>
      <c r="BE570" s="19" t="s">
        <v>11642</v>
      </c>
      <c r="BF570" s="19">
        <v>1.1990230701E10</v>
      </c>
      <c r="BG570" s="19" t="s">
        <v>2127</v>
      </c>
      <c r="BH570" s="19" t="s">
        <v>2128</v>
      </c>
      <c r="BI570" s="19"/>
      <c r="BJ570" s="19" t="s">
        <v>2128</v>
      </c>
      <c r="BK570" s="19" t="s">
        <v>17</v>
      </c>
      <c r="BL570" s="19"/>
      <c r="BM570" s="19" t="s">
        <v>5411</v>
      </c>
      <c r="BN570" s="19" t="s">
        <v>4443</v>
      </c>
      <c r="BO570" s="19" t="s">
        <v>2132</v>
      </c>
      <c r="BP570" s="19" t="s">
        <v>11643</v>
      </c>
      <c r="BQ570" s="19" t="s">
        <v>2133</v>
      </c>
      <c r="BR570" s="19" t="s">
        <v>2133</v>
      </c>
      <c r="BS570" s="19" t="s">
        <v>2134</v>
      </c>
      <c r="BT570" s="19" t="s">
        <v>38</v>
      </c>
      <c r="BU570" s="19" t="s">
        <v>9698</v>
      </c>
      <c r="BV570" s="19"/>
      <c r="BW570" s="19"/>
      <c r="BX570" s="19" t="s">
        <v>2113</v>
      </c>
      <c r="BY570" s="19" t="s">
        <v>2113</v>
      </c>
      <c r="BZ570" s="19" t="s">
        <v>2113</v>
      </c>
      <c r="CA570" s="19" t="s">
        <v>2113</v>
      </c>
      <c r="CB570" s="19" t="s">
        <v>2113</v>
      </c>
      <c r="CC570" s="19"/>
      <c r="CD570" s="19" t="s">
        <v>2137</v>
      </c>
      <c r="CE570" s="19" t="s">
        <v>16</v>
      </c>
      <c r="CF570" s="19"/>
      <c r="CG570" s="19"/>
      <c r="CH570" s="19" t="s">
        <v>16</v>
      </c>
      <c r="CI570" s="21">
        <v>0.0</v>
      </c>
      <c r="CJ570" s="19" t="s">
        <v>17</v>
      </c>
      <c r="CK570" s="19"/>
      <c r="CL570" s="19"/>
      <c r="CM570" s="19" t="s">
        <v>2138</v>
      </c>
      <c r="CN570" s="19" t="s">
        <v>2294</v>
      </c>
      <c r="CO570" s="19"/>
      <c r="CP570" s="19" t="s">
        <v>2267</v>
      </c>
      <c r="CQ570" s="19"/>
      <c r="CR570" s="19"/>
      <c r="CS570" s="19"/>
      <c r="CT570" s="19" t="s">
        <v>2113</v>
      </c>
      <c r="CU570" s="19" t="s">
        <v>2113</v>
      </c>
      <c r="CV570" s="19" t="s">
        <v>2141</v>
      </c>
      <c r="CW570" s="19" t="s">
        <v>2113</v>
      </c>
      <c r="CX570" s="19" t="s">
        <v>2113</v>
      </c>
      <c r="CY570" s="19"/>
      <c r="CZ570" s="19"/>
      <c r="DA570" s="19" t="s">
        <v>16</v>
      </c>
      <c r="DB570" s="19" t="s">
        <v>17</v>
      </c>
      <c r="DC570" s="19" t="s">
        <v>2578</v>
      </c>
      <c r="DD570" s="19"/>
      <c r="DE570" s="19"/>
      <c r="DF570" s="19" t="s">
        <v>2146</v>
      </c>
      <c r="DG570" s="19" t="s">
        <v>2407</v>
      </c>
      <c r="DH570" s="19" t="s">
        <v>2144</v>
      </c>
      <c r="DI570" s="24">
        <v>45524.0</v>
      </c>
      <c r="DJ570" s="19" t="s">
        <v>2133</v>
      </c>
      <c r="DK570" s="19" t="s">
        <v>2271</v>
      </c>
      <c r="DL570" s="19" t="s">
        <v>2146</v>
      </c>
      <c r="DM570" s="19" t="s">
        <v>2628</v>
      </c>
      <c r="DN570" s="19">
        <v>8.0</v>
      </c>
      <c r="DO570" s="19">
        <v>8.0</v>
      </c>
      <c r="DP570" s="19" t="s">
        <v>11644</v>
      </c>
      <c r="DQ570" s="19" t="s">
        <v>11645</v>
      </c>
      <c r="DR570" s="19" t="s">
        <v>11646</v>
      </c>
      <c r="DS570" s="19" t="s">
        <v>2185</v>
      </c>
      <c r="DT570" s="19" t="s">
        <v>2229</v>
      </c>
      <c r="DU570" s="19"/>
      <c r="DV570" s="19"/>
      <c r="DW570" s="19" t="s">
        <v>2479</v>
      </c>
      <c r="DX570" s="19">
        <v>6.0</v>
      </c>
      <c r="DY570" s="19">
        <v>10.0</v>
      </c>
      <c r="DZ570" s="19">
        <v>0.0</v>
      </c>
      <c r="EA570" s="19">
        <v>10.0</v>
      </c>
      <c r="EB570" s="19">
        <v>0.0</v>
      </c>
      <c r="EC570" s="19">
        <v>0.0</v>
      </c>
      <c r="ED570" s="19" t="s">
        <v>2133</v>
      </c>
      <c r="EE570" s="24">
        <v>45524.0</v>
      </c>
      <c r="EF570" s="19" t="s">
        <v>2133</v>
      </c>
      <c r="EG570" s="19" t="s">
        <v>2271</v>
      </c>
      <c r="EH570" s="19" t="s">
        <v>2146</v>
      </c>
      <c r="EI570" s="22">
        <v>12.0</v>
      </c>
      <c r="EJ570" s="19">
        <v>33.0</v>
      </c>
      <c r="EK570" s="19" t="s">
        <v>2113</v>
      </c>
      <c r="EL570" s="19" t="s">
        <v>2117</v>
      </c>
      <c r="EM570" s="19" t="s">
        <v>2993</v>
      </c>
      <c r="EN570" s="19" t="s">
        <v>1681</v>
      </c>
      <c r="EO570" s="19" t="s">
        <v>2286</v>
      </c>
      <c r="EP570" s="19" t="s">
        <v>2310</v>
      </c>
      <c r="EQ570" s="19" t="s">
        <v>2294</v>
      </c>
      <c r="ER570" s="19"/>
      <c r="ES570" s="19" t="s">
        <v>1681</v>
      </c>
      <c r="ET570" s="19" t="s">
        <v>1681</v>
      </c>
      <c r="EU570" s="19" t="s">
        <v>11637</v>
      </c>
      <c r="EV570" s="19">
        <v>8345.0</v>
      </c>
      <c r="EW570" s="19" t="s">
        <v>16</v>
      </c>
      <c r="EX570" s="19">
        <v>5.0</v>
      </c>
      <c r="EY570" s="25" t="s">
        <v>1680</v>
      </c>
      <c r="EZ570" s="19" t="s">
        <v>2154</v>
      </c>
      <c r="FA570" s="5" t="s">
        <v>11647</v>
      </c>
      <c r="FB570" s="26" t="s">
        <v>2156</v>
      </c>
      <c r="FC570" s="26"/>
    </row>
    <row r="571">
      <c r="A571" s="19" t="s">
        <v>2112</v>
      </c>
      <c r="B571" s="19"/>
      <c r="C571" s="19" t="s">
        <v>2113</v>
      </c>
      <c r="D571" s="19" t="s">
        <v>1682</v>
      </c>
      <c r="E571" s="19" t="s">
        <v>11648</v>
      </c>
      <c r="F571" s="19" t="s">
        <v>1682</v>
      </c>
      <c r="G571" s="19"/>
      <c r="H571" s="19" t="s">
        <v>1682</v>
      </c>
      <c r="I571" s="19" t="s">
        <v>1684</v>
      </c>
      <c r="J571" s="19" t="s">
        <v>11649</v>
      </c>
      <c r="K571" s="19" t="s">
        <v>11650</v>
      </c>
      <c r="L571" s="20">
        <v>45402.0</v>
      </c>
      <c r="M571" s="20">
        <v>45411.0</v>
      </c>
      <c r="N571" s="20">
        <v>45411.0</v>
      </c>
      <c r="O571" s="19" t="s">
        <v>1683</v>
      </c>
      <c r="P571" s="19">
        <v>0.0</v>
      </c>
      <c r="Q571" s="19">
        <v>23.0</v>
      </c>
      <c r="R571" s="19">
        <v>8765.0</v>
      </c>
      <c r="S571" s="20" t="s">
        <v>10342</v>
      </c>
      <c r="T571" s="20">
        <v>45461.0</v>
      </c>
      <c r="U571" s="19" t="s">
        <v>1682</v>
      </c>
      <c r="V571" s="19"/>
      <c r="W571" s="19"/>
      <c r="X571" s="21">
        <v>0.0</v>
      </c>
      <c r="Y571" s="21">
        <v>0.0</v>
      </c>
      <c r="Z571" s="21">
        <v>5.0</v>
      </c>
      <c r="AA571" s="21">
        <v>0.0</v>
      </c>
      <c r="AB571" s="5">
        <v>5.0</v>
      </c>
      <c r="AC571" s="19">
        <v>3.5</v>
      </c>
      <c r="AD571" s="19">
        <v>4.0</v>
      </c>
      <c r="AE571" s="19">
        <v>4.0</v>
      </c>
      <c r="AF571" s="19">
        <v>3.5</v>
      </c>
      <c r="AG571" s="19">
        <v>3.0</v>
      </c>
      <c r="AH571" s="19">
        <v>3.5</v>
      </c>
      <c r="AI571" s="22">
        <v>11.015625</v>
      </c>
      <c r="AJ571" s="19">
        <v>14.8</v>
      </c>
      <c r="AK571" s="19">
        <v>14.8</v>
      </c>
      <c r="AL571" s="19">
        <v>14.5</v>
      </c>
      <c r="AM571" s="19">
        <v>44.0</v>
      </c>
      <c r="AN571" s="19">
        <v>55.0</v>
      </c>
      <c r="AO571" s="19">
        <v>60.0</v>
      </c>
      <c r="AP571" s="19">
        <v>1062.0</v>
      </c>
      <c r="AQ571" s="23">
        <v>561.0</v>
      </c>
      <c r="AR571" s="23">
        <v>71.0</v>
      </c>
      <c r="AS571" s="19"/>
      <c r="AT571" s="19" t="s">
        <v>2282</v>
      </c>
      <c r="AU571" s="19" t="s">
        <v>11651</v>
      </c>
      <c r="AV571" s="19" t="s">
        <v>11652</v>
      </c>
      <c r="AW571" s="19"/>
      <c r="AX571" s="20">
        <v>36696.0</v>
      </c>
      <c r="AY571" s="19" t="s">
        <v>2338</v>
      </c>
      <c r="AZ571" s="19" t="s">
        <v>2122</v>
      </c>
      <c r="BA571" s="19" t="s">
        <v>11653</v>
      </c>
      <c r="BB571" s="19" t="s">
        <v>6605</v>
      </c>
      <c r="BC571" s="19" t="s">
        <v>11654</v>
      </c>
      <c r="BD571" s="19" t="s">
        <v>11655</v>
      </c>
      <c r="BE571" s="19" t="s">
        <v>11656</v>
      </c>
      <c r="BF571" s="19">
        <v>1.1948036806E10</v>
      </c>
      <c r="BG571" s="19" t="s">
        <v>2127</v>
      </c>
      <c r="BH571" s="19" t="s">
        <v>2128</v>
      </c>
      <c r="BI571" s="19"/>
      <c r="BJ571" s="19"/>
      <c r="BK571" s="19" t="s">
        <v>16</v>
      </c>
      <c r="BL571" s="19" t="s">
        <v>2113</v>
      </c>
      <c r="BM571" s="19" t="s">
        <v>5563</v>
      </c>
      <c r="BN571" s="19" t="s">
        <v>17</v>
      </c>
      <c r="BO571" s="19" t="s">
        <v>2132</v>
      </c>
      <c r="BP571" s="19" t="s">
        <v>11657</v>
      </c>
      <c r="BQ571" s="19" t="s">
        <v>2174</v>
      </c>
      <c r="BR571" s="19" t="s">
        <v>2174</v>
      </c>
      <c r="BS571" s="19" t="s">
        <v>3521</v>
      </c>
      <c r="BT571" s="19" t="s">
        <v>21</v>
      </c>
      <c r="BU571" s="19" t="s">
        <v>11658</v>
      </c>
      <c r="BV571" s="19"/>
      <c r="BW571" s="19"/>
      <c r="BX571" s="19"/>
      <c r="BY571" s="19"/>
      <c r="BZ571" s="19"/>
      <c r="CA571" s="19"/>
      <c r="CB571" s="19"/>
      <c r="CC571" s="19"/>
      <c r="CD571" s="19" t="s">
        <v>2137</v>
      </c>
      <c r="CE571" s="19" t="s">
        <v>16</v>
      </c>
      <c r="CF571" s="19"/>
      <c r="CG571" s="19"/>
      <c r="CH571" s="19" t="s">
        <v>16</v>
      </c>
      <c r="CI571" s="21">
        <v>0.0</v>
      </c>
      <c r="CJ571" s="19" t="s">
        <v>16</v>
      </c>
      <c r="CK571" s="19"/>
      <c r="CL571" s="19"/>
      <c r="CM571" s="19" t="s">
        <v>2344</v>
      </c>
      <c r="CN571" s="19" t="s">
        <v>2204</v>
      </c>
      <c r="CO571" s="19"/>
      <c r="CP571" s="19"/>
      <c r="CQ571" s="19"/>
      <c r="CR571" s="19" t="s">
        <v>2113</v>
      </c>
      <c r="CS571" s="19" t="s">
        <v>2113</v>
      </c>
      <c r="CT571" s="19" t="s">
        <v>2113</v>
      </c>
      <c r="CU571" s="19" t="s">
        <v>2113</v>
      </c>
      <c r="CV571" s="19" t="s">
        <v>2141</v>
      </c>
      <c r="CW571" s="19" t="s">
        <v>2113</v>
      </c>
      <c r="CX571" s="19" t="s">
        <v>2113</v>
      </c>
      <c r="CY571" s="19" t="s">
        <v>2113</v>
      </c>
      <c r="CZ571" s="19" t="s">
        <v>2113</v>
      </c>
      <c r="DA571" s="19" t="s">
        <v>16</v>
      </c>
      <c r="DB571" s="19" t="s">
        <v>16</v>
      </c>
      <c r="DC571" s="19" t="s">
        <v>5213</v>
      </c>
      <c r="DD571" s="19" t="s">
        <v>2113</v>
      </c>
      <c r="DE571" s="19" t="s">
        <v>2113</v>
      </c>
      <c r="DF571" s="19" t="s">
        <v>2181</v>
      </c>
      <c r="DG571" s="19" t="s">
        <v>2247</v>
      </c>
      <c r="DH571" s="19" t="s">
        <v>2144</v>
      </c>
      <c r="DI571" s="24">
        <v>45533.0</v>
      </c>
      <c r="DJ571" s="19" t="s">
        <v>2174</v>
      </c>
      <c r="DK571" s="19" t="s">
        <v>2145</v>
      </c>
      <c r="DL571" s="19" t="s">
        <v>2207</v>
      </c>
      <c r="DM571" s="19" t="s">
        <v>2208</v>
      </c>
      <c r="DN571" s="19">
        <v>3.0</v>
      </c>
      <c r="DO571" s="19">
        <v>3.0</v>
      </c>
      <c r="DP571" s="19" t="s">
        <v>11659</v>
      </c>
      <c r="DQ571" s="19" t="s">
        <v>11660</v>
      </c>
      <c r="DR571" s="19" t="s">
        <v>11661</v>
      </c>
      <c r="DS571" s="19" t="s">
        <v>2151</v>
      </c>
      <c r="DT571" s="19" t="s">
        <v>2229</v>
      </c>
      <c r="DU571" s="19"/>
      <c r="DV571" s="19" t="s">
        <v>11662</v>
      </c>
      <c r="DW571" s="19" t="s">
        <v>2153</v>
      </c>
      <c r="DX571" s="19">
        <v>13.0</v>
      </c>
      <c r="DY571" s="19">
        <v>0.0</v>
      </c>
      <c r="DZ571" s="19">
        <v>0.0</v>
      </c>
      <c r="EA571" s="19">
        <v>0.0</v>
      </c>
      <c r="EB571" s="19">
        <v>0.0</v>
      </c>
      <c r="EC571" s="19">
        <v>0.0</v>
      </c>
      <c r="ED571" s="19" t="s">
        <v>2174</v>
      </c>
      <c r="EE571" s="24">
        <v>45533.0</v>
      </c>
      <c r="EF571" s="19" t="s">
        <v>2174</v>
      </c>
      <c r="EG571" s="19" t="s">
        <v>2145</v>
      </c>
      <c r="EH571" s="19" t="s">
        <v>2207</v>
      </c>
      <c r="EI571" s="22">
        <v>11.015625</v>
      </c>
      <c r="EJ571" s="19">
        <v>44.0</v>
      </c>
      <c r="EK571" s="19"/>
      <c r="EL571" s="19" t="s">
        <v>2282</v>
      </c>
      <c r="EM571" s="19" t="s">
        <v>11651</v>
      </c>
      <c r="EN571" s="19" t="s">
        <v>1684</v>
      </c>
      <c r="EO571" s="19" t="s">
        <v>2338</v>
      </c>
      <c r="EP571" s="19" t="s">
        <v>2122</v>
      </c>
      <c r="EQ571" s="19" t="s">
        <v>2204</v>
      </c>
      <c r="ER571" s="19"/>
      <c r="ES571" s="19" t="s">
        <v>1684</v>
      </c>
      <c r="ET571" s="19" t="s">
        <v>1684</v>
      </c>
      <c r="EU571" s="19" t="s">
        <v>11650</v>
      </c>
      <c r="EV571" s="19">
        <v>8765.0</v>
      </c>
      <c r="EW571" s="19" t="s">
        <v>16</v>
      </c>
      <c r="EX571" s="19">
        <v>5.0</v>
      </c>
      <c r="EY571" s="25" t="s">
        <v>1683</v>
      </c>
      <c r="EZ571" s="19" t="s">
        <v>2154</v>
      </c>
      <c r="FA571" s="5" t="s">
        <v>11663</v>
      </c>
      <c r="FB571" s="26" t="s">
        <v>2156</v>
      </c>
      <c r="FC571" s="26"/>
    </row>
    <row r="572">
      <c r="A572" s="19" t="s">
        <v>2112</v>
      </c>
      <c r="B572" s="19"/>
      <c r="C572" s="19" t="s">
        <v>2113</v>
      </c>
      <c r="D572" s="19" t="s">
        <v>1685</v>
      </c>
      <c r="E572" s="19" t="s">
        <v>11664</v>
      </c>
      <c r="F572" s="19" t="s">
        <v>11665</v>
      </c>
      <c r="G572" s="19" t="s">
        <v>11666</v>
      </c>
      <c r="H572" s="19" t="s">
        <v>1685</v>
      </c>
      <c r="I572" s="19" t="s">
        <v>1687</v>
      </c>
      <c r="J572" s="19" t="s">
        <v>11667</v>
      </c>
      <c r="K572" s="19" t="s">
        <v>11668</v>
      </c>
      <c r="L572" s="20">
        <v>45460.0</v>
      </c>
      <c r="M572" s="20">
        <v>45462.0</v>
      </c>
      <c r="N572" s="20">
        <v>45462.0</v>
      </c>
      <c r="O572" s="19" t="s">
        <v>1686</v>
      </c>
      <c r="P572" s="19">
        <v>0.0</v>
      </c>
      <c r="Q572" s="19">
        <v>21.0</v>
      </c>
      <c r="R572" s="19">
        <v>7780.0</v>
      </c>
      <c r="S572" s="20" t="s">
        <v>6097</v>
      </c>
      <c r="T572" s="20">
        <v>45461.0</v>
      </c>
      <c r="U572" s="19" t="s">
        <v>11665</v>
      </c>
      <c r="V572" s="19"/>
      <c r="W572" s="19"/>
      <c r="X572" s="21">
        <v>0.0</v>
      </c>
      <c r="Y572" s="21">
        <v>0.0</v>
      </c>
      <c r="Z572" s="21">
        <v>3.0</v>
      </c>
      <c r="AA572" s="21">
        <v>0.0</v>
      </c>
      <c r="AB572" s="5">
        <v>3.0</v>
      </c>
      <c r="AC572" s="19">
        <v>4.4</v>
      </c>
      <c r="AD572" s="19">
        <v>4.0</v>
      </c>
      <c r="AE572" s="19">
        <v>4.0</v>
      </c>
      <c r="AF572" s="19">
        <v>3.6</v>
      </c>
      <c r="AG572" s="19">
        <v>4.0</v>
      </c>
      <c r="AH572" s="19">
        <v>4.0</v>
      </c>
      <c r="AI572" s="22">
        <v>12.0375</v>
      </c>
      <c r="AJ572" s="19">
        <v>15.0</v>
      </c>
      <c r="AK572" s="19">
        <v>15.0</v>
      </c>
      <c r="AL572" s="19">
        <v>15.0</v>
      </c>
      <c r="AM572" s="19">
        <v>45.0</v>
      </c>
      <c r="AN572" s="19">
        <v>57.0</v>
      </c>
      <c r="AO572" s="19">
        <v>60.0</v>
      </c>
      <c r="AP572" s="19">
        <v>1292.0</v>
      </c>
      <c r="AQ572" s="23">
        <v>562.0</v>
      </c>
      <c r="AR572" s="23">
        <v>42.0</v>
      </c>
      <c r="AS572" s="22"/>
      <c r="AT572" s="19" t="s">
        <v>2117</v>
      </c>
      <c r="AU572" s="19" t="s">
        <v>8544</v>
      </c>
      <c r="AV572" s="19" t="s">
        <v>8545</v>
      </c>
      <c r="AW572" s="19" t="s">
        <v>11669</v>
      </c>
      <c r="AX572" s="20">
        <v>37681.0</v>
      </c>
      <c r="AY572" s="19" t="s">
        <v>3034</v>
      </c>
      <c r="AZ572" s="19" t="s">
        <v>2122</v>
      </c>
      <c r="BA572" s="19" t="s">
        <v>8546</v>
      </c>
      <c r="BB572" s="19" t="s">
        <v>4149</v>
      </c>
      <c r="BC572" s="19" t="s">
        <v>11670</v>
      </c>
      <c r="BD572" s="19" t="s">
        <v>11671</v>
      </c>
      <c r="BE572" s="19" t="s">
        <v>11667</v>
      </c>
      <c r="BF572" s="19">
        <v>1.1948139232E10</v>
      </c>
      <c r="BG572" s="19" t="s">
        <v>4038</v>
      </c>
      <c r="BH572" s="19" t="s">
        <v>2128</v>
      </c>
      <c r="BI572" s="19"/>
      <c r="BJ572" s="19" t="s">
        <v>2129</v>
      </c>
      <c r="BK572" s="19" t="s">
        <v>17</v>
      </c>
      <c r="BL572" s="19" t="s">
        <v>2113</v>
      </c>
      <c r="BM572" s="19" t="s">
        <v>5796</v>
      </c>
      <c r="BN572" s="19" t="s">
        <v>17</v>
      </c>
      <c r="BO572" s="19" t="s">
        <v>2473</v>
      </c>
      <c r="BP572" s="19" t="s">
        <v>11672</v>
      </c>
      <c r="BQ572" s="19" t="s">
        <v>2174</v>
      </c>
      <c r="BR572" s="19" t="s">
        <v>2174</v>
      </c>
      <c r="BS572" s="19" t="s">
        <v>2243</v>
      </c>
      <c r="BT572" s="19" t="s">
        <v>34</v>
      </c>
      <c r="BU572" s="19" t="s">
        <v>4244</v>
      </c>
      <c r="BV572" s="19"/>
      <c r="BW572" s="19"/>
      <c r="BX572" s="19"/>
      <c r="BY572" s="19"/>
      <c r="BZ572" s="19"/>
      <c r="CA572" s="19"/>
      <c r="CB572" s="19" t="s">
        <v>2113</v>
      </c>
      <c r="CC572" s="19"/>
      <c r="CD572" s="19" t="s">
        <v>2137</v>
      </c>
      <c r="CE572" s="19" t="s">
        <v>16</v>
      </c>
      <c r="CF572" s="19"/>
      <c r="CG572" s="19"/>
      <c r="CH572" s="19" t="s">
        <v>16</v>
      </c>
      <c r="CI572" s="21">
        <v>0.0</v>
      </c>
      <c r="CJ572" s="19" t="s">
        <v>16</v>
      </c>
      <c r="CK572" s="19"/>
      <c r="CL572" s="19"/>
      <c r="CM572" s="19" t="s">
        <v>2138</v>
      </c>
      <c r="CN572" s="19" t="s">
        <v>3041</v>
      </c>
      <c r="CO572" s="19"/>
      <c r="CP572" s="19" t="s">
        <v>2246</v>
      </c>
      <c r="CQ572" s="19"/>
      <c r="CR572" s="19" t="s">
        <v>2113</v>
      </c>
      <c r="CS572" s="19" t="s">
        <v>2113</v>
      </c>
      <c r="CT572" s="19" t="s">
        <v>2113</v>
      </c>
      <c r="CU572" s="19" t="s">
        <v>2113</v>
      </c>
      <c r="CV572" s="19" t="s">
        <v>2141</v>
      </c>
      <c r="CW572" s="19" t="s">
        <v>2113</v>
      </c>
      <c r="CX572" s="19" t="s">
        <v>2113</v>
      </c>
      <c r="CY572" s="19" t="s">
        <v>2113</v>
      </c>
      <c r="CZ572" s="19" t="s">
        <v>2113</v>
      </c>
      <c r="DA572" s="19" t="s">
        <v>16</v>
      </c>
      <c r="DB572" s="19" t="s">
        <v>16</v>
      </c>
      <c r="DC572" s="19" t="s">
        <v>2269</v>
      </c>
      <c r="DD572" s="19" t="s">
        <v>2113</v>
      </c>
      <c r="DE572" s="19" t="s">
        <v>2113</v>
      </c>
      <c r="DF572" s="19" t="s">
        <v>2602</v>
      </c>
      <c r="DG572" s="19" t="s">
        <v>2268</v>
      </c>
      <c r="DH572" s="19" t="s">
        <v>2144</v>
      </c>
      <c r="DI572" s="24">
        <v>45519.0</v>
      </c>
      <c r="DJ572" s="19" t="s">
        <v>2174</v>
      </c>
      <c r="DK572" s="19" t="s">
        <v>2271</v>
      </c>
      <c r="DL572" s="19" t="s">
        <v>2183</v>
      </c>
      <c r="DM572" s="19" t="s">
        <v>2272</v>
      </c>
      <c r="DN572" s="19">
        <v>6.0</v>
      </c>
      <c r="DO572" s="19">
        <v>6.0</v>
      </c>
      <c r="DP572" s="19" t="s">
        <v>11673</v>
      </c>
      <c r="DQ572" s="19" t="s">
        <v>11674</v>
      </c>
      <c r="DR572" s="19" t="s">
        <v>11675</v>
      </c>
      <c r="DS572" s="19" t="s">
        <v>2151</v>
      </c>
      <c r="DT572" s="19" t="s">
        <v>2152</v>
      </c>
      <c r="DU572" s="19"/>
      <c r="DV572" s="19"/>
      <c r="DW572" s="19" t="s">
        <v>2153</v>
      </c>
      <c r="DX572" s="19">
        <v>13.0</v>
      </c>
      <c r="DY572" s="19">
        <v>0.0</v>
      </c>
      <c r="DZ572" s="19">
        <v>0.0</v>
      </c>
      <c r="EA572" s="19">
        <v>0.0</v>
      </c>
      <c r="EB572" s="19">
        <v>0.0</v>
      </c>
      <c r="EC572" s="19">
        <v>0.0</v>
      </c>
      <c r="ED572" s="19" t="s">
        <v>2174</v>
      </c>
      <c r="EE572" s="24">
        <v>45519.0</v>
      </c>
      <c r="EF572" s="19" t="s">
        <v>2174</v>
      </c>
      <c r="EG572" s="19" t="s">
        <v>2271</v>
      </c>
      <c r="EH572" s="19" t="s">
        <v>2183</v>
      </c>
      <c r="EI572" s="22">
        <v>12.0375</v>
      </c>
      <c r="EJ572" s="19">
        <v>45.0</v>
      </c>
      <c r="EK572" s="19"/>
      <c r="EL572" s="19" t="s">
        <v>2117</v>
      </c>
      <c r="EM572" s="19" t="s">
        <v>8544</v>
      </c>
      <c r="EN572" s="19" t="s">
        <v>1687</v>
      </c>
      <c r="EO572" s="19" t="s">
        <v>3034</v>
      </c>
      <c r="EP572" s="19" t="s">
        <v>2122</v>
      </c>
      <c r="EQ572" s="19" t="s">
        <v>3041</v>
      </c>
      <c r="ER572" s="19"/>
      <c r="ES572" s="19" t="s">
        <v>1687</v>
      </c>
      <c r="ET572" s="19" t="s">
        <v>1687</v>
      </c>
      <c r="EU572" s="19" t="s">
        <v>11668</v>
      </c>
      <c r="EV572" s="19">
        <v>7780.0</v>
      </c>
      <c r="EW572" s="19" t="s">
        <v>16</v>
      </c>
      <c r="EX572" s="19">
        <v>3.0</v>
      </c>
      <c r="EY572" s="25" t="s">
        <v>1686</v>
      </c>
      <c r="EZ572" s="19" t="s">
        <v>2154</v>
      </c>
      <c r="FA572" s="5" t="s">
        <v>11676</v>
      </c>
      <c r="FB572" s="26" t="s">
        <v>2156</v>
      </c>
      <c r="FC572" s="26"/>
    </row>
    <row r="573">
      <c r="A573" s="19" t="s">
        <v>2112</v>
      </c>
      <c r="B573" s="19"/>
      <c r="C573" s="19" t="s">
        <v>2113</v>
      </c>
      <c r="D573" s="19" t="s">
        <v>1688</v>
      </c>
      <c r="E573" s="19" t="s">
        <v>11677</v>
      </c>
      <c r="F573" s="19" t="s">
        <v>1688</v>
      </c>
      <c r="G573" s="19"/>
      <c r="H573" s="19" t="s">
        <v>1688</v>
      </c>
      <c r="I573" s="19" t="s">
        <v>1690</v>
      </c>
      <c r="J573" s="19" t="s">
        <v>11678</v>
      </c>
      <c r="K573" s="19" t="s">
        <v>11679</v>
      </c>
      <c r="L573" s="20">
        <v>45445.0</v>
      </c>
      <c r="M573" s="20">
        <v>45446.0</v>
      </c>
      <c r="N573" s="20">
        <v>45446.0</v>
      </c>
      <c r="O573" s="19" t="s">
        <v>1689</v>
      </c>
      <c r="P573" s="19">
        <v>0.0</v>
      </c>
      <c r="Q573" s="19">
        <v>23.0</v>
      </c>
      <c r="R573" s="19">
        <v>8489.0</v>
      </c>
      <c r="S573" s="20" t="s">
        <v>11680</v>
      </c>
      <c r="T573" s="20">
        <v>45461.0</v>
      </c>
      <c r="U573" s="19" t="s">
        <v>1688</v>
      </c>
      <c r="V573" s="19"/>
      <c r="W573" s="19"/>
      <c r="X573" s="21">
        <v>0.0</v>
      </c>
      <c r="Y573" s="21">
        <v>0.0</v>
      </c>
      <c r="Z573" s="21">
        <v>3.0</v>
      </c>
      <c r="AA573" s="21">
        <v>0.0</v>
      </c>
      <c r="AB573" s="5">
        <v>3.0</v>
      </c>
      <c r="AC573" s="19">
        <v>5.0</v>
      </c>
      <c r="AD573" s="19">
        <v>5.0</v>
      </c>
      <c r="AE573" s="19">
        <v>5.0</v>
      </c>
      <c r="AF573" s="19">
        <v>5.0</v>
      </c>
      <c r="AG573" s="19">
        <v>5.0</v>
      </c>
      <c r="AH573" s="19">
        <v>5.0</v>
      </c>
      <c r="AI573" s="22">
        <v>15.0</v>
      </c>
      <c r="AJ573" s="19">
        <v>12.0</v>
      </c>
      <c r="AK573" s="19">
        <v>15.0</v>
      </c>
      <c r="AL573" s="19">
        <v>15.0</v>
      </c>
      <c r="AM573" s="19">
        <v>42.0</v>
      </c>
      <c r="AN573" s="19">
        <v>57.0</v>
      </c>
      <c r="AO573" s="19">
        <v>60.0</v>
      </c>
      <c r="AP573" s="19">
        <v>1266.0</v>
      </c>
      <c r="AQ573" s="23">
        <v>563.0</v>
      </c>
      <c r="AR573" s="23">
        <v>37.0</v>
      </c>
      <c r="AS573" s="22"/>
      <c r="AT573" s="19" t="s">
        <v>2282</v>
      </c>
      <c r="AU573" s="19" t="s">
        <v>11681</v>
      </c>
      <c r="AV573" s="19" t="s">
        <v>11682</v>
      </c>
      <c r="AW573" s="19" t="s">
        <v>11683</v>
      </c>
      <c r="AX573" s="20">
        <v>36972.0</v>
      </c>
      <c r="AY573" s="19" t="s">
        <v>3905</v>
      </c>
      <c r="AZ573" s="19" t="s">
        <v>2310</v>
      </c>
      <c r="BA573" s="19" t="s">
        <v>11684</v>
      </c>
      <c r="BB573" s="19" t="s">
        <v>2469</v>
      </c>
      <c r="BC573" s="19" t="s">
        <v>11685</v>
      </c>
      <c r="BD573" s="19" t="s">
        <v>11686</v>
      </c>
      <c r="BE573" s="19" t="s">
        <v>11687</v>
      </c>
      <c r="BF573" s="19">
        <v>1.1983382974E10</v>
      </c>
      <c r="BG573" s="19" t="s">
        <v>2127</v>
      </c>
      <c r="BH573" s="19" t="s">
        <v>2128</v>
      </c>
      <c r="BI573" s="19"/>
      <c r="BJ573" s="19"/>
      <c r="BK573" s="19" t="s">
        <v>16</v>
      </c>
      <c r="BL573" s="19"/>
      <c r="BM573" s="19" t="s">
        <v>5563</v>
      </c>
      <c r="BN573" s="19" t="s">
        <v>17</v>
      </c>
      <c r="BO573" s="19" t="s">
        <v>2473</v>
      </c>
      <c r="BP573" s="19" t="s">
        <v>11688</v>
      </c>
      <c r="BQ573" s="19" t="s">
        <v>2133</v>
      </c>
      <c r="BR573" s="19" t="s">
        <v>2133</v>
      </c>
      <c r="BS573" s="19" t="s">
        <v>3521</v>
      </c>
      <c r="BT573" s="19" t="s">
        <v>222</v>
      </c>
      <c r="BU573" s="19" t="s">
        <v>11689</v>
      </c>
      <c r="BV573" s="19"/>
      <c r="BW573" s="19" t="s">
        <v>2113</v>
      </c>
      <c r="BX573" s="19"/>
      <c r="BY573" s="19"/>
      <c r="BZ573" s="19"/>
      <c r="CA573" s="19"/>
      <c r="CB573" s="19" t="s">
        <v>2113</v>
      </c>
      <c r="CC573" s="19"/>
      <c r="CD573" s="19" t="s">
        <v>2137</v>
      </c>
      <c r="CE573" s="19" t="s">
        <v>16</v>
      </c>
      <c r="CF573" s="19"/>
      <c r="CG573" s="19"/>
      <c r="CH573" s="19" t="s">
        <v>16</v>
      </c>
      <c r="CI573" s="21">
        <v>0.0</v>
      </c>
      <c r="CJ573" s="19" t="s">
        <v>16</v>
      </c>
      <c r="CK573" s="19"/>
      <c r="CL573" s="19"/>
      <c r="CM573" s="19" t="s">
        <v>2138</v>
      </c>
      <c r="CN573" s="19" t="s">
        <v>3544</v>
      </c>
      <c r="CO573" s="19"/>
      <c r="CP573" s="19"/>
      <c r="CQ573" s="19"/>
      <c r="CR573" s="19" t="s">
        <v>2113</v>
      </c>
      <c r="CS573" s="19" t="s">
        <v>2113</v>
      </c>
      <c r="CT573" s="19"/>
      <c r="CU573" s="19"/>
      <c r="CV573" s="19" t="s">
        <v>2179</v>
      </c>
      <c r="CW573" s="19" t="s">
        <v>2113</v>
      </c>
      <c r="CX573" s="19" t="s">
        <v>2113</v>
      </c>
      <c r="CY573" s="19" t="s">
        <v>2113</v>
      </c>
      <c r="CZ573" s="19" t="s">
        <v>2113</v>
      </c>
      <c r="DA573" s="19" t="s">
        <v>16</v>
      </c>
      <c r="DB573" s="19" t="s">
        <v>16</v>
      </c>
      <c r="DC573" s="19" t="s">
        <v>4541</v>
      </c>
      <c r="DD573" s="19" t="s">
        <v>2113</v>
      </c>
      <c r="DE573" s="19" t="s">
        <v>2113</v>
      </c>
      <c r="DF573" s="19" t="s">
        <v>2671</v>
      </c>
      <c r="DG573" s="19" t="s">
        <v>2248</v>
      </c>
      <c r="DH573" s="19" t="s">
        <v>2144</v>
      </c>
      <c r="DI573" s="24">
        <v>45531.0</v>
      </c>
      <c r="DJ573" s="19" t="s">
        <v>2133</v>
      </c>
      <c r="DK573" s="19" t="s">
        <v>2271</v>
      </c>
      <c r="DL573" s="19" t="s">
        <v>2146</v>
      </c>
      <c r="DM573" s="19" t="s">
        <v>2827</v>
      </c>
      <c r="DN573" s="19">
        <v>14.0</v>
      </c>
      <c r="DO573" s="19">
        <v>14.0</v>
      </c>
      <c r="DP573" s="19"/>
      <c r="DQ573" s="19"/>
      <c r="DR573" s="19"/>
      <c r="DS573" s="19" t="s">
        <v>2151</v>
      </c>
      <c r="DT573" s="19" t="s">
        <v>2301</v>
      </c>
      <c r="DU573" s="19" t="s">
        <v>11690</v>
      </c>
      <c r="DV573" s="19"/>
      <c r="DW573" s="19" t="s">
        <v>2153</v>
      </c>
      <c r="DX573" s="19">
        <v>12.0</v>
      </c>
      <c r="DY573" s="19">
        <v>0.0</v>
      </c>
      <c r="DZ573" s="19">
        <v>0.0</v>
      </c>
      <c r="EA573" s="19">
        <v>0.0</v>
      </c>
      <c r="EB573" s="19">
        <v>0.0</v>
      </c>
      <c r="EC573" s="19">
        <v>0.0</v>
      </c>
      <c r="ED573" s="19" t="s">
        <v>2133</v>
      </c>
      <c r="EE573" s="24">
        <v>45531.0</v>
      </c>
      <c r="EF573" s="19" t="s">
        <v>2133</v>
      </c>
      <c r="EG573" s="19" t="s">
        <v>2271</v>
      </c>
      <c r="EH573" s="19" t="s">
        <v>2146</v>
      </c>
      <c r="EI573" s="22">
        <v>15.0</v>
      </c>
      <c r="EJ573" s="19">
        <v>42.0</v>
      </c>
      <c r="EK573" s="19"/>
      <c r="EL573" s="19" t="s">
        <v>2282</v>
      </c>
      <c r="EM573" s="19" t="s">
        <v>11681</v>
      </c>
      <c r="EN573" s="19" t="s">
        <v>1690</v>
      </c>
      <c r="EO573" s="19" t="s">
        <v>3905</v>
      </c>
      <c r="EP573" s="19" t="s">
        <v>2310</v>
      </c>
      <c r="EQ573" s="19" t="s">
        <v>3544</v>
      </c>
      <c r="ER573" s="19"/>
      <c r="ES573" s="19" t="s">
        <v>1690</v>
      </c>
      <c r="ET573" s="19" t="s">
        <v>1690</v>
      </c>
      <c r="EU573" s="19" t="s">
        <v>11679</v>
      </c>
      <c r="EV573" s="19">
        <v>8489.0</v>
      </c>
      <c r="EW573" s="19" t="s">
        <v>16</v>
      </c>
      <c r="EX573" s="19">
        <v>3.0</v>
      </c>
      <c r="EY573" s="25" t="s">
        <v>1689</v>
      </c>
      <c r="EZ573" s="19" t="s">
        <v>2154</v>
      </c>
      <c r="FA573" s="5" t="s">
        <v>11691</v>
      </c>
      <c r="FB573" s="26" t="s">
        <v>2156</v>
      </c>
      <c r="FC573" s="26"/>
    </row>
    <row r="574">
      <c r="A574" s="19" t="s">
        <v>2112</v>
      </c>
      <c r="B574" s="19"/>
      <c r="C574" s="19" t="s">
        <v>2113</v>
      </c>
      <c r="D574" s="19" t="s">
        <v>1691</v>
      </c>
      <c r="E574" s="19" t="s">
        <v>11692</v>
      </c>
      <c r="F574" s="19" t="s">
        <v>1691</v>
      </c>
      <c r="G574" s="19"/>
      <c r="H574" s="19" t="s">
        <v>1691</v>
      </c>
      <c r="I574" s="19" t="s">
        <v>1693</v>
      </c>
      <c r="J574" s="19" t="s">
        <v>11693</v>
      </c>
      <c r="K574" s="19" t="s">
        <v>11694</v>
      </c>
      <c r="L574" s="20">
        <v>45444.0</v>
      </c>
      <c r="M574" s="20">
        <v>45446.0</v>
      </c>
      <c r="N574" s="20">
        <v>45446.0</v>
      </c>
      <c r="O574" s="19" t="s">
        <v>1692</v>
      </c>
      <c r="P574" s="19">
        <v>0.0</v>
      </c>
      <c r="Q574" s="19">
        <v>27.0</v>
      </c>
      <c r="R574" s="19">
        <v>10127.0</v>
      </c>
      <c r="S574" s="20" t="s">
        <v>4609</v>
      </c>
      <c r="T574" s="20">
        <v>45461.0</v>
      </c>
      <c r="U574" s="19" t="s">
        <v>1691</v>
      </c>
      <c r="V574" s="19"/>
      <c r="W574" s="19"/>
      <c r="X574" s="21">
        <v>0.0</v>
      </c>
      <c r="Y574" s="21">
        <v>0.0</v>
      </c>
      <c r="Z574" s="21">
        <v>2.0</v>
      </c>
      <c r="AA574" s="21">
        <v>3.0</v>
      </c>
      <c r="AB574" s="5">
        <v>5.0</v>
      </c>
      <c r="AC574" s="19">
        <v>5.0</v>
      </c>
      <c r="AD574" s="19">
        <v>5.0</v>
      </c>
      <c r="AE574" s="19">
        <v>5.0</v>
      </c>
      <c r="AF574" s="19">
        <v>5.0</v>
      </c>
      <c r="AG574" s="19">
        <v>5.0</v>
      </c>
      <c r="AH574" s="19">
        <v>5.0</v>
      </c>
      <c r="AI574" s="22">
        <v>15.0</v>
      </c>
      <c r="AJ574" s="19">
        <v>15.0</v>
      </c>
      <c r="AK574" s="19">
        <v>15.0</v>
      </c>
      <c r="AL574" s="19">
        <v>10.0</v>
      </c>
      <c r="AM574" s="19">
        <v>40.0</v>
      </c>
      <c r="AN574" s="19">
        <v>55.0</v>
      </c>
      <c r="AO574" s="19">
        <v>60.0</v>
      </c>
      <c r="AP574" s="19">
        <v>1155.0</v>
      </c>
      <c r="AQ574" s="23">
        <v>564.0</v>
      </c>
      <c r="AR574" s="23">
        <v>38.0</v>
      </c>
      <c r="AS574" s="22"/>
      <c r="AT574" s="19" t="s">
        <v>2282</v>
      </c>
      <c r="AU574" s="19" t="s">
        <v>4456</v>
      </c>
      <c r="AV574" s="19" t="s">
        <v>11695</v>
      </c>
      <c r="AW574" s="19" t="s">
        <v>11696</v>
      </c>
      <c r="AX574" s="20">
        <v>35334.0</v>
      </c>
      <c r="AY574" s="19" t="s">
        <v>5463</v>
      </c>
      <c r="AZ574" s="19" t="s">
        <v>2122</v>
      </c>
      <c r="BA574" s="19" t="s">
        <v>11697</v>
      </c>
      <c r="BB574" s="19" t="s">
        <v>11698</v>
      </c>
      <c r="BC574" s="19" t="s">
        <v>11699</v>
      </c>
      <c r="BD574" s="19" t="s">
        <v>11700</v>
      </c>
      <c r="BE574" s="19" t="s">
        <v>11701</v>
      </c>
      <c r="BF574" s="19">
        <v>1.1975062249E10</v>
      </c>
      <c r="BG574" s="19" t="s">
        <v>2127</v>
      </c>
      <c r="BH574" s="19" t="s">
        <v>2649</v>
      </c>
      <c r="BI574" s="19"/>
      <c r="BJ574" s="19"/>
      <c r="BK574" s="19" t="s">
        <v>16</v>
      </c>
      <c r="BL574" s="19"/>
      <c r="BM574" s="19" t="s">
        <v>5563</v>
      </c>
      <c r="BN574" s="19" t="s">
        <v>17</v>
      </c>
      <c r="BO574" s="19" t="s">
        <v>3199</v>
      </c>
      <c r="BP574" s="19"/>
      <c r="BQ574" s="19" t="s">
        <v>2133</v>
      </c>
      <c r="BR574" s="19" t="s">
        <v>2133</v>
      </c>
      <c r="BS574" s="19" t="s">
        <v>3521</v>
      </c>
      <c r="BT574" s="19" t="s">
        <v>222</v>
      </c>
      <c r="BU574" s="19" t="s">
        <v>11702</v>
      </c>
      <c r="BV574" s="19"/>
      <c r="BW574" s="19" t="s">
        <v>2113</v>
      </c>
      <c r="BX574" s="19"/>
      <c r="BY574" s="19"/>
      <c r="BZ574" s="19"/>
      <c r="CA574" s="19"/>
      <c r="CB574" s="19"/>
      <c r="CC574" s="19"/>
      <c r="CD574" s="19" t="s">
        <v>2137</v>
      </c>
      <c r="CE574" s="19" t="s">
        <v>16</v>
      </c>
      <c r="CF574" s="19"/>
      <c r="CG574" s="19"/>
      <c r="CH574" s="19" t="s">
        <v>17</v>
      </c>
      <c r="CI574" s="21">
        <v>3.0</v>
      </c>
      <c r="CJ574" s="19" t="s">
        <v>16</v>
      </c>
      <c r="CK574" s="19"/>
      <c r="CL574" s="19"/>
      <c r="CM574" s="19" t="s">
        <v>2344</v>
      </c>
      <c r="CN574" s="19" t="s">
        <v>4465</v>
      </c>
      <c r="CO574" s="19"/>
      <c r="CP574" s="19"/>
      <c r="CQ574" s="19"/>
      <c r="CR574" s="19" t="s">
        <v>2113</v>
      </c>
      <c r="CS574" s="19" t="s">
        <v>2113</v>
      </c>
      <c r="CT574" s="19" t="s">
        <v>2113</v>
      </c>
      <c r="CU574" s="19" t="s">
        <v>2113</v>
      </c>
      <c r="CV574" s="19" t="s">
        <v>2141</v>
      </c>
      <c r="CW574" s="19"/>
      <c r="CX574" s="19"/>
      <c r="CY574" s="19"/>
      <c r="CZ574" s="19"/>
      <c r="DA574" s="19" t="s">
        <v>16</v>
      </c>
      <c r="DB574" s="19" t="s">
        <v>16</v>
      </c>
      <c r="DC574" s="19" t="s">
        <v>8251</v>
      </c>
      <c r="DD574" s="19" t="s">
        <v>2113</v>
      </c>
      <c r="DE574" s="19" t="s">
        <v>2113</v>
      </c>
      <c r="DF574" s="19" t="s">
        <v>2671</v>
      </c>
      <c r="DG574" s="19" t="s">
        <v>2804</v>
      </c>
      <c r="DH574" s="19" t="s">
        <v>2144</v>
      </c>
      <c r="DI574" s="24">
        <v>45526.0</v>
      </c>
      <c r="DJ574" s="19" t="s">
        <v>2133</v>
      </c>
      <c r="DK574" s="19" t="s">
        <v>2145</v>
      </c>
      <c r="DL574" s="19" t="s">
        <v>2146</v>
      </c>
      <c r="DM574" s="19" t="s">
        <v>3338</v>
      </c>
      <c r="DN574" s="19">
        <v>11.0</v>
      </c>
      <c r="DO574" s="19">
        <v>11.0</v>
      </c>
      <c r="DP574" s="19" t="s">
        <v>11703</v>
      </c>
      <c r="DQ574" s="19" t="s">
        <v>11704</v>
      </c>
      <c r="DR574" s="19" t="s">
        <v>11705</v>
      </c>
      <c r="DS574" s="19" t="s">
        <v>2365</v>
      </c>
      <c r="DT574" s="19" t="s">
        <v>2229</v>
      </c>
      <c r="DU574" s="19"/>
      <c r="DV574" s="19"/>
      <c r="DW574" s="19" t="s">
        <v>2153</v>
      </c>
      <c r="DX574" s="19">
        <v>8.0</v>
      </c>
      <c r="DY574" s="19">
        <v>0.0</v>
      </c>
      <c r="DZ574" s="19">
        <v>0.0</v>
      </c>
      <c r="EA574" s="19">
        <v>0.0</v>
      </c>
      <c r="EB574" s="19">
        <v>3.0</v>
      </c>
      <c r="EC574" s="19">
        <v>0.0</v>
      </c>
      <c r="ED574" s="19" t="s">
        <v>2133</v>
      </c>
      <c r="EE574" s="24">
        <v>45526.0</v>
      </c>
      <c r="EF574" s="19" t="s">
        <v>2133</v>
      </c>
      <c r="EG574" s="19" t="s">
        <v>2145</v>
      </c>
      <c r="EH574" s="19" t="s">
        <v>2146</v>
      </c>
      <c r="EI574" s="22">
        <v>15.0</v>
      </c>
      <c r="EJ574" s="19">
        <v>40.0</v>
      </c>
      <c r="EK574" s="19"/>
      <c r="EL574" s="19" t="s">
        <v>2282</v>
      </c>
      <c r="EM574" s="19" t="s">
        <v>4456</v>
      </c>
      <c r="EN574" s="19" t="s">
        <v>1693</v>
      </c>
      <c r="EO574" s="19" t="s">
        <v>5463</v>
      </c>
      <c r="EP574" s="19" t="s">
        <v>2122</v>
      </c>
      <c r="EQ574" s="19" t="s">
        <v>4465</v>
      </c>
      <c r="ER574" s="19"/>
      <c r="ES574" s="19" t="s">
        <v>1693</v>
      </c>
      <c r="ET574" s="19" t="s">
        <v>1693</v>
      </c>
      <c r="EU574" s="19" t="s">
        <v>11694</v>
      </c>
      <c r="EV574" s="19">
        <v>10127.0</v>
      </c>
      <c r="EW574" s="19" t="s">
        <v>16</v>
      </c>
      <c r="EX574" s="19">
        <v>2.0</v>
      </c>
      <c r="EY574" s="25" t="s">
        <v>1692</v>
      </c>
      <c r="EZ574" s="19" t="s">
        <v>2154</v>
      </c>
      <c r="FA574" s="5" t="s">
        <v>11706</v>
      </c>
      <c r="FB574" s="26" t="s">
        <v>2156</v>
      </c>
      <c r="FC574" s="26"/>
    </row>
    <row r="575">
      <c r="A575" s="19" t="s">
        <v>2112</v>
      </c>
      <c r="B575" s="19"/>
      <c r="C575" s="19" t="s">
        <v>2113</v>
      </c>
      <c r="D575" s="19" t="s">
        <v>1694</v>
      </c>
      <c r="E575" s="19" t="s">
        <v>11707</v>
      </c>
      <c r="F575" s="19" t="s">
        <v>1694</v>
      </c>
      <c r="G575" s="19"/>
      <c r="H575" s="19" t="s">
        <v>1694</v>
      </c>
      <c r="I575" s="19" t="s">
        <v>1696</v>
      </c>
      <c r="J575" s="19" t="s">
        <v>11708</v>
      </c>
      <c r="K575" s="19" t="s">
        <v>11709</v>
      </c>
      <c r="L575" s="20">
        <v>45398.0</v>
      </c>
      <c r="M575" s="20">
        <v>45411.0</v>
      </c>
      <c r="N575" s="20">
        <v>45411.0</v>
      </c>
      <c r="O575" s="19" t="s">
        <v>1695</v>
      </c>
      <c r="P575" s="19">
        <v>0.0</v>
      </c>
      <c r="Q575" s="19">
        <v>23.0</v>
      </c>
      <c r="R575" s="19">
        <v>8532.0</v>
      </c>
      <c r="S575" s="20" t="s">
        <v>10980</v>
      </c>
      <c r="T575" s="20">
        <v>45461.0</v>
      </c>
      <c r="U575" s="19" t="s">
        <v>1694</v>
      </c>
      <c r="V575" s="19"/>
      <c r="W575" s="19" t="s">
        <v>2131</v>
      </c>
      <c r="X575" s="21">
        <v>0.0</v>
      </c>
      <c r="Y575" s="21">
        <v>0.0</v>
      </c>
      <c r="Z575" s="21">
        <v>5.0</v>
      </c>
      <c r="AA575" s="21">
        <v>0.0</v>
      </c>
      <c r="AB575" s="5">
        <v>5.0</v>
      </c>
      <c r="AC575" s="19">
        <v>3.8</v>
      </c>
      <c r="AD575" s="19">
        <v>3.2</v>
      </c>
      <c r="AE575" s="19">
        <v>3.8</v>
      </c>
      <c r="AF575" s="19">
        <v>3.6</v>
      </c>
      <c r="AG575" s="19">
        <v>3.4</v>
      </c>
      <c r="AH575" s="19">
        <v>4.2</v>
      </c>
      <c r="AI575" s="22">
        <v>10.93125</v>
      </c>
      <c r="AJ575" s="19">
        <v>15.0</v>
      </c>
      <c r="AK575" s="19">
        <v>15.0</v>
      </c>
      <c r="AL575" s="19">
        <v>14.0</v>
      </c>
      <c r="AM575" s="19">
        <v>44.0</v>
      </c>
      <c r="AN575" s="19">
        <v>54.9</v>
      </c>
      <c r="AO575" s="19">
        <v>59.9</v>
      </c>
      <c r="AP575" s="19">
        <v>1074.0</v>
      </c>
      <c r="AQ575" s="23">
        <v>565.0</v>
      </c>
      <c r="AR575" s="23">
        <v>48.0</v>
      </c>
      <c r="AS575" s="22"/>
      <c r="AT575" s="19" t="s">
        <v>2282</v>
      </c>
      <c r="AU575" s="19" t="s">
        <v>10869</v>
      </c>
      <c r="AV575" s="19" t="s">
        <v>11710</v>
      </c>
      <c r="AW575" s="19"/>
      <c r="AX575" s="20">
        <v>36929.0</v>
      </c>
      <c r="AY575" s="19" t="s">
        <v>2529</v>
      </c>
      <c r="AZ575" s="19" t="s">
        <v>2122</v>
      </c>
      <c r="BA575" s="19" t="s">
        <v>11711</v>
      </c>
      <c r="BB575" s="19" t="s">
        <v>7322</v>
      </c>
      <c r="BC575" s="19" t="s">
        <v>11712</v>
      </c>
      <c r="BD575" s="19" t="s">
        <v>11713</v>
      </c>
      <c r="BE575" s="19" t="s">
        <v>11708</v>
      </c>
      <c r="BF575" s="19">
        <v>1.1970322595E10</v>
      </c>
      <c r="BG575" s="19" t="s">
        <v>4038</v>
      </c>
      <c r="BH575" s="19" t="s">
        <v>2128</v>
      </c>
      <c r="BI575" s="19"/>
      <c r="BJ575" s="19" t="s">
        <v>2128</v>
      </c>
      <c r="BK575" s="19" t="s">
        <v>17</v>
      </c>
      <c r="BL575" s="19"/>
      <c r="BM575" s="19" t="s">
        <v>5411</v>
      </c>
      <c r="BN575" s="19" t="s">
        <v>17</v>
      </c>
      <c r="BO575" s="19" t="s">
        <v>2132</v>
      </c>
      <c r="BP575" s="19"/>
      <c r="BQ575" s="19" t="s">
        <v>2174</v>
      </c>
      <c r="BR575" s="19" t="s">
        <v>2174</v>
      </c>
      <c r="BS575" s="19" t="s">
        <v>2243</v>
      </c>
      <c r="BT575" s="19" t="s">
        <v>75</v>
      </c>
      <c r="BU575" s="19" t="s">
        <v>11714</v>
      </c>
      <c r="BV575" s="19"/>
      <c r="BW575" s="19" t="s">
        <v>2113</v>
      </c>
      <c r="BX575" s="19"/>
      <c r="BY575" s="19"/>
      <c r="BZ575" s="19"/>
      <c r="CA575" s="19"/>
      <c r="CB575" s="19" t="s">
        <v>2113</v>
      </c>
      <c r="CC575" s="19"/>
      <c r="CD575" s="19" t="s">
        <v>2137</v>
      </c>
      <c r="CE575" s="19" t="s">
        <v>16</v>
      </c>
      <c r="CF575" s="19"/>
      <c r="CG575" s="19"/>
      <c r="CH575" s="19" t="s">
        <v>16</v>
      </c>
      <c r="CI575" s="21">
        <v>0.0</v>
      </c>
      <c r="CJ575" s="19" t="s">
        <v>16</v>
      </c>
      <c r="CK575" s="19"/>
      <c r="CL575" s="19"/>
      <c r="CM575" s="19" t="s">
        <v>2138</v>
      </c>
      <c r="CN575" s="19" t="s">
        <v>2537</v>
      </c>
      <c r="CO575" s="19"/>
      <c r="CP575" s="19" t="s">
        <v>2246</v>
      </c>
      <c r="CQ575" s="19"/>
      <c r="CR575" s="19" t="s">
        <v>2113</v>
      </c>
      <c r="CS575" s="19" t="s">
        <v>2113</v>
      </c>
      <c r="CT575" s="19" t="s">
        <v>2113</v>
      </c>
      <c r="CU575" s="19" t="s">
        <v>2113</v>
      </c>
      <c r="CV575" s="19" t="s">
        <v>2141</v>
      </c>
      <c r="CW575" s="19"/>
      <c r="CX575" s="19"/>
      <c r="CY575" s="19"/>
      <c r="CZ575" s="19"/>
      <c r="DA575" s="19" t="s">
        <v>16</v>
      </c>
      <c r="DB575" s="19" t="s">
        <v>16</v>
      </c>
      <c r="DC575" s="19" t="s">
        <v>2538</v>
      </c>
      <c r="DD575" s="19" t="s">
        <v>2113</v>
      </c>
      <c r="DE575" s="19" t="s">
        <v>2113</v>
      </c>
      <c r="DF575" s="19" t="s">
        <v>5213</v>
      </c>
      <c r="DG575" s="19" t="s">
        <v>2769</v>
      </c>
      <c r="DH575" s="19" t="s">
        <v>2144</v>
      </c>
      <c r="DI575" s="24">
        <v>45526.0</v>
      </c>
      <c r="DJ575" s="19" t="s">
        <v>2174</v>
      </c>
      <c r="DK575" s="19" t="s">
        <v>2271</v>
      </c>
      <c r="DL575" s="19" t="s">
        <v>2183</v>
      </c>
      <c r="DM575" s="19"/>
      <c r="DN575" s="19">
        <v>12.0</v>
      </c>
      <c r="DO575" s="19">
        <v>12.0</v>
      </c>
      <c r="DP575" s="19" t="s">
        <v>11715</v>
      </c>
      <c r="DQ575" s="19" t="s">
        <v>11716</v>
      </c>
      <c r="DR575" s="19" t="s">
        <v>11717</v>
      </c>
      <c r="DS575" s="19" t="s">
        <v>2151</v>
      </c>
      <c r="DT575" s="19" t="s">
        <v>2186</v>
      </c>
      <c r="DU575" s="19"/>
      <c r="DV575" s="19"/>
      <c r="DW575" s="19" t="s">
        <v>2479</v>
      </c>
      <c r="DX575" s="19">
        <v>16.0</v>
      </c>
      <c r="DY575" s="19">
        <v>0.0</v>
      </c>
      <c r="DZ575" s="19">
        <v>0.0</v>
      </c>
      <c r="EA575" s="19">
        <v>0.0</v>
      </c>
      <c r="EB575" s="19">
        <v>0.0</v>
      </c>
      <c r="EC575" s="19">
        <v>0.0</v>
      </c>
      <c r="ED575" s="19" t="s">
        <v>2174</v>
      </c>
      <c r="EE575" s="24">
        <v>45526.0</v>
      </c>
      <c r="EF575" s="19" t="s">
        <v>2174</v>
      </c>
      <c r="EG575" s="19" t="s">
        <v>2271</v>
      </c>
      <c r="EH575" s="19" t="s">
        <v>2183</v>
      </c>
      <c r="EI575" s="22">
        <v>10.93125</v>
      </c>
      <c r="EJ575" s="19">
        <v>44.0</v>
      </c>
      <c r="EK575" s="19"/>
      <c r="EL575" s="19" t="s">
        <v>2282</v>
      </c>
      <c r="EM575" s="19" t="s">
        <v>10869</v>
      </c>
      <c r="EN575" s="19" t="s">
        <v>1696</v>
      </c>
      <c r="EO575" s="19" t="s">
        <v>2529</v>
      </c>
      <c r="EP575" s="19" t="s">
        <v>2122</v>
      </c>
      <c r="EQ575" s="19" t="s">
        <v>2537</v>
      </c>
      <c r="ER575" s="19"/>
      <c r="ES575" s="19" t="s">
        <v>1696</v>
      </c>
      <c r="ET575" s="19" t="s">
        <v>1696</v>
      </c>
      <c r="EU575" s="19" t="s">
        <v>11709</v>
      </c>
      <c r="EV575" s="19">
        <v>8532.0</v>
      </c>
      <c r="EW575" s="19" t="s">
        <v>16</v>
      </c>
      <c r="EX575" s="19">
        <v>5.0</v>
      </c>
      <c r="EY575" s="25" t="s">
        <v>1695</v>
      </c>
      <c r="EZ575" s="19" t="s">
        <v>2154</v>
      </c>
      <c r="FA575" s="5" t="s">
        <v>11718</v>
      </c>
      <c r="FB575" s="26" t="s">
        <v>2156</v>
      </c>
      <c r="FC575" s="26"/>
    </row>
    <row r="576">
      <c r="A576" s="19" t="s">
        <v>17</v>
      </c>
      <c r="B576" s="19"/>
      <c r="C576" s="19" t="s">
        <v>2113</v>
      </c>
      <c r="D576" s="19" t="s">
        <v>11719</v>
      </c>
      <c r="E576" s="19" t="s">
        <v>1697</v>
      </c>
      <c r="F576" s="19" t="s">
        <v>11720</v>
      </c>
      <c r="G576" s="19" t="s">
        <v>11721</v>
      </c>
      <c r="H576" s="19" t="s">
        <v>1697</v>
      </c>
      <c r="I576" s="19" t="s">
        <v>1699</v>
      </c>
      <c r="J576" s="19" t="s">
        <v>11722</v>
      </c>
      <c r="K576" s="19" t="s">
        <v>11723</v>
      </c>
      <c r="L576" s="20">
        <v>45446.0</v>
      </c>
      <c r="M576" s="20">
        <v>45447.0</v>
      </c>
      <c r="N576" s="20">
        <v>45447.0</v>
      </c>
      <c r="O576" s="19" t="s">
        <v>1698</v>
      </c>
      <c r="P576" s="19">
        <v>0.0</v>
      </c>
      <c r="Q576" s="19">
        <v>24.0</v>
      </c>
      <c r="R576" s="19">
        <v>9007.0</v>
      </c>
      <c r="S576" s="20" t="s">
        <v>11724</v>
      </c>
      <c r="T576" s="20">
        <v>45461.0</v>
      </c>
      <c r="U576" s="19" t="s">
        <v>11720</v>
      </c>
      <c r="V576" s="19"/>
      <c r="W576" s="19"/>
      <c r="X576" s="21">
        <v>0.0</v>
      </c>
      <c r="Y576" s="21">
        <v>0.0</v>
      </c>
      <c r="Z576" s="21">
        <v>3.0</v>
      </c>
      <c r="AA576" s="21">
        <v>0.0</v>
      </c>
      <c r="AB576" s="5">
        <v>3.0</v>
      </c>
      <c r="AC576" s="19">
        <v>4.333333333333333</v>
      </c>
      <c r="AD576" s="19">
        <v>4.333333333333333</v>
      </c>
      <c r="AE576" s="19">
        <v>4.0</v>
      </c>
      <c r="AF576" s="19">
        <v>3.6666666666666665</v>
      </c>
      <c r="AG576" s="19">
        <v>4.0</v>
      </c>
      <c r="AH576" s="19">
        <v>3.0</v>
      </c>
      <c r="AI576" s="22">
        <v>11.875</v>
      </c>
      <c r="AJ576" s="19">
        <v>15.0</v>
      </c>
      <c r="AK576" s="19">
        <v>15.0</v>
      </c>
      <c r="AL576" s="19">
        <v>15.0</v>
      </c>
      <c r="AM576" s="19">
        <v>45.0</v>
      </c>
      <c r="AN576" s="19">
        <v>56.9</v>
      </c>
      <c r="AO576" s="19">
        <v>59.9</v>
      </c>
      <c r="AP576" s="19">
        <v>1247.0</v>
      </c>
      <c r="AQ576" s="23">
        <v>566.0</v>
      </c>
      <c r="AR576" s="23">
        <v>33.0</v>
      </c>
      <c r="AS576" s="22"/>
      <c r="AT576" s="19" t="s">
        <v>2117</v>
      </c>
      <c r="AU576" s="19" t="s">
        <v>4072</v>
      </c>
      <c r="AV576" s="19" t="s">
        <v>4073</v>
      </c>
      <c r="AW576" s="19" t="s">
        <v>2166</v>
      </c>
      <c r="AX576" s="20">
        <v>36454.0</v>
      </c>
      <c r="AY576" s="19" t="s">
        <v>3826</v>
      </c>
      <c r="AZ576" s="19" t="s">
        <v>2122</v>
      </c>
      <c r="BA576" s="19" t="s">
        <v>11725</v>
      </c>
      <c r="BB576" s="19" t="s">
        <v>4076</v>
      </c>
      <c r="BC576" s="19" t="s">
        <v>11726</v>
      </c>
      <c r="BD576" s="19" t="s">
        <v>11727</v>
      </c>
      <c r="BE576" s="19" t="s">
        <v>11728</v>
      </c>
      <c r="BF576" s="19">
        <v>1.9997902215E10</v>
      </c>
      <c r="BG576" s="19" t="s">
        <v>2127</v>
      </c>
      <c r="BH576" s="19" t="s">
        <v>2128</v>
      </c>
      <c r="BI576" s="19"/>
      <c r="BJ576" s="19" t="s">
        <v>2128</v>
      </c>
      <c r="BK576" s="19" t="s">
        <v>17</v>
      </c>
      <c r="BL576" s="19"/>
      <c r="BM576" s="19" t="s">
        <v>5411</v>
      </c>
      <c r="BN576" s="19" t="s">
        <v>3198</v>
      </c>
      <c r="BO576" s="19" t="s">
        <v>2473</v>
      </c>
      <c r="BP576" s="19"/>
      <c r="BQ576" s="19" t="s">
        <v>3832</v>
      </c>
      <c r="BR576" s="19" t="s">
        <v>3832</v>
      </c>
      <c r="BS576" s="19" t="s">
        <v>3521</v>
      </c>
      <c r="BT576" s="19" t="s">
        <v>268</v>
      </c>
      <c r="BU576" s="19" t="s">
        <v>3019</v>
      </c>
      <c r="BV576" s="19"/>
      <c r="BW576" s="19" t="s">
        <v>2113</v>
      </c>
      <c r="BX576" s="19"/>
      <c r="BY576" s="19"/>
      <c r="BZ576" s="19"/>
      <c r="CA576" s="19"/>
      <c r="CB576" s="19" t="s">
        <v>2113</v>
      </c>
      <c r="CC576" s="19"/>
      <c r="CD576" s="19" t="s">
        <v>2137</v>
      </c>
      <c r="CE576" s="19" t="s">
        <v>16</v>
      </c>
      <c r="CF576" s="19"/>
      <c r="CG576" s="19"/>
      <c r="CH576" s="19" t="s">
        <v>16</v>
      </c>
      <c r="CI576" s="21">
        <v>0.0</v>
      </c>
      <c r="CJ576" s="19" t="s">
        <v>17</v>
      </c>
      <c r="CK576" s="19"/>
      <c r="CL576" s="19"/>
      <c r="CM576" s="19" t="s">
        <v>2138</v>
      </c>
      <c r="CN576" s="19" t="s">
        <v>3835</v>
      </c>
      <c r="CO576" s="19"/>
      <c r="CP576" s="19" t="s">
        <v>2267</v>
      </c>
      <c r="CQ576" s="19"/>
      <c r="CR576" s="19" t="s">
        <v>2113</v>
      </c>
      <c r="CS576" s="19" t="s">
        <v>2113</v>
      </c>
      <c r="CT576" s="19"/>
      <c r="CU576" s="19"/>
      <c r="CV576" s="19" t="s">
        <v>2141</v>
      </c>
      <c r="CW576" s="19"/>
      <c r="CX576" s="19"/>
      <c r="CY576" s="19"/>
      <c r="CZ576" s="19"/>
      <c r="DA576" s="19" t="s">
        <v>16</v>
      </c>
      <c r="DB576" s="19" t="s">
        <v>17</v>
      </c>
      <c r="DC576" s="19" t="s">
        <v>3836</v>
      </c>
      <c r="DD576" s="19" t="s">
        <v>2113</v>
      </c>
      <c r="DE576" s="19" t="s">
        <v>2113</v>
      </c>
      <c r="DF576" s="19" t="s">
        <v>2804</v>
      </c>
      <c r="DG576" s="19" t="s">
        <v>2433</v>
      </c>
      <c r="DH576" s="19" t="s">
        <v>2144</v>
      </c>
      <c r="DI576" s="24">
        <v>45525.0</v>
      </c>
      <c r="DJ576" s="19" t="s">
        <v>3257</v>
      </c>
      <c r="DK576" s="19" t="s">
        <v>2271</v>
      </c>
      <c r="DL576" s="19" t="s">
        <v>2207</v>
      </c>
      <c r="DM576" s="22" t="s">
        <v>7846</v>
      </c>
      <c r="DN576" s="19">
        <v>4.0</v>
      </c>
      <c r="DO576" s="19">
        <v>4.0</v>
      </c>
      <c r="DP576" s="19" t="s">
        <v>11729</v>
      </c>
      <c r="DQ576" s="19" t="s">
        <v>11730</v>
      </c>
      <c r="DR576" s="19" t="s">
        <v>11731</v>
      </c>
      <c r="DS576" s="19" t="s">
        <v>2365</v>
      </c>
      <c r="DT576" s="19" t="s">
        <v>2301</v>
      </c>
      <c r="DU576" s="19"/>
      <c r="DV576" s="19"/>
      <c r="DW576" s="19" t="s">
        <v>2188</v>
      </c>
      <c r="DX576" s="19">
        <v>10.0</v>
      </c>
      <c r="DY576" s="19">
        <v>0.0</v>
      </c>
      <c r="DZ576" s="19">
        <v>0.0</v>
      </c>
      <c r="EA576" s="19">
        <v>0.0</v>
      </c>
      <c r="EB576" s="19">
        <v>0.0</v>
      </c>
      <c r="EC576" s="19">
        <v>0.0</v>
      </c>
      <c r="ED576" s="19" t="s">
        <v>3257</v>
      </c>
      <c r="EE576" s="24">
        <v>45525.0</v>
      </c>
      <c r="EF576" s="19" t="s">
        <v>3257</v>
      </c>
      <c r="EG576" s="19" t="s">
        <v>2271</v>
      </c>
      <c r="EH576" s="19" t="s">
        <v>2207</v>
      </c>
      <c r="EI576" s="22">
        <v>11.875</v>
      </c>
      <c r="EJ576" s="19">
        <v>45.0</v>
      </c>
      <c r="EK576" s="19" t="s">
        <v>2113</v>
      </c>
      <c r="EL576" s="19" t="s">
        <v>2117</v>
      </c>
      <c r="EM576" s="19" t="s">
        <v>4072</v>
      </c>
      <c r="EN576" s="19" t="s">
        <v>1699</v>
      </c>
      <c r="EO576" s="19" t="s">
        <v>3826</v>
      </c>
      <c r="EP576" s="19" t="s">
        <v>2122</v>
      </c>
      <c r="EQ576" s="19" t="s">
        <v>3835</v>
      </c>
      <c r="ER576" s="19"/>
      <c r="ES576" s="19" t="s">
        <v>1699</v>
      </c>
      <c r="ET576" s="19" t="s">
        <v>1699</v>
      </c>
      <c r="EU576" s="19" t="s">
        <v>11723</v>
      </c>
      <c r="EV576" s="19">
        <v>9007.0</v>
      </c>
      <c r="EW576" s="19" t="s">
        <v>16</v>
      </c>
      <c r="EX576" s="19">
        <v>3.0</v>
      </c>
      <c r="EY576" s="25" t="s">
        <v>1698</v>
      </c>
      <c r="EZ576" s="19" t="s">
        <v>2154</v>
      </c>
      <c r="FA576" s="5" t="s">
        <v>11732</v>
      </c>
      <c r="FB576" s="26" t="s">
        <v>2156</v>
      </c>
      <c r="FC576" s="26"/>
    </row>
    <row r="577">
      <c r="A577" s="19" t="s">
        <v>2112</v>
      </c>
      <c r="B577" s="19"/>
      <c r="C577" s="19" t="s">
        <v>2113</v>
      </c>
      <c r="D577" s="19" t="s">
        <v>1700</v>
      </c>
      <c r="E577" s="19" t="s">
        <v>11733</v>
      </c>
      <c r="F577" s="19" t="s">
        <v>1700</v>
      </c>
      <c r="G577" s="19"/>
      <c r="H577" s="19" t="s">
        <v>1700</v>
      </c>
      <c r="I577" s="19" t="s">
        <v>1702</v>
      </c>
      <c r="J577" s="19" t="s">
        <v>11734</v>
      </c>
      <c r="K577" s="19" t="s">
        <v>11735</v>
      </c>
      <c r="L577" s="20">
        <v>45446.0</v>
      </c>
      <c r="M577" s="20">
        <v>45447.0</v>
      </c>
      <c r="N577" s="20">
        <v>45447.0</v>
      </c>
      <c r="O577" s="19" t="s">
        <v>1701</v>
      </c>
      <c r="P577" s="19">
        <v>0.0</v>
      </c>
      <c r="Q577" s="19">
        <v>18.0</v>
      </c>
      <c r="R577" s="19">
        <v>6612.0</v>
      </c>
      <c r="S577" s="20" t="s">
        <v>11736</v>
      </c>
      <c r="T577" s="20">
        <v>45461.0</v>
      </c>
      <c r="U577" s="19" t="s">
        <v>1700</v>
      </c>
      <c r="V577" s="19"/>
      <c r="W577" s="19"/>
      <c r="X577" s="21">
        <v>0.0</v>
      </c>
      <c r="Y577" s="21">
        <v>10.0</v>
      </c>
      <c r="Z577" s="21">
        <v>2.0</v>
      </c>
      <c r="AA577" s="21">
        <v>0.0</v>
      </c>
      <c r="AB577" s="5">
        <v>12.0</v>
      </c>
      <c r="AC577" s="19">
        <v>3.0</v>
      </c>
      <c r="AD577" s="19">
        <v>4.0</v>
      </c>
      <c r="AE577" s="19">
        <v>3.0</v>
      </c>
      <c r="AF577" s="19">
        <v>3.0</v>
      </c>
      <c r="AG577" s="19">
        <v>3.0</v>
      </c>
      <c r="AH577" s="19">
        <v>3.0</v>
      </c>
      <c r="AI577" s="22">
        <v>9.65625</v>
      </c>
      <c r="AJ577" s="19">
        <v>15.0</v>
      </c>
      <c r="AK577" s="19">
        <v>13.0</v>
      </c>
      <c r="AL577" s="19">
        <v>10.0</v>
      </c>
      <c r="AM577" s="19">
        <v>38.0</v>
      </c>
      <c r="AN577" s="19">
        <v>47.7</v>
      </c>
      <c r="AO577" s="19">
        <v>59.7</v>
      </c>
      <c r="AP577" s="19">
        <v>909.0</v>
      </c>
      <c r="AQ577" s="23">
        <v>567.0</v>
      </c>
      <c r="AR577" s="23">
        <v>55.0</v>
      </c>
      <c r="AS577" s="22"/>
      <c r="AT577" s="19" t="s">
        <v>2282</v>
      </c>
      <c r="AU577" s="19" t="s">
        <v>11737</v>
      </c>
      <c r="AV577" s="19" t="s">
        <v>11738</v>
      </c>
      <c r="AW577" s="19" t="s">
        <v>11739</v>
      </c>
      <c r="AX577" s="20">
        <v>38849.0</v>
      </c>
      <c r="AY577" s="19" t="s">
        <v>3612</v>
      </c>
      <c r="AZ577" s="19" t="s">
        <v>2995</v>
      </c>
      <c r="BA577" s="19" t="s">
        <v>11740</v>
      </c>
      <c r="BB577" s="19" t="s">
        <v>11741</v>
      </c>
      <c r="BC577" s="19" t="s">
        <v>11742</v>
      </c>
      <c r="BD577" s="19" t="s">
        <v>11743</v>
      </c>
      <c r="BE577" s="19" t="s">
        <v>11744</v>
      </c>
      <c r="BF577" s="19">
        <v>1.1953230078E10</v>
      </c>
      <c r="BG577" s="19" t="s">
        <v>2127</v>
      </c>
      <c r="BH577" s="19" t="s">
        <v>2128</v>
      </c>
      <c r="BI577" s="19"/>
      <c r="BJ577" s="19" t="s">
        <v>2128</v>
      </c>
      <c r="BK577" s="19" t="s">
        <v>17</v>
      </c>
      <c r="BL577" s="19"/>
      <c r="BM577" s="19" t="s">
        <v>5411</v>
      </c>
      <c r="BN577" s="19" t="s">
        <v>2172</v>
      </c>
      <c r="BO577" s="19" t="s">
        <v>3199</v>
      </c>
      <c r="BP577" s="19"/>
      <c r="BQ577" s="19" t="s">
        <v>2133</v>
      </c>
      <c r="BR577" s="19" t="s">
        <v>2133</v>
      </c>
      <c r="BS577" s="19" t="s">
        <v>2134</v>
      </c>
      <c r="BT577" s="19" t="s">
        <v>15</v>
      </c>
      <c r="BU577" s="19" t="s">
        <v>2177</v>
      </c>
      <c r="BV577" s="19"/>
      <c r="BW577" s="19" t="s">
        <v>2113</v>
      </c>
      <c r="BX577" s="19"/>
      <c r="BY577" s="19"/>
      <c r="BZ577" s="19"/>
      <c r="CA577" s="19"/>
      <c r="CB577" s="19"/>
      <c r="CC577" s="19"/>
      <c r="CD577" s="19" t="s">
        <v>2137</v>
      </c>
      <c r="CE577" s="19" t="s">
        <v>16</v>
      </c>
      <c r="CF577" s="19"/>
      <c r="CG577" s="19"/>
      <c r="CH577" s="19" t="s">
        <v>16</v>
      </c>
      <c r="CI577" s="21">
        <v>0.0</v>
      </c>
      <c r="CJ577" s="19" t="s">
        <v>16</v>
      </c>
      <c r="CK577" s="19"/>
      <c r="CL577" s="19"/>
      <c r="CM577" s="19" t="s">
        <v>2926</v>
      </c>
      <c r="CN577" s="19" t="s">
        <v>3202</v>
      </c>
      <c r="CO577" s="19"/>
      <c r="CP577" s="19" t="s">
        <v>2134</v>
      </c>
      <c r="CQ577" s="19"/>
      <c r="CR577" s="19"/>
      <c r="CS577" s="19"/>
      <c r="CT577" s="19" t="s">
        <v>2113</v>
      </c>
      <c r="CU577" s="19" t="s">
        <v>2113</v>
      </c>
      <c r="CV577" s="19" t="s">
        <v>2141</v>
      </c>
      <c r="CW577" s="19" t="s">
        <v>2113</v>
      </c>
      <c r="CX577" s="19" t="s">
        <v>2113</v>
      </c>
      <c r="CY577" s="19"/>
      <c r="CZ577" s="19"/>
      <c r="DA577" s="19" t="s">
        <v>16</v>
      </c>
      <c r="DB577" s="19" t="s">
        <v>16</v>
      </c>
      <c r="DC577" s="19" t="s">
        <v>11745</v>
      </c>
      <c r="DD577" s="19" t="s">
        <v>2113</v>
      </c>
      <c r="DE577" s="19" t="s">
        <v>2113</v>
      </c>
      <c r="DF577" s="19" t="s">
        <v>2671</v>
      </c>
      <c r="DG577" s="19" t="s">
        <v>2804</v>
      </c>
      <c r="DH577" s="19" t="s">
        <v>2144</v>
      </c>
      <c r="DI577" s="24">
        <v>45526.0</v>
      </c>
      <c r="DJ577" s="19" t="s">
        <v>2133</v>
      </c>
      <c r="DK577" s="19" t="s">
        <v>2271</v>
      </c>
      <c r="DL577" s="19" t="s">
        <v>2146</v>
      </c>
      <c r="DM577" s="19" t="s">
        <v>2805</v>
      </c>
      <c r="DN577" s="19">
        <v>12.0</v>
      </c>
      <c r="DO577" s="19">
        <v>12.0</v>
      </c>
      <c r="DP577" s="19" t="s">
        <v>11746</v>
      </c>
      <c r="DQ577" s="19" t="s">
        <v>11747</v>
      </c>
      <c r="DR577" s="19" t="s">
        <v>11748</v>
      </c>
      <c r="DS577" s="19" t="s">
        <v>2365</v>
      </c>
      <c r="DT577" s="19" t="s">
        <v>2152</v>
      </c>
      <c r="DU577" s="19"/>
      <c r="DV577" s="19"/>
      <c r="DW577" s="19" t="s">
        <v>2153</v>
      </c>
      <c r="DX577" s="19">
        <v>8.0</v>
      </c>
      <c r="DY577" s="19">
        <v>10.0</v>
      </c>
      <c r="DZ577" s="19">
        <v>0.0</v>
      </c>
      <c r="EA577" s="19">
        <v>10.0</v>
      </c>
      <c r="EB577" s="19">
        <v>0.0</v>
      </c>
      <c r="EC577" s="19">
        <v>0.0</v>
      </c>
      <c r="ED577" s="19" t="s">
        <v>2133</v>
      </c>
      <c r="EE577" s="24">
        <v>45526.0</v>
      </c>
      <c r="EF577" s="19" t="s">
        <v>2133</v>
      </c>
      <c r="EG577" s="19" t="s">
        <v>2271</v>
      </c>
      <c r="EH577" s="19" t="s">
        <v>2146</v>
      </c>
      <c r="EI577" s="22">
        <v>9.65625</v>
      </c>
      <c r="EJ577" s="19">
        <v>38.0</v>
      </c>
      <c r="EK577" s="19"/>
      <c r="EL577" s="19" t="s">
        <v>2282</v>
      </c>
      <c r="EM577" s="19" t="s">
        <v>11737</v>
      </c>
      <c r="EN577" s="19" t="s">
        <v>1702</v>
      </c>
      <c r="EO577" s="19" t="s">
        <v>3612</v>
      </c>
      <c r="EP577" s="19" t="s">
        <v>2995</v>
      </c>
      <c r="EQ577" s="19" t="s">
        <v>3202</v>
      </c>
      <c r="ER577" s="19"/>
      <c r="ES577" s="19" t="s">
        <v>1702</v>
      </c>
      <c r="ET577" s="19" t="s">
        <v>1702</v>
      </c>
      <c r="EU577" s="19" t="s">
        <v>11735</v>
      </c>
      <c r="EV577" s="19">
        <v>6612.0</v>
      </c>
      <c r="EW577" s="19" t="s">
        <v>16</v>
      </c>
      <c r="EX577" s="19">
        <v>2.0</v>
      </c>
      <c r="EY577" s="25" t="s">
        <v>1701</v>
      </c>
      <c r="EZ577" s="19" t="s">
        <v>2154</v>
      </c>
      <c r="FA577" s="5" t="s">
        <v>11749</v>
      </c>
      <c r="FB577" s="26" t="s">
        <v>2156</v>
      </c>
      <c r="FC577" s="26"/>
    </row>
    <row r="578">
      <c r="A578" s="19" t="s">
        <v>2112</v>
      </c>
      <c r="B578" s="19"/>
      <c r="C578" s="19" t="s">
        <v>2113</v>
      </c>
      <c r="D578" s="19" t="s">
        <v>1703</v>
      </c>
      <c r="E578" s="19" t="s">
        <v>11750</v>
      </c>
      <c r="F578" s="19" t="s">
        <v>1703</v>
      </c>
      <c r="G578" s="19"/>
      <c r="H578" s="19" t="s">
        <v>1703</v>
      </c>
      <c r="I578" s="19" t="s">
        <v>1705</v>
      </c>
      <c r="J578" s="19" t="s">
        <v>11751</v>
      </c>
      <c r="K578" s="19" t="s">
        <v>11752</v>
      </c>
      <c r="L578" s="20">
        <v>45452.0</v>
      </c>
      <c r="M578" s="20">
        <v>45453.0</v>
      </c>
      <c r="N578" s="20">
        <v>45453.0</v>
      </c>
      <c r="O578" s="19" t="s">
        <v>1704</v>
      </c>
      <c r="P578" s="19">
        <v>0.0</v>
      </c>
      <c r="Q578" s="19">
        <v>26.0</v>
      </c>
      <c r="R578" s="19">
        <v>9597.0</v>
      </c>
      <c r="S578" s="20" t="s">
        <v>11753</v>
      </c>
      <c r="T578" s="20">
        <v>45461.0</v>
      </c>
      <c r="U578" s="19" t="s">
        <v>1703</v>
      </c>
      <c r="V578" s="19"/>
      <c r="W578" s="19"/>
      <c r="X578" s="21">
        <v>0.0</v>
      </c>
      <c r="Y578" s="21">
        <v>0.0</v>
      </c>
      <c r="Z578" s="21">
        <v>5.0</v>
      </c>
      <c r="AA578" s="21">
        <v>0.0</v>
      </c>
      <c r="AB578" s="5">
        <v>5.0</v>
      </c>
      <c r="AC578" s="19">
        <v>3.6</v>
      </c>
      <c r="AD578" s="19">
        <v>3.4</v>
      </c>
      <c r="AE578" s="19">
        <v>3.4</v>
      </c>
      <c r="AF578" s="19">
        <v>4.0</v>
      </c>
      <c r="AG578" s="19">
        <v>3.4</v>
      </c>
      <c r="AH578" s="19">
        <v>4.0</v>
      </c>
      <c r="AI578" s="22">
        <v>10.74375</v>
      </c>
      <c r="AJ578" s="19">
        <v>15.0</v>
      </c>
      <c r="AK578" s="19">
        <v>14.0</v>
      </c>
      <c r="AL578" s="19">
        <v>15.0</v>
      </c>
      <c r="AM578" s="19">
        <v>44.0</v>
      </c>
      <c r="AN578" s="19">
        <v>54.7</v>
      </c>
      <c r="AO578" s="19">
        <v>59.7</v>
      </c>
      <c r="AP578" s="19">
        <v>1040.0</v>
      </c>
      <c r="AQ578" s="23">
        <v>568.0</v>
      </c>
      <c r="AR578" s="23">
        <v>72.0</v>
      </c>
      <c r="AS578" s="22"/>
      <c r="AT578" s="19" t="s">
        <v>2282</v>
      </c>
      <c r="AU578" s="19" t="s">
        <v>11754</v>
      </c>
      <c r="AV578" s="19" t="s">
        <v>11755</v>
      </c>
      <c r="AW578" s="19"/>
      <c r="AX578" s="20">
        <v>35864.0</v>
      </c>
      <c r="AY578" s="19" t="s">
        <v>2196</v>
      </c>
      <c r="AZ578" s="19" t="s">
        <v>2122</v>
      </c>
      <c r="BA578" s="19" t="s">
        <v>11756</v>
      </c>
      <c r="BB578" s="19" t="s">
        <v>11757</v>
      </c>
      <c r="BC578" s="19" t="s">
        <v>11758</v>
      </c>
      <c r="BD578" s="19" t="s">
        <v>11759</v>
      </c>
      <c r="BE578" s="19" t="s">
        <v>11751</v>
      </c>
      <c r="BF578" s="19">
        <v>1.1986742931E10</v>
      </c>
      <c r="BG578" s="19" t="s">
        <v>2127</v>
      </c>
      <c r="BH578" s="19" t="s">
        <v>2649</v>
      </c>
      <c r="BI578" s="19"/>
      <c r="BJ578" s="19" t="s">
        <v>2128</v>
      </c>
      <c r="BK578" s="19" t="s">
        <v>17</v>
      </c>
      <c r="BL578" s="19"/>
      <c r="BM578" s="19" t="s">
        <v>5411</v>
      </c>
      <c r="BN578" s="19" t="s">
        <v>17</v>
      </c>
      <c r="BO578" s="19" t="s">
        <v>2132</v>
      </c>
      <c r="BP578" s="19"/>
      <c r="BQ578" s="19" t="s">
        <v>2174</v>
      </c>
      <c r="BR578" s="19" t="s">
        <v>2174</v>
      </c>
      <c r="BS578" s="19" t="s">
        <v>3521</v>
      </c>
      <c r="BT578" s="19" t="s">
        <v>21</v>
      </c>
      <c r="BU578" s="19" t="s">
        <v>5211</v>
      </c>
      <c r="BV578" s="19"/>
      <c r="BW578" s="19"/>
      <c r="BX578" s="19"/>
      <c r="BY578" s="19" t="s">
        <v>2113</v>
      </c>
      <c r="BZ578" s="19"/>
      <c r="CA578" s="19"/>
      <c r="CB578" s="19" t="s">
        <v>2113</v>
      </c>
      <c r="CC578" s="19"/>
      <c r="CD578" s="19" t="s">
        <v>2137</v>
      </c>
      <c r="CE578" s="19" t="s">
        <v>16</v>
      </c>
      <c r="CF578" s="19"/>
      <c r="CG578" s="19"/>
      <c r="CH578" s="19" t="s">
        <v>16</v>
      </c>
      <c r="CI578" s="21">
        <v>0.0</v>
      </c>
      <c r="CJ578" s="19" t="s">
        <v>16</v>
      </c>
      <c r="CK578" s="19"/>
      <c r="CL578" s="19"/>
      <c r="CM578" s="19" t="s">
        <v>2926</v>
      </c>
      <c r="CN578" s="19" t="s">
        <v>2204</v>
      </c>
      <c r="CO578" s="19"/>
      <c r="CP578" s="19" t="s">
        <v>4631</v>
      </c>
      <c r="CQ578" s="19" t="s">
        <v>2113</v>
      </c>
      <c r="CR578" s="19" t="s">
        <v>2113</v>
      </c>
      <c r="CS578" s="19" t="s">
        <v>2113</v>
      </c>
      <c r="CT578" s="19" t="s">
        <v>2113</v>
      </c>
      <c r="CU578" s="19" t="s">
        <v>2113</v>
      </c>
      <c r="CV578" s="19" t="s">
        <v>2141</v>
      </c>
      <c r="CW578" s="19"/>
      <c r="CX578" s="19"/>
      <c r="CY578" s="19"/>
      <c r="CZ578" s="19"/>
      <c r="DA578" s="19" t="s">
        <v>16</v>
      </c>
      <c r="DB578" s="19" t="s">
        <v>16</v>
      </c>
      <c r="DC578" s="19" t="s">
        <v>2247</v>
      </c>
      <c r="DD578" s="19" t="s">
        <v>2113</v>
      </c>
      <c r="DE578" s="19" t="s">
        <v>2113</v>
      </c>
      <c r="DF578" s="19" t="s">
        <v>2514</v>
      </c>
      <c r="DG578" s="19" t="s">
        <v>2181</v>
      </c>
      <c r="DH578" s="19" t="s">
        <v>2144</v>
      </c>
      <c r="DI578" s="24">
        <v>45519.0</v>
      </c>
      <c r="DJ578" s="19" t="s">
        <v>2174</v>
      </c>
      <c r="DK578" s="19" t="s">
        <v>2271</v>
      </c>
      <c r="DL578" s="19" t="s">
        <v>2183</v>
      </c>
      <c r="DM578" s="19" t="s">
        <v>2272</v>
      </c>
      <c r="DN578" s="19">
        <v>6.0</v>
      </c>
      <c r="DO578" s="19">
        <v>6.0</v>
      </c>
      <c r="DP578" s="19" t="s">
        <v>11760</v>
      </c>
      <c r="DQ578" s="19" t="s">
        <v>11761</v>
      </c>
      <c r="DR578" s="19" t="s">
        <v>11762</v>
      </c>
      <c r="DS578" s="19" t="s">
        <v>2151</v>
      </c>
      <c r="DT578" s="19" t="s">
        <v>2229</v>
      </c>
      <c r="DU578" s="19"/>
      <c r="DV578" s="19"/>
      <c r="DW578" s="19" t="s">
        <v>2153</v>
      </c>
      <c r="DX578" s="19">
        <v>14.0</v>
      </c>
      <c r="DY578" s="19">
        <v>0.0</v>
      </c>
      <c r="DZ578" s="19">
        <v>0.0</v>
      </c>
      <c r="EA578" s="19">
        <v>0.0</v>
      </c>
      <c r="EB578" s="19">
        <v>0.0</v>
      </c>
      <c r="EC578" s="19">
        <v>0.0</v>
      </c>
      <c r="ED578" s="19" t="s">
        <v>2174</v>
      </c>
      <c r="EE578" s="24">
        <v>45519.0</v>
      </c>
      <c r="EF578" s="19" t="s">
        <v>2174</v>
      </c>
      <c r="EG578" s="19" t="s">
        <v>2271</v>
      </c>
      <c r="EH578" s="19" t="s">
        <v>2183</v>
      </c>
      <c r="EI578" s="22">
        <v>10.74375</v>
      </c>
      <c r="EJ578" s="19">
        <v>44.0</v>
      </c>
      <c r="EK578" s="19"/>
      <c r="EL578" s="19" t="s">
        <v>2282</v>
      </c>
      <c r="EM578" s="19" t="s">
        <v>11754</v>
      </c>
      <c r="EN578" s="19" t="s">
        <v>1705</v>
      </c>
      <c r="EO578" s="19" t="s">
        <v>2196</v>
      </c>
      <c r="EP578" s="19" t="s">
        <v>2122</v>
      </c>
      <c r="EQ578" s="19" t="s">
        <v>2204</v>
      </c>
      <c r="ER578" s="19"/>
      <c r="ES578" s="19" t="s">
        <v>1705</v>
      </c>
      <c r="ET578" s="19" t="s">
        <v>1705</v>
      </c>
      <c r="EU578" s="19" t="s">
        <v>11752</v>
      </c>
      <c r="EV578" s="19">
        <v>9597.0</v>
      </c>
      <c r="EW578" s="19" t="s">
        <v>16</v>
      </c>
      <c r="EX578" s="19">
        <v>5.0</v>
      </c>
      <c r="EY578" s="25" t="s">
        <v>1704</v>
      </c>
      <c r="EZ578" s="19" t="s">
        <v>2154</v>
      </c>
      <c r="FA578" s="5" t="s">
        <v>11763</v>
      </c>
      <c r="FB578" s="26" t="s">
        <v>2156</v>
      </c>
      <c r="FC578" s="26"/>
    </row>
    <row r="579">
      <c r="A579" s="19" t="s">
        <v>17</v>
      </c>
      <c r="B579" s="19"/>
      <c r="C579" s="19" t="s">
        <v>2113</v>
      </c>
      <c r="D579" s="19" t="s">
        <v>11764</v>
      </c>
      <c r="E579" s="19" t="s">
        <v>11765</v>
      </c>
      <c r="F579" s="19" t="s">
        <v>11764</v>
      </c>
      <c r="G579" s="19"/>
      <c r="H579" s="19" t="s">
        <v>1706</v>
      </c>
      <c r="I579" s="19" t="s">
        <v>1708</v>
      </c>
      <c r="J579" s="19" t="s">
        <v>11766</v>
      </c>
      <c r="K579" s="19" t="s">
        <v>11767</v>
      </c>
      <c r="L579" s="20">
        <v>45412.0</v>
      </c>
      <c r="M579" s="20">
        <v>45414.0</v>
      </c>
      <c r="N579" s="20">
        <v>45414.0</v>
      </c>
      <c r="O579" s="19" t="s">
        <v>1707</v>
      </c>
      <c r="P579" s="19">
        <v>0.0</v>
      </c>
      <c r="Q579" s="19">
        <v>21.0</v>
      </c>
      <c r="R579" s="19">
        <v>7917.0</v>
      </c>
      <c r="S579" s="20" t="s">
        <v>10418</v>
      </c>
      <c r="T579" s="20">
        <v>45461.0</v>
      </c>
      <c r="U579" s="19" t="s">
        <v>11764</v>
      </c>
      <c r="V579" s="19"/>
      <c r="W579" s="19"/>
      <c r="X579" s="21">
        <v>0.0</v>
      </c>
      <c r="Y579" s="21">
        <v>0.0</v>
      </c>
      <c r="Z579" s="21">
        <v>3.0</v>
      </c>
      <c r="AA579" s="21">
        <v>0.0</v>
      </c>
      <c r="AB579" s="5">
        <v>3.0</v>
      </c>
      <c r="AC579" s="19">
        <v>5.0</v>
      </c>
      <c r="AD579" s="19">
        <v>4.5</v>
      </c>
      <c r="AE579" s="19">
        <v>5.0</v>
      </c>
      <c r="AF579" s="19">
        <v>5.0</v>
      </c>
      <c r="AG579" s="19">
        <v>5.0</v>
      </c>
      <c r="AH579" s="19">
        <v>5.0</v>
      </c>
      <c r="AI579" s="22">
        <v>14.671875</v>
      </c>
      <c r="AJ579" s="19">
        <v>14.0</v>
      </c>
      <c r="AK579" s="19">
        <v>14.0</v>
      </c>
      <c r="AL579" s="19">
        <v>14.0</v>
      </c>
      <c r="AM579" s="19">
        <v>42.0</v>
      </c>
      <c r="AN579" s="19">
        <v>56.7</v>
      </c>
      <c r="AO579" s="19">
        <v>59.7</v>
      </c>
      <c r="AP579" s="19">
        <v>1287.0</v>
      </c>
      <c r="AQ579" s="23">
        <v>569.0</v>
      </c>
      <c r="AR579" s="23">
        <v>34.0</v>
      </c>
      <c r="AS579" s="22"/>
      <c r="AT579" s="19" t="s">
        <v>2282</v>
      </c>
      <c r="AU579" s="19" t="s">
        <v>11768</v>
      </c>
      <c r="AV579" s="19" t="s">
        <v>11769</v>
      </c>
      <c r="AW579" s="19"/>
      <c r="AX579" s="20">
        <v>37544.0</v>
      </c>
      <c r="AY579" s="19" t="s">
        <v>3826</v>
      </c>
      <c r="AZ579" s="19" t="s">
        <v>2995</v>
      </c>
      <c r="BA579" s="19" t="s">
        <v>11770</v>
      </c>
      <c r="BB579" s="19" t="s">
        <v>11771</v>
      </c>
      <c r="BC579" s="19" t="s">
        <v>11772</v>
      </c>
      <c r="BD579" s="19" t="s">
        <v>11773</v>
      </c>
      <c r="BE579" s="19" t="s">
        <v>11774</v>
      </c>
      <c r="BF579" s="19">
        <v>1.1986957878E10</v>
      </c>
      <c r="BG579" s="19" t="s">
        <v>4038</v>
      </c>
      <c r="BH579" s="19" t="s">
        <v>2649</v>
      </c>
      <c r="BI579" s="19"/>
      <c r="BJ579" s="19" t="s">
        <v>2128</v>
      </c>
      <c r="BK579" s="19" t="s">
        <v>17</v>
      </c>
      <c r="BL579" s="19"/>
      <c r="BM579" s="19" t="s">
        <v>5796</v>
      </c>
      <c r="BN579" s="19" t="s">
        <v>17</v>
      </c>
      <c r="BO579" s="19" t="s">
        <v>2473</v>
      </c>
      <c r="BP579" s="19"/>
      <c r="BQ579" s="19" t="s">
        <v>3832</v>
      </c>
      <c r="BR579" s="19" t="s">
        <v>3832</v>
      </c>
      <c r="BS579" s="19" t="s">
        <v>2134</v>
      </c>
      <c r="BT579" s="19" t="s">
        <v>268</v>
      </c>
      <c r="BU579" s="19" t="s">
        <v>11775</v>
      </c>
      <c r="BV579" s="19"/>
      <c r="BW579" s="19" t="s">
        <v>2113</v>
      </c>
      <c r="BX579" s="19"/>
      <c r="BY579" s="19"/>
      <c r="BZ579" s="19"/>
      <c r="CA579" s="19"/>
      <c r="CB579" s="19" t="s">
        <v>2113</v>
      </c>
      <c r="CC579" s="19"/>
      <c r="CD579" s="19" t="s">
        <v>2137</v>
      </c>
      <c r="CE579" s="19" t="s">
        <v>16</v>
      </c>
      <c r="CF579" s="19"/>
      <c r="CG579" s="19"/>
      <c r="CH579" s="19" t="s">
        <v>16</v>
      </c>
      <c r="CI579" s="21">
        <v>0.0</v>
      </c>
      <c r="CJ579" s="19" t="s">
        <v>16</v>
      </c>
      <c r="CK579" s="19"/>
      <c r="CL579" s="19"/>
      <c r="CM579" s="19" t="s">
        <v>2138</v>
      </c>
      <c r="CN579" s="19" t="s">
        <v>3835</v>
      </c>
      <c r="CO579" s="19"/>
      <c r="CP579" s="19" t="s">
        <v>2246</v>
      </c>
      <c r="CQ579" s="19"/>
      <c r="CR579" s="19" t="s">
        <v>2113</v>
      </c>
      <c r="CS579" s="19" t="s">
        <v>2113</v>
      </c>
      <c r="CT579" s="19"/>
      <c r="CU579" s="19"/>
      <c r="CV579" s="19" t="s">
        <v>2141</v>
      </c>
      <c r="CW579" s="19" t="s">
        <v>2113</v>
      </c>
      <c r="CX579" s="19" t="s">
        <v>2113</v>
      </c>
      <c r="CY579" s="19"/>
      <c r="CZ579" s="19"/>
      <c r="DA579" s="19" t="s">
        <v>16</v>
      </c>
      <c r="DB579" s="19" t="s">
        <v>16</v>
      </c>
      <c r="DC579" s="19" t="s">
        <v>3836</v>
      </c>
      <c r="DD579" s="19" t="s">
        <v>2113</v>
      </c>
      <c r="DE579" s="19" t="s">
        <v>2113</v>
      </c>
      <c r="DF579" s="19" t="s">
        <v>3163</v>
      </c>
      <c r="DG579" s="19" t="s">
        <v>2804</v>
      </c>
      <c r="DH579" s="19" t="s">
        <v>2144</v>
      </c>
      <c r="DI579" s="24">
        <v>45518.0</v>
      </c>
      <c r="DJ579" s="19" t="s">
        <v>3257</v>
      </c>
      <c r="DK579" s="19" t="s">
        <v>2271</v>
      </c>
      <c r="DL579" s="19" t="s">
        <v>2207</v>
      </c>
      <c r="DM579" s="22" t="s">
        <v>5599</v>
      </c>
      <c r="DN579" s="19">
        <v>1.0</v>
      </c>
      <c r="DO579" s="19">
        <v>1.0</v>
      </c>
      <c r="DP579" s="19" t="s">
        <v>11776</v>
      </c>
      <c r="DQ579" s="19" t="s">
        <v>11777</v>
      </c>
      <c r="DR579" s="19" t="s">
        <v>11778</v>
      </c>
      <c r="DS579" s="19" t="s">
        <v>2185</v>
      </c>
      <c r="DT579" s="19" t="s">
        <v>2209</v>
      </c>
      <c r="DU579" s="19"/>
      <c r="DV579" s="19"/>
      <c r="DW579" s="19" t="s">
        <v>2153</v>
      </c>
      <c r="DX579" s="19">
        <v>2.0</v>
      </c>
      <c r="DY579" s="19">
        <v>0.0</v>
      </c>
      <c r="DZ579" s="19">
        <v>0.0</v>
      </c>
      <c r="EA579" s="19">
        <v>0.0</v>
      </c>
      <c r="EB579" s="19">
        <v>0.0</v>
      </c>
      <c r="EC579" s="19">
        <v>0.0</v>
      </c>
      <c r="ED579" s="19" t="s">
        <v>3257</v>
      </c>
      <c r="EE579" s="24">
        <v>45518.0</v>
      </c>
      <c r="EF579" s="19" t="s">
        <v>3257</v>
      </c>
      <c r="EG579" s="19" t="s">
        <v>2271</v>
      </c>
      <c r="EH579" s="19" t="s">
        <v>2207</v>
      </c>
      <c r="EI579" s="22">
        <v>14.671875</v>
      </c>
      <c r="EJ579" s="19">
        <v>42.0</v>
      </c>
      <c r="EK579" s="19"/>
      <c r="EL579" s="19" t="s">
        <v>2282</v>
      </c>
      <c r="EM579" s="19" t="s">
        <v>11768</v>
      </c>
      <c r="EN579" s="19" t="s">
        <v>1708</v>
      </c>
      <c r="EO579" s="19" t="s">
        <v>3826</v>
      </c>
      <c r="EP579" s="19" t="s">
        <v>2995</v>
      </c>
      <c r="EQ579" s="19" t="s">
        <v>3835</v>
      </c>
      <c r="ER579" s="19"/>
      <c r="ES579" s="19" t="s">
        <v>1708</v>
      </c>
      <c r="ET579" s="19" t="s">
        <v>1708</v>
      </c>
      <c r="EU579" s="19" t="s">
        <v>11767</v>
      </c>
      <c r="EV579" s="19">
        <v>7917.0</v>
      </c>
      <c r="EW579" s="19" t="s">
        <v>16</v>
      </c>
      <c r="EX579" s="19">
        <v>3.0</v>
      </c>
      <c r="EY579" s="25" t="s">
        <v>1707</v>
      </c>
      <c r="EZ579" s="19" t="s">
        <v>2154</v>
      </c>
      <c r="FA579" s="5" t="s">
        <v>11779</v>
      </c>
      <c r="FB579" s="26" t="s">
        <v>2156</v>
      </c>
      <c r="FC579" s="26"/>
    </row>
    <row r="580">
      <c r="A580" s="19" t="s">
        <v>2112</v>
      </c>
      <c r="B580" s="19"/>
      <c r="C580" s="19" t="s">
        <v>2113</v>
      </c>
      <c r="D580" s="19" t="s">
        <v>1709</v>
      </c>
      <c r="E580" s="19" t="s">
        <v>11780</v>
      </c>
      <c r="F580" s="19" t="s">
        <v>1709</v>
      </c>
      <c r="G580" s="19" t="s">
        <v>11780</v>
      </c>
      <c r="H580" s="19" t="s">
        <v>1709</v>
      </c>
      <c r="I580" s="19" t="s">
        <v>1711</v>
      </c>
      <c r="J580" s="19" t="s">
        <v>11781</v>
      </c>
      <c r="K580" s="19" t="s">
        <v>11782</v>
      </c>
      <c r="L580" s="20">
        <v>45434.0</v>
      </c>
      <c r="M580" s="20">
        <v>45434.0</v>
      </c>
      <c r="N580" s="20">
        <v>45434.0</v>
      </c>
      <c r="O580" s="19" t="s">
        <v>1710</v>
      </c>
      <c r="P580" s="19">
        <v>0.0</v>
      </c>
      <c r="Q580" s="19">
        <v>19.0</v>
      </c>
      <c r="R580" s="19">
        <v>7156.0</v>
      </c>
      <c r="S580" s="20" t="s">
        <v>11783</v>
      </c>
      <c r="T580" s="20">
        <v>45461.0</v>
      </c>
      <c r="U580" s="19" t="s">
        <v>1709</v>
      </c>
      <c r="V580" s="19"/>
      <c r="W580" s="19" t="s">
        <v>11784</v>
      </c>
      <c r="X580" s="21">
        <v>0.0</v>
      </c>
      <c r="Y580" s="21">
        <v>0.0</v>
      </c>
      <c r="Z580" s="21">
        <v>5.0</v>
      </c>
      <c r="AA580" s="21">
        <v>0.0</v>
      </c>
      <c r="AB580" s="5">
        <v>5.0</v>
      </c>
      <c r="AC580" s="19">
        <v>5.0</v>
      </c>
      <c r="AD580" s="19">
        <v>4.0</v>
      </c>
      <c r="AE580" s="19">
        <v>5.0</v>
      </c>
      <c r="AF580" s="19">
        <v>5.0</v>
      </c>
      <c r="AG580" s="19">
        <v>4.0</v>
      </c>
      <c r="AH580" s="19">
        <v>4.0</v>
      </c>
      <c r="AI580" s="22">
        <v>13.59375</v>
      </c>
      <c r="AJ580" s="19">
        <v>15.0</v>
      </c>
      <c r="AK580" s="19">
        <v>14.0</v>
      </c>
      <c r="AL580" s="19">
        <v>12.0</v>
      </c>
      <c r="AM580" s="19">
        <v>41.0</v>
      </c>
      <c r="AN580" s="19">
        <v>54.6</v>
      </c>
      <c r="AO580" s="19">
        <v>59.6</v>
      </c>
      <c r="AP580" s="19">
        <v>1128.0</v>
      </c>
      <c r="AQ580" s="23">
        <v>570.0</v>
      </c>
      <c r="AR580" s="23">
        <v>82.0</v>
      </c>
      <c r="AS580" s="22"/>
      <c r="AT580" s="19" t="s">
        <v>2117</v>
      </c>
      <c r="AU580" s="19" t="s">
        <v>2283</v>
      </c>
      <c r="AV580" s="19" t="s">
        <v>11785</v>
      </c>
      <c r="AW580" s="19"/>
      <c r="AX580" s="20">
        <v>38305.0</v>
      </c>
      <c r="AY580" s="19" t="s">
        <v>2286</v>
      </c>
      <c r="AZ580" s="19" t="s">
        <v>2310</v>
      </c>
      <c r="BA580" s="19" t="s">
        <v>11786</v>
      </c>
      <c r="BB580" s="19" t="s">
        <v>7906</v>
      </c>
      <c r="BC580" s="19" t="s">
        <v>11787</v>
      </c>
      <c r="BD580" s="19" t="s">
        <v>11788</v>
      </c>
      <c r="BE580" s="19" t="s">
        <v>11789</v>
      </c>
      <c r="BF580" s="19">
        <v>1.1941686813E10</v>
      </c>
      <c r="BG580" s="19" t="s">
        <v>4038</v>
      </c>
      <c r="BH580" s="19" t="s">
        <v>2128</v>
      </c>
      <c r="BI580" s="19"/>
      <c r="BJ580" s="19" t="s">
        <v>2129</v>
      </c>
      <c r="BK580" s="19" t="s">
        <v>17</v>
      </c>
      <c r="BL580" s="19"/>
      <c r="BM580" s="19" t="s">
        <v>5563</v>
      </c>
      <c r="BN580" s="19" t="s">
        <v>3951</v>
      </c>
      <c r="BO580" s="19" t="s">
        <v>2132</v>
      </c>
      <c r="BP580" s="19"/>
      <c r="BQ580" s="19" t="s">
        <v>2133</v>
      </c>
      <c r="BR580" s="19" t="s">
        <v>2133</v>
      </c>
      <c r="BS580" s="19" t="s">
        <v>2134</v>
      </c>
      <c r="BT580" s="19" t="s">
        <v>38</v>
      </c>
      <c r="BU580" s="19" t="s">
        <v>11790</v>
      </c>
      <c r="BV580" s="19"/>
      <c r="BW580" s="19"/>
      <c r="BX580" s="19"/>
      <c r="BY580" s="19"/>
      <c r="BZ580" s="19"/>
      <c r="CA580" s="19"/>
      <c r="CB580" s="19" t="s">
        <v>2113</v>
      </c>
      <c r="CC580" s="19"/>
      <c r="CD580" s="19" t="s">
        <v>2137</v>
      </c>
      <c r="CE580" s="19" t="s">
        <v>16</v>
      </c>
      <c r="CF580" s="19"/>
      <c r="CG580" s="19"/>
      <c r="CH580" s="19" t="s">
        <v>16</v>
      </c>
      <c r="CI580" s="21">
        <v>0.0</v>
      </c>
      <c r="CJ580" s="19" t="s">
        <v>17</v>
      </c>
      <c r="CK580" s="19"/>
      <c r="CL580" s="19" t="s">
        <v>2113</v>
      </c>
      <c r="CM580" s="19" t="s">
        <v>2138</v>
      </c>
      <c r="CN580" s="19" t="s">
        <v>2294</v>
      </c>
      <c r="CO580" s="19"/>
      <c r="CP580" s="19" t="s">
        <v>2246</v>
      </c>
      <c r="CQ580" s="19"/>
      <c r="CR580" s="19" t="s">
        <v>2113</v>
      </c>
      <c r="CS580" s="19" t="s">
        <v>2113</v>
      </c>
      <c r="CT580" s="19" t="s">
        <v>2113</v>
      </c>
      <c r="CU580" s="19" t="s">
        <v>2113</v>
      </c>
      <c r="CV580" s="19" t="s">
        <v>2179</v>
      </c>
      <c r="CW580" s="19" t="s">
        <v>2113</v>
      </c>
      <c r="CX580" s="19" t="s">
        <v>2113</v>
      </c>
      <c r="CY580" s="19" t="s">
        <v>2113</v>
      </c>
      <c r="CZ580" s="19" t="s">
        <v>2113</v>
      </c>
      <c r="DA580" s="19" t="s">
        <v>16</v>
      </c>
      <c r="DB580" s="19" t="s">
        <v>17</v>
      </c>
      <c r="DC580" s="19" t="s">
        <v>2295</v>
      </c>
      <c r="DD580" s="19" t="s">
        <v>2113</v>
      </c>
      <c r="DE580" s="19" t="s">
        <v>2113</v>
      </c>
      <c r="DF580" s="19" t="s">
        <v>2433</v>
      </c>
      <c r="DG580" s="19" t="s">
        <v>2433</v>
      </c>
      <c r="DH580" s="19" t="s">
        <v>2144</v>
      </c>
      <c r="DI580" s="24">
        <v>45525.0</v>
      </c>
      <c r="DJ580" s="19" t="s">
        <v>2133</v>
      </c>
      <c r="DK580" s="19" t="s">
        <v>2271</v>
      </c>
      <c r="DL580" s="19" t="s">
        <v>2146</v>
      </c>
      <c r="DM580" s="19" t="s">
        <v>2408</v>
      </c>
      <c r="DN580" s="19">
        <v>10.0</v>
      </c>
      <c r="DO580" s="19">
        <v>10.0</v>
      </c>
      <c r="DP580" s="19"/>
      <c r="DQ580" s="19"/>
      <c r="DR580" s="19"/>
      <c r="DS580" s="19" t="s">
        <v>2185</v>
      </c>
      <c r="DT580" s="19" t="s">
        <v>2209</v>
      </c>
      <c r="DU580" s="19" t="s">
        <v>11791</v>
      </c>
      <c r="DV580" s="19"/>
      <c r="DW580" s="19" t="s">
        <v>2479</v>
      </c>
      <c r="DX580" s="19">
        <v>6.0</v>
      </c>
      <c r="DY580" s="19">
        <v>0.0</v>
      </c>
      <c r="DZ580" s="19">
        <v>0.0</v>
      </c>
      <c r="EA580" s="19">
        <v>0.0</v>
      </c>
      <c r="EB580" s="19">
        <v>0.0</v>
      </c>
      <c r="EC580" s="19">
        <v>0.0</v>
      </c>
      <c r="ED580" s="19" t="s">
        <v>2133</v>
      </c>
      <c r="EE580" s="24">
        <v>45525.0</v>
      </c>
      <c r="EF580" s="19" t="s">
        <v>2133</v>
      </c>
      <c r="EG580" s="19" t="s">
        <v>2271</v>
      </c>
      <c r="EH580" s="19" t="s">
        <v>2146</v>
      </c>
      <c r="EI580" s="22">
        <v>13.59375</v>
      </c>
      <c r="EJ580" s="19">
        <v>41.0</v>
      </c>
      <c r="EK580" s="19" t="s">
        <v>2113</v>
      </c>
      <c r="EL580" s="19" t="s">
        <v>2117</v>
      </c>
      <c r="EM580" s="19" t="s">
        <v>2283</v>
      </c>
      <c r="EN580" s="19" t="s">
        <v>1711</v>
      </c>
      <c r="EO580" s="19" t="s">
        <v>2286</v>
      </c>
      <c r="EP580" s="19" t="s">
        <v>2310</v>
      </c>
      <c r="EQ580" s="19" t="s">
        <v>2294</v>
      </c>
      <c r="ER580" s="19"/>
      <c r="ES580" s="19" t="s">
        <v>1711</v>
      </c>
      <c r="ET580" s="19" t="s">
        <v>1711</v>
      </c>
      <c r="EU580" s="19" t="s">
        <v>11782</v>
      </c>
      <c r="EV580" s="19">
        <v>7156.0</v>
      </c>
      <c r="EW580" s="19" t="s">
        <v>16</v>
      </c>
      <c r="EX580" s="19">
        <v>5.0</v>
      </c>
      <c r="EY580" s="25" t="s">
        <v>1710</v>
      </c>
      <c r="EZ580" s="19" t="s">
        <v>2154</v>
      </c>
      <c r="FA580" s="5" t="s">
        <v>11792</v>
      </c>
      <c r="FB580" s="26" t="s">
        <v>2156</v>
      </c>
      <c r="FC580" s="26"/>
    </row>
    <row r="581">
      <c r="A581" s="19" t="s">
        <v>2112</v>
      </c>
      <c r="B581" s="19"/>
      <c r="C581" s="19" t="s">
        <v>2113</v>
      </c>
      <c r="D581" s="19" t="s">
        <v>1712</v>
      </c>
      <c r="E581" s="19" t="s">
        <v>11793</v>
      </c>
      <c r="F581" s="19" t="s">
        <v>1712</v>
      </c>
      <c r="G581" s="19"/>
      <c r="H581" s="19" t="s">
        <v>1712</v>
      </c>
      <c r="I581" s="19" t="s">
        <v>1714</v>
      </c>
      <c r="J581" s="19" t="s">
        <v>11794</v>
      </c>
      <c r="K581" s="19" t="s">
        <v>11795</v>
      </c>
      <c r="L581" s="20">
        <v>45397.0</v>
      </c>
      <c r="M581" s="20">
        <v>45411.0</v>
      </c>
      <c r="N581" s="20">
        <v>45411.0</v>
      </c>
      <c r="O581" s="19" t="s">
        <v>1713</v>
      </c>
      <c r="P581" s="19">
        <v>0.0</v>
      </c>
      <c r="Q581" s="19">
        <v>22.0</v>
      </c>
      <c r="R581" s="19">
        <v>8110.0</v>
      </c>
      <c r="S581" s="20" t="s">
        <v>11796</v>
      </c>
      <c r="T581" s="20">
        <v>45461.0</v>
      </c>
      <c r="U581" s="19" t="s">
        <v>1712</v>
      </c>
      <c r="V581" s="19"/>
      <c r="W581" s="19"/>
      <c r="X581" s="21">
        <v>0.0</v>
      </c>
      <c r="Y581" s="21">
        <v>0.0</v>
      </c>
      <c r="Z581" s="21">
        <v>3.0</v>
      </c>
      <c r="AA581" s="21">
        <v>0.0</v>
      </c>
      <c r="AB581" s="5">
        <v>3.0</v>
      </c>
      <c r="AC581" s="19">
        <v>5.0</v>
      </c>
      <c r="AD581" s="19">
        <v>5.0</v>
      </c>
      <c r="AE581" s="19">
        <v>5.0</v>
      </c>
      <c r="AF581" s="19">
        <v>5.0</v>
      </c>
      <c r="AG581" s="19">
        <v>4.0</v>
      </c>
      <c r="AH581" s="19">
        <v>5.0</v>
      </c>
      <c r="AI581" s="22">
        <v>14.625</v>
      </c>
      <c r="AJ581" s="19">
        <v>14.0</v>
      </c>
      <c r="AK581" s="19">
        <v>14.0</v>
      </c>
      <c r="AL581" s="19">
        <v>14.0</v>
      </c>
      <c r="AM581" s="19">
        <v>42.0</v>
      </c>
      <c r="AN581" s="19">
        <v>56.6</v>
      </c>
      <c r="AO581" s="19">
        <v>59.6</v>
      </c>
      <c r="AP581" s="19">
        <v>1279.0</v>
      </c>
      <c r="AQ581" s="23">
        <v>571.0</v>
      </c>
      <c r="AR581" s="23">
        <v>83.0</v>
      </c>
      <c r="AS581" s="22"/>
      <c r="AT581" s="19" t="s">
        <v>2282</v>
      </c>
      <c r="AU581" s="19" t="s">
        <v>11298</v>
      </c>
      <c r="AV581" s="19" t="s">
        <v>11299</v>
      </c>
      <c r="AW581" s="19"/>
      <c r="AX581" s="20">
        <v>37351.0</v>
      </c>
      <c r="AY581" s="19" t="s">
        <v>5729</v>
      </c>
      <c r="AZ581" s="19" t="s">
        <v>2122</v>
      </c>
      <c r="BA581" s="19" t="s">
        <v>11300</v>
      </c>
      <c r="BB581" s="19" t="s">
        <v>3756</v>
      </c>
      <c r="BC581" s="19" t="s">
        <v>11797</v>
      </c>
      <c r="BD581" s="19" t="s">
        <v>11798</v>
      </c>
      <c r="BE581" s="19" t="s">
        <v>11799</v>
      </c>
      <c r="BF581" s="19">
        <v>1.1945588331E10</v>
      </c>
      <c r="BG581" s="19" t="s">
        <v>4038</v>
      </c>
      <c r="BH581" s="19" t="s">
        <v>2128</v>
      </c>
      <c r="BI581" s="19"/>
      <c r="BJ581" s="19" t="s">
        <v>2128</v>
      </c>
      <c r="BK581" s="19" t="s">
        <v>17</v>
      </c>
      <c r="BL581" s="19" t="s">
        <v>2113</v>
      </c>
      <c r="BM581" s="19" t="s">
        <v>5411</v>
      </c>
      <c r="BN581" s="19" t="s">
        <v>11800</v>
      </c>
      <c r="BO581" s="19" t="s">
        <v>2473</v>
      </c>
      <c r="BP581" s="19"/>
      <c r="BQ581" s="19" t="s">
        <v>2133</v>
      </c>
      <c r="BR581" s="19" t="s">
        <v>2133</v>
      </c>
      <c r="BS581" s="19" t="s">
        <v>2243</v>
      </c>
      <c r="BT581" s="19" t="s">
        <v>38</v>
      </c>
      <c r="BU581" s="19" t="s">
        <v>11801</v>
      </c>
      <c r="BV581" s="19"/>
      <c r="BW581" s="19"/>
      <c r="BX581" s="19"/>
      <c r="BY581" s="19"/>
      <c r="BZ581" s="19"/>
      <c r="CA581" s="19"/>
      <c r="CB581" s="19" t="s">
        <v>2113</v>
      </c>
      <c r="CC581" s="19"/>
      <c r="CD581" s="19" t="s">
        <v>2137</v>
      </c>
      <c r="CE581" s="19" t="s">
        <v>16</v>
      </c>
      <c r="CF581" s="19"/>
      <c r="CG581" s="19"/>
      <c r="CH581" s="19" t="s">
        <v>16</v>
      </c>
      <c r="CI581" s="21">
        <v>0.0</v>
      </c>
      <c r="CJ581" s="19" t="s">
        <v>16</v>
      </c>
      <c r="CK581" s="19"/>
      <c r="CL581" s="19"/>
      <c r="CM581" s="19" t="s">
        <v>2344</v>
      </c>
      <c r="CN581" s="19" t="s">
        <v>3020</v>
      </c>
      <c r="CO581" s="19"/>
      <c r="CP581" s="19" t="s">
        <v>2246</v>
      </c>
      <c r="CQ581" s="19"/>
      <c r="CR581" s="19" t="s">
        <v>2113</v>
      </c>
      <c r="CS581" s="19" t="s">
        <v>2113</v>
      </c>
      <c r="CT581" s="19" t="s">
        <v>2113</v>
      </c>
      <c r="CU581" s="19" t="s">
        <v>2113</v>
      </c>
      <c r="CV581" s="19" t="s">
        <v>2141</v>
      </c>
      <c r="CW581" s="19" t="s">
        <v>2113</v>
      </c>
      <c r="CX581" s="19" t="s">
        <v>2113</v>
      </c>
      <c r="CY581" s="19"/>
      <c r="CZ581" s="19"/>
      <c r="DA581" s="19" t="s">
        <v>16</v>
      </c>
      <c r="DB581" s="19" t="s">
        <v>16</v>
      </c>
      <c r="DC581" s="19" t="s">
        <v>6005</v>
      </c>
      <c r="DD581" s="19" t="s">
        <v>2113</v>
      </c>
      <c r="DE581" s="19" t="s">
        <v>2113</v>
      </c>
      <c r="DF581" s="19" t="s">
        <v>4425</v>
      </c>
      <c r="DG581" s="19" t="s">
        <v>2143</v>
      </c>
      <c r="DH581" s="19" t="s">
        <v>2144</v>
      </c>
      <c r="DI581" s="24">
        <v>45526.0</v>
      </c>
      <c r="DJ581" s="19" t="s">
        <v>2133</v>
      </c>
      <c r="DK581" s="19" t="s">
        <v>2145</v>
      </c>
      <c r="DL581" s="19" t="s">
        <v>2146</v>
      </c>
      <c r="DM581" s="19" t="s">
        <v>3338</v>
      </c>
      <c r="DN581" s="19">
        <v>11.0</v>
      </c>
      <c r="DO581" s="19">
        <v>11.0</v>
      </c>
      <c r="DP581" s="19" t="s">
        <v>11802</v>
      </c>
      <c r="DQ581" s="19" t="s">
        <v>11803</v>
      </c>
      <c r="DR581" s="19" t="s">
        <v>11804</v>
      </c>
      <c r="DS581" s="19" t="s">
        <v>2185</v>
      </c>
      <c r="DT581" s="19" t="s">
        <v>2152</v>
      </c>
      <c r="DU581" s="19"/>
      <c r="DV581" s="19"/>
      <c r="DW581" s="19" t="s">
        <v>2479</v>
      </c>
      <c r="DX581" s="19">
        <v>6.0</v>
      </c>
      <c r="DY581" s="19">
        <v>0.0</v>
      </c>
      <c r="DZ581" s="19">
        <v>0.0</v>
      </c>
      <c r="EA581" s="19">
        <v>0.0</v>
      </c>
      <c r="EB581" s="19">
        <v>0.0</v>
      </c>
      <c r="EC581" s="19">
        <v>0.0</v>
      </c>
      <c r="ED581" s="19" t="s">
        <v>2133</v>
      </c>
      <c r="EE581" s="24">
        <v>45526.0</v>
      </c>
      <c r="EF581" s="19" t="s">
        <v>2133</v>
      </c>
      <c r="EG581" s="19" t="s">
        <v>2145</v>
      </c>
      <c r="EH581" s="19" t="s">
        <v>2146</v>
      </c>
      <c r="EI581" s="22">
        <v>14.625</v>
      </c>
      <c r="EJ581" s="19">
        <v>42.0</v>
      </c>
      <c r="EK581" s="19"/>
      <c r="EL581" s="19" t="s">
        <v>2282</v>
      </c>
      <c r="EM581" s="19" t="s">
        <v>11298</v>
      </c>
      <c r="EN581" s="19" t="s">
        <v>1714</v>
      </c>
      <c r="EO581" s="19" t="s">
        <v>5729</v>
      </c>
      <c r="EP581" s="19" t="s">
        <v>2122</v>
      </c>
      <c r="EQ581" s="19" t="s">
        <v>3020</v>
      </c>
      <c r="ER581" s="19"/>
      <c r="ES581" s="19" t="s">
        <v>1714</v>
      </c>
      <c r="ET581" s="19" t="s">
        <v>1714</v>
      </c>
      <c r="EU581" s="19" t="s">
        <v>11795</v>
      </c>
      <c r="EV581" s="19">
        <v>8110.0</v>
      </c>
      <c r="EW581" s="19" t="s">
        <v>16</v>
      </c>
      <c r="EX581" s="19">
        <v>3.0</v>
      </c>
      <c r="EY581" s="25" t="s">
        <v>1713</v>
      </c>
      <c r="EZ581" s="19" t="s">
        <v>2154</v>
      </c>
      <c r="FA581" s="5" t="s">
        <v>11805</v>
      </c>
      <c r="FB581" s="26" t="s">
        <v>2156</v>
      </c>
      <c r="FC581" s="26"/>
    </row>
    <row r="582">
      <c r="A582" s="19" t="s">
        <v>2156</v>
      </c>
      <c r="B582" s="19"/>
      <c r="C582" s="19" t="s">
        <v>2113</v>
      </c>
      <c r="D582" s="19" t="s">
        <v>1715</v>
      </c>
      <c r="E582" s="19" t="s">
        <v>11806</v>
      </c>
      <c r="F582" s="19" t="s">
        <v>1715</v>
      </c>
      <c r="G582" s="19"/>
      <c r="H582" s="19" t="s">
        <v>1715</v>
      </c>
      <c r="I582" s="19" t="s">
        <v>1717</v>
      </c>
      <c r="J582" s="19" t="s">
        <v>11807</v>
      </c>
      <c r="K582" s="19" t="s">
        <v>11808</v>
      </c>
      <c r="L582" s="20">
        <v>45444.0</v>
      </c>
      <c r="M582" s="20">
        <v>45446.0</v>
      </c>
      <c r="N582" s="20">
        <v>45446.0</v>
      </c>
      <c r="O582" s="19" t="s">
        <v>1716</v>
      </c>
      <c r="P582" s="19">
        <v>0.0</v>
      </c>
      <c r="Q582" s="19">
        <v>20.0</v>
      </c>
      <c r="R582" s="19">
        <v>7451.0</v>
      </c>
      <c r="S582" s="20" t="s">
        <v>11809</v>
      </c>
      <c r="T582" s="20">
        <v>45461.0</v>
      </c>
      <c r="U582" s="19" t="s">
        <v>1715</v>
      </c>
      <c r="V582" s="19"/>
      <c r="W582" s="19"/>
      <c r="X582" s="21">
        <v>0.0</v>
      </c>
      <c r="Y582" s="21">
        <v>10.0</v>
      </c>
      <c r="Z582" s="21">
        <v>4.0</v>
      </c>
      <c r="AA582" s="21">
        <v>0.0</v>
      </c>
      <c r="AB582" s="5">
        <v>14.0</v>
      </c>
      <c r="AC582" s="19">
        <v>4.5</v>
      </c>
      <c r="AD582" s="19">
        <v>4.5</v>
      </c>
      <c r="AE582" s="19">
        <v>4.5</v>
      </c>
      <c r="AF582" s="19">
        <v>4.5</v>
      </c>
      <c r="AG582" s="19">
        <v>4.0</v>
      </c>
      <c r="AH582" s="19">
        <v>5.0</v>
      </c>
      <c r="AI582" s="22">
        <v>13.5</v>
      </c>
      <c r="AJ582" s="19">
        <v>13.0</v>
      </c>
      <c r="AK582" s="19">
        <v>10.0</v>
      </c>
      <c r="AL582" s="19">
        <v>9.0</v>
      </c>
      <c r="AM582" s="19">
        <v>32.0</v>
      </c>
      <c r="AN582" s="19">
        <v>45.5</v>
      </c>
      <c r="AO582" s="19">
        <v>59.5</v>
      </c>
      <c r="AP582" s="19">
        <v>625.0</v>
      </c>
      <c r="AQ582" s="23">
        <v>572.0</v>
      </c>
      <c r="AR582" s="23">
        <v>44.0</v>
      </c>
      <c r="AS582" s="22"/>
      <c r="AT582" s="19" t="s">
        <v>2163</v>
      </c>
      <c r="AU582" s="19" t="s">
        <v>5293</v>
      </c>
      <c r="AV582" s="19" t="s">
        <v>11810</v>
      </c>
      <c r="AW582" s="19"/>
      <c r="AX582" s="20">
        <v>38010.0</v>
      </c>
      <c r="AY582" s="19" t="s">
        <v>3232</v>
      </c>
      <c r="AZ582" s="19" t="s">
        <v>2310</v>
      </c>
      <c r="BA582" s="19" t="s">
        <v>11811</v>
      </c>
      <c r="BB582" s="19" t="s">
        <v>6705</v>
      </c>
      <c r="BC582" s="19" t="s">
        <v>11812</v>
      </c>
      <c r="BD582" s="19" t="s">
        <v>11813</v>
      </c>
      <c r="BE582" s="19"/>
      <c r="BF582" s="19"/>
      <c r="BG582" s="19" t="s">
        <v>2127</v>
      </c>
      <c r="BH582" s="19" t="s">
        <v>2128</v>
      </c>
      <c r="BI582" s="19"/>
      <c r="BJ582" s="19" t="s">
        <v>2128</v>
      </c>
      <c r="BK582" s="19" t="s">
        <v>17</v>
      </c>
      <c r="BL582" s="19"/>
      <c r="BM582" s="19" t="s">
        <v>5411</v>
      </c>
      <c r="BN582" s="19" t="s">
        <v>17</v>
      </c>
      <c r="BO582" s="19" t="s">
        <v>2317</v>
      </c>
      <c r="BP582" s="19"/>
      <c r="BQ582" s="19" t="s">
        <v>2325</v>
      </c>
      <c r="BR582" s="19" t="s">
        <v>2325</v>
      </c>
      <c r="BS582" s="19" t="s">
        <v>2243</v>
      </c>
      <c r="BT582" s="19" t="s">
        <v>118</v>
      </c>
      <c r="BU582" s="19" t="s">
        <v>11814</v>
      </c>
      <c r="BV582" s="19"/>
      <c r="BW582" s="19"/>
      <c r="BX582" s="19"/>
      <c r="BY582" s="19"/>
      <c r="BZ582" s="19"/>
      <c r="CA582" s="19"/>
      <c r="CB582" s="19" t="s">
        <v>2113</v>
      </c>
      <c r="CC582" s="19"/>
      <c r="CD582" s="19" t="s">
        <v>2137</v>
      </c>
      <c r="CE582" s="19" t="s">
        <v>16</v>
      </c>
      <c r="CF582" s="19"/>
      <c r="CG582" s="19"/>
      <c r="CH582" s="19" t="s">
        <v>16</v>
      </c>
      <c r="CI582" s="21">
        <v>0.0</v>
      </c>
      <c r="CJ582" s="19" t="s">
        <v>17</v>
      </c>
      <c r="CK582" s="19"/>
      <c r="CL582" s="19"/>
      <c r="CM582" s="19" t="s">
        <v>2138</v>
      </c>
      <c r="CN582" s="19" t="s">
        <v>2868</v>
      </c>
      <c r="CO582" s="19"/>
      <c r="CP582" s="19" t="s">
        <v>2140</v>
      </c>
      <c r="CQ582" s="19"/>
      <c r="CR582" s="19"/>
      <c r="CS582" s="19"/>
      <c r="CT582" s="19" t="s">
        <v>2113</v>
      </c>
      <c r="CU582" s="19" t="s">
        <v>2113</v>
      </c>
      <c r="CV582" s="19" t="s">
        <v>2179</v>
      </c>
      <c r="CW582" s="19"/>
      <c r="CX582" s="19"/>
      <c r="CY582" s="19" t="s">
        <v>2113</v>
      </c>
      <c r="CZ582" s="19" t="s">
        <v>2113</v>
      </c>
      <c r="DA582" s="19" t="s">
        <v>16</v>
      </c>
      <c r="DB582" s="19" t="s">
        <v>17</v>
      </c>
      <c r="DC582" s="19" t="s">
        <v>2497</v>
      </c>
      <c r="DD582" s="19" t="s">
        <v>2113</v>
      </c>
      <c r="DE582" s="19" t="s">
        <v>2113</v>
      </c>
      <c r="DF582" s="19" t="s">
        <v>2433</v>
      </c>
      <c r="DG582" s="19" t="s">
        <v>2207</v>
      </c>
      <c r="DH582" s="19" t="s">
        <v>2144</v>
      </c>
      <c r="DI582" s="24">
        <v>45517.0</v>
      </c>
      <c r="DJ582" s="19" t="s">
        <v>2325</v>
      </c>
      <c r="DK582" s="19" t="s">
        <v>2271</v>
      </c>
      <c r="DL582" s="19" t="s">
        <v>2326</v>
      </c>
      <c r="DM582" s="19"/>
      <c r="DN582" s="19">
        <v>2.0</v>
      </c>
      <c r="DO582" s="19">
        <v>2.0</v>
      </c>
      <c r="DP582" s="19"/>
      <c r="DQ582" s="19"/>
      <c r="DR582" s="19"/>
      <c r="DS582" s="19" t="s">
        <v>2185</v>
      </c>
      <c r="DT582" s="19" t="s">
        <v>2366</v>
      </c>
      <c r="DU582" s="19" t="s">
        <v>11815</v>
      </c>
      <c r="DV582" s="19"/>
      <c r="DW582" s="19" t="s">
        <v>2153</v>
      </c>
      <c r="DX582" s="19">
        <v>3.0</v>
      </c>
      <c r="DY582" s="19">
        <v>10.0</v>
      </c>
      <c r="DZ582" s="19">
        <v>0.0</v>
      </c>
      <c r="EA582" s="19">
        <v>10.0</v>
      </c>
      <c r="EB582" s="19">
        <v>0.0</v>
      </c>
      <c r="EC582" s="19">
        <v>0.0</v>
      </c>
      <c r="ED582" s="19" t="s">
        <v>2325</v>
      </c>
      <c r="EE582" s="24">
        <v>45517.0</v>
      </c>
      <c r="EF582" s="19" t="s">
        <v>2325</v>
      </c>
      <c r="EG582" s="19" t="s">
        <v>2271</v>
      </c>
      <c r="EH582" s="19" t="s">
        <v>2326</v>
      </c>
      <c r="EI582" s="22">
        <v>13.5</v>
      </c>
      <c r="EJ582" s="19">
        <v>32.0</v>
      </c>
      <c r="EK582" s="19" t="s">
        <v>2113</v>
      </c>
      <c r="EL582" s="19" t="s">
        <v>2163</v>
      </c>
      <c r="EM582" s="19" t="s">
        <v>5293</v>
      </c>
      <c r="EN582" s="19" t="s">
        <v>1717</v>
      </c>
      <c r="EO582" s="19" t="s">
        <v>3232</v>
      </c>
      <c r="EP582" s="19" t="s">
        <v>2310</v>
      </c>
      <c r="EQ582" s="19" t="s">
        <v>2868</v>
      </c>
      <c r="ER582" s="19"/>
      <c r="ES582" s="19" t="s">
        <v>1717</v>
      </c>
      <c r="ET582" s="19" t="s">
        <v>1717</v>
      </c>
      <c r="EU582" s="19" t="s">
        <v>11808</v>
      </c>
      <c r="EV582" s="19">
        <v>7451.0</v>
      </c>
      <c r="EW582" s="19" t="s">
        <v>16</v>
      </c>
      <c r="EX582" s="19">
        <v>4.0</v>
      </c>
      <c r="EY582" s="25" t="s">
        <v>1716</v>
      </c>
      <c r="EZ582" s="19" t="s">
        <v>2154</v>
      </c>
      <c r="FA582" s="5" t="s">
        <v>11816</v>
      </c>
      <c r="FB582" s="26" t="s">
        <v>2156</v>
      </c>
      <c r="FC582" s="26"/>
    </row>
    <row r="583">
      <c r="A583" s="19" t="s">
        <v>2112</v>
      </c>
      <c r="B583" s="19"/>
      <c r="C583" s="19" t="s">
        <v>2113</v>
      </c>
      <c r="D583" s="19" t="s">
        <v>1718</v>
      </c>
      <c r="E583" s="19" t="s">
        <v>1718</v>
      </c>
      <c r="F583" s="19" t="s">
        <v>1718</v>
      </c>
      <c r="G583" s="19"/>
      <c r="H583" s="19" t="s">
        <v>1718</v>
      </c>
      <c r="I583" s="19" t="s">
        <v>1720</v>
      </c>
      <c r="J583" s="19" t="s">
        <v>11817</v>
      </c>
      <c r="K583" s="19" t="s">
        <v>11818</v>
      </c>
      <c r="L583" s="20">
        <v>45457.0</v>
      </c>
      <c r="M583" s="20">
        <v>45460.0</v>
      </c>
      <c r="N583" s="20">
        <v>45460.0</v>
      </c>
      <c r="O583" s="19" t="s">
        <v>1719</v>
      </c>
      <c r="P583" s="19">
        <v>0.0</v>
      </c>
      <c r="Q583" s="19">
        <v>26.0</v>
      </c>
      <c r="R583" s="19">
        <v>9695.0</v>
      </c>
      <c r="S583" s="20" t="s">
        <v>11819</v>
      </c>
      <c r="T583" s="20">
        <v>45461.0</v>
      </c>
      <c r="U583" s="19" t="s">
        <v>1718</v>
      </c>
      <c r="V583" s="19"/>
      <c r="W583" s="19"/>
      <c r="X583" s="21">
        <v>0.0</v>
      </c>
      <c r="Y583" s="21">
        <v>0.0</v>
      </c>
      <c r="Z583" s="21">
        <v>3.0</v>
      </c>
      <c r="AA583" s="21">
        <v>0.0</v>
      </c>
      <c r="AB583" s="5">
        <v>3.0</v>
      </c>
      <c r="AC583" s="19">
        <v>5.0</v>
      </c>
      <c r="AD583" s="19">
        <v>5.0</v>
      </c>
      <c r="AE583" s="19">
        <v>5.0</v>
      </c>
      <c r="AF583" s="19">
        <v>5.0</v>
      </c>
      <c r="AG583" s="19">
        <v>5.0</v>
      </c>
      <c r="AH583" s="19">
        <v>5.0</v>
      </c>
      <c r="AI583" s="22">
        <v>15.0</v>
      </c>
      <c r="AJ583" s="19">
        <v>13.0</v>
      </c>
      <c r="AK583" s="19">
        <v>14.5</v>
      </c>
      <c r="AL583" s="19">
        <v>14.0</v>
      </c>
      <c r="AM583" s="19">
        <v>41.5</v>
      </c>
      <c r="AN583" s="19">
        <v>56.5</v>
      </c>
      <c r="AO583" s="19">
        <v>59.5</v>
      </c>
      <c r="AP583" s="19">
        <v>1231.0</v>
      </c>
      <c r="AQ583" s="23">
        <v>573.0</v>
      </c>
      <c r="AR583" s="23">
        <v>51.0</v>
      </c>
      <c r="AS583" s="22"/>
      <c r="AT583" s="19" t="s">
        <v>2163</v>
      </c>
      <c r="AU583" s="19" t="s">
        <v>11820</v>
      </c>
      <c r="AV583" s="19" t="s">
        <v>11821</v>
      </c>
      <c r="AW583" s="19"/>
      <c r="AX583" s="20">
        <v>35766.0</v>
      </c>
      <c r="AY583" s="19" t="s">
        <v>4661</v>
      </c>
      <c r="AZ583" s="19" t="s">
        <v>2310</v>
      </c>
      <c r="BA583" s="19" t="s">
        <v>11822</v>
      </c>
      <c r="BB583" s="19" t="s">
        <v>9388</v>
      </c>
      <c r="BC583" s="19" t="s">
        <v>11823</v>
      </c>
      <c r="BD583" s="19" t="s">
        <v>11824</v>
      </c>
      <c r="BE583" s="19" t="s">
        <v>11825</v>
      </c>
      <c r="BF583" s="19">
        <v>1.1981601417E10</v>
      </c>
      <c r="BG583" s="19" t="s">
        <v>4038</v>
      </c>
      <c r="BH583" s="19" t="s">
        <v>2128</v>
      </c>
      <c r="BI583" s="19"/>
      <c r="BJ583" s="19" t="s">
        <v>2129</v>
      </c>
      <c r="BK583" s="19" t="s">
        <v>17</v>
      </c>
      <c r="BL583" s="19" t="s">
        <v>2113</v>
      </c>
      <c r="BM583" s="19" t="s">
        <v>5411</v>
      </c>
      <c r="BN583" s="19" t="s">
        <v>11826</v>
      </c>
      <c r="BO583" s="19" t="s">
        <v>2473</v>
      </c>
      <c r="BP583" s="19" t="s">
        <v>11827</v>
      </c>
      <c r="BQ583" s="19" t="s">
        <v>2133</v>
      </c>
      <c r="BR583" s="19" t="s">
        <v>2133</v>
      </c>
      <c r="BS583" s="19" t="s">
        <v>2134</v>
      </c>
      <c r="BT583" s="19" t="s">
        <v>52</v>
      </c>
      <c r="BU583" s="19" t="s">
        <v>5827</v>
      </c>
      <c r="BV583" s="19"/>
      <c r="BW583" s="19"/>
      <c r="BX583" s="19" t="s">
        <v>2113</v>
      </c>
      <c r="BY583" s="19" t="s">
        <v>2113</v>
      </c>
      <c r="BZ583" s="19"/>
      <c r="CA583" s="19"/>
      <c r="CB583" s="19" t="s">
        <v>2113</v>
      </c>
      <c r="CC583" s="19"/>
      <c r="CD583" s="19" t="s">
        <v>2137</v>
      </c>
      <c r="CE583" s="19" t="s">
        <v>16</v>
      </c>
      <c r="CF583" s="19"/>
      <c r="CG583" s="19"/>
      <c r="CH583" s="19" t="s">
        <v>16</v>
      </c>
      <c r="CI583" s="21">
        <v>0.0</v>
      </c>
      <c r="CJ583" s="19" t="s">
        <v>17</v>
      </c>
      <c r="CK583" s="19"/>
      <c r="CL583" s="19" t="s">
        <v>2113</v>
      </c>
      <c r="CM583" s="19" t="s">
        <v>2138</v>
      </c>
      <c r="CN583" s="19" t="s">
        <v>3544</v>
      </c>
      <c r="CO583" s="19"/>
      <c r="CP583" s="19" t="s">
        <v>2140</v>
      </c>
      <c r="CQ583" s="19"/>
      <c r="CR583" s="19" t="s">
        <v>2113</v>
      </c>
      <c r="CS583" s="19" t="s">
        <v>2113</v>
      </c>
      <c r="CT583" s="19" t="s">
        <v>2113</v>
      </c>
      <c r="CU583" s="19" t="s">
        <v>2113</v>
      </c>
      <c r="CV583" s="19" t="s">
        <v>2141</v>
      </c>
      <c r="CW583" s="19" t="s">
        <v>2113</v>
      </c>
      <c r="CX583" s="19" t="s">
        <v>2113</v>
      </c>
      <c r="CY583" s="19" t="s">
        <v>2113</v>
      </c>
      <c r="CZ583" s="19" t="s">
        <v>2113</v>
      </c>
      <c r="DA583" s="19" t="s">
        <v>16</v>
      </c>
      <c r="DB583" s="19" t="s">
        <v>17</v>
      </c>
      <c r="DC583" s="19" t="s">
        <v>2579</v>
      </c>
      <c r="DD583" s="19" t="s">
        <v>2113</v>
      </c>
      <c r="DE583" s="19" t="s">
        <v>2113</v>
      </c>
      <c r="DF583" s="19" t="s">
        <v>2143</v>
      </c>
      <c r="DG583" s="19" t="s">
        <v>2627</v>
      </c>
      <c r="DH583" s="19" t="s">
        <v>2144</v>
      </c>
      <c r="DI583" s="24">
        <v>45524.0</v>
      </c>
      <c r="DJ583" s="19" t="s">
        <v>2133</v>
      </c>
      <c r="DK583" s="19" t="s">
        <v>2271</v>
      </c>
      <c r="DL583" s="19" t="s">
        <v>2146</v>
      </c>
      <c r="DM583" s="19" t="s">
        <v>2628</v>
      </c>
      <c r="DN583" s="19">
        <v>8.0</v>
      </c>
      <c r="DO583" s="19">
        <v>8.0</v>
      </c>
      <c r="DP583" s="19" t="s">
        <v>11828</v>
      </c>
      <c r="DQ583" s="19" t="s">
        <v>11829</v>
      </c>
      <c r="DR583" s="19" t="s">
        <v>11830</v>
      </c>
      <c r="DS583" s="19" t="s">
        <v>2365</v>
      </c>
      <c r="DT583" s="19" t="s">
        <v>2350</v>
      </c>
      <c r="DU583" s="19"/>
      <c r="DV583" s="19"/>
      <c r="DW583" s="19" t="s">
        <v>2153</v>
      </c>
      <c r="DX583" s="19">
        <v>9.0</v>
      </c>
      <c r="DY583" s="19">
        <v>0.0</v>
      </c>
      <c r="DZ583" s="19">
        <v>0.0</v>
      </c>
      <c r="EA583" s="19">
        <v>0.0</v>
      </c>
      <c r="EB583" s="19">
        <v>0.0</v>
      </c>
      <c r="EC583" s="19">
        <v>0.0</v>
      </c>
      <c r="ED583" s="19" t="s">
        <v>2133</v>
      </c>
      <c r="EE583" s="24">
        <v>45524.0</v>
      </c>
      <c r="EF583" s="19" t="s">
        <v>2133</v>
      </c>
      <c r="EG583" s="19" t="s">
        <v>2271</v>
      </c>
      <c r="EH583" s="19" t="s">
        <v>2146</v>
      </c>
      <c r="EI583" s="22">
        <v>15.0</v>
      </c>
      <c r="EJ583" s="19">
        <v>41.5</v>
      </c>
      <c r="EK583" s="19" t="s">
        <v>2113</v>
      </c>
      <c r="EL583" s="19" t="s">
        <v>2163</v>
      </c>
      <c r="EM583" s="19" t="s">
        <v>11820</v>
      </c>
      <c r="EN583" s="19" t="s">
        <v>1720</v>
      </c>
      <c r="EO583" s="19" t="s">
        <v>4661</v>
      </c>
      <c r="EP583" s="19" t="s">
        <v>2310</v>
      </c>
      <c r="EQ583" s="19" t="s">
        <v>3544</v>
      </c>
      <c r="ER583" s="19"/>
      <c r="ES583" s="19" t="s">
        <v>1720</v>
      </c>
      <c r="ET583" s="19" t="s">
        <v>1720</v>
      </c>
      <c r="EU583" s="19" t="s">
        <v>11818</v>
      </c>
      <c r="EV583" s="19">
        <v>9695.0</v>
      </c>
      <c r="EW583" s="19" t="s">
        <v>16</v>
      </c>
      <c r="EX583" s="19">
        <v>3.0</v>
      </c>
      <c r="EY583" s="25" t="s">
        <v>1719</v>
      </c>
      <c r="EZ583" s="19" t="s">
        <v>2154</v>
      </c>
      <c r="FA583" s="5" t="s">
        <v>11831</v>
      </c>
      <c r="FB583" s="26" t="s">
        <v>2156</v>
      </c>
      <c r="FC583" s="26"/>
    </row>
    <row r="584">
      <c r="A584" s="19" t="s">
        <v>2112</v>
      </c>
      <c r="B584" s="19"/>
      <c r="C584" s="19" t="s">
        <v>2113</v>
      </c>
      <c r="D584" s="19" t="s">
        <v>1721</v>
      </c>
      <c r="E584" s="19" t="s">
        <v>11832</v>
      </c>
      <c r="F584" s="19" t="s">
        <v>1721</v>
      </c>
      <c r="G584" s="19"/>
      <c r="H584" s="19" t="s">
        <v>1721</v>
      </c>
      <c r="I584" s="19" t="s">
        <v>1723</v>
      </c>
      <c r="J584" s="19" t="s">
        <v>11833</v>
      </c>
      <c r="K584" s="19" t="s">
        <v>11834</v>
      </c>
      <c r="L584" s="20">
        <v>45445.0</v>
      </c>
      <c r="M584" s="20">
        <v>45446.0</v>
      </c>
      <c r="N584" s="20">
        <v>45446.0</v>
      </c>
      <c r="O584" s="19" t="s">
        <v>1722</v>
      </c>
      <c r="P584" s="19">
        <v>0.0</v>
      </c>
      <c r="Q584" s="19">
        <v>22.0</v>
      </c>
      <c r="R584" s="19">
        <v>8244.0</v>
      </c>
      <c r="S584" s="20" t="s">
        <v>11835</v>
      </c>
      <c r="T584" s="20">
        <v>45461.0</v>
      </c>
      <c r="U584" s="19" t="s">
        <v>1721</v>
      </c>
      <c r="V584" s="19"/>
      <c r="W584" s="19"/>
      <c r="X584" s="21">
        <v>0.0</v>
      </c>
      <c r="Y584" s="21">
        <v>0.0</v>
      </c>
      <c r="Z584" s="21">
        <v>4.0</v>
      </c>
      <c r="AA584" s="21">
        <v>0.0</v>
      </c>
      <c r="AB584" s="5">
        <v>4.0</v>
      </c>
      <c r="AC584" s="19">
        <v>4.75</v>
      </c>
      <c r="AD584" s="19">
        <v>4.5</v>
      </c>
      <c r="AE584" s="19">
        <v>4.25</v>
      </c>
      <c r="AF584" s="19">
        <v>4.75</v>
      </c>
      <c r="AG584" s="19">
        <v>3.75</v>
      </c>
      <c r="AH584" s="19">
        <v>5.0</v>
      </c>
      <c r="AI584" s="22">
        <v>13.4296875</v>
      </c>
      <c r="AJ584" s="19">
        <v>12.0</v>
      </c>
      <c r="AK584" s="19">
        <v>15.0</v>
      </c>
      <c r="AL584" s="19">
        <v>15.0</v>
      </c>
      <c r="AM584" s="19">
        <v>42.0</v>
      </c>
      <c r="AN584" s="19">
        <v>55.4</v>
      </c>
      <c r="AO584" s="19">
        <v>59.4</v>
      </c>
      <c r="AP584" s="19">
        <v>1187.0</v>
      </c>
      <c r="AQ584" s="23">
        <v>574.0</v>
      </c>
      <c r="AR584" s="23">
        <v>49.0</v>
      </c>
      <c r="AS584" s="22"/>
      <c r="AT584" s="19" t="s">
        <v>2117</v>
      </c>
      <c r="AU584" s="19" t="s">
        <v>11836</v>
      </c>
      <c r="AV584" s="19" t="s">
        <v>11837</v>
      </c>
      <c r="AW584" s="19"/>
      <c r="AX584" s="20">
        <v>37217.0</v>
      </c>
      <c r="AY584" s="19" t="s">
        <v>4876</v>
      </c>
      <c r="AZ584" s="19" t="s">
        <v>2122</v>
      </c>
      <c r="BA584" s="19" t="s">
        <v>11838</v>
      </c>
      <c r="BB584" s="19" t="s">
        <v>11839</v>
      </c>
      <c r="BC584" s="19" t="s">
        <v>11840</v>
      </c>
      <c r="BD584" s="19" t="s">
        <v>11841</v>
      </c>
      <c r="BE584" s="19"/>
      <c r="BF584" s="19"/>
      <c r="BG584" s="19" t="s">
        <v>2127</v>
      </c>
      <c r="BH584" s="19" t="s">
        <v>2128</v>
      </c>
      <c r="BI584" s="19"/>
      <c r="BJ584" s="19" t="s">
        <v>2427</v>
      </c>
      <c r="BK584" s="19" t="s">
        <v>17</v>
      </c>
      <c r="BL584" s="19"/>
      <c r="BM584" s="19" t="s">
        <v>5411</v>
      </c>
      <c r="BN584" s="19" t="s">
        <v>17</v>
      </c>
      <c r="BO584" s="19" t="s">
        <v>2317</v>
      </c>
      <c r="BP584" s="19"/>
      <c r="BQ584" s="19" t="s">
        <v>2174</v>
      </c>
      <c r="BR584" s="19" t="s">
        <v>2174</v>
      </c>
      <c r="BS584" s="19" t="s">
        <v>3521</v>
      </c>
      <c r="BT584" s="19" t="s">
        <v>75</v>
      </c>
      <c r="BU584" s="19" t="s">
        <v>11842</v>
      </c>
      <c r="BV584" s="19"/>
      <c r="BW584" s="19"/>
      <c r="BX584" s="19"/>
      <c r="BY584" s="19"/>
      <c r="BZ584" s="19" t="s">
        <v>2113</v>
      </c>
      <c r="CA584" s="19"/>
      <c r="CB584" s="19" t="s">
        <v>2113</v>
      </c>
      <c r="CC584" s="19"/>
      <c r="CD584" s="19" t="s">
        <v>2137</v>
      </c>
      <c r="CE584" s="19" t="s">
        <v>16</v>
      </c>
      <c r="CF584" s="19"/>
      <c r="CG584" s="19"/>
      <c r="CH584" s="19" t="s">
        <v>16</v>
      </c>
      <c r="CI584" s="21">
        <v>0.0</v>
      </c>
      <c r="CJ584" s="19" t="s">
        <v>17</v>
      </c>
      <c r="CK584" s="19"/>
      <c r="CL584" s="19"/>
      <c r="CM584" s="19" t="s">
        <v>2138</v>
      </c>
      <c r="CN584" s="19" t="s">
        <v>4884</v>
      </c>
      <c r="CO584" s="19" t="s">
        <v>2177</v>
      </c>
      <c r="CP584" s="19" t="s">
        <v>2140</v>
      </c>
      <c r="CQ584" s="19"/>
      <c r="CR584" s="19" t="s">
        <v>2113</v>
      </c>
      <c r="CS584" s="19" t="s">
        <v>2113</v>
      </c>
      <c r="CT584" s="19" t="s">
        <v>2113</v>
      </c>
      <c r="CU584" s="19" t="s">
        <v>2113</v>
      </c>
      <c r="CV584" s="19" t="s">
        <v>2141</v>
      </c>
      <c r="CW584" s="19" t="s">
        <v>2113</v>
      </c>
      <c r="CX584" s="19" t="s">
        <v>2113</v>
      </c>
      <c r="CY584" s="19"/>
      <c r="CZ584" s="19"/>
      <c r="DA584" s="19" t="s">
        <v>16</v>
      </c>
      <c r="DB584" s="19" t="s">
        <v>17</v>
      </c>
      <c r="DC584" s="19" t="s">
        <v>2247</v>
      </c>
      <c r="DD584" s="19" t="s">
        <v>2113</v>
      </c>
      <c r="DE584" s="19" t="s">
        <v>2113</v>
      </c>
      <c r="DF584" s="19" t="s">
        <v>7359</v>
      </c>
      <c r="DG584" s="19" t="s">
        <v>4043</v>
      </c>
      <c r="DH584" s="19" t="s">
        <v>2144</v>
      </c>
      <c r="DI584" s="24">
        <v>45517.0</v>
      </c>
      <c r="DJ584" s="19" t="s">
        <v>2174</v>
      </c>
      <c r="DK584" s="19" t="s">
        <v>2271</v>
      </c>
      <c r="DL584" s="19" t="s">
        <v>2183</v>
      </c>
      <c r="DM584" s="19" t="s">
        <v>2515</v>
      </c>
      <c r="DN584" s="19">
        <v>2.0</v>
      </c>
      <c r="DO584" s="19">
        <v>2.0</v>
      </c>
      <c r="DP584" s="19" t="s">
        <v>11843</v>
      </c>
      <c r="DQ584" s="19" t="s">
        <v>11844</v>
      </c>
      <c r="DR584" s="19" t="s">
        <v>11845</v>
      </c>
      <c r="DS584" s="19" t="s">
        <v>2365</v>
      </c>
      <c r="DT584" s="19" t="s">
        <v>2366</v>
      </c>
      <c r="DU584" s="19"/>
      <c r="DV584" s="19"/>
      <c r="DW584" s="19" t="s">
        <v>2479</v>
      </c>
      <c r="DX584" s="19">
        <v>11.0</v>
      </c>
      <c r="DY584" s="19">
        <v>0.0</v>
      </c>
      <c r="DZ584" s="19">
        <v>0.0</v>
      </c>
      <c r="EA584" s="19">
        <v>0.0</v>
      </c>
      <c r="EB584" s="19">
        <v>0.0</v>
      </c>
      <c r="EC584" s="19">
        <v>0.0</v>
      </c>
      <c r="ED584" s="19" t="s">
        <v>2174</v>
      </c>
      <c r="EE584" s="24">
        <v>45517.0</v>
      </c>
      <c r="EF584" s="19" t="s">
        <v>2174</v>
      </c>
      <c r="EG584" s="19" t="s">
        <v>2271</v>
      </c>
      <c r="EH584" s="19" t="s">
        <v>2183</v>
      </c>
      <c r="EI584" s="22">
        <v>13.4296875</v>
      </c>
      <c r="EJ584" s="19">
        <v>42.0</v>
      </c>
      <c r="EK584" s="19" t="s">
        <v>2113</v>
      </c>
      <c r="EL584" s="19" t="s">
        <v>2117</v>
      </c>
      <c r="EM584" s="19" t="s">
        <v>11836</v>
      </c>
      <c r="EN584" s="19" t="s">
        <v>1723</v>
      </c>
      <c r="EO584" s="19" t="s">
        <v>4876</v>
      </c>
      <c r="EP584" s="19" t="s">
        <v>2122</v>
      </c>
      <c r="EQ584" s="19" t="s">
        <v>4884</v>
      </c>
      <c r="ER584" s="19" t="s">
        <v>2177</v>
      </c>
      <c r="ES584" s="19" t="s">
        <v>1723</v>
      </c>
      <c r="ET584" s="19" t="s">
        <v>1723</v>
      </c>
      <c r="EU584" s="19" t="s">
        <v>11834</v>
      </c>
      <c r="EV584" s="19">
        <v>8244.0</v>
      </c>
      <c r="EW584" s="19" t="s">
        <v>16</v>
      </c>
      <c r="EX584" s="19">
        <v>4.0</v>
      </c>
      <c r="EY584" s="25" t="s">
        <v>1722</v>
      </c>
      <c r="EZ584" s="19" t="s">
        <v>2154</v>
      </c>
      <c r="FA584" s="5" t="s">
        <v>11846</v>
      </c>
      <c r="FB584" s="26" t="s">
        <v>2156</v>
      </c>
      <c r="FC584" s="26"/>
    </row>
    <row r="585">
      <c r="A585" s="19" t="s">
        <v>2112</v>
      </c>
      <c r="B585" s="19"/>
      <c r="C585" s="19" t="s">
        <v>2113</v>
      </c>
      <c r="D585" s="19" t="s">
        <v>1724</v>
      </c>
      <c r="E585" s="19" t="s">
        <v>11847</v>
      </c>
      <c r="F585" s="19" t="s">
        <v>1724</v>
      </c>
      <c r="G585" s="19"/>
      <c r="H585" s="19" t="s">
        <v>1724</v>
      </c>
      <c r="I585" s="19" t="s">
        <v>1726</v>
      </c>
      <c r="J585" s="19" t="s">
        <v>11848</v>
      </c>
      <c r="K585" s="19" t="s">
        <v>11849</v>
      </c>
      <c r="L585" s="20">
        <v>45434.0</v>
      </c>
      <c r="M585" s="20">
        <v>45435.0</v>
      </c>
      <c r="N585" s="20">
        <v>45435.0</v>
      </c>
      <c r="O585" s="19" t="s">
        <v>1725</v>
      </c>
      <c r="P585" s="19">
        <v>0.0</v>
      </c>
      <c r="Q585" s="19">
        <v>22.0</v>
      </c>
      <c r="R585" s="19">
        <v>8194.0</v>
      </c>
      <c r="S585" s="20" t="s">
        <v>11850</v>
      </c>
      <c r="T585" s="20">
        <v>45461.0</v>
      </c>
      <c r="U585" s="19" t="s">
        <v>1724</v>
      </c>
      <c r="V585" s="19"/>
      <c r="W585" s="19"/>
      <c r="X585" s="21">
        <v>0.0</v>
      </c>
      <c r="Y585" s="21">
        <v>0.0</v>
      </c>
      <c r="Z585" s="21">
        <v>5.0</v>
      </c>
      <c r="AA585" s="21">
        <v>0.0</v>
      </c>
      <c r="AB585" s="5">
        <v>5.0</v>
      </c>
      <c r="AC585" s="19">
        <v>4.0</v>
      </c>
      <c r="AD585" s="19">
        <v>4.5</v>
      </c>
      <c r="AE585" s="19">
        <v>4.0</v>
      </c>
      <c r="AF585" s="19">
        <v>4.0</v>
      </c>
      <c r="AG585" s="19">
        <v>3.6</v>
      </c>
      <c r="AH585" s="19">
        <v>4.1</v>
      </c>
      <c r="AI585" s="22">
        <v>12.215625000000001</v>
      </c>
      <c r="AJ585" s="19">
        <v>12.0</v>
      </c>
      <c r="AK585" s="19">
        <v>15.0</v>
      </c>
      <c r="AL585" s="19">
        <v>15.0</v>
      </c>
      <c r="AM585" s="19">
        <v>42.0</v>
      </c>
      <c r="AN585" s="19">
        <v>54.2</v>
      </c>
      <c r="AO585" s="19">
        <v>59.2</v>
      </c>
      <c r="AP585" s="19">
        <v>1091.0</v>
      </c>
      <c r="AQ585" s="23">
        <v>575.0</v>
      </c>
      <c r="AR585" s="23">
        <v>51.0</v>
      </c>
      <c r="AS585" s="22"/>
      <c r="AT585" s="19" t="s">
        <v>2163</v>
      </c>
      <c r="AU585" s="19" t="s">
        <v>11851</v>
      </c>
      <c r="AV585" s="19" t="s">
        <v>11852</v>
      </c>
      <c r="AW585" s="19"/>
      <c r="AX585" s="20">
        <v>37267.0</v>
      </c>
      <c r="AY585" s="19" t="s">
        <v>2487</v>
      </c>
      <c r="AZ585" s="19" t="s">
        <v>2122</v>
      </c>
      <c r="BA585" s="19" t="s">
        <v>11853</v>
      </c>
      <c r="BB585" s="19" t="s">
        <v>11854</v>
      </c>
      <c r="BC585" s="19" t="s">
        <v>11855</v>
      </c>
      <c r="BD585" s="19" t="s">
        <v>11856</v>
      </c>
      <c r="BE585" s="19" t="s">
        <v>11857</v>
      </c>
      <c r="BF585" s="19">
        <v>1.194307192E10</v>
      </c>
      <c r="BG585" s="19" t="s">
        <v>4038</v>
      </c>
      <c r="BH585" s="19" t="s">
        <v>2128</v>
      </c>
      <c r="BI585" s="19"/>
      <c r="BJ585" s="19" t="s">
        <v>2129</v>
      </c>
      <c r="BK585" s="19" t="s">
        <v>17</v>
      </c>
      <c r="BL585" s="19" t="s">
        <v>2113</v>
      </c>
      <c r="BM585" s="19" t="s">
        <v>5411</v>
      </c>
      <c r="BN585" s="19" t="s">
        <v>4223</v>
      </c>
      <c r="BO585" s="19" t="s">
        <v>2132</v>
      </c>
      <c r="BP585" s="19" t="s">
        <v>11858</v>
      </c>
      <c r="BQ585" s="19" t="s">
        <v>2325</v>
      </c>
      <c r="BR585" s="19" t="s">
        <v>2325</v>
      </c>
      <c r="BS585" s="19" t="s">
        <v>2134</v>
      </c>
      <c r="BT585" s="19" t="s">
        <v>59</v>
      </c>
      <c r="BU585" s="19" t="s">
        <v>11859</v>
      </c>
      <c r="BV585" s="19"/>
      <c r="BW585" s="19"/>
      <c r="BX585" s="19"/>
      <c r="BY585" s="19" t="s">
        <v>2113</v>
      </c>
      <c r="BZ585" s="19" t="s">
        <v>2113</v>
      </c>
      <c r="CA585" s="19"/>
      <c r="CB585" s="19" t="s">
        <v>2113</v>
      </c>
      <c r="CC585" s="19"/>
      <c r="CD585" s="19" t="s">
        <v>2137</v>
      </c>
      <c r="CE585" s="19" t="s">
        <v>16</v>
      </c>
      <c r="CF585" s="19"/>
      <c r="CG585" s="19"/>
      <c r="CH585" s="19" t="s">
        <v>16</v>
      </c>
      <c r="CI585" s="21">
        <v>0.0</v>
      </c>
      <c r="CJ585" s="19" t="s">
        <v>17</v>
      </c>
      <c r="CK585" s="19"/>
      <c r="CL585" s="19"/>
      <c r="CM585" s="19" t="s">
        <v>2138</v>
      </c>
      <c r="CN585" s="19" t="s">
        <v>2431</v>
      </c>
      <c r="CO585" s="19"/>
      <c r="CP585" s="19" t="s">
        <v>2140</v>
      </c>
      <c r="CQ585" s="19"/>
      <c r="CR585" s="19" t="s">
        <v>2113</v>
      </c>
      <c r="CS585" s="19" t="s">
        <v>2113</v>
      </c>
      <c r="CT585" s="19"/>
      <c r="CU585" s="19"/>
      <c r="CV585" s="19" t="s">
        <v>2141</v>
      </c>
      <c r="CW585" s="19"/>
      <c r="CX585" s="19"/>
      <c r="CY585" s="19"/>
      <c r="CZ585" s="19"/>
      <c r="DA585" s="19" t="s">
        <v>16</v>
      </c>
      <c r="DB585" s="19" t="s">
        <v>17</v>
      </c>
      <c r="DC585" s="19" t="s">
        <v>2496</v>
      </c>
      <c r="DD585" s="19" t="s">
        <v>2113</v>
      </c>
      <c r="DE585" s="19" t="s">
        <v>2113</v>
      </c>
      <c r="DF585" s="19" t="s">
        <v>2653</v>
      </c>
      <c r="DG585" s="19" t="s">
        <v>2497</v>
      </c>
      <c r="DH585" s="19" t="s">
        <v>2144</v>
      </c>
      <c r="DI585" s="24">
        <v>45525.0</v>
      </c>
      <c r="DJ585" s="19" t="s">
        <v>2325</v>
      </c>
      <c r="DK585" s="19" t="s">
        <v>2271</v>
      </c>
      <c r="DL585" s="19" t="s">
        <v>2326</v>
      </c>
      <c r="DM585" s="19"/>
      <c r="DN585" s="19">
        <v>10.0</v>
      </c>
      <c r="DO585" s="19">
        <v>10.0</v>
      </c>
      <c r="DP585" s="19" t="s">
        <v>11860</v>
      </c>
      <c r="DQ585" s="19" t="s">
        <v>11861</v>
      </c>
      <c r="DR585" s="19" t="s">
        <v>11862</v>
      </c>
      <c r="DS585" s="19" t="s">
        <v>2151</v>
      </c>
      <c r="DT585" s="19" t="s">
        <v>2229</v>
      </c>
      <c r="DU585" s="19"/>
      <c r="DV585" s="19"/>
      <c r="DW585" s="19" t="s">
        <v>2479</v>
      </c>
      <c r="DX585" s="19">
        <v>16.0</v>
      </c>
      <c r="DY585" s="19">
        <v>0.0</v>
      </c>
      <c r="DZ585" s="19">
        <v>0.0</v>
      </c>
      <c r="EA585" s="19">
        <v>0.0</v>
      </c>
      <c r="EB585" s="19">
        <v>0.0</v>
      </c>
      <c r="EC585" s="19">
        <v>0.0</v>
      </c>
      <c r="ED585" s="19" t="s">
        <v>2325</v>
      </c>
      <c r="EE585" s="24">
        <v>45525.0</v>
      </c>
      <c r="EF585" s="19" t="s">
        <v>2325</v>
      </c>
      <c r="EG585" s="19" t="s">
        <v>2271</v>
      </c>
      <c r="EH585" s="19" t="s">
        <v>2326</v>
      </c>
      <c r="EI585" s="22">
        <v>12.215625000000001</v>
      </c>
      <c r="EJ585" s="19">
        <v>42.0</v>
      </c>
      <c r="EK585" s="19" t="s">
        <v>2113</v>
      </c>
      <c r="EL585" s="19" t="s">
        <v>2163</v>
      </c>
      <c r="EM585" s="19" t="s">
        <v>11851</v>
      </c>
      <c r="EN585" s="19" t="s">
        <v>1726</v>
      </c>
      <c r="EO585" s="19" t="s">
        <v>2487</v>
      </c>
      <c r="EP585" s="19" t="s">
        <v>2122</v>
      </c>
      <c r="EQ585" s="19" t="s">
        <v>2431</v>
      </c>
      <c r="ER585" s="19"/>
      <c r="ES585" s="19" t="s">
        <v>1726</v>
      </c>
      <c r="ET585" s="19" t="s">
        <v>1726</v>
      </c>
      <c r="EU585" s="19" t="s">
        <v>11849</v>
      </c>
      <c r="EV585" s="19">
        <v>8194.0</v>
      </c>
      <c r="EW585" s="19" t="s">
        <v>16</v>
      </c>
      <c r="EX585" s="19">
        <v>5.0</v>
      </c>
      <c r="EY585" s="25" t="s">
        <v>1725</v>
      </c>
      <c r="EZ585" s="19" t="s">
        <v>2154</v>
      </c>
      <c r="FA585" s="5" t="s">
        <v>11863</v>
      </c>
      <c r="FB585" s="26" t="s">
        <v>2156</v>
      </c>
      <c r="FC585" s="26"/>
    </row>
    <row r="586">
      <c r="A586" s="19" t="s">
        <v>2156</v>
      </c>
      <c r="B586" s="19"/>
      <c r="C586" s="19" t="s">
        <v>2113</v>
      </c>
      <c r="D586" s="19" t="s">
        <v>1727</v>
      </c>
      <c r="E586" s="19" t="s">
        <v>11864</v>
      </c>
      <c r="F586" s="19" t="s">
        <v>1727</v>
      </c>
      <c r="G586" s="19"/>
      <c r="H586" s="19" t="s">
        <v>1727</v>
      </c>
      <c r="I586" s="19" t="s">
        <v>1729</v>
      </c>
      <c r="J586" s="19" t="s">
        <v>11865</v>
      </c>
      <c r="K586" s="19" t="s">
        <v>11866</v>
      </c>
      <c r="L586" s="20">
        <v>45459.0</v>
      </c>
      <c r="M586" s="20">
        <v>45460.0</v>
      </c>
      <c r="N586" s="20">
        <v>45460.0</v>
      </c>
      <c r="O586" s="19" t="s">
        <v>1728</v>
      </c>
      <c r="P586" s="19">
        <v>0.0</v>
      </c>
      <c r="Q586" s="19">
        <v>25.0</v>
      </c>
      <c r="R586" s="19">
        <v>9182.0</v>
      </c>
      <c r="S586" s="20" t="s">
        <v>11867</v>
      </c>
      <c r="T586" s="20">
        <v>45461.0</v>
      </c>
      <c r="U586" s="19" t="s">
        <v>1727</v>
      </c>
      <c r="V586" s="19"/>
      <c r="W586" s="19"/>
      <c r="X586" s="21">
        <v>0.0</v>
      </c>
      <c r="Y586" s="21">
        <v>0.0</v>
      </c>
      <c r="Z586" s="21">
        <v>4.0</v>
      </c>
      <c r="AA586" s="21">
        <v>0.0</v>
      </c>
      <c r="AB586" s="5">
        <v>4.0</v>
      </c>
      <c r="AC586" s="19">
        <v>4.5</v>
      </c>
      <c r="AD586" s="19">
        <v>4.0</v>
      </c>
      <c r="AE586" s="19">
        <v>5.0</v>
      </c>
      <c r="AF586" s="19">
        <v>4.0</v>
      </c>
      <c r="AG586" s="19">
        <v>4.5</v>
      </c>
      <c r="AH586" s="19">
        <v>4.0</v>
      </c>
      <c r="AI586" s="22">
        <v>13.171875</v>
      </c>
      <c r="AJ586" s="19">
        <v>14.0</v>
      </c>
      <c r="AK586" s="19">
        <v>14.0</v>
      </c>
      <c r="AL586" s="19">
        <v>14.0</v>
      </c>
      <c r="AM586" s="19">
        <v>42.0</v>
      </c>
      <c r="AN586" s="19">
        <v>55.2</v>
      </c>
      <c r="AO586" s="19">
        <v>59.2</v>
      </c>
      <c r="AP586" s="19">
        <v>1170.0</v>
      </c>
      <c r="AQ586" s="23">
        <v>576.0</v>
      </c>
      <c r="AR586" s="23">
        <v>40.0</v>
      </c>
      <c r="AS586" s="22"/>
      <c r="AT586" s="19" t="s">
        <v>2163</v>
      </c>
      <c r="AU586" s="19" t="s">
        <v>11868</v>
      </c>
      <c r="AV586" s="19" t="s">
        <v>11869</v>
      </c>
      <c r="AW586" s="19"/>
      <c r="AX586" s="20">
        <v>36279.0</v>
      </c>
      <c r="AY586" s="19" t="s">
        <v>2702</v>
      </c>
      <c r="AZ586" s="19" t="s">
        <v>2122</v>
      </c>
      <c r="BA586" s="19" t="s">
        <v>11870</v>
      </c>
      <c r="BB586" s="19" t="s">
        <v>10405</v>
      </c>
      <c r="BC586" s="19" t="s">
        <v>11871</v>
      </c>
      <c r="BD586" s="19" t="s">
        <v>11872</v>
      </c>
      <c r="BE586" s="19" t="s">
        <v>11865</v>
      </c>
      <c r="BF586" s="19">
        <v>1.199462054E10</v>
      </c>
      <c r="BG586" s="19" t="s">
        <v>4038</v>
      </c>
      <c r="BH586" s="19" t="s">
        <v>2128</v>
      </c>
      <c r="BI586" s="19"/>
      <c r="BJ586" s="19" t="s">
        <v>2128</v>
      </c>
      <c r="BK586" s="19" t="s">
        <v>17</v>
      </c>
      <c r="BL586" s="19"/>
      <c r="BM586" s="19" t="s">
        <v>5796</v>
      </c>
      <c r="BN586" s="19" t="s">
        <v>17</v>
      </c>
      <c r="BO586" s="19" t="s">
        <v>2317</v>
      </c>
      <c r="BP586" s="19"/>
      <c r="BQ586" s="19" t="s">
        <v>2318</v>
      </c>
      <c r="BR586" s="19" t="s">
        <v>2318</v>
      </c>
      <c r="BS586" s="19" t="s">
        <v>2243</v>
      </c>
      <c r="BT586" s="19" t="s">
        <v>42</v>
      </c>
      <c r="BU586" s="19" t="s">
        <v>11873</v>
      </c>
      <c r="BV586" s="19"/>
      <c r="BW586" s="19"/>
      <c r="BX586" s="19"/>
      <c r="BY586" s="19"/>
      <c r="BZ586" s="19"/>
      <c r="CA586" s="19"/>
      <c r="CB586" s="19" t="s">
        <v>2113</v>
      </c>
      <c r="CC586" s="19"/>
      <c r="CD586" s="19" t="s">
        <v>2137</v>
      </c>
      <c r="CE586" s="19" t="s">
        <v>16</v>
      </c>
      <c r="CF586" s="19"/>
      <c r="CG586" s="19"/>
      <c r="CH586" s="19" t="s">
        <v>16</v>
      </c>
      <c r="CI586" s="21">
        <v>0.0</v>
      </c>
      <c r="CJ586" s="19" t="s">
        <v>17</v>
      </c>
      <c r="CK586" s="19"/>
      <c r="CL586" s="19"/>
      <c r="CM586" s="19" t="s">
        <v>2138</v>
      </c>
      <c r="CN586" s="19" t="s">
        <v>2321</v>
      </c>
      <c r="CO586" s="19"/>
      <c r="CP586" s="19" t="s">
        <v>2246</v>
      </c>
      <c r="CQ586" s="19" t="s">
        <v>2113</v>
      </c>
      <c r="CR586" s="19"/>
      <c r="CS586" s="19"/>
      <c r="CT586" s="19"/>
      <c r="CU586" s="19"/>
      <c r="CV586" s="19" t="s">
        <v>2141</v>
      </c>
      <c r="CW586" s="19"/>
      <c r="CX586" s="19"/>
      <c r="CY586" s="19"/>
      <c r="CZ586" s="19"/>
      <c r="DA586" s="19" t="s">
        <v>16</v>
      </c>
      <c r="DB586" s="19" t="s">
        <v>17</v>
      </c>
      <c r="DC586" s="19" t="s">
        <v>2324</v>
      </c>
      <c r="DD586" s="19" t="s">
        <v>2113</v>
      </c>
      <c r="DE586" s="19" t="s">
        <v>2113</v>
      </c>
      <c r="DF586" s="19" t="s">
        <v>2207</v>
      </c>
      <c r="DG586" s="19" t="s">
        <v>2712</v>
      </c>
      <c r="DH586" s="19" t="s">
        <v>2144</v>
      </c>
      <c r="DI586" s="24">
        <v>45519.0</v>
      </c>
      <c r="DJ586" s="19" t="s">
        <v>2325</v>
      </c>
      <c r="DK586" s="19" t="s">
        <v>2271</v>
      </c>
      <c r="DL586" s="19" t="s">
        <v>2326</v>
      </c>
      <c r="DM586" s="19"/>
      <c r="DN586" s="19">
        <v>6.0</v>
      </c>
      <c r="DO586" s="19">
        <v>6.0</v>
      </c>
      <c r="DP586" s="19" t="s">
        <v>11874</v>
      </c>
      <c r="DQ586" s="19" t="s">
        <v>11875</v>
      </c>
      <c r="DR586" s="19" t="s">
        <v>11876</v>
      </c>
      <c r="DS586" s="19" t="s">
        <v>2185</v>
      </c>
      <c r="DT586" s="19" t="s">
        <v>2366</v>
      </c>
      <c r="DU586" s="19"/>
      <c r="DV586" s="19"/>
      <c r="DW586" s="19" t="s">
        <v>2479</v>
      </c>
      <c r="DX586" s="19">
        <v>6.0</v>
      </c>
      <c r="DY586" s="19">
        <v>0.0</v>
      </c>
      <c r="DZ586" s="19">
        <v>0.0</v>
      </c>
      <c r="EA586" s="19">
        <v>0.0</v>
      </c>
      <c r="EB586" s="19">
        <v>0.0</v>
      </c>
      <c r="EC586" s="19">
        <v>0.0</v>
      </c>
      <c r="ED586" s="19" t="s">
        <v>2325</v>
      </c>
      <c r="EE586" s="24">
        <v>45519.0</v>
      </c>
      <c r="EF586" s="19" t="s">
        <v>2325</v>
      </c>
      <c r="EG586" s="19" t="s">
        <v>2271</v>
      </c>
      <c r="EH586" s="19" t="s">
        <v>2326</v>
      </c>
      <c r="EI586" s="22">
        <v>13.171875</v>
      </c>
      <c r="EJ586" s="19">
        <v>42.0</v>
      </c>
      <c r="EK586" s="19" t="s">
        <v>2113</v>
      </c>
      <c r="EL586" s="19" t="s">
        <v>2163</v>
      </c>
      <c r="EM586" s="19" t="s">
        <v>11868</v>
      </c>
      <c r="EN586" s="19" t="s">
        <v>1729</v>
      </c>
      <c r="EO586" s="19" t="s">
        <v>2702</v>
      </c>
      <c r="EP586" s="19" t="s">
        <v>2122</v>
      </c>
      <c r="EQ586" s="19" t="s">
        <v>2321</v>
      </c>
      <c r="ER586" s="19"/>
      <c r="ES586" s="19" t="s">
        <v>1729</v>
      </c>
      <c r="ET586" s="19" t="s">
        <v>1729</v>
      </c>
      <c r="EU586" s="19" t="s">
        <v>11866</v>
      </c>
      <c r="EV586" s="19">
        <v>9182.0</v>
      </c>
      <c r="EW586" s="19" t="s">
        <v>16</v>
      </c>
      <c r="EX586" s="19">
        <v>4.0</v>
      </c>
      <c r="EY586" s="25" t="s">
        <v>1728</v>
      </c>
      <c r="EZ586" s="19" t="s">
        <v>2154</v>
      </c>
      <c r="FA586" s="5" t="s">
        <v>11877</v>
      </c>
      <c r="FB586" s="26" t="s">
        <v>2156</v>
      </c>
      <c r="FC586" s="26"/>
    </row>
    <row r="587">
      <c r="A587" s="19" t="s">
        <v>2112</v>
      </c>
      <c r="B587" s="19"/>
      <c r="C587" s="19" t="s">
        <v>2113</v>
      </c>
      <c r="D587" s="19" t="s">
        <v>1730</v>
      </c>
      <c r="E587" s="19" t="s">
        <v>11878</v>
      </c>
      <c r="F587" s="19" t="s">
        <v>1730</v>
      </c>
      <c r="G587" s="19"/>
      <c r="H587" s="19" t="s">
        <v>1730</v>
      </c>
      <c r="I587" s="19" t="s">
        <v>1732</v>
      </c>
      <c r="J587" s="19" t="s">
        <v>11879</v>
      </c>
      <c r="K587" s="19" t="s">
        <v>11880</v>
      </c>
      <c r="L587" s="20">
        <v>45404.0</v>
      </c>
      <c r="M587" s="20">
        <v>45411.0</v>
      </c>
      <c r="N587" s="20">
        <v>45411.0</v>
      </c>
      <c r="O587" s="19" t="s">
        <v>1731</v>
      </c>
      <c r="P587" s="19">
        <v>0.0</v>
      </c>
      <c r="Q587" s="19">
        <v>22.0</v>
      </c>
      <c r="R587" s="19">
        <v>8332.0</v>
      </c>
      <c r="S587" s="20" t="s">
        <v>11881</v>
      </c>
      <c r="T587" s="20">
        <v>45461.0</v>
      </c>
      <c r="U587" s="19" t="s">
        <v>1730</v>
      </c>
      <c r="V587" s="19"/>
      <c r="W587" s="19"/>
      <c r="X587" s="21">
        <v>0.0</v>
      </c>
      <c r="Y587" s="21">
        <v>0.0</v>
      </c>
      <c r="Z587" s="21">
        <v>5.0</v>
      </c>
      <c r="AA587" s="21">
        <v>0.0</v>
      </c>
      <c r="AB587" s="5">
        <v>5.0</v>
      </c>
      <c r="AC587" s="19">
        <v>4.5</v>
      </c>
      <c r="AD587" s="19">
        <v>4.0</v>
      </c>
      <c r="AE587" s="19">
        <v>3.8</v>
      </c>
      <c r="AF587" s="19">
        <v>4.1</v>
      </c>
      <c r="AG587" s="19">
        <v>3.6</v>
      </c>
      <c r="AH587" s="19">
        <v>4.3</v>
      </c>
      <c r="AI587" s="22">
        <v>12.084374999999998</v>
      </c>
      <c r="AJ587" s="19">
        <v>12.0</v>
      </c>
      <c r="AK587" s="19">
        <v>15.0</v>
      </c>
      <c r="AL587" s="19">
        <v>15.0</v>
      </c>
      <c r="AM587" s="19">
        <v>42.0</v>
      </c>
      <c r="AN587" s="19">
        <v>54.1</v>
      </c>
      <c r="AO587" s="19">
        <v>59.1</v>
      </c>
      <c r="AP587" s="19">
        <v>1083.0</v>
      </c>
      <c r="AQ587" s="23">
        <v>577.0</v>
      </c>
      <c r="AR587" s="23">
        <v>52.0</v>
      </c>
      <c r="AS587" s="22"/>
      <c r="AT587" s="19" t="s">
        <v>2282</v>
      </c>
      <c r="AU587" s="19" t="s">
        <v>2551</v>
      </c>
      <c r="AV587" s="19" t="s">
        <v>11882</v>
      </c>
      <c r="AW587" s="19" t="s">
        <v>11883</v>
      </c>
      <c r="AX587" s="20">
        <v>37129.0</v>
      </c>
      <c r="AY587" s="19" t="s">
        <v>2421</v>
      </c>
      <c r="AZ587" s="19" t="s">
        <v>2310</v>
      </c>
      <c r="BA587" s="19" t="s">
        <v>11884</v>
      </c>
      <c r="BB587" s="19" t="s">
        <v>6884</v>
      </c>
      <c r="BC587" s="19" t="s">
        <v>11885</v>
      </c>
      <c r="BD587" s="19" t="s">
        <v>11886</v>
      </c>
      <c r="BE587" s="19" t="s">
        <v>11887</v>
      </c>
      <c r="BF587" s="19">
        <v>1.1945698955E10</v>
      </c>
      <c r="BG587" s="19" t="s">
        <v>4038</v>
      </c>
      <c r="BH587" s="19" t="s">
        <v>2128</v>
      </c>
      <c r="BI587" s="19"/>
      <c r="BJ587" s="19" t="s">
        <v>2128</v>
      </c>
      <c r="BK587" s="19" t="s">
        <v>17</v>
      </c>
      <c r="BL587" s="19" t="s">
        <v>2113</v>
      </c>
      <c r="BM587" s="19" t="s">
        <v>5563</v>
      </c>
      <c r="BN587" s="19" t="s">
        <v>2708</v>
      </c>
      <c r="BO587" s="19" t="s">
        <v>2132</v>
      </c>
      <c r="BP587" s="19" t="s">
        <v>11888</v>
      </c>
      <c r="BQ587" s="19" t="s">
        <v>2325</v>
      </c>
      <c r="BR587" s="19" t="s">
        <v>2325</v>
      </c>
      <c r="BS587" s="19" t="s">
        <v>2134</v>
      </c>
      <c r="BT587" s="19" t="s">
        <v>59</v>
      </c>
      <c r="BU587" s="19" t="s">
        <v>11889</v>
      </c>
      <c r="BV587" s="19"/>
      <c r="BW587" s="19"/>
      <c r="BX587" s="19"/>
      <c r="BY587" s="19" t="s">
        <v>2113</v>
      </c>
      <c r="BZ587" s="19" t="s">
        <v>2113</v>
      </c>
      <c r="CA587" s="19"/>
      <c r="CB587" s="19" t="s">
        <v>2113</v>
      </c>
      <c r="CC587" s="19"/>
      <c r="CD587" s="19" t="s">
        <v>2137</v>
      </c>
      <c r="CE587" s="19" t="s">
        <v>16</v>
      </c>
      <c r="CF587" s="19"/>
      <c r="CG587" s="19"/>
      <c r="CH587" s="19" t="s">
        <v>16</v>
      </c>
      <c r="CI587" s="21">
        <v>0.0</v>
      </c>
      <c r="CJ587" s="19" t="s">
        <v>16</v>
      </c>
      <c r="CK587" s="19"/>
      <c r="CL587" s="19"/>
      <c r="CM587" s="19" t="s">
        <v>2138</v>
      </c>
      <c r="CN587" s="19" t="s">
        <v>2431</v>
      </c>
      <c r="CO587" s="19"/>
      <c r="CP587" s="19" t="s">
        <v>2246</v>
      </c>
      <c r="CQ587" s="19" t="s">
        <v>2113</v>
      </c>
      <c r="CR587" s="19" t="s">
        <v>2113</v>
      </c>
      <c r="CS587" s="19" t="s">
        <v>2113</v>
      </c>
      <c r="CT587" s="19" t="s">
        <v>2113</v>
      </c>
      <c r="CU587" s="19" t="s">
        <v>2113</v>
      </c>
      <c r="CV587" s="19" t="s">
        <v>2179</v>
      </c>
      <c r="CW587" s="19" t="s">
        <v>2113</v>
      </c>
      <c r="CX587" s="19" t="s">
        <v>2113</v>
      </c>
      <c r="CY587" s="19" t="s">
        <v>2113</v>
      </c>
      <c r="CZ587" s="19" t="s">
        <v>2113</v>
      </c>
      <c r="DA587" s="19" t="s">
        <v>16</v>
      </c>
      <c r="DB587" s="19" t="s">
        <v>16</v>
      </c>
      <c r="DC587" s="19" t="s">
        <v>2497</v>
      </c>
      <c r="DD587" s="19" t="s">
        <v>2113</v>
      </c>
      <c r="DE587" s="19" t="s">
        <v>2113</v>
      </c>
      <c r="DF587" s="19" t="s">
        <v>3256</v>
      </c>
      <c r="DG587" s="19" t="s">
        <v>2602</v>
      </c>
      <c r="DH587" s="19" t="s">
        <v>2144</v>
      </c>
      <c r="DI587" s="24">
        <v>45525.0</v>
      </c>
      <c r="DJ587" s="19" t="s">
        <v>2325</v>
      </c>
      <c r="DK587" s="19" t="s">
        <v>2271</v>
      </c>
      <c r="DL587" s="19" t="s">
        <v>2326</v>
      </c>
      <c r="DM587" s="19"/>
      <c r="DN587" s="19">
        <v>10.0</v>
      </c>
      <c r="DO587" s="19">
        <v>10.0</v>
      </c>
      <c r="DP587" s="19"/>
      <c r="DQ587" s="19"/>
      <c r="DR587" s="19"/>
      <c r="DS587" s="19" t="s">
        <v>2151</v>
      </c>
      <c r="DT587" s="19" t="s">
        <v>2229</v>
      </c>
      <c r="DU587" s="19" t="s">
        <v>11890</v>
      </c>
      <c r="DV587" s="19"/>
      <c r="DW587" s="19" t="s">
        <v>2479</v>
      </c>
      <c r="DX587" s="19">
        <v>16.0</v>
      </c>
      <c r="DY587" s="19">
        <v>0.0</v>
      </c>
      <c r="DZ587" s="19">
        <v>0.0</v>
      </c>
      <c r="EA587" s="19">
        <v>0.0</v>
      </c>
      <c r="EB587" s="19">
        <v>0.0</v>
      </c>
      <c r="EC587" s="19">
        <v>0.0</v>
      </c>
      <c r="ED587" s="19" t="s">
        <v>2325</v>
      </c>
      <c r="EE587" s="24">
        <v>45525.0</v>
      </c>
      <c r="EF587" s="19" t="s">
        <v>2325</v>
      </c>
      <c r="EG587" s="19" t="s">
        <v>2271</v>
      </c>
      <c r="EH587" s="19" t="s">
        <v>2326</v>
      </c>
      <c r="EI587" s="22">
        <v>12.084374999999998</v>
      </c>
      <c r="EJ587" s="19">
        <v>42.0</v>
      </c>
      <c r="EK587" s="19"/>
      <c r="EL587" s="19" t="s">
        <v>2282</v>
      </c>
      <c r="EM587" s="19" t="s">
        <v>2551</v>
      </c>
      <c r="EN587" s="19" t="s">
        <v>1732</v>
      </c>
      <c r="EO587" s="19" t="s">
        <v>2421</v>
      </c>
      <c r="EP587" s="19" t="s">
        <v>2310</v>
      </c>
      <c r="EQ587" s="19" t="s">
        <v>2431</v>
      </c>
      <c r="ER587" s="19"/>
      <c r="ES587" s="19" t="s">
        <v>1732</v>
      </c>
      <c r="ET587" s="19" t="s">
        <v>1732</v>
      </c>
      <c r="EU587" s="19" t="s">
        <v>11880</v>
      </c>
      <c r="EV587" s="19">
        <v>8332.0</v>
      </c>
      <c r="EW587" s="19" t="s">
        <v>16</v>
      </c>
      <c r="EX587" s="19">
        <v>5.0</v>
      </c>
      <c r="EY587" s="25" t="s">
        <v>1731</v>
      </c>
      <c r="EZ587" s="19" t="s">
        <v>2154</v>
      </c>
      <c r="FA587" s="5" t="s">
        <v>11891</v>
      </c>
      <c r="FB587" s="26" t="s">
        <v>2156</v>
      </c>
      <c r="FC587" s="26"/>
    </row>
    <row r="588" hidden="1">
      <c r="A588" s="19" t="s">
        <v>2112</v>
      </c>
      <c r="B588" s="19"/>
      <c r="C588" s="19" t="s">
        <v>2113</v>
      </c>
      <c r="D588" s="19" t="s">
        <v>11892</v>
      </c>
      <c r="E588" s="19" t="s">
        <v>11893</v>
      </c>
      <c r="F588" s="19" t="s">
        <v>11892</v>
      </c>
      <c r="G588" s="19"/>
      <c r="H588" s="19" t="s">
        <v>11892</v>
      </c>
      <c r="I588" s="19" t="s">
        <v>11894</v>
      </c>
      <c r="J588" s="19" t="s">
        <v>11895</v>
      </c>
      <c r="K588" s="19" t="s">
        <v>11896</v>
      </c>
      <c r="L588" s="20">
        <v>45446.0</v>
      </c>
      <c r="M588" s="20">
        <v>45447.0</v>
      </c>
      <c r="N588" s="20">
        <v>45447.0</v>
      </c>
      <c r="O588" s="19" t="s">
        <v>11897</v>
      </c>
      <c r="P588" s="19">
        <v>0.0</v>
      </c>
      <c r="Q588" s="19">
        <v>18.0</v>
      </c>
      <c r="R588" s="19">
        <v>6847.0</v>
      </c>
      <c r="S588" s="20" t="s">
        <v>11898</v>
      </c>
      <c r="T588" s="20">
        <v>45461.0</v>
      </c>
      <c r="U588" s="19" t="s">
        <v>11892</v>
      </c>
      <c r="V588" s="19"/>
      <c r="W588" s="19" t="s">
        <v>11899</v>
      </c>
      <c r="X588" s="21">
        <v>0.0</v>
      </c>
      <c r="Y588" s="21">
        <v>10.0</v>
      </c>
      <c r="Z588" s="21">
        <v>4.0</v>
      </c>
      <c r="AA588" s="21">
        <v>0.0</v>
      </c>
      <c r="AB588" s="5">
        <v>14.0</v>
      </c>
      <c r="AC588" s="19"/>
      <c r="AD588" s="19"/>
      <c r="AE588" s="19"/>
      <c r="AF588" s="19"/>
      <c r="AG588" s="19"/>
      <c r="AH588" s="19"/>
      <c r="AI588" s="22">
        <v>0.0</v>
      </c>
      <c r="AJ588" s="19">
        <v>15.0</v>
      </c>
      <c r="AK588" s="19">
        <v>15.0</v>
      </c>
      <c r="AL588" s="19">
        <v>15.0</v>
      </c>
      <c r="AM588" s="19">
        <v>45.0</v>
      </c>
      <c r="AN588" s="19">
        <v>45.0</v>
      </c>
      <c r="AO588" s="19">
        <v>59.0</v>
      </c>
      <c r="AP588" s="19">
        <v>640.0</v>
      </c>
      <c r="AQ588" s="19">
        <v>587.0</v>
      </c>
      <c r="AR588" s="19">
        <v>54.0</v>
      </c>
      <c r="AS588" s="22" t="s">
        <v>11900</v>
      </c>
      <c r="AT588" s="19" t="s">
        <v>2282</v>
      </c>
      <c r="AU588" s="19" t="s">
        <v>11901</v>
      </c>
      <c r="AV588" s="19" t="s">
        <v>11902</v>
      </c>
      <c r="AW588" s="19"/>
      <c r="AX588" s="20">
        <v>38614.0</v>
      </c>
      <c r="AY588" s="19" t="s">
        <v>2619</v>
      </c>
      <c r="AZ588" s="19" t="s">
        <v>2122</v>
      </c>
      <c r="BA588" s="19" t="s">
        <v>11903</v>
      </c>
      <c r="BB588" s="19" t="s">
        <v>11904</v>
      </c>
      <c r="BC588" s="19" t="s">
        <v>11905</v>
      </c>
      <c r="BD588" s="19" t="s">
        <v>11906</v>
      </c>
      <c r="BE588" s="19" t="s">
        <v>11907</v>
      </c>
      <c r="BF588" s="19">
        <v>1.1966453093E10</v>
      </c>
      <c r="BG588" s="19" t="s">
        <v>2127</v>
      </c>
      <c r="BH588" s="19" t="s">
        <v>2128</v>
      </c>
      <c r="BI588" s="19"/>
      <c r="BJ588" s="19" t="s">
        <v>2128</v>
      </c>
      <c r="BK588" s="19" t="s">
        <v>17</v>
      </c>
      <c r="BL588" s="19" t="s">
        <v>2113</v>
      </c>
      <c r="BM588" s="19" t="s">
        <v>5411</v>
      </c>
      <c r="BN588" s="19" t="s">
        <v>4099</v>
      </c>
      <c r="BO588" s="19" t="s">
        <v>2317</v>
      </c>
      <c r="BP588" s="19" t="s">
        <v>11908</v>
      </c>
      <c r="BQ588" s="19" t="s">
        <v>2133</v>
      </c>
      <c r="BR588" s="19" t="s">
        <v>2133</v>
      </c>
      <c r="BS588" s="19" t="s">
        <v>2134</v>
      </c>
      <c r="BT588" s="19" t="s">
        <v>52</v>
      </c>
      <c r="BU588" s="19"/>
      <c r="BV588" s="19"/>
      <c r="BW588" s="19"/>
      <c r="BX588" s="19"/>
      <c r="BY588" s="19" t="s">
        <v>2113</v>
      </c>
      <c r="BZ588" s="19"/>
      <c r="CA588" s="19" t="s">
        <v>2113</v>
      </c>
      <c r="CB588" s="19" t="s">
        <v>2113</v>
      </c>
      <c r="CC588" s="19" t="s">
        <v>2113</v>
      </c>
      <c r="CD588" s="19" t="s">
        <v>2137</v>
      </c>
      <c r="CE588" s="19" t="s">
        <v>16</v>
      </c>
      <c r="CF588" s="19"/>
      <c r="CG588" s="19"/>
      <c r="CH588" s="19" t="s">
        <v>16</v>
      </c>
      <c r="CI588" s="21">
        <v>0.0</v>
      </c>
      <c r="CJ588" s="19" t="s">
        <v>16</v>
      </c>
      <c r="CK588" s="19" t="s">
        <v>2113</v>
      </c>
      <c r="CL588" s="19"/>
      <c r="CM588" s="19" t="s">
        <v>2749</v>
      </c>
      <c r="CN588" s="19" t="s">
        <v>2626</v>
      </c>
      <c r="CO588" s="19"/>
      <c r="CP588" s="19" t="s">
        <v>2134</v>
      </c>
      <c r="CQ588" s="19"/>
      <c r="CR588" s="19" t="s">
        <v>2113</v>
      </c>
      <c r="CS588" s="19" t="s">
        <v>2113</v>
      </c>
      <c r="CT588" s="19" t="s">
        <v>2113</v>
      </c>
      <c r="CU588" s="19" t="s">
        <v>2113</v>
      </c>
      <c r="CV588" s="19" t="s">
        <v>2141</v>
      </c>
      <c r="CW588" s="19" t="s">
        <v>2113</v>
      </c>
      <c r="CX588" s="19" t="s">
        <v>2113</v>
      </c>
      <c r="CY588" s="19" t="s">
        <v>2113</v>
      </c>
      <c r="CZ588" s="19" t="s">
        <v>2113</v>
      </c>
      <c r="DA588" s="19" t="s">
        <v>16</v>
      </c>
      <c r="DB588" s="19" t="s">
        <v>16</v>
      </c>
      <c r="DC588" s="19" t="s">
        <v>2579</v>
      </c>
      <c r="DD588" s="19" t="s">
        <v>2113</v>
      </c>
      <c r="DE588" s="19" t="s">
        <v>2113</v>
      </c>
      <c r="DF588" s="19" t="s">
        <v>2627</v>
      </c>
      <c r="DG588" s="19" t="s">
        <v>2384</v>
      </c>
      <c r="DH588" s="19" t="s">
        <v>2144</v>
      </c>
      <c r="DI588" s="24">
        <v>45532.0</v>
      </c>
      <c r="DJ588" s="19" t="s">
        <v>2133</v>
      </c>
      <c r="DK588" s="19" t="s">
        <v>2145</v>
      </c>
      <c r="DL588" s="19" t="s">
        <v>2146</v>
      </c>
      <c r="DM588" s="19" t="s">
        <v>4101</v>
      </c>
      <c r="DN588" s="19">
        <v>15.0</v>
      </c>
      <c r="DO588" s="19">
        <v>15.0</v>
      </c>
      <c r="DP588" s="19" t="s">
        <v>11909</v>
      </c>
      <c r="DQ588" s="19" t="s">
        <v>11910</v>
      </c>
      <c r="DR588" s="19" t="s">
        <v>11911</v>
      </c>
      <c r="DS588" s="19" t="s">
        <v>2151</v>
      </c>
      <c r="DT588" s="19" t="s">
        <v>2229</v>
      </c>
      <c r="DU588" s="19"/>
      <c r="DV588" s="19"/>
      <c r="DW588" s="19" t="s">
        <v>2153</v>
      </c>
      <c r="DX588" s="19">
        <v>12.0</v>
      </c>
      <c r="DY588" s="19">
        <v>10.0</v>
      </c>
      <c r="DZ588" s="19">
        <v>0.0</v>
      </c>
      <c r="EA588" s="19">
        <v>10.0</v>
      </c>
      <c r="EB588" s="19">
        <v>0.0</v>
      </c>
      <c r="EC588" s="19">
        <v>0.0</v>
      </c>
      <c r="ED588" s="19" t="s">
        <v>2133</v>
      </c>
      <c r="EE588" s="24">
        <v>45532.0</v>
      </c>
      <c r="EF588" s="19" t="s">
        <v>2133</v>
      </c>
      <c r="EG588" s="19" t="s">
        <v>2145</v>
      </c>
      <c r="EH588" s="19" t="s">
        <v>2146</v>
      </c>
      <c r="EI588" s="22">
        <v>0.0</v>
      </c>
      <c r="EJ588" s="19">
        <v>45.0</v>
      </c>
      <c r="EK588" s="19"/>
      <c r="EL588" s="19" t="s">
        <v>2282</v>
      </c>
      <c r="EM588" s="19" t="s">
        <v>11901</v>
      </c>
      <c r="EN588" s="19" t="s">
        <v>11894</v>
      </c>
      <c r="EO588" s="19" t="s">
        <v>2619</v>
      </c>
      <c r="EP588" s="19" t="s">
        <v>2122</v>
      </c>
      <c r="EQ588" s="19" t="s">
        <v>2626</v>
      </c>
      <c r="ER588" s="19"/>
      <c r="ES588" s="19" t="s">
        <v>11894</v>
      </c>
      <c r="ET588" s="19" t="s">
        <v>11894</v>
      </c>
      <c r="EU588" s="19" t="s">
        <v>11896</v>
      </c>
      <c r="EV588" s="19">
        <v>6847.0</v>
      </c>
      <c r="EW588" s="19" t="s">
        <v>16</v>
      </c>
      <c r="EX588" s="19">
        <v>4.0</v>
      </c>
      <c r="EY588" s="25" t="s">
        <v>11897</v>
      </c>
      <c r="EZ588" s="19" t="s">
        <v>2154</v>
      </c>
      <c r="FA588" s="5" t="s">
        <v>11912</v>
      </c>
      <c r="FB588" s="26" t="s">
        <v>2633</v>
      </c>
      <c r="FC588" s="26" t="s">
        <v>11913</v>
      </c>
    </row>
    <row r="589">
      <c r="A589" s="19" t="s">
        <v>4099</v>
      </c>
      <c r="B589" s="19"/>
      <c r="C589" s="19" t="s">
        <v>2113</v>
      </c>
      <c r="D589" s="19" t="s">
        <v>1733</v>
      </c>
      <c r="E589" s="19" t="s">
        <v>11914</v>
      </c>
      <c r="F589" s="19" t="s">
        <v>1733</v>
      </c>
      <c r="G589" s="19"/>
      <c r="H589" s="19" t="s">
        <v>1733</v>
      </c>
      <c r="I589" s="19" t="s">
        <v>1735</v>
      </c>
      <c r="J589" s="19" t="s">
        <v>11915</v>
      </c>
      <c r="K589" s="19" t="s">
        <v>11916</v>
      </c>
      <c r="L589" s="20">
        <v>45444.0</v>
      </c>
      <c r="M589" s="20">
        <v>45446.0</v>
      </c>
      <c r="N589" s="20">
        <v>45446.0</v>
      </c>
      <c r="O589" s="19" t="s">
        <v>1734</v>
      </c>
      <c r="P589" s="19">
        <v>0.0</v>
      </c>
      <c r="Q589" s="19">
        <v>23.0</v>
      </c>
      <c r="R589" s="19">
        <v>8611.0</v>
      </c>
      <c r="S589" s="20" t="s">
        <v>11917</v>
      </c>
      <c r="T589" s="20">
        <v>45461.0</v>
      </c>
      <c r="U589" s="19" t="s">
        <v>1733</v>
      </c>
      <c r="V589" s="19"/>
      <c r="W589" s="19"/>
      <c r="X589" s="21">
        <v>0.0</v>
      </c>
      <c r="Y589" s="21">
        <v>10.0</v>
      </c>
      <c r="Z589" s="21">
        <v>4.0</v>
      </c>
      <c r="AA589" s="21">
        <v>0.0</v>
      </c>
      <c r="AB589" s="5">
        <v>14.0</v>
      </c>
      <c r="AC589" s="19">
        <v>3.0</v>
      </c>
      <c r="AD589" s="19">
        <v>4.0</v>
      </c>
      <c r="AE589" s="19">
        <v>3.0</v>
      </c>
      <c r="AF589" s="19">
        <v>3.0</v>
      </c>
      <c r="AG589" s="19">
        <v>3.0</v>
      </c>
      <c r="AH589" s="19">
        <v>4.0</v>
      </c>
      <c r="AI589" s="22">
        <v>10.03125</v>
      </c>
      <c r="AJ589" s="19">
        <v>14.0</v>
      </c>
      <c r="AK589" s="19">
        <v>11.0</v>
      </c>
      <c r="AL589" s="19">
        <v>10.0</v>
      </c>
      <c r="AM589" s="19">
        <v>35.0</v>
      </c>
      <c r="AN589" s="19">
        <v>45.0</v>
      </c>
      <c r="AO589" s="19">
        <v>59.0</v>
      </c>
      <c r="AP589" s="19">
        <v>603.0</v>
      </c>
      <c r="AQ589" s="23">
        <v>578.0</v>
      </c>
      <c r="AR589" s="23">
        <v>52.0</v>
      </c>
      <c r="AS589" s="22"/>
      <c r="AT589" s="19" t="s">
        <v>2117</v>
      </c>
      <c r="AU589" s="19" t="s">
        <v>3661</v>
      </c>
      <c r="AV589" s="19" t="s">
        <v>11918</v>
      </c>
      <c r="AW589" s="19"/>
      <c r="AX589" s="20">
        <v>36850.0</v>
      </c>
      <c r="AY589" s="19" t="s">
        <v>2619</v>
      </c>
      <c r="AZ589" s="19" t="s">
        <v>2995</v>
      </c>
      <c r="BA589" s="19" t="s">
        <v>11919</v>
      </c>
      <c r="BB589" s="19" t="s">
        <v>11920</v>
      </c>
      <c r="BC589" s="19" t="s">
        <v>11921</v>
      </c>
      <c r="BD589" s="19" t="s">
        <v>11922</v>
      </c>
      <c r="BE589" s="19" t="s">
        <v>11923</v>
      </c>
      <c r="BF589" s="19">
        <v>1.1959034786E10</v>
      </c>
      <c r="BG589" s="19" t="s">
        <v>2127</v>
      </c>
      <c r="BH589" s="19" t="s">
        <v>2128</v>
      </c>
      <c r="BI589" s="19"/>
      <c r="BJ589" s="19"/>
      <c r="BK589" s="19" t="s">
        <v>16</v>
      </c>
      <c r="BL589" s="19"/>
      <c r="BM589" s="19" t="s">
        <v>5411</v>
      </c>
      <c r="BN589" s="19" t="s">
        <v>17</v>
      </c>
      <c r="BO589" s="19" t="s">
        <v>2317</v>
      </c>
      <c r="BP589" s="19"/>
      <c r="BQ589" s="19" t="s">
        <v>2133</v>
      </c>
      <c r="BR589" s="19" t="s">
        <v>2133</v>
      </c>
      <c r="BS589" s="19" t="s">
        <v>2134</v>
      </c>
      <c r="BT589" s="19" t="s">
        <v>52</v>
      </c>
      <c r="BU589" s="19" t="s">
        <v>11924</v>
      </c>
      <c r="BV589" s="19"/>
      <c r="BW589" s="19" t="s">
        <v>2113</v>
      </c>
      <c r="BX589" s="19"/>
      <c r="BY589" s="19"/>
      <c r="BZ589" s="19"/>
      <c r="CA589" s="19"/>
      <c r="CB589" s="19"/>
      <c r="CC589" s="19"/>
      <c r="CD589" s="19" t="s">
        <v>2137</v>
      </c>
      <c r="CE589" s="19" t="s">
        <v>16</v>
      </c>
      <c r="CF589" s="19"/>
      <c r="CG589" s="19"/>
      <c r="CH589" s="19" t="s">
        <v>16</v>
      </c>
      <c r="CI589" s="21">
        <v>0.0</v>
      </c>
      <c r="CJ589" s="19" t="s">
        <v>16</v>
      </c>
      <c r="CK589" s="19"/>
      <c r="CL589" s="19"/>
      <c r="CM589" s="19" t="s">
        <v>2926</v>
      </c>
      <c r="CN589" s="19" t="s">
        <v>2626</v>
      </c>
      <c r="CO589" s="19"/>
      <c r="CP589" s="19"/>
      <c r="CQ589" s="19"/>
      <c r="CR589" s="19" t="s">
        <v>2113</v>
      </c>
      <c r="CS589" s="19" t="s">
        <v>2113</v>
      </c>
      <c r="CT589" s="19" t="s">
        <v>2113</v>
      </c>
      <c r="CU589" s="19" t="s">
        <v>2113</v>
      </c>
      <c r="CV589" s="19" t="s">
        <v>2141</v>
      </c>
      <c r="CW589" s="19"/>
      <c r="CX589" s="19"/>
      <c r="CY589" s="19"/>
      <c r="CZ589" s="19"/>
      <c r="DA589" s="19" t="s">
        <v>16</v>
      </c>
      <c r="DB589" s="19" t="s">
        <v>16</v>
      </c>
      <c r="DC589" s="19" t="s">
        <v>2627</v>
      </c>
      <c r="DD589" s="19" t="s">
        <v>2113</v>
      </c>
      <c r="DE589" s="19" t="s">
        <v>2113</v>
      </c>
      <c r="DF589" s="19" t="s">
        <v>4522</v>
      </c>
      <c r="DG589" s="19" t="s">
        <v>6591</v>
      </c>
      <c r="DH589" s="19" t="s">
        <v>2144</v>
      </c>
      <c r="DI589" s="24">
        <v>45531.0</v>
      </c>
      <c r="DJ589" s="19" t="s">
        <v>2133</v>
      </c>
      <c r="DK589" s="19" t="s">
        <v>2145</v>
      </c>
      <c r="DL589" s="19" t="s">
        <v>2146</v>
      </c>
      <c r="DM589" s="19" t="s">
        <v>3183</v>
      </c>
      <c r="DN589" s="19">
        <v>13.0</v>
      </c>
      <c r="DO589" s="19">
        <v>13.0</v>
      </c>
      <c r="DP589" s="19" t="s">
        <v>11925</v>
      </c>
      <c r="DQ589" s="19" t="s">
        <v>11926</v>
      </c>
      <c r="DR589" s="19" t="s">
        <v>11927</v>
      </c>
      <c r="DS589" s="19" t="s">
        <v>2365</v>
      </c>
      <c r="DT589" s="19" t="s">
        <v>2229</v>
      </c>
      <c r="DU589" s="19"/>
      <c r="DV589" s="19"/>
      <c r="DW589" s="19" t="s">
        <v>2188</v>
      </c>
      <c r="DX589" s="19">
        <v>10.0</v>
      </c>
      <c r="DY589" s="19">
        <v>10.0</v>
      </c>
      <c r="DZ589" s="19">
        <v>0.0</v>
      </c>
      <c r="EA589" s="19">
        <v>10.0</v>
      </c>
      <c r="EB589" s="19">
        <v>0.0</v>
      </c>
      <c r="EC589" s="19">
        <v>0.0</v>
      </c>
      <c r="ED589" s="19" t="s">
        <v>2133</v>
      </c>
      <c r="EE589" s="24">
        <v>45531.0</v>
      </c>
      <c r="EF589" s="19" t="s">
        <v>2133</v>
      </c>
      <c r="EG589" s="19" t="s">
        <v>2145</v>
      </c>
      <c r="EH589" s="19" t="s">
        <v>2146</v>
      </c>
      <c r="EI589" s="22">
        <v>10.03125</v>
      </c>
      <c r="EJ589" s="19">
        <v>35.0</v>
      </c>
      <c r="EK589" s="19"/>
      <c r="EL589" s="19" t="s">
        <v>2117</v>
      </c>
      <c r="EM589" s="19" t="s">
        <v>3661</v>
      </c>
      <c r="EN589" s="19" t="s">
        <v>1735</v>
      </c>
      <c r="EO589" s="19" t="s">
        <v>2619</v>
      </c>
      <c r="EP589" s="19" t="s">
        <v>2995</v>
      </c>
      <c r="EQ589" s="19" t="s">
        <v>2626</v>
      </c>
      <c r="ER589" s="19"/>
      <c r="ES589" s="19" t="s">
        <v>1735</v>
      </c>
      <c r="ET589" s="19" t="s">
        <v>1735</v>
      </c>
      <c r="EU589" s="19" t="s">
        <v>11916</v>
      </c>
      <c r="EV589" s="19">
        <v>8611.0</v>
      </c>
      <c r="EW589" s="19" t="s">
        <v>16</v>
      </c>
      <c r="EX589" s="19">
        <v>4.0</v>
      </c>
      <c r="EY589" s="25" t="s">
        <v>1734</v>
      </c>
      <c r="EZ589" s="19" t="s">
        <v>2154</v>
      </c>
      <c r="FA589" s="5" t="s">
        <v>11928</v>
      </c>
      <c r="FB589" s="26" t="s">
        <v>2156</v>
      </c>
      <c r="FC589" s="26"/>
    </row>
    <row r="590">
      <c r="A590" s="19" t="s">
        <v>17</v>
      </c>
      <c r="B590" s="19"/>
      <c r="C590" s="19" t="s">
        <v>2113</v>
      </c>
      <c r="D590" s="19" t="s">
        <v>1736</v>
      </c>
      <c r="E590" s="19" t="s">
        <v>11929</v>
      </c>
      <c r="F590" s="19" t="s">
        <v>1736</v>
      </c>
      <c r="G590" s="19" t="s">
        <v>11929</v>
      </c>
      <c r="H590" s="19" t="s">
        <v>1736</v>
      </c>
      <c r="I590" s="19" t="s">
        <v>1738</v>
      </c>
      <c r="J590" s="19" t="s">
        <v>11930</v>
      </c>
      <c r="K590" s="19" t="s">
        <v>11931</v>
      </c>
      <c r="L590" s="20">
        <v>45457.0</v>
      </c>
      <c r="M590" s="20">
        <v>45460.0</v>
      </c>
      <c r="N590" s="20">
        <v>45460.0</v>
      </c>
      <c r="O590" s="19" t="s">
        <v>1737</v>
      </c>
      <c r="P590" s="19">
        <v>0.0</v>
      </c>
      <c r="Q590" s="19">
        <v>20.0</v>
      </c>
      <c r="R590" s="19">
        <v>7521.0</v>
      </c>
      <c r="S590" s="20" t="s">
        <v>11932</v>
      </c>
      <c r="T590" s="20">
        <v>45461.0</v>
      </c>
      <c r="U590" s="19" t="s">
        <v>1736</v>
      </c>
      <c r="V590" s="19"/>
      <c r="W590" s="19"/>
      <c r="X590" s="21">
        <v>0.0</v>
      </c>
      <c r="Y590" s="21">
        <v>10.0</v>
      </c>
      <c r="Z590" s="21">
        <v>3.0</v>
      </c>
      <c r="AA590" s="21">
        <v>0.0</v>
      </c>
      <c r="AB590" s="5">
        <v>13.0</v>
      </c>
      <c r="AC590" s="19">
        <v>4.0</v>
      </c>
      <c r="AD590" s="19">
        <v>4.0</v>
      </c>
      <c r="AE590" s="19">
        <v>4.0</v>
      </c>
      <c r="AF590" s="19">
        <v>4.0</v>
      </c>
      <c r="AG590" s="19">
        <v>4.0</v>
      </c>
      <c r="AH590" s="19">
        <v>4.0</v>
      </c>
      <c r="AI590" s="22">
        <v>12.0</v>
      </c>
      <c r="AJ590" s="19">
        <v>13.6</v>
      </c>
      <c r="AK590" s="19">
        <v>7.0</v>
      </c>
      <c r="AL590" s="19">
        <v>13.4</v>
      </c>
      <c r="AM590" s="19">
        <v>34.0</v>
      </c>
      <c r="AN590" s="19">
        <v>46.0</v>
      </c>
      <c r="AO590" s="19">
        <v>59.0</v>
      </c>
      <c r="AP590" s="19">
        <v>767.0</v>
      </c>
      <c r="AQ590" s="23">
        <v>579.0</v>
      </c>
      <c r="AR590" s="23">
        <v>39.0</v>
      </c>
      <c r="AS590" s="22"/>
      <c r="AT590" s="19" t="s">
        <v>2282</v>
      </c>
      <c r="AU590" s="19" t="s">
        <v>6418</v>
      </c>
      <c r="AV590" s="19" t="s">
        <v>11933</v>
      </c>
      <c r="AW590" s="19" t="s">
        <v>3269</v>
      </c>
      <c r="AX590" s="20">
        <v>37940.0</v>
      </c>
      <c r="AY590" s="19" t="s">
        <v>3537</v>
      </c>
      <c r="AZ590" s="19" t="s">
        <v>2122</v>
      </c>
      <c r="BA590" s="19" t="s">
        <v>11934</v>
      </c>
      <c r="BB590" s="19" t="s">
        <v>3592</v>
      </c>
      <c r="BC590" s="19" t="s">
        <v>11935</v>
      </c>
      <c r="BD590" s="19" t="s">
        <v>11936</v>
      </c>
      <c r="BE590" s="19"/>
      <c r="BF590" s="19"/>
      <c r="BG590" s="19" t="s">
        <v>2127</v>
      </c>
      <c r="BH590" s="19" t="s">
        <v>2128</v>
      </c>
      <c r="BI590" s="19"/>
      <c r="BJ590" s="19"/>
      <c r="BK590" s="19" t="s">
        <v>16</v>
      </c>
      <c r="BL590" s="19"/>
      <c r="BM590" s="19" t="s">
        <v>5563</v>
      </c>
      <c r="BN590" s="19" t="s">
        <v>2172</v>
      </c>
      <c r="BO590" s="19" t="s">
        <v>2473</v>
      </c>
      <c r="BP590" s="19" t="s">
        <v>11937</v>
      </c>
      <c r="BQ590" s="19" t="s">
        <v>2133</v>
      </c>
      <c r="BR590" s="19" t="s">
        <v>2133</v>
      </c>
      <c r="BS590" s="19" t="s">
        <v>2134</v>
      </c>
      <c r="BT590" s="19" t="s">
        <v>222</v>
      </c>
      <c r="BU590" s="19"/>
      <c r="BV590" s="19"/>
      <c r="BW590" s="19"/>
      <c r="BX590" s="19"/>
      <c r="BY590" s="19"/>
      <c r="BZ590" s="19" t="s">
        <v>2113</v>
      </c>
      <c r="CA590" s="19"/>
      <c r="CB590" s="19" t="s">
        <v>2113</v>
      </c>
      <c r="CC590" s="19"/>
      <c r="CD590" s="19" t="s">
        <v>2137</v>
      </c>
      <c r="CE590" s="19" t="s">
        <v>16</v>
      </c>
      <c r="CF590" s="19" t="s">
        <v>2113</v>
      </c>
      <c r="CG590" s="19"/>
      <c r="CH590" s="19" t="s">
        <v>16</v>
      </c>
      <c r="CI590" s="21">
        <v>0.0</v>
      </c>
      <c r="CJ590" s="19" t="s">
        <v>16</v>
      </c>
      <c r="CK590" s="19"/>
      <c r="CL590" s="19"/>
      <c r="CM590" s="19"/>
      <c r="CN590" s="19" t="s">
        <v>3544</v>
      </c>
      <c r="CO590" s="19"/>
      <c r="CP590" s="19"/>
      <c r="CQ590" s="19"/>
      <c r="CR590" s="19"/>
      <c r="CS590" s="19"/>
      <c r="CT590" s="19"/>
      <c r="CU590" s="19"/>
      <c r="CV590" s="19" t="s">
        <v>2141</v>
      </c>
      <c r="CW590" s="19" t="s">
        <v>2113</v>
      </c>
      <c r="CX590" s="19" t="s">
        <v>2113</v>
      </c>
      <c r="CY590" s="19" t="s">
        <v>2113</v>
      </c>
      <c r="CZ590" s="19" t="s">
        <v>2113</v>
      </c>
      <c r="DA590" s="19" t="s">
        <v>16</v>
      </c>
      <c r="DB590" s="19" t="s">
        <v>16</v>
      </c>
      <c r="DC590" s="19" t="s">
        <v>2146</v>
      </c>
      <c r="DD590" s="19" t="s">
        <v>2113</v>
      </c>
      <c r="DE590" s="19" t="s">
        <v>2113</v>
      </c>
      <c r="DF590" s="19" t="s">
        <v>2433</v>
      </c>
      <c r="DG590" s="19" t="s">
        <v>2579</v>
      </c>
      <c r="DH590" s="19" t="s">
        <v>2580</v>
      </c>
      <c r="DI590" s="24">
        <v>45517.0</v>
      </c>
      <c r="DJ590" s="19" t="s">
        <v>2133</v>
      </c>
      <c r="DK590" s="19" t="s">
        <v>2145</v>
      </c>
      <c r="DL590" s="19" t="s">
        <v>2146</v>
      </c>
      <c r="DM590" s="19" t="s">
        <v>3021</v>
      </c>
      <c r="DN590" s="19">
        <v>1.0</v>
      </c>
      <c r="DO590" s="19">
        <v>1.0</v>
      </c>
      <c r="DP590" s="19" t="s">
        <v>11938</v>
      </c>
      <c r="DQ590" s="19" t="s">
        <v>11939</v>
      </c>
      <c r="DR590" s="19" t="s">
        <v>11940</v>
      </c>
      <c r="DS590" s="19" t="s">
        <v>2185</v>
      </c>
      <c r="DT590" s="19" t="s">
        <v>2301</v>
      </c>
      <c r="DU590" s="19"/>
      <c r="DV590" s="19"/>
      <c r="DW590" s="19" t="s">
        <v>3306</v>
      </c>
      <c r="DX590" s="19">
        <v>4.0</v>
      </c>
      <c r="DY590" s="19">
        <v>10.0</v>
      </c>
      <c r="DZ590" s="19">
        <v>0.0</v>
      </c>
      <c r="EA590" s="19">
        <v>10.0</v>
      </c>
      <c r="EB590" s="19">
        <v>0.0</v>
      </c>
      <c r="EC590" s="19">
        <v>0.0</v>
      </c>
      <c r="ED590" s="19" t="s">
        <v>2133</v>
      </c>
      <c r="EE590" s="24">
        <v>45517.0</v>
      </c>
      <c r="EF590" s="19" t="s">
        <v>2133</v>
      </c>
      <c r="EG590" s="19" t="s">
        <v>2145</v>
      </c>
      <c r="EH590" s="19" t="s">
        <v>2146</v>
      </c>
      <c r="EI590" s="22">
        <v>12.0</v>
      </c>
      <c r="EJ590" s="19">
        <v>34.0</v>
      </c>
      <c r="EK590" s="19"/>
      <c r="EL590" s="19" t="s">
        <v>2282</v>
      </c>
      <c r="EM590" s="19" t="s">
        <v>6418</v>
      </c>
      <c r="EN590" s="19" t="s">
        <v>1738</v>
      </c>
      <c r="EO590" s="19" t="s">
        <v>3537</v>
      </c>
      <c r="EP590" s="19" t="s">
        <v>2122</v>
      </c>
      <c r="EQ590" s="19" t="s">
        <v>3544</v>
      </c>
      <c r="ER590" s="19"/>
      <c r="ES590" s="19" t="s">
        <v>1738</v>
      </c>
      <c r="ET590" s="19" t="s">
        <v>1738</v>
      </c>
      <c r="EU590" s="19" t="s">
        <v>11931</v>
      </c>
      <c r="EV590" s="19">
        <v>7521.0</v>
      </c>
      <c r="EW590" s="19" t="s">
        <v>16</v>
      </c>
      <c r="EX590" s="19">
        <v>3.0</v>
      </c>
      <c r="EY590" s="25" t="s">
        <v>1737</v>
      </c>
      <c r="EZ590" s="19" t="s">
        <v>2154</v>
      </c>
      <c r="FA590" s="5" t="s">
        <v>11941</v>
      </c>
      <c r="FB590" s="26" t="s">
        <v>2156</v>
      </c>
      <c r="FC590" s="26"/>
    </row>
    <row r="591">
      <c r="A591" s="19" t="s">
        <v>2112</v>
      </c>
      <c r="B591" s="19"/>
      <c r="C591" s="19" t="s">
        <v>2113</v>
      </c>
      <c r="D591" s="19" t="s">
        <v>11942</v>
      </c>
      <c r="E591" s="19" t="s">
        <v>11942</v>
      </c>
      <c r="F591" s="19" t="s">
        <v>11943</v>
      </c>
      <c r="G591" s="19" t="s">
        <v>11944</v>
      </c>
      <c r="H591" s="19" t="s">
        <v>1739</v>
      </c>
      <c r="I591" s="19" t="s">
        <v>1741</v>
      </c>
      <c r="J591" s="19" t="s">
        <v>11945</v>
      </c>
      <c r="K591" s="19" t="s">
        <v>11946</v>
      </c>
      <c r="L591" s="20">
        <v>45446.0</v>
      </c>
      <c r="M591" s="20">
        <v>45446.0</v>
      </c>
      <c r="N591" s="20">
        <v>45446.0</v>
      </c>
      <c r="O591" s="19" t="s">
        <v>1740</v>
      </c>
      <c r="P591" s="19">
        <v>0.0</v>
      </c>
      <c r="Q591" s="19">
        <v>23.0</v>
      </c>
      <c r="R591" s="19">
        <v>8565.0</v>
      </c>
      <c r="S591" s="20" t="s">
        <v>11947</v>
      </c>
      <c r="T591" s="20">
        <v>45461.0</v>
      </c>
      <c r="U591" s="19" t="s">
        <v>11943</v>
      </c>
      <c r="V591" s="19"/>
      <c r="W591" s="19" t="s">
        <v>11948</v>
      </c>
      <c r="X591" s="21">
        <v>0.0</v>
      </c>
      <c r="Y591" s="21">
        <v>10.0</v>
      </c>
      <c r="Z591" s="21">
        <v>3.0</v>
      </c>
      <c r="AA591" s="21">
        <v>0.0</v>
      </c>
      <c r="AB591" s="5">
        <v>13.0</v>
      </c>
      <c r="AC591" s="19">
        <v>5.0</v>
      </c>
      <c r="AD591" s="19">
        <v>4.0</v>
      </c>
      <c r="AE591" s="19">
        <v>5.0</v>
      </c>
      <c r="AF591" s="19">
        <v>5.0</v>
      </c>
      <c r="AG591" s="19">
        <v>4.0</v>
      </c>
      <c r="AH591" s="19">
        <v>5.0</v>
      </c>
      <c r="AI591" s="22">
        <v>13.96875</v>
      </c>
      <c r="AJ591" s="19">
        <v>10.0</v>
      </c>
      <c r="AK591" s="19">
        <v>10.0</v>
      </c>
      <c r="AL591" s="19">
        <v>12.0</v>
      </c>
      <c r="AM591" s="19">
        <v>32.0</v>
      </c>
      <c r="AN591" s="19">
        <v>46.0</v>
      </c>
      <c r="AO591" s="19">
        <v>59.0</v>
      </c>
      <c r="AP591" s="19">
        <v>714.0</v>
      </c>
      <c r="AQ591" s="23">
        <v>580.0</v>
      </c>
      <c r="AR591" s="23">
        <v>40.0</v>
      </c>
      <c r="AS591" s="22"/>
      <c r="AT591" s="19" t="s">
        <v>2282</v>
      </c>
      <c r="AU591" s="19" t="s">
        <v>3943</v>
      </c>
      <c r="AV591" s="19" t="s">
        <v>11949</v>
      </c>
      <c r="AW591" s="19" t="s">
        <v>11950</v>
      </c>
      <c r="AX591" s="20">
        <v>36896.0</v>
      </c>
      <c r="AY591" s="19" t="s">
        <v>3946</v>
      </c>
      <c r="AZ591" s="19" t="s">
        <v>2122</v>
      </c>
      <c r="BA591" s="19" t="s">
        <v>11951</v>
      </c>
      <c r="BB591" s="19" t="s">
        <v>11952</v>
      </c>
      <c r="BC591" s="19" t="s">
        <v>11953</v>
      </c>
      <c r="BD591" s="19" t="s">
        <v>11954</v>
      </c>
      <c r="BE591" s="19" t="s">
        <v>11955</v>
      </c>
      <c r="BF591" s="19">
        <v>1.1981923845E10</v>
      </c>
      <c r="BG591" s="19" t="s">
        <v>2127</v>
      </c>
      <c r="BH591" s="19" t="s">
        <v>2128</v>
      </c>
      <c r="BI591" s="19"/>
      <c r="BJ591" s="19" t="s">
        <v>2128</v>
      </c>
      <c r="BK591" s="19" t="s">
        <v>17</v>
      </c>
      <c r="BL591" s="19"/>
      <c r="BM591" s="19" t="s">
        <v>5411</v>
      </c>
      <c r="BN591" s="19" t="s">
        <v>4443</v>
      </c>
      <c r="BO591" s="19" t="s">
        <v>2473</v>
      </c>
      <c r="BP591" s="19" t="s">
        <v>11956</v>
      </c>
      <c r="BQ591" s="19" t="s">
        <v>2133</v>
      </c>
      <c r="BR591" s="19" t="s">
        <v>2133</v>
      </c>
      <c r="BS591" s="19" t="s">
        <v>2243</v>
      </c>
      <c r="BT591" s="19" t="s">
        <v>222</v>
      </c>
      <c r="BU591" s="19" t="s">
        <v>3001</v>
      </c>
      <c r="BV591" s="19"/>
      <c r="BW591" s="19"/>
      <c r="BX591" s="19"/>
      <c r="BY591" s="19"/>
      <c r="BZ591" s="19"/>
      <c r="CA591" s="19"/>
      <c r="CB591" s="19" t="s">
        <v>2113</v>
      </c>
      <c r="CC591" s="19" t="s">
        <v>2113</v>
      </c>
      <c r="CD591" s="19" t="s">
        <v>2137</v>
      </c>
      <c r="CE591" s="19" t="s">
        <v>16</v>
      </c>
      <c r="CF591" s="19"/>
      <c r="CG591" s="19"/>
      <c r="CH591" s="19" t="s">
        <v>16</v>
      </c>
      <c r="CI591" s="21">
        <v>0.0</v>
      </c>
      <c r="CJ591" s="19" t="s">
        <v>16</v>
      </c>
      <c r="CK591" s="19"/>
      <c r="CL591" s="19"/>
      <c r="CM591" s="19" t="s">
        <v>2926</v>
      </c>
      <c r="CN591" s="19" t="s">
        <v>3544</v>
      </c>
      <c r="CO591" s="19"/>
      <c r="CP591" s="19" t="s">
        <v>2178</v>
      </c>
      <c r="CQ591" s="19"/>
      <c r="CR591" s="19"/>
      <c r="CS591" s="19"/>
      <c r="CT591" s="19" t="s">
        <v>2113</v>
      </c>
      <c r="CU591" s="19" t="s">
        <v>2113</v>
      </c>
      <c r="CV591" s="19" t="s">
        <v>2141</v>
      </c>
      <c r="CW591" s="19"/>
      <c r="CX591" s="19"/>
      <c r="CY591" s="19"/>
      <c r="CZ591" s="19"/>
      <c r="DA591" s="19" t="s">
        <v>16</v>
      </c>
      <c r="DB591" s="19" t="s">
        <v>16</v>
      </c>
      <c r="DC591" s="19" t="s">
        <v>2146</v>
      </c>
      <c r="DD591" s="19" t="s">
        <v>2113</v>
      </c>
      <c r="DE591" s="19" t="s">
        <v>2113</v>
      </c>
      <c r="DF591" s="19" t="s">
        <v>2671</v>
      </c>
      <c r="DG591" s="19" t="s">
        <v>5270</v>
      </c>
      <c r="DH591" s="19" t="s">
        <v>2144</v>
      </c>
      <c r="DI591" s="24">
        <v>45524.0</v>
      </c>
      <c r="DJ591" s="19" t="s">
        <v>2133</v>
      </c>
      <c r="DK591" s="19" t="s">
        <v>2145</v>
      </c>
      <c r="DL591" s="19" t="s">
        <v>2146</v>
      </c>
      <c r="DM591" s="19" t="s">
        <v>3302</v>
      </c>
      <c r="DN591" s="19">
        <v>7.0</v>
      </c>
      <c r="DO591" s="19">
        <v>7.0</v>
      </c>
      <c r="DP591" s="19" t="s">
        <v>11957</v>
      </c>
      <c r="DQ591" s="19" t="s">
        <v>11958</v>
      </c>
      <c r="DR591" s="19" t="s">
        <v>11959</v>
      </c>
      <c r="DS591" s="19" t="s">
        <v>2365</v>
      </c>
      <c r="DT591" s="19" t="s">
        <v>2209</v>
      </c>
      <c r="DU591" s="19"/>
      <c r="DV591" s="19"/>
      <c r="DW591" s="19" t="s">
        <v>2153</v>
      </c>
      <c r="DX591" s="19">
        <v>7.0</v>
      </c>
      <c r="DY591" s="19">
        <v>10.0</v>
      </c>
      <c r="DZ591" s="19">
        <v>0.0</v>
      </c>
      <c r="EA591" s="19">
        <v>10.0</v>
      </c>
      <c r="EB591" s="19">
        <v>0.0</v>
      </c>
      <c r="EC591" s="19">
        <v>0.0</v>
      </c>
      <c r="ED591" s="19" t="s">
        <v>2133</v>
      </c>
      <c r="EE591" s="24">
        <v>45524.0</v>
      </c>
      <c r="EF591" s="19" t="s">
        <v>2133</v>
      </c>
      <c r="EG591" s="19" t="s">
        <v>2145</v>
      </c>
      <c r="EH591" s="19" t="s">
        <v>2146</v>
      </c>
      <c r="EI591" s="22">
        <v>13.96875</v>
      </c>
      <c r="EJ591" s="19">
        <v>32.0</v>
      </c>
      <c r="EK591" s="19"/>
      <c r="EL591" s="19" t="s">
        <v>2282</v>
      </c>
      <c r="EM591" s="19" t="s">
        <v>3943</v>
      </c>
      <c r="EN591" s="19" t="s">
        <v>1741</v>
      </c>
      <c r="EO591" s="19" t="s">
        <v>3946</v>
      </c>
      <c r="EP591" s="19" t="s">
        <v>2122</v>
      </c>
      <c r="EQ591" s="19" t="s">
        <v>3544</v>
      </c>
      <c r="ER591" s="19"/>
      <c r="ES591" s="19" t="s">
        <v>1741</v>
      </c>
      <c r="ET591" s="19" t="s">
        <v>1741</v>
      </c>
      <c r="EU591" s="19" t="s">
        <v>11946</v>
      </c>
      <c r="EV591" s="19">
        <v>8565.0</v>
      </c>
      <c r="EW591" s="19" t="s">
        <v>16</v>
      </c>
      <c r="EX591" s="19">
        <v>3.0</v>
      </c>
      <c r="EY591" s="25" t="s">
        <v>1740</v>
      </c>
      <c r="EZ591" s="19" t="s">
        <v>2154</v>
      </c>
      <c r="FA591" s="5" t="s">
        <v>11960</v>
      </c>
      <c r="FB591" s="26" t="s">
        <v>2156</v>
      </c>
      <c r="FC591" s="26"/>
    </row>
    <row r="592">
      <c r="A592" s="19" t="s">
        <v>2112</v>
      </c>
      <c r="B592" s="19"/>
      <c r="C592" s="19" t="s">
        <v>2113</v>
      </c>
      <c r="D592" s="19" t="s">
        <v>1742</v>
      </c>
      <c r="E592" s="19" t="s">
        <v>11961</v>
      </c>
      <c r="F592" s="19" t="s">
        <v>1742</v>
      </c>
      <c r="G592" s="19"/>
      <c r="H592" s="19" t="s">
        <v>1742</v>
      </c>
      <c r="I592" s="19" t="s">
        <v>1744</v>
      </c>
      <c r="J592" s="19" t="s">
        <v>11962</v>
      </c>
      <c r="K592" s="19" t="s">
        <v>11963</v>
      </c>
      <c r="L592" s="20">
        <v>45446.0</v>
      </c>
      <c r="M592" s="20">
        <v>45447.0</v>
      </c>
      <c r="N592" s="20">
        <v>45447.0</v>
      </c>
      <c r="O592" s="19" t="s">
        <v>1743</v>
      </c>
      <c r="P592" s="19">
        <v>0.0</v>
      </c>
      <c r="Q592" s="19">
        <v>23.0</v>
      </c>
      <c r="R592" s="19">
        <v>8530.0</v>
      </c>
      <c r="S592" s="20" t="s">
        <v>11964</v>
      </c>
      <c r="T592" s="20">
        <v>45461.0</v>
      </c>
      <c r="U592" s="19" t="s">
        <v>1742</v>
      </c>
      <c r="V592" s="19"/>
      <c r="W592" s="19"/>
      <c r="X592" s="21">
        <v>0.0</v>
      </c>
      <c r="Y592" s="21">
        <v>5.0</v>
      </c>
      <c r="Z592" s="21">
        <v>3.0</v>
      </c>
      <c r="AA592" s="21">
        <v>0.0</v>
      </c>
      <c r="AB592" s="5">
        <v>8.0</v>
      </c>
      <c r="AC592" s="19">
        <v>5.0</v>
      </c>
      <c r="AD592" s="19">
        <v>5.0</v>
      </c>
      <c r="AE592" s="19">
        <v>5.0</v>
      </c>
      <c r="AF592" s="19">
        <v>5.0</v>
      </c>
      <c r="AG592" s="19">
        <v>5.0</v>
      </c>
      <c r="AH592" s="19">
        <v>5.0</v>
      </c>
      <c r="AI592" s="22">
        <v>15.0</v>
      </c>
      <c r="AJ592" s="19">
        <v>12.0</v>
      </c>
      <c r="AK592" s="19">
        <v>12.0</v>
      </c>
      <c r="AL592" s="19">
        <v>12.0</v>
      </c>
      <c r="AM592" s="19">
        <v>36.0</v>
      </c>
      <c r="AN592" s="19">
        <v>51.0</v>
      </c>
      <c r="AO592" s="19">
        <v>59.0</v>
      </c>
      <c r="AP592" s="19">
        <v>986.0</v>
      </c>
      <c r="AQ592" s="23">
        <v>581.0</v>
      </c>
      <c r="AR592" s="23">
        <v>84.0</v>
      </c>
      <c r="AS592" s="22"/>
      <c r="AT592" s="19" t="s">
        <v>2117</v>
      </c>
      <c r="AU592" s="19" t="s">
        <v>11965</v>
      </c>
      <c r="AV592" s="19" t="s">
        <v>11966</v>
      </c>
      <c r="AW592" s="19"/>
      <c r="AX592" s="20">
        <v>36931.0</v>
      </c>
      <c r="AY592" s="19" t="s">
        <v>3015</v>
      </c>
      <c r="AZ592" s="19" t="s">
        <v>2122</v>
      </c>
      <c r="BA592" s="19" t="s">
        <v>11967</v>
      </c>
      <c r="BB592" s="19" t="s">
        <v>3828</v>
      </c>
      <c r="BC592" s="19" t="s">
        <v>11968</v>
      </c>
      <c r="BD592" s="19" t="s">
        <v>11969</v>
      </c>
      <c r="BE592" s="19" t="s">
        <v>11970</v>
      </c>
      <c r="BF592" s="19">
        <v>1.1999067175E10</v>
      </c>
      <c r="BG592" s="19" t="s">
        <v>3518</v>
      </c>
      <c r="BH592" s="19" t="s">
        <v>2128</v>
      </c>
      <c r="BI592" s="19"/>
      <c r="BJ592" s="19" t="s">
        <v>2427</v>
      </c>
      <c r="BK592" s="19" t="s">
        <v>17</v>
      </c>
      <c r="BL592" s="19" t="s">
        <v>2113</v>
      </c>
      <c r="BM592" s="19" t="s">
        <v>5411</v>
      </c>
      <c r="BN592" s="19" t="s">
        <v>2131</v>
      </c>
      <c r="BO592" s="19" t="s">
        <v>2473</v>
      </c>
      <c r="BP592" s="19" t="s">
        <v>11971</v>
      </c>
      <c r="BQ592" s="19" t="s">
        <v>2133</v>
      </c>
      <c r="BR592" s="19" t="s">
        <v>2133</v>
      </c>
      <c r="BS592" s="19" t="s">
        <v>2134</v>
      </c>
      <c r="BT592" s="19" t="s">
        <v>38</v>
      </c>
      <c r="BU592" s="19" t="s">
        <v>11972</v>
      </c>
      <c r="BV592" s="19"/>
      <c r="BW592" s="19"/>
      <c r="BX592" s="19"/>
      <c r="BY592" s="19" t="s">
        <v>2113</v>
      </c>
      <c r="BZ592" s="19"/>
      <c r="CA592" s="19" t="s">
        <v>2113</v>
      </c>
      <c r="CB592" s="19" t="s">
        <v>2113</v>
      </c>
      <c r="CC592" s="19"/>
      <c r="CD592" s="19" t="s">
        <v>2137</v>
      </c>
      <c r="CE592" s="19" t="s">
        <v>16</v>
      </c>
      <c r="CF592" s="19"/>
      <c r="CG592" s="19"/>
      <c r="CH592" s="19" t="s">
        <v>16</v>
      </c>
      <c r="CI592" s="21">
        <v>0.0</v>
      </c>
      <c r="CJ592" s="19" t="s">
        <v>17</v>
      </c>
      <c r="CK592" s="19"/>
      <c r="CL592" s="19"/>
      <c r="CM592" s="19" t="s">
        <v>2138</v>
      </c>
      <c r="CN592" s="19" t="s">
        <v>3020</v>
      </c>
      <c r="CO592" s="19"/>
      <c r="CP592" s="19" t="s">
        <v>2246</v>
      </c>
      <c r="CQ592" s="19"/>
      <c r="CR592" s="19"/>
      <c r="CS592" s="19"/>
      <c r="CT592" s="19"/>
      <c r="CU592" s="19"/>
      <c r="CV592" s="19" t="s">
        <v>2179</v>
      </c>
      <c r="CW592" s="19"/>
      <c r="CX592" s="19"/>
      <c r="CY592" s="19"/>
      <c r="CZ592" s="19"/>
      <c r="DA592" s="19" t="s">
        <v>16</v>
      </c>
      <c r="DB592" s="19" t="s">
        <v>17</v>
      </c>
      <c r="DC592" s="19" t="s">
        <v>2601</v>
      </c>
      <c r="DD592" s="19" t="s">
        <v>2113</v>
      </c>
      <c r="DE592" s="19" t="s">
        <v>2113</v>
      </c>
      <c r="DF592" s="19" t="s">
        <v>8396</v>
      </c>
      <c r="DG592" s="19" t="s">
        <v>4425</v>
      </c>
      <c r="DH592" s="19" t="s">
        <v>2144</v>
      </c>
      <c r="DI592" s="24">
        <v>45525.0</v>
      </c>
      <c r="DJ592" s="19" t="s">
        <v>2133</v>
      </c>
      <c r="DK592" s="19" t="s">
        <v>2145</v>
      </c>
      <c r="DL592" s="19" t="s">
        <v>2146</v>
      </c>
      <c r="DM592" s="19" t="s">
        <v>3003</v>
      </c>
      <c r="DN592" s="19">
        <v>9.0</v>
      </c>
      <c r="DO592" s="19">
        <v>9.0</v>
      </c>
      <c r="DP592" s="19"/>
      <c r="DQ592" s="19"/>
      <c r="DR592" s="19"/>
      <c r="DS592" s="19" t="s">
        <v>2185</v>
      </c>
      <c r="DT592" s="19" t="s">
        <v>2229</v>
      </c>
      <c r="DU592" s="19" t="s">
        <v>11973</v>
      </c>
      <c r="DV592" s="19"/>
      <c r="DW592" s="19" t="s">
        <v>2479</v>
      </c>
      <c r="DX592" s="19">
        <v>6.0</v>
      </c>
      <c r="DY592" s="19">
        <v>5.0</v>
      </c>
      <c r="DZ592" s="19">
        <v>0.0</v>
      </c>
      <c r="EA592" s="19">
        <v>5.0</v>
      </c>
      <c r="EB592" s="19">
        <v>0.0</v>
      </c>
      <c r="EC592" s="19">
        <v>0.0</v>
      </c>
      <c r="ED592" s="19" t="s">
        <v>2133</v>
      </c>
      <c r="EE592" s="24">
        <v>45525.0</v>
      </c>
      <c r="EF592" s="19" t="s">
        <v>2133</v>
      </c>
      <c r="EG592" s="19" t="s">
        <v>2145</v>
      </c>
      <c r="EH592" s="19" t="s">
        <v>2146</v>
      </c>
      <c r="EI592" s="22">
        <v>15.0</v>
      </c>
      <c r="EJ592" s="19">
        <v>36.0</v>
      </c>
      <c r="EK592" s="19" t="s">
        <v>2113</v>
      </c>
      <c r="EL592" s="19" t="s">
        <v>2117</v>
      </c>
      <c r="EM592" s="19" t="s">
        <v>11965</v>
      </c>
      <c r="EN592" s="19" t="s">
        <v>1744</v>
      </c>
      <c r="EO592" s="19" t="s">
        <v>3015</v>
      </c>
      <c r="EP592" s="19" t="s">
        <v>2122</v>
      </c>
      <c r="EQ592" s="19" t="s">
        <v>3020</v>
      </c>
      <c r="ER592" s="19"/>
      <c r="ES592" s="19" t="s">
        <v>1744</v>
      </c>
      <c r="ET592" s="19" t="s">
        <v>1744</v>
      </c>
      <c r="EU592" s="19" t="s">
        <v>11963</v>
      </c>
      <c r="EV592" s="19">
        <v>8530.0</v>
      </c>
      <c r="EW592" s="19" t="s">
        <v>16</v>
      </c>
      <c r="EX592" s="19">
        <v>3.0</v>
      </c>
      <c r="EY592" s="25" t="s">
        <v>1743</v>
      </c>
      <c r="EZ592" s="19" t="s">
        <v>2154</v>
      </c>
      <c r="FA592" s="5" t="s">
        <v>11974</v>
      </c>
      <c r="FB592" s="26" t="s">
        <v>2156</v>
      </c>
      <c r="FC592" s="26"/>
    </row>
    <row r="593">
      <c r="A593" s="19" t="s">
        <v>2112</v>
      </c>
      <c r="B593" s="19"/>
      <c r="C593" s="19" t="s">
        <v>2113</v>
      </c>
      <c r="D593" s="19" t="s">
        <v>11975</v>
      </c>
      <c r="E593" s="19" t="s">
        <v>11976</v>
      </c>
      <c r="F593" s="19" t="s">
        <v>11975</v>
      </c>
      <c r="G593" s="19"/>
      <c r="H593" s="19" t="s">
        <v>1745</v>
      </c>
      <c r="I593" s="19" t="s">
        <v>1747</v>
      </c>
      <c r="J593" s="19" t="s">
        <v>11977</v>
      </c>
      <c r="K593" s="19" t="s">
        <v>11978</v>
      </c>
      <c r="L593" s="20">
        <v>45453.0</v>
      </c>
      <c r="M593" s="20">
        <v>45453.0</v>
      </c>
      <c r="N593" s="20">
        <v>45453.0</v>
      </c>
      <c r="O593" s="19" t="s">
        <v>1746</v>
      </c>
      <c r="P593" s="19">
        <v>0.0</v>
      </c>
      <c r="Q593" s="19">
        <v>28.0</v>
      </c>
      <c r="R593" s="19">
        <v>10357.0</v>
      </c>
      <c r="S593" s="20" t="s">
        <v>11979</v>
      </c>
      <c r="T593" s="20">
        <v>45461.0</v>
      </c>
      <c r="U593" s="19" t="s">
        <v>11975</v>
      </c>
      <c r="V593" s="19"/>
      <c r="W593" s="19"/>
      <c r="X593" s="21">
        <v>0.0</v>
      </c>
      <c r="Y593" s="21">
        <v>0.0</v>
      </c>
      <c r="Z593" s="21">
        <v>4.0</v>
      </c>
      <c r="AA593" s="21">
        <v>0.0</v>
      </c>
      <c r="AB593" s="5">
        <v>4.0</v>
      </c>
      <c r="AC593" s="19">
        <v>4.5</v>
      </c>
      <c r="AD593" s="19">
        <v>3.5</v>
      </c>
      <c r="AE593" s="19">
        <v>5.0</v>
      </c>
      <c r="AF593" s="19">
        <v>4.5</v>
      </c>
      <c r="AG593" s="19">
        <v>4.0</v>
      </c>
      <c r="AH593" s="19">
        <v>4.5</v>
      </c>
      <c r="AI593" s="22">
        <v>13.03125</v>
      </c>
      <c r="AJ593" s="19">
        <v>15.0</v>
      </c>
      <c r="AK593" s="19">
        <v>15.0</v>
      </c>
      <c r="AL593" s="19">
        <v>12.0</v>
      </c>
      <c r="AM593" s="19">
        <v>42.0</v>
      </c>
      <c r="AN593" s="19">
        <v>55.0</v>
      </c>
      <c r="AO593" s="19">
        <v>59.0</v>
      </c>
      <c r="AP593" s="19">
        <v>1160.0</v>
      </c>
      <c r="AQ593" s="23">
        <v>582.0</v>
      </c>
      <c r="AR593" s="23">
        <v>41.0</v>
      </c>
      <c r="AS593" s="22"/>
      <c r="AT593" s="19" t="s">
        <v>2117</v>
      </c>
      <c r="AU593" s="19" t="s">
        <v>2881</v>
      </c>
      <c r="AV593" s="19" t="s">
        <v>11980</v>
      </c>
      <c r="AW593" s="19" t="s">
        <v>11981</v>
      </c>
      <c r="AX593" s="20">
        <v>35104.0</v>
      </c>
      <c r="AY593" s="19" t="s">
        <v>2702</v>
      </c>
      <c r="AZ593" s="19" t="s">
        <v>2310</v>
      </c>
      <c r="BA593" s="19" t="s">
        <v>11982</v>
      </c>
      <c r="BB593" s="19" t="s">
        <v>3592</v>
      </c>
      <c r="BC593" s="19" t="s">
        <v>11983</v>
      </c>
      <c r="BD593" s="19" t="s">
        <v>11984</v>
      </c>
      <c r="BE593" s="19" t="s">
        <v>11985</v>
      </c>
      <c r="BF593" s="19">
        <v>1.1934380581E10</v>
      </c>
      <c r="BG593" s="19" t="s">
        <v>4038</v>
      </c>
      <c r="BH593" s="19" t="s">
        <v>2128</v>
      </c>
      <c r="BI593" s="19"/>
      <c r="BJ593" s="19" t="s">
        <v>2129</v>
      </c>
      <c r="BK593" s="19" t="s">
        <v>17</v>
      </c>
      <c r="BL593" s="19"/>
      <c r="BM593" s="19" t="s">
        <v>5411</v>
      </c>
      <c r="BN593" s="19" t="s">
        <v>3888</v>
      </c>
      <c r="BO593" s="19" t="s">
        <v>2317</v>
      </c>
      <c r="BP593" s="19"/>
      <c r="BQ593" s="19" t="s">
        <v>2318</v>
      </c>
      <c r="BR593" s="19" t="s">
        <v>2318</v>
      </c>
      <c r="BS593" s="19" t="s">
        <v>2134</v>
      </c>
      <c r="BT593" s="19" t="s">
        <v>42</v>
      </c>
      <c r="BU593" s="19" t="s">
        <v>5022</v>
      </c>
      <c r="BV593" s="19"/>
      <c r="BW593" s="19" t="s">
        <v>2113</v>
      </c>
      <c r="BX593" s="19"/>
      <c r="BY593" s="19"/>
      <c r="BZ593" s="19"/>
      <c r="CA593" s="19"/>
      <c r="CB593" s="19"/>
      <c r="CC593" s="19"/>
      <c r="CD593" s="19" t="s">
        <v>2137</v>
      </c>
      <c r="CE593" s="19" t="s">
        <v>16</v>
      </c>
      <c r="CF593" s="19"/>
      <c r="CG593" s="19"/>
      <c r="CH593" s="19" t="s">
        <v>16</v>
      </c>
      <c r="CI593" s="21">
        <v>0.0</v>
      </c>
      <c r="CJ593" s="19" t="s">
        <v>16</v>
      </c>
      <c r="CK593" s="19"/>
      <c r="CL593" s="19"/>
      <c r="CM593" s="19" t="s">
        <v>2138</v>
      </c>
      <c r="CN593" s="19" t="s">
        <v>2321</v>
      </c>
      <c r="CO593" s="19"/>
      <c r="CP593" s="19" t="s">
        <v>2140</v>
      </c>
      <c r="CQ593" s="19"/>
      <c r="CR593" s="19"/>
      <c r="CS593" s="19"/>
      <c r="CT593" s="19" t="s">
        <v>2113</v>
      </c>
      <c r="CU593" s="19" t="s">
        <v>2113</v>
      </c>
      <c r="CV593" s="19" t="s">
        <v>2141</v>
      </c>
      <c r="CW593" s="19" t="s">
        <v>2113</v>
      </c>
      <c r="CX593" s="19" t="s">
        <v>2113</v>
      </c>
      <c r="CY593" s="19"/>
      <c r="CZ593" s="19"/>
      <c r="DA593" s="19" t="s">
        <v>16</v>
      </c>
      <c r="DB593" s="19" t="s">
        <v>16</v>
      </c>
      <c r="DC593" s="19" t="s">
        <v>2712</v>
      </c>
      <c r="DD593" s="19" t="s">
        <v>2113</v>
      </c>
      <c r="DE593" s="19" t="s">
        <v>2113</v>
      </c>
      <c r="DF593" s="19" t="s">
        <v>2324</v>
      </c>
      <c r="DG593" s="19" t="s">
        <v>2983</v>
      </c>
      <c r="DH593" s="19" t="s">
        <v>2144</v>
      </c>
      <c r="DI593" s="24">
        <v>45524.0</v>
      </c>
      <c r="DJ593" s="19" t="s">
        <v>2325</v>
      </c>
      <c r="DK593" s="19" t="s">
        <v>2145</v>
      </c>
      <c r="DL593" s="19" t="s">
        <v>2326</v>
      </c>
      <c r="DM593" s="19"/>
      <c r="DN593" s="19">
        <v>7.0</v>
      </c>
      <c r="DO593" s="19">
        <v>7.0</v>
      </c>
      <c r="DP593" s="19" t="s">
        <v>11986</v>
      </c>
      <c r="DQ593" s="19" t="s">
        <v>11987</v>
      </c>
      <c r="DR593" s="19" t="s">
        <v>11988</v>
      </c>
      <c r="DS593" s="19" t="s">
        <v>2185</v>
      </c>
      <c r="DT593" s="19" t="s">
        <v>2186</v>
      </c>
      <c r="DU593" s="19"/>
      <c r="DV593" s="19"/>
      <c r="DW593" s="19" t="s">
        <v>2479</v>
      </c>
      <c r="DX593" s="19">
        <v>6.0</v>
      </c>
      <c r="DY593" s="19">
        <v>0.0</v>
      </c>
      <c r="DZ593" s="19">
        <v>0.0</v>
      </c>
      <c r="EA593" s="19">
        <v>0.0</v>
      </c>
      <c r="EB593" s="19">
        <v>0.0</v>
      </c>
      <c r="EC593" s="19">
        <v>0.0</v>
      </c>
      <c r="ED593" s="19" t="s">
        <v>2325</v>
      </c>
      <c r="EE593" s="24">
        <v>45524.0</v>
      </c>
      <c r="EF593" s="19" t="s">
        <v>2325</v>
      </c>
      <c r="EG593" s="19" t="s">
        <v>2145</v>
      </c>
      <c r="EH593" s="19" t="s">
        <v>2326</v>
      </c>
      <c r="EI593" s="22">
        <v>13.03125</v>
      </c>
      <c r="EJ593" s="19">
        <v>42.0</v>
      </c>
      <c r="EK593" s="19"/>
      <c r="EL593" s="19" t="s">
        <v>2117</v>
      </c>
      <c r="EM593" s="19" t="s">
        <v>2881</v>
      </c>
      <c r="EN593" s="19" t="s">
        <v>1747</v>
      </c>
      <c r="EO593" s="19" t="s">
        <v>2702</v>
      </c>
      <c r="EP593" s="19" t="s">
        <v>2310</v>
      </c>
      <c r="EQ593" s="19" t="s">
        <v>2321</v>
      </c>
      <c r="ER593" s="19"/>
      <c r="ES593" s="19" t="s">
        <v>1747</v>
      </c>
      <c r="ET593" s="19" t="s">
        <v>1747</v>
      </c>
      <c r="EU593" s="19" t="s">
        <v>11978</v>
      </c>
      <c r="EV593" s="19">
        <v>10357.0</v>
      </c>
      <c r="EW593" s="19" t="s">
        <v>16</v>
      </c>
      <c r="EX593" s="19">
        <v>4.0</v>
      </c>
      <c r="EY593" s="25" t="s">
        <v>1746</v>
      </c>
      <c r="EZ593" s="19" t="s">
        <v>2154</v>
      </c>
      <c r="FA593" s="5" t="s">
        <v>11989</v>
      </c>
      <c r="FB593" s="26" t="s">
        <v>2156</v>
      </c>
      <c r="FC593" s="26"/>
    </row>
    <row r="594">
      <c r="A594" s="19" t="s">
        <v>17</v>
      </c>
      <c r="B594" s="19"/>
      <c r="C594" s="19" t="s">
        <v>2113</v>
      </c>
      <c r="D594" s="19" t="s">
        <v>1748</v>
      </c>
      <c r="E594" s="19" t="s">
        <v>11990</v>
      </c>
      <c r="F594" s="19" t="s">
        <v>1748</v>
      </c>
      <c r="G594" s="19"/>
      <c r="H594" s="19" t="s">
        <v>1748</v>
      </c>
      <c r="I594" s="19" t="s">
        <v>1750</v>
      </c>
      <c r="J594" s="19" t="s">
        <v>11991</v>
      </c>
      <c r="K594" s="19" t="s">
        <v>11992</v>
      </c>
      <c r="L594" s="20">
        <v>45438.0</v>
      </c>
      <c r="M594" s="20">
        <v>45439.0</v>
      </c>
      <c r="N594" s="20">
        <v>45439.0</v>
      </c>
      <c r="O594" s="19" t="s">
        <v>1749</v>
      </c>
      <c r="P594" s="19">
        <v>0.0</v>
      </c>
      <c r="Q594" s="19">
        <v>25.0</v>
      </c>
      <c r="R594" s="19">
        <v>9320.0</v>
      </c>
      <c r="S594" s="20" t="s">
        <v>11993</v>
      </c>
      <c r="T594" s="20">
        <v>45461.0</v>
      </c>
      <c r="U594" s="19" t="s">
        <v>1748</v>
      </c>
      <c r="V594" s="19"/>
      <c r="W594" s="19"/>
      <c r="X594" s="21">
        <v>0.0</v>
      </c>
      <c r="Y594" s="21">
        <v>10.0</v>
      </c>
      <c r="Z594" s="21">
        <v>3.0</v>
      </c>
      <c r="AA594" s="21">
        <v>0.0</v>
      </c>
      <c r="AB594" s="5">
        <v>13.0</v>
      </c>
      <c r="AC594" s="19">
        <v>4.0</v>
      </c>
      <c r="AD594" s="19">
        <v>4.0</v>
      </c>
      <c r="AE594" s="19">
        <v>4.5</v>
      </c>
      <c r="AF594" s="19">
        <v>3.0</v>
      </c>
      <c r="AG594" s="19">
        <v>4.5</v>
      </c>
      <c r="AH594" s="19">
        <v>4.0</v>
      </c>
      <c r="AI594" s="22">
        <v>12.1875</v>
      </c>
      <c r="AJ594" s="19">
        <v>10.0</v>
      </c>
      <c r="AK594" s="19">
        <v>11.7</v>
      </c>
      <c r="AL594" s="19">
        <v>12.0</v>
      </c>
      <c r="AM594" s="19">
        <v>33.7</v>
      </c>
      <c r="AN594" s="19">
        <v>45.9</v>
      </c>
      <c r="AO594" s="19">
        <v>58.9</v>
      </c>
      <c r="AP594" s="19">
        <v>693.0</v>
      </c>
      <c r="AQ594" s="23">
        <v>583.0</v>
      </c>
      <c r="AR594" s="23">
        <v>35.0</v>
      </c>
      <c r="AS594" s="22"/>
      <c r="AT594" s="19" t="s">
        <v>2282</v>
      </c>
      <c r="AU594" s="19" t="s">
        <v>11994</v>
      </c>
      <c r="AV594" s="19" t="s">
        <v>11995</v>
      </c>
      <c r="AW594" s="19" t="s">
        <v>3269</v>
      </c>
      <c r="AX594" s="20">
        <v>36141.0</v>
      </c>
      <c r="AY594" s="19" t="s">
        <v>11996</v>
      </c>
      <c r="AZ594" s="19" t="s">
        <v>2310</v>
      </c>
      <c r="BA594" s="19" t="s">
        <v>11997</v>
      </c>
      <c r="BB594" s="19" t="s">
        <v>2360</v>
      </c>
      <c r="BC594" s="19" t="s">
        <v>11998</v>
      </c>
      <c r="BD594" s="19" t="s">
        <v>11999</v>
      </c>
      <c r="BE594" s="19" t="s">
        <v>11991</v>
      </c>
      <c r="BF594" s="19">
        <v>1.1952907235E10</v>
      </c>
      <c r="BG594" s="19" t="s">
        <v>2127</v>
      </c>
      <c r="BH594" s="19" t="s">
        <v>2128</v>
      </c>
      <c r="BI594" s="19"/>
      <c r="BJ594" s="19"/>
      <c r="BK594" s="19" t="s">
        <v>16</v>
      </c>
      <c r="BL594" s="19"/>
      <c r="BM594" s="19" t="s">
        <v>5411</v>
      </c>
      <c r="BN594" s="19" t="s">
        <v>17</v>
      </c>
      <c r="BO594" s="19" t="s">
        <v>2473</v>
      </c>
      <c r="BP594" s="19" t="s">
        <v>12000</v>
      </c>
      <c r="BQ594" s="19" t="s">
        <v>3832</v>
      </c>
      <c r="BR594" s="19" t="s">
        <v>3832</v>
      </c>
      <c r="BS594" s="19" t="s">
        <v>2134</v>
      </c>
      <c r="BT594" s="19" t="s">
        <v>268</v>
      </c>
      <c r="BU594" s="19" t="s">
        <v>12001</v>
      </c>
      <c r="BV594" s="19"/>
      <c r="BW594" s="19" t="s">
        <v>2113</v>
      </c>
      <c r="BX594" s="19"/>
      <c r="BY594" s="19"/>
      <c r="BZ594" s="19"/>
      <c r="CA594" s="19"/>
      <c r="CB594" s="19" t="s">
        <v>2113</v>
      </c>
      <c r="CC594" s="19"/>
      <c r="CD594" s="19" t="s">
        <v>2137</v>
      </c>
      <c r="CE594" s="19" t="s">
        <v>16</v>
      </c>
      <c r="CF594" s="19"/>
      <c r="CG594" s="19"/>
      <c r="CH594" s="19" t="s">
        <v>16</v>
      </c>
      <c r="CI594" s="21">
        <v>0.0</v>
      </c>
      <c r="CJ594" s="19" t="s">
        <v>16</v>
      </c>
      <c r="CK594" s="19"/>
      <c r="CL594" s="19"/>
      <c r="CM594" s="19"/>
      <c r="CN594" s="19" t="s">
        <v>3835</v>
      </c>
      <c r="CO594" s="19"/>
      <c r="CP594" s="19"/>
      <c r="CQ594" s="19"/>
      <c r="CR594" s="19" t="s">
        <v>2113</v>
      </c>
      <c r="CS594" s="19" t="s">
        <v>2113</v>
      </c>
      <c r="CT594" s="19" t="s">
        <v>2113</v>
      </c>
      <c r="CU594" s="19" t="s">
        <v>2113</v>
      </c>
      <c r="CV594" s="19" t="s">
        <v>2141</v>
      </c>
      <c r="CW594" s="19" t="s">
        <v>2113</v>
      </c>
      <c r="CX594" s="19" t="s">
        <v>2113</v>
      </c>
      <c r="CY594" s="19" t="s">
        <v>2113</v>
      </c>
      <c r="CZ594" s="19" t="s">
        <v>2113</v>
      </c>
      <c r="DA594" s="19" t="s">
        <v>16</v>
      </c>
      <c r="DB594" s="19" t="s">
        <v>16</v>
      </c>
      <c r="DC594" s="19" t="s">
        <v>9436</v>
      </c>
      <c r="DD594" s="19" t="s">
        <v>2113</v>
      </c>
      <c r="DE594" s="19" t="s">
        <v>2113</v>
      </c>
      <c r="DF594" s="19" t="s">
        <v>3836</v>
      </c>
      <c r="DG594" s="19" t="s">
        <v>4083</v>
      </c>
      <c r="DH594" s="19" t="s">
        <v>2144</v>
      </c>
      <c r="DI594" s="24">
        <v>45519.0</v>
      </c>
      <c r="DJ594" s="19" t="s">
        <v>3257</v>
      </c>
      <c r="DK594" s="19" t="s">
        <v>2271</v>
      </c>
      <c r="DL594" s="19" t="s">
        <v>2207</v>
      </c>
      <c r="DM594" s="22" t="s">
        <v>5338</v>
      </c>
      <c r="DN594" s="19">
        <v>3.0</v>
      </c>
      <c r="DO594" s="19">
        <v>3.0</v>
      </c>
      <c r="DP594" s="19" t="s">
        <v>12002</v>
      </c>
      <c r="DQ594" s="19" t="s">
        <v>12003</v>
      </c>
      <c r="DR594" s="19" t="s">
        <v>12004</v>
      </c>
      <c r="DS594" s="19" t="s">
        <v>2185</v>
      </c>
      <c r="DT594" s="19" t="s">
        <v>2209</v>
      </c>
      <c r="DU594" s="19"/>
      <c r="DV594" s="19"/>
      <c r="DW594" s="19" t="s">
        <v>3306</v>
      </c>
      <c r="DX594" s="19">
        <v>4.0</v>
      </c>
      <c r="DY594" s="19">
        <v>10.0</v>
      </c>
      <c r="DZ594" s="19">
        <v>0.0</v>
      </c>
      <c r="EA594" s="19">
        <v>10.0</v>
      </c>
      <c r="EB594" s="19">
        <v>0.0</v>
      </c>
      <c r="EC594" s="19">
        <v>0.0</v>
      </c>
      <c r="ED594" s="19" t="s">
        <v>3257</v>
      </c>
      <c r="EE594" s="24">
        <v>45519.0</v>
      </c>
      <c r="EF594" s="19" t="s">
        <v>3257</v>
      </c>
      <c r="EG594" s="19" t="s">
        <v>2271</v>
      </c>
      <c r="EH594" s="19" t="s">
        <v>2207</v>
      </c>
      <c r="EI594" s="22">
        <v>12.1875</v>
      </c>
      <c r="EJ594" s="19">
        <v>33.66666667</v>
      </c>
      <c r="EK594" s="19"/>
      <c r="EL594" s="19" t="s">
        <v>2282</v>
      </c>
      <c r="EM594" s="19" t="s">
        <v>11994</v>
      </c>
      <c r="EN594" s="19" t="s">
        <v>1750</v>
      </c>
      <c r="EO594" s="19" t="s">
        <v>11996</v>
      </c>
      <c r="EP594" s="19" t="s">
        <v>2310</v>
      </c>
      <c r="EQ594" s="19" t="s">
        <v>3835</v>
      </c>
      <c r="ER594" s="19"/>
      <c r="ES594" s="19" t="s">
        <v>1750</v>
      </c>
      <c r="ET594" s="19" t="s">
        <v>1750</v>
      </c>
      <c r="EU594" s="19" t="s">
        <v>11992</v>
      </c>
      <c r="EV594" s="19">
        <v>9320.0</v>
      </c>
      <c r="EW594" s="19" t="s">
        <v>16</v>
      </c>
      <c r="EX594" s="19">
        <v>3.0</v>
      </c>
      <c r="EY594" s="25" t="s">
        <v>1749</v>
      </c>
      <c r="EZ594" s="19" t="s">
        <v>2154</v>
      </c>
      <c r="FA594" s="5" t="s">
        <v>12005</v>
      </c>
      <c r="FB594" s="26" t="s">
        <v>2156</v>
      </c>
      <c r="FC594" s="26"/>
    </row>
    <row r="595">
      <c r="A595" s="19" t="s">
        <v>2112</v>
      </c>
      <c r="B595" s="19" t="s">
        <v>2113</v>
      </c>
      <c r="C595" s="19" t="s">
        <v>2113</v>
      </c>
      <c r="D595" s="19" t="s">
        <v>1751</v>
      </c>
      <c r="E595" s="19" t="s">
        <v>1751</v>
      </c>
      <c r="F595" s="19" t="s">
        <v>1751</v>
      </c>
      <c r="G595" s="19"/>
      <c r="H595" s="19" t="s">
        <v>1751</v>
      </c>
      <c r="I595" s="19" t="s">
        <v>1556</v>
      </c>
      <c r="J595" s="19" t="s">
        <v>12006</v>
      </c>
      <c r="K595" s="19" t="s">
        <v>12007</v>
      </c>
      <c r="L595" s="20">
        <v>45418.0</v>
      </c>
      <c r="M595" s="20">
        <v>45428.0</v>
      </c>
      <c r="N595" s="20">
        <v>45428.0</v>
      </c>
      <c r="O595" s="19" t="s">
        <v>1752</v>
      </c>
      <c r="P595" s="19">
        <v>0.0</v>
      </c>
      <c r="Q595" s="19">
        <v>24.0</v>
      </c>
      <c r="R595" s="19">
        <v>9094.0</v>
      </c>
      <c r="S595" s="20" t="s">
        <v>12008</v>
      </c>
      <c r="T595" s="20">
        <v>45461.0</v>
      </c>
      <c r="U595" s="19" t="s">
        <v>1751</v>
      </c>
      <c r="V595" s="19"/>
      <c r="W595" s="19" t="s">
        <v>2131</v>
      </c>
      <c r="X595" s="21">
        <v>20.0</v>
      </c>
      <c r="Y595" s="21">
        <v>0.0</v>
      </c>
      <c r="Z595" s="21">
        <v>1.0</v>
      </c>
      <c r="AA595" s="21">
        <v>0.0</v>
      </c>
      <c r="AB595" s="5">
        <v>21.0</v>
      </c>
      <c r="AC595" s="19">
        <v>4.0</v>
      </c>
      <c r="AD595" s="19">
        <v>4.0</v>
      </c>
      <c r="AE595" s="19">
        <v>5.0</v>
      </c>
      <c r="AF595" s="19">
        <v>4.0</v>
      </c>
      <c r="AG595" s="19">
        <v>4.0</v>
      </c>
      <c r="AH595" s="19">
        <v>4.0</v>
      </c>
      <c r="AI595" s="22">
        <v>12.75</v>
      </c>
      <c r="AJ595" s="19">
        <v>15.0</v>
      </c>
      <c r="AK595" s="19">
        <v>15.0</v>
      </c>
      <c r="AL595" s="19">
        <v>15.0</v>
      </c>
      <c r="AM595" s="19">
        <v>25.0</v>
      </c>
      <c r="AN595" s="19">
        <v>37.8</v>
      </c>
      <c r="AO595" s="19">
        <v>58.8</v>
      </c>
      <c r="AP595" s="19">
        <v>342.0</v>
      </c>
      <c r="AQ595" s="23">
        <v>584.0</v>
      </c>
      <c r="AR595" s="23">
        <v>43.0</v>
      </c>
      <c r="AS595" s="22"/>
      <c r="AT595" s="19" t="s">
        <v>2282</v>
      </c>
      <c r="AU595" s="19" t="s">
        <v>5185</v>
      </c>
      <c r="AV595" s="19" t="s">
        <v>12009</v>
      </c>
      <c r="AW595" s="19" t="s">
        <v>12010</v>
      </c>
      <c r="AX595" s="20">
        <v>36367.0</v>
      </c>
      <c r="AY595" s="19" t="s">
        <v>5187</v>
      </c>
      <c r="AZ595" s="19" t="s">
        <v>2122</v>
      </c>
      <c r="BA595" s="19" t="s">
        <v>12011</v>
      </c>
      <c r="BB595" s="19" t="s">
        <v>3404</v>
      </c>
      <c r="BC595" s="19" t="s">
        <v>12012</v>
      </c>
      <c r="BD595" s="19" t="s">
        <v>12013</v>
      </c>
      <c r="BE595" s="19" t="s">
        <v>12006</v>
      </c>
      <c r="BF595" s="19">
        <v>1.1963612381E10</v>
      </c>
      <c r="BG595" s="19" t="s">
        <v>4038</v>
      </c>
      <c r="BH595" s="19" t="s">
        <v>2649</v>
      </c>
      <c r="BI595" s="19"/>
      <c r="BJ595" s="19" t="s">
        <v>2129</v>
      </c>
      <c r="BK595" s="19" t="s">
        <v>17</v>
      </c>
      <c r="BL595" s="19" t="s">
        <v>2113</v>
      </c>
      <c r="BM595" s="19" t="s">
        <v>2130</v>
      </c>
      <c r="BN595" s="19" t="s">
        <v>17</v>
      </c>
      <c r="BO595" s="19" t="s">
        <v>3082</v>
      </c>
      <c r="BP595" s="19"/>
      <c r="BQ595" s="19" t="s">
        <v>2174</v>
      </c>
      <c r="BR595" s="19" t="s">
        <v>2174</v>
      </c>
      <c r="BS595" s="19" t="s">
        <v>2134</v>
      </c>
      <c r="BT595" s="19" t="s">
        <v>34</v>
      </c>
      <c r="BU595" s="19" t="s">
        <v>11333</v>
      </c>
      <c r="BV595" s="19" t="s">
        <v>12014</v>
      </c>
      <c r="BW595" s="19"/>
      <c r="BX595" s="19"/>
      <c r="BY595" s="19" t="s">
        <v>2113</v>
      </c>
      <c r="BZ595" s="19" t="s">
        <v>2113</v>
      </c>
      <c r="CA595" s="19"/>
      <c r="CB595" s="19" t="s">
        <v>2113</v>
      </c>
      <c r="CC595" s="19" t="s">
        <v>2113</v>
      </c>
      <c r="CD595" s="19" t="s">
        <v>2137</v>
      </c>
      <c r="CE595" s="19" t="s">
        <v>16</v>
      </c>
      <c r="CF595" s="19"/>
      <c r="CG595" s="19"/>
      <c r="CH595" s="19" t="s">
        <v>16</v>
      </c>
      <c r="CI595" s="21">
        <v>0.0</v>
      </c>
      <c r="CJ595" s="19" t="s">
        <v>16</v>
      </c>
      <c r="CK595" s="19"/>
      <c r="CL595" s="19"/>
      <c r="CM595" s="19" t="s">
        <v>2344</v>
      </c>
      <c r="CN595" s="19" t="s">
        <v>4925</v>
      </c>
      <c r="CO595" s="19"/>
      <c r="CP595" s="19" t="s">
        <v>2246</v>
      </c>
      <c r="CQ595" s="19"/>
      <c r="CR595" s="19" t="s">
        <v>2113</v>
      </c>
      <c r="CS595" s="19" t="s">
        <v>2113</v>
      </c>
      <c r="CT595" s="19"/>
      <c r="CU595" s="19"/>
      <c r="CV595" s="19" t="s">
        <v>2141</v>
      </c>
      <c r="CW595" s="19" t="s">
        <v>2113</v>
      </c>
      <c r="CX595" s="19" t="s">
        <v>2113</v>
      </c>
      <c r="CY595" s="19"/>
      <c r="CZ595" s="19"/>
      <c r="DA595" s="19" t="s">
        <v>16</v>
      </c>
      <c r="DB595" s="19" t="s">
        <v>16</v>
      </c>
      <c r="DC595" s="19" t="s">
        <v>3042</v>
      </c>
      <c r="DD595" s="19"/>
      <c r="DE595" s="19"/>
      <c r="DF595" s="19" t="s">
        <v>4707</v>
      </c>
      <c r="DG595" s="19" t="s">
        <v>2248</v>
      </c>
      <c r="DH595" s="19" t="s">
        <v>2144</v>
      </c>
      <c r="DI595" s="24">
        <v>45525.0</v>
      </c>
      <c r="DJ595" s="19" t="s">
        <v>2174</v>
      </c>
      <c r="DK595" s="19" t="s">
        <v>2271</v>
      </c>
      <c r="DL595" s="19" t="s">
        <v>2183</v>
      </c>
      <c r="DM595" s="19" t="s">
        <v>2249</v>
      </c>
      <c r="DN595" s="19">
        <v>10.0</v>
      </c>
      <c r="DO595" s="19">
        <v>10.0</v>
      </c>
      <c r="DP595" s="19" t="s">
        <v>12015</v>
      </c>
      <c r="DQ595" s="19" t="s">
        <v>12016</v>
      </c>
      <c r="DR595" s="19" t="s">
        <v>12017</v>
      </c>
      <c r="DS595" s="19" t="s">
        <v>2151</v>
      </c>
      <c r="DT595" s="19" t="s">
        <v>2350</v>
      </c>
      <c r="DU595" s="19"/>
      <c r="DV595" s="19"/>
      <c r="DW595" s="19" t="s">
        <v>2479</v>
      </c>
      <c r="DX595" s="19">
        <v>16.0</v>
      </c>
      <c r="DY595" s="19">
        <v>0.0</v>
      </c>
      <c r="DZ595" s="19">
        <v>0.0</v>
      </c>
      <c r="EA595" s="19">
        <v>0.0</v>
      </c>
      <c r="EB595" s="19">
        <v>0.0</v>
      </c>
      <c r="EC595" s="19">
        <v>20.0</v>
      </c>
      <c r="ED595" s="19" t="s">
        <v>2174</v>
      </c>
      <c r="EE595" s="24">
        <v>45525.0</v>
      </c>
      <c r="EF595" s="19" t="s">
        <v>2174</v>
      </c>
      <c r="EG595" s="19" t="s">
        <v>2271</v>
      </c>
      <c r="EH595" s="19" t="s">
        <v>2183</v>
      </c>
      <c r="EI595" s="22">
        <v>12.75</v>
      </c>
      <c r="EJ595" s="19">
        <v>25.0</v>
      </c>
      <c r="EK595" s="19"/>
      <c r="EL595" s="19" t="s">
        <v>2282</v>
      </c>
      <c r="EM595" s="19" t="s">
        <v>5185</v>
      </c>
      <c r="EN595" s="19" t="s">
        <v>1556</v>
      </c>
      <c r="EO595" s="19" t="s">
        <v>5187</v>
      </c>
      <c r="EP595" s="19" t="s">
        <v>2122</v>
      </c>
      <c r="EQ595" s="19" t="s">
        <v>4925</v>
      </c>
      <c r="ER595" s="19"/>
      <c r="ES595" s="19" t="s">
        <v>1556</v>
      </c>
      <c r="ET595" s="19" t="s">
        <v>1556</v>
      </c>
      <c r="EU595" s="19" t="s">
        <v>12007</v>
      </c>
      <c r="EV595" s="19">
        <v>9094.0</v>
      </c>
      <c r="EW595" s="19" t="s">
        <v>16</v>
      </c>
      <c r="EX595" s="19">
        <v>1.0</v>
      </c>
      <c r="EY595" s="25" t="s">
        <v>1752</v>
      </c>
      <c r="EZ595" s="19" t="s">
        <v>2154</v>
      </c>
      <c r="FA595" s="5" t="s">
        <v>12018</v>
      </c>
      <c r="FB595" s="26" t="s">
        <v>2156</v>
      </c>
      <c r="FC595" s="26"/>
    </row>
    <row r="596">
      <c r="A596" s="19" t="s">
        <v>2156</v>
      </c>
      <c r="B596" s="19"/>
      <c r="C596" s="19" t="s">
        <v>2113</v>
      </c>
      <c r="D596" s="19" t="s">
        <v>12019</v>
      </c>
      <c r="E596" s="19" t="s">
        <v>12020</v>
      </c>
      <c r="F596" s="19" t="s">
        <v>12021</v>
      </c>
      <c r="G596" s="19" t="s">
        <v>12022</v>
      </c>
      <c r="H596" s="19" t="s">
        <v>1753</v>
      </c>
      <c r="I596" s="19" t="s">
        <v>1755</v>
      </c>
      <c r="J596" s="19" t="s">
        <v>12023</v>
      </c>
      <c r="K596" s="19" t="s">
        <v>12024</v>
      </c>
      <c r="L596" s="20">
        <v>45444.0</v>
      </c>
      <c r="M596" s="20">
        <v>45446.0</v>
      </c>
      <c r="N596" s="20">
        <v>45446.0</v>
      </c>
      <c r="O596" s="19" t="s">
        <v>1754</v>
      </c>
      <c r="P596" s="19">
        <v>0.0</v>
      </c>
      <c r="Q596" s="19">
        <v>25.0</v>
      </c>
      <c r="R596" s="19">
        <v>9142.0</v>
      </c>
      <c r="S596" s="20" t="s">
        <v>12025</v>
      </c>
      <c r="T596" s="20">
        <v>45461.0</v>
      </c>
      <c r="U596" s="19" t="s">
        <v>12026</v>
      </c>
      <c r="V596" s="19"/>
      <c r="W596" s="19"/>
      <c r="X596" s="21">
        <v>0.0</v>
      </c>
      <c r="Y596" s="21">
        <v>0.0</v>
      </c>
      <c r="Z596" s="21">
        <v>5.0</v>
      </c>
      <c r="AA596" s="21">
        <v>0.0</v>
      </c>
      <c r="AB596" s="5">
        <v>5.0</v>
      </c>
      <c r="AC596" s="19">
        <v>4.0</v>
      </c>
      <c r="AD596" s="19">
        <v>3.0</v>
      </c>
      <c r="AE596" s="19">
        <v>3.0</v>
      </c>
      <c r="AF596" s="19">
        <v>4.0</v>
      </c>
      <c r="AG596" s="19">
        <v>3.0</v>
      </c>
      <c r="AH596" s="19">
        <v>3.0</v>
      </c>
      <c r="AI596" s="22">
        <v>9.84375</v>
      </c>
      <c r="AJ596" s="19">
        <v>15.0</v>
      </c>
      <c r="AK596" s="19">
        <v>15.0</v>
      </c>
      <c r="AL596" s="19">
        <v>14.0</v>
      </c>
      <c r="AM596" s="19">
        <v>44.0</v>
      </c>
      <c r="AN596" s="19">
        <v>53.8</v>
      </c>
      <c r="AO596" s="19">
        <v>58.8</v>
      </c>
      <c r="AP596" s="19">
        <v>1047.0</v>
      </c>
      <c r="AQ596" s="23">
        <v>585.0</v>
      </c>
      <c r="AR596" s="23">
        <v>85.0</v>
      </c>
      <c r="AS596" s="22"/>
      <c r="AT596" s="19" t="s">
        <v>2117</v>
      </c>
      <c r="AU596" s="19" t="s">
        <v>6816</v>
      </c>
      <c r="AV596" s="19" t="s">
        <v>12027</v>
      </c>
      <c r="AW596" s="19" t="s">
        <v>2166</v>
      </c>
      <c r="AX596" s="20">
        <v>36319.0</v>
      </c>
      <c r="AY596" s="19" t="s">
        <v>2467</v>
      </c>
      <c r="AZ596" s="19" t="s">
        <v>2122</v>
      </c>
      <c r="BA596" s="19" t="s">
        <v>12028</v>
      </c>
      <c r="BB596" s="19" t="s">
        <v>12029</v>
      </c>
      <c r="BC596" s="19" t="s">
        <v>12030</v>
      </c>
      <c r="BD596" s="19" t="s">
        <v>12031</v>
      </c>
      <c r="BE596" s="19" t="s">
        <v>12023</v>
      </c>
      <c r="BF596" s="19">
        <v>1.1958224465E10</v>
      </c>
      <c r="BG596" s="19" t="s">
        <v>2127</v>
      </c>
      <c r="BH596" s="19" t="s">
        <v>2128</v>
      </c>
      <c r="BI596" s="19"/>
      <c r="BJ596" s="19" t="s">
        <v>2128</v>
      </c>
      <c r="BK596" s="19" t="s">
        <v>16</v>
      </c>
      <c r="BL596" s="19" t="s">
        <v>2113</v>
      </c>
      <c r="BM596" s="19" t="s">
        <v>5411</v>
      </c>
      <c r="BN596" s="19" t="s">
        <v>17</v>
      </c>
      <c r="BO596" s="19" t="s">
        <v>2132</v>
      </c>
      <c r="BP596" s="19" t="s">
        <v>12032</v>
      </c>
      <c r="BQ596" s="19" t="s">
        <v>2133</v>
      </c>
      <c r="BR596" s="19" t="s">
        <v>2133</v>
      </c>
      <c r="BS596" s="19" t="s">
        <v>3521</v>
      </c>
      <c r="BT596" s="19" t="s">
        <v>38</v>
      </c>
      <c r="BU596" s="19" t="s">
        <v>12033</v>
      </c>
      <c r="BV596" s="19"/>
      <c r="BW596" s="19"/>
      <c r="BX596" s="19"/>
      <c r="BY596" s="19" t="s">
        <v>2113</v>
      </c>
      <c r="BZ596" s="19" t="s">
        <v>2113</v>
      </c>
      <c r="CA596" s="19"/>
      <c r="CB596" s="19"/>
      <c r="CC596" s="19"/>
      <c r="CD596" s="19" t="s">
        <v>2137</v>
      </c>
      <c r="CE596" s="19" t="s">
        <v>16</v>
      </c>
      <c r="CF596" s="19"/>
      <c r="CG596" s="19"/>
      <c r="CH596" s="19" t="s">
        <v>16</v>
      </c>
      <c r="CI596" s="21">
        <v>0.0</v>
      </c>
      <c r="CJ596" s="19" t="s">
        <v>17</v>
      </c>
      <c r="CK596" s="19"/>
      <c r="CL596" s="19"/>
      <c r="CM596" s="19"/>
      <c r="CN596" s="19" t="s">
        <v>2294</v>
      </c>
      <c r="CO596" s="19"/>
      <c r="CP596" s="19" t="s">
        <v>2178</v>
      </c>
      <c r="CQ596" s="19"/>
      <c r="CR596" s="19" t="s">
        <v>2113</v>
      </c>
      <c r="CS596" s="19" t="s">
        <v>2113</v>
      </c>
      <c r="CT596" s="19" t="s">
        <v>2113</v>
      </c>
      <c r="CU596" s="19" t="s">
        <v>2113</v>
      </c>
      <c r="CV596" s="19" t="s">
        <v>2141</v>
      </c>
      <c r="CW596" s="19"/>
      <c r="CX596" s="19"/>
      <c r="CY596" s="19"/>
      <c r="CZ596" s="19"/>
      <c r="DA596" s="19" t="s">
        <v>16</v>
      </c>
      <c r="DB596" s="19" t="s">
        <v>17</v>
      </c>
      <c r="DC596" s="19" t="s">
        <v>2143</v>
      </c>
      <c r="DD596" s="19" t="s">
        <v>2113</v>
      </c>
      <c r="DE596" s="19" t="s">
        <v>2113</v>
      </c>
      <c r="DF596" s="19" t="s">
        <v>2433</v>
      </c>
      <c r="DG596" s="19" t="s">
        <v>2207</v>
      </c>
      <c r="DH596" s="19" t="s">
        <v>2144</v>
      </c>
      <c r="DI596" s="24">
        <v>45518.0</v>
      </c>
      <c r="DJ596" s="19" t="s">
        <v>2133</v>
      </c>
      <c r="DK596" s="19" t="s">
        <v>2145</v>
      </c>
      <c r="DL596" s="19" t="s">
        <v>2146</v>
      </c>
      <c r="DM596" s="19" t="s">
        <v>2672</v>
      </c>
      <c r="DN596" s="19">
        <v>3.0</v>
      </c>
      <c r="DO596" s="19">
        <v>3.0</v>
      </c>
      <c r="DP596" s="19" t="s">
        <v>12034</v>
      </c>
      <c r="DQ596" s="19" t="s">
        <v>12035</v>
      </c>
      <c r="DR596" s="19" t="s">
        <v>12036</v>
      </c>
      <c r="DS596" s="19" t="s">
        <v>2185</v>
      </c>
      <c r="DT596" s="19" t="s">
        <v>2301</v>
      </c>
      <c r="DU596" s="19"/>
      <c r="DV596" s="19"/>
      <c r="DW596" s="19" t="s">
        <v>2153</v>
      </c>
      <c r="DX596" s="19">
        <v>1.0</v>
      </c>
      <c r="DY596" s="19">
        <v>0.0</v>
      </c>
      <c r="DZ596" s="19">
        <v>0.0</v>
      </c>
      <c r="EA596" s="19">
        <v>0.0</v>
      </c>
      <c r="EB596" s="19">
        <v>0.0</v>
      </c>
      <c r="EC596" s="19">
        <v>0.0</v>
      </c>
      <c r="ED596" s="19" t="s">
        <v>2133</v>
      </c>
      <c r="EE596" s="24">
        <v>45518.0</v>
      </c>
      <c r="EF596" s="19" t="s">
        <v>2133</v>
      </c>
      <c r="EG596" s="19" t="s">
        <v>2145</v>
      </c>
      <c r="EH596" s="19" t="s">
        <v>2146</v>
      </c>
      <c r="EI596" s="22">
        <v>9.84375</v>
      </c>
      <c r="EJ596" s="19">
        <v>44.0</v>
      </c>
      <c r="EK596" s="19" t="s">
        <v>2113</v>
      </c>
      <c r="EL596" s="19" t="s">
        <v>2117</v>
      </c>
      <c r="EM596" s="19" t="s">
        <v>6816</v>
      </c>
      <c r="EN596" s="19" t="s">
        <v>1755</v>
      </c>
      <c r="EO596" s="19" t="s">
        <v>2467</v>
      </c>
      <c r="EP596" s="19" t="s">
        <v>2122</v>
      </c>
      <c r="EQ596" s="19" t="s">
        <v>2294</v>
      </c>
      <c r="ER596" s="19"/>
      <c r="ES596" s="19" t="s">
        <v>1755</v>
      </c>
      <c r="ET596" s="19" t="s">
        <v>1755</v>
      </c>
      <c r="EU596" s="19" t="s">
        <v>12024</v>
      </c>
      <c r="EV596" s="19">
        <v>9142.0</v>
      </c>
      <c r="EW596" s="19" t="s">
        <v>16</v>
      </c>
      <c r="EX596" s="19">
        <v>5.0</v>
      </c>
      <c r="EY596" s="25" t="s">
        <v>1754</v>
      </c>
      <c r="EZ596" s="19" t="s">
        <v>2154</v>
      </c>
      <c r="FA596" s="5" t="s">
        <v>12037</v>
      </c>
      <c r="FB596" s="26" t="s">
        <v>2156</v>
      </c>
      <c r="FC596" s="26"/>
    </row>
    <row r="597">
      <c r="A597" s="19" t="s">
        <v>2112</v>
      </c>
      <c r="B597" s="19"/>
      <c r="C597" s="19" t="s">
        <v>2113</v>
      </c>
      <c r="D597" s="19" t="s">
        <v>1756</v>
      </c>
      <c r="E597" s="19" t="s">
        <v>12038</v>
      </c>
      <c r="F597" s="19" t="s">
        <v>1756</v>
      </c>
      <c r="G597" s="19"/>
      <c r="H597" s="19" t="s">
        <v>1756</v>
      </c>
      <c r="I597" s="19" t="s">
        <v>1758</v>
      </c>
      <c r="J597" s="19" t="s">
        <v>12039</v>
      </c>
      <c r="K597" s="19" t="s">
        <v>12040</v>
      </c>
      <c r="L597" s="20">
        <v>45440.0</v>
      </c>
      <c r="M597" s="20">
        <v>45441.0</v>
      </c>
      <c r="N597" s="20">
        <v>45441.0</v>
      </c>
      <c r="O597" s="19" t="s">
        <v>1757</v>
      </c>
      <c r="P597" s="19">
        <v>0.0</v>
      </c>
      <c r="Q597" s="19">
        <v>24.0</v>
      </c>
      <c r="R597" s="19">
        <v>8918.0</v>
      </c>
      <c r="S597" s="20" t="s">
        <v>12041</v>
      </c>
      <c r="T597" s="20">
        <v>45461.0</v>
      </c>
      <c r="U597" s="19" t="s">
        <v>1756</v>
      </c>
      <c r="V597" s="19"/>
      <c r="W597" s="19"/>
      <c r="X597" s="21">
        <v>0.0</v>
      </c>
      <c r="Y597" s="21">
        <v>0.0</v>
      </c>
      <c r="Z597" s="21">
        <v>4.0</v>
      </c>
      <c r="AA597" s="21">
        <v>0.0</v>
      </c>
      <c r="AB597" s="5">
        <v>4.0</v>
      </c>
      <c r="AC597" s="19">
        <v>4.0</v>
      </c>
      <c r="AD597" s="19">
        <v>3.0</v>
      </c>
      <c r="AE597" s="19">
        <v>3.0</v>
      </c>
      <c r="AF597" s="19">
        <v>4.0</v>
      </c>
      <c r="AG597" s="19">
        <v>3.0</v>
      </c>
      <c r="AH597" s="19">
        <v>3.0</v>
      </c>
      <c r="AI597" s="22">
        <v>9.84375</v>
      </c>
      <c r="AJ597" s="19">
        <v>15.0</v>
      </c>
      <c r="AK597" s="19">
        <v>15.0</v>
      </c>
      <c r="AL597" s="19">
        <v>15.0</v>
      </c>
      <c r="AM597" s="19">
        <v>45.0</v>
      </c>
      <c r="AN597" s="19">
        <v>54.8</v>
      </c>
      <c r="AO597" s="19">
        <v>58.8</v>
      </c>
      <c r="AP597" s="19">
        <v>1173.0</v>
      </c>
      <c r="AQ597" s="23">
        <v>586.0</v>
      </c>
      <c r="AR597" s="23">
        <v>53.0</v>
      </c>
      <c r="AS597" s="22"/>
      <c r="AT597" s="19" t="s">
        <v>2117</v>
      </c>
      <c r="AU597" s="19" t="s">
        <v>12042</v>
      </c>
      <c r="AV597" s="19" t="s">
        <v>12043</v>
      </c>
      <c r="AW597" s="19" t="s">
        <v>12044</v>
      </c>
      <c r="AX597" s="20">
        <v>36543.0</v>
      </c>
      <c r="AY597" s="19" t="s">
        <v>2375</v>
      </c>
      <c r="AZ597" s="19" t="s">
        <v>2122</v>
      </c>
      <c r="BA597" s="19" t="s">
        <v>12045</v>
      </c>
      <c r="BB597" s="19" t="s">
        <v>9616</v>
      </c>
      <c r="BC597" s="19" t="s">
        <v>12046</v>
      </c>
      <c r="BD597" s="19" t="s">
        <v>12047</v>
      </c>
      <c r="BE597" s="19" t="s">
        <v>12039</v>
      </c>
      <c r="BF597" s="19">
        <v>1.1940103293E10</v>
      </c>
      <c r="BG597" s="19" t="s">
        <v>4038</v>
      </c>
      <c r="BH597" s="19" t="s">
        <v>2128</v>
      </c>
      <c r="BI597" s="19"/>
      <c r="BJ597" s="19" t="s">
        <v>2128</v>
      </c>
      <c r="BK597" s="19" t="s">
        <v>17</v>
      </c>
      <c r="BL597" s="19"/>
      <c r="BM597" s="19" t="s">
        <v>5411</v>
      </c>
      <c r="BN597" s="19" t="s">
        <v>17</v>
      </c>
      <c r="BO597" s="19" t="s">
        <v>2317</v>
      </c>
      <c r="BP597" s="19" t="s">
        <v>12048</v>
      </c>
      <c r="BQ597" s="19" t="s">
        <v>2133</v>
      </c>
      <c r="BR597" s="19" t="s">
        <v>2133</v>
      </c>
      <c r="BS597" s="19" t="s">
        <v>2134</v>
      </c>
      <c r="BT597" s="19" t="s">
        <v>52</v>
      </c>
      <c r="BU597" s="19" t="s">
        <v>12049</v>
      </c>
      <c r="BV597" s="19"/>
      <c r="BW597" s="19"/>
      <c r="BX597" s="19"/>
      <c r="BY597" s="19" t="s">
        <v>2113</v>
      </c>
      <c r="BZ597" s="19" t="s">
        <v>2113</v>
      </c>
      <c r="CA597" s="19"/>
      <c r="CB597" s="19" t="s">
        <v>2113</v>
      </c>
      <c r="CC597" s="19" t="s">
        <v>2113</v>
      </c>
      <c r="CD597" s="19" t="s">
        <v>2137</v>
      </c>
      <c r="CE597" s="19" t="s">
        <v>16</v>
      </c>
      <c r="CF597" s="19"/>
      <c r="CG597" s="19"/>
      <c r="CH597" s="19" t="s">
        <v>16</v>
      </c>
      <c r="CI597" s="21">
        <v>0.0</v>
      </c>
      <c r="CJ597" s="19" t="s">
        <v>17</v>
      </c>
      <c r="CK597" s="19"/>
      <c r="CL597" s="19"/>
      <c r="CM597" s="19" t="s">
        <v>2138</v>
      </c>
      <c r="CN597" s="19" t="s">
        <v>2382</v>
      </c>
      <c r="CO597" s="19"/>
      <c r="CP597" s="19" t="s">
        <v>2246</v>
      </c>
      <c r="CQ597" s="19"/>
      <c r="CR597" s="19" t="s">
        <v>2113</v>
      </c>
      <c r="CS597" s="19" t="s">
        <v>2113</v>
      </c>
      <c r="CT597" s="19" t="s">
        <v>2113</v>
      </c>
      <c r="CU597" s="19" t="s">
        <v>2113</v>
      </c>
      <c r="CV597" s="19" t="s">
        <v>2141</v>
      </c>
      <c r="CW597" s="19"/>
      <c r="CX597" s="19"/>
      <c r="CY597" s="19" t="s">
        <v>2113</v>
      </c>
      <c r="CZ597" s="19" t="s">
        <v>2113</v>
      </c>
      <c r="DA597" s="19" t="s">
        <v>16</v>
      </c>
      <c r="DB597" s="19" t="s">
        <v>17</v>
      </c>
      <c r="DC597" s="19" t="s">
        <v>2627</v>
      </c>
      <c r="DD597" s="19" t="s">
        <v>2113</v>
      </c>
      <c r="DE597" s="19" t="s">
        <v>2113</v>
      </c>
      <c r="DF597" s="19" t="s">
        <v>2383</v>
      </c>
      <c r="DG597" s="19" t="s">
        <v>2207</v>
      </c>
      <c r="DH597" s="19" t="s">
        <v>2144</v>
      </c>
      <c r="DI597" s="24">
        <v>45526.0</v>
      </c>
      <c r="DJ597" s="19" t="s">
        <v>2133</v>
      </c>
      <c r="DK597" s="19" t="s">
        <v>2145</v>
      </c>
      <c r="DL597" s="19" t="s">
        <v>2146</v>
      </c>
      <c r="DM597" s="19" t="s">
        <v>3338</v>
      </c>
      <c r="DN597" s="19">
        <v>11.0</v>
      </c>
      <c r="DO597" s="19">
        <v>11.0</v>
      </c>
      <c r="DP597" s="19" t="s">
        <v>12050</v>
      </c>
      <c r="DQ597" s="19" t="s">
        <v>12051</v>
      </c>
      <c r="DR597" s="19" t="s">
        <v>12052</v>
      </c>
      <c r="DS597" s="19" t="s">
        <v>2365</v>
      </c>
      <c r="DT597" s="19" t="s">
        <v>2186</v>
      </c>
      <c r="DU597" s="19"/>
      <c r="DV597" s="19"/>
      <c r="DW597" s="19" t="s">
        <v>2188</v>
      </c>
      <c r="DX597" s="19">
        <v>10.0</v>
      </c>
      <c r="DY597" s="19">
        <v>0.0</v>
      </c>
      <c r="DZ597" s="19">
        <v>0.0</v>
      </c>
      <c r="EA597" s="19">
        <v>0.0</v>
      </c>
      <c r="EB597" s="19">
        <v>0.0</v>
      </c>
      <c r="EC597" s="19">
        <v>0.0</v>
      </c>
      <c r="ED597" s="19" t="s">
        <v>2133</v>
      </c>
      <c r="EE597" s="24">
        <v>45526.0</v>
      </c>
      <c r="EF597" s="19" t="s">
        <v>2133</v>
      </c>
      <c r="EG597" s="19" t="s">
        <v>2145</v>
      </c>
      <c r="EH597" s="19" t="s">
        <v>2146</v>
      </c>
      <c r="EI597" s="22">
        <v>9.84375</v>
      </c>
      <c r="EJ597" s="19">
        <v>45.0</v>
      </c>
      <c r="EK597" s="19" t="s">
        <v>2113</v>
      </c>
      <c r="EL597" s="19" t="s">
        <v>2117</v>
      </c>
      <c r="EM597" s="19" t="s">
        <v>12042</v>
      </c>
      <c r="EN597" s="19" t="s">
        <v>1758</v>
      </c>
      <c r="EO597" s="19" t="s">
        <v>2375</v>
      </c>
      <c r="EP597" s="19" t="s">
        <v>2122</v>
      </c>
      <c r="EQ597" s="19" t="s">
        <v>2382</v>
      </c>
      <c r="ER597" s="19"/>
      <c r="ES597" s="19" t="s">
        <v>1758</v>
      </c>
      <c r="ET597" s="19" t="s">
        <v>1758</v>
      </c>
      <c r="EU597" s="19" t="s">
        <v>12040</v>
      </c>
      <c r="EV597" s="19">
        <v>8918.0</v>
      </c>
      <c r="EW597" s="19" t="s">
        <v>16</v>
      </c>
      <c r="EX597" s="19">
        <v>4.0</v>
      </c>
      <c r="EY597" s="25" t="s">
        <v>1757</v>
      </c>
      <c r="EZ597" s="19" t="s">
        <v>2154</v>
      </c>
      <c r="FA597" s="5" t="s">
        <v>12053</v>
      </c>
      <c r="FB597" s="26" t="s">
        <v>2156</v>
      </c>
      <c r="FC597" s="26"/>
    </row>
    <row r="598">
      <c r="A598" s="19" t="s">
        <v>2156</v>
      </c>
      <c r="B598" s="19"/>
      <c r="C598" s="19" t="s">
        <v>2113</v>
      </c>
      <c r="D598" s="19" t="s">
        <v>1759</v>
      </c>
      <c r="E598" s="19" t="s">
        <v>12054</v>
      </c>
      <c r="F598" s="19" t="s">
        <v>1759</v>
      </c>
      <c r="G598" s="19"/>
      <c r="H598" s="19" t="s">
        <v>1759</v>
      </c>
      <c r="I598" s="19" t="s">
        <v>1761</v>
      </c>
      <c r="J598" s="19" t="s">
        <v>12055</v>
      </c>
      <c r="K598" s="19" t="s">
        <v>12056</v>
      </c>
      <c r="L598" s="20">
        <v>45446.0</v>
      </c>
      <c r="M598" s="20">
        <v>45446.0</v>
      </c>
      <c r="N598" s="20">
        <v>45446.0</v>
      </c>
      <c r="O598" s="19" t="s">
        <v>1760</v>
      </c>
      <c r="P598" s="19">
        <v>0.0</v>
      </c>
      <c r="Q598" s="19">
        <v>24.0</v>
      </c>
      <c r="R598" s="19">
        <v>8785.0</v>
      </c>
      <c r="S598" s="20" t="s">
        <v>12057</v>
      </c>
      <c r="T598" s="20">
        <v>45461.0</v>
      </c>
      <c r="U598" s="19" t="s">
        <v>1759</v>
      </c>
      <c r="V598" s="19"/>
      <c r="W598" s="19"/>
      <c r="X598" s="21">
        <v>0.0</v>
      </c>
      <c r="Y598" s="21">
        <v>0.0</v>
      </c>
      <c r="Z598" s="21">
        <v>4.0</v>
      </c>
      <c r="AA598" s="21">
        <v>0.0</v>
      </c>
      <c r="AB598" s="5">
        <v>4.0</v>
      </c>
      <c r="AC598" s="19">
        <v>4.0</v>
      </c>
      <c r="AD598" s="19">
        <v>4.0</v>
      </c>
      <c r="AE598" s="19">
        <v>4.0</v>
      </c>
      <c r="AF598" s="19">
        <v>4.0</v>
      </c>
      <c r="AG598" s="19">
        <v>4.0</v>
      </c>
      <c r="AH598" s="19">
        <v>3.5</v>
      </c>
      <c r="AI598" s="22">
        <v>11.8125</v>
      </c>
      <c r="AJ598" s="19">
        <v>14.0</v>
      </c>
      <c r="AK598" s="19">
        <v>14.0</v>
      </c>
      <c r="AL598" s="19">
        <v>15.0</v>
      </c>
      <c r="AM598" s="19">
        <v>43.0</v>
      </c>
      <c r="AN598" s="19">
        <v>54.8</v>
      </c>
      <c r="AO598" s="19">
        <v>58.8</v>
      </c>
      <c r="AP598" s="19">
        <v>1174.0</v>
      </c>
      <c r="AQ598" s="23">
        <v>587.0</v>
      </c>
      <c r="AR598" s="23">
        <v>45.0</v>
      </c>
      <c r="AS598" s="22"/>
      <c r="AT598" s="19" t="s">
        <v>2163</v>
      </c>
      <c r="AU598" s="19" t="s">
        <v>5293</v>
      </c>
      <c r="AV598" s="19" t="s">
        <v>12058</v>
      </c>
      <c r="AW598" s="19"/>
      <c r="AX598" s="20">
        <v>36676.0</v>
      </c>
      <c r="AY598" s="19" t="s">
        <v>3232</v>
      </c>
      <c r="AZ598" s="19" t="s">
        <v>2310</v>
      </c>
      <c r="BA598" s="19" t="s">
        <v>12059</v>
      </c>
      <c r="BB598" s="19" t="s">
        <v>5189</v>
      </c>
      <c r="BC598" s="19" t="s">
        <v>12060</v>
      </c>
      <c r="BD598" s="19" t="s">
        <v>12061</v>
      </c>
      <c r="BE598" s="19" t="s">
        <v>12055</v>
      </c>
      <c r="BF598" s="19" t="s">
        <v>12062</v>
      </c>
      <c r="BG598" s="19" t="s">
        <v>4038</v>
      </c>
      <c r="BH598" s="19" t="s">
        <v>2128</v>
      </c>
      <c r="BI598" s="19"/>
      <c r="BJ598" s="19"/>
      <c r="BK598" s="19" t="s">
        <v>17</v>
      </c>
      <c r="BL598" s="19" t="s">
        <v>2113</v>
      </c>
      <c r="BM598" s="19" t="s">
        <v>5411</v>
      </c>
      <c r="BN598" s="19" t="s">
        <v>3060</v>
      </c>
      <c r="BO598" s="19" t="s">
        <v>2317</v>
      </c>
      <c r="BP598" s="19"/>
      <c r="BQ598" s="19" t="s">
        <v>2325</v>
      </c>
      <c r="BR598" s="19" t="s">
        <v>2325</v>
      </c>
      <c r="BS598" s="19" t="s">
        <v>2243</v>
      </c>
      <c r="BT598" s="19" t="s">
        <v>118</v>
      </c>
      <c r="BU598" s="19" t="s">
        <v>12063</v>
      </c>
      <c r="BV598" s="19"/>
      <c r="BW598" s="19"/>
      <c r="BX598" s="19"/>
      <c r="BY598" s="19"/>
      <c r="BZ598" s="19"/>
      <c r="CA598" s="19"/>
      <c r="CB598" s="19" t="s">
        <v>2113</v>
      </c>
      <c r="CC598" s="19"/>
      <c r="CD598" s="19" t="s">
        <v>2137</v>
      </c>
      <c r="CE598" s="19" t="s">
        <v>16</v>
      </c>
      <c r="CF598" s="19"/>
      <c r="CG598" s="19"/>
      <c r="CH598" s="19" t="s">
        <v>16</v>
      </c>
      <c r="CI598" s="21">
        <v>0.0</v>
      </c>
      <c r="CJ598" s="19" t="s">
        <v>17</v>
      </c>
      <c r="CK598" s="19"/>
      <c r="CL598" s="19"/>
      <c r="CM598" s="19" t="s">
        <v>2138</v>
      </c>
      <c r="CN598" s="19" t="s">
        <v>2868</v>
      </c>
      <c r="CO598" s="19"/>
      <c r="CP598" s="19" t="s">
        <v>2246</v>
      </c>
      <c r="CQ598" s="19"/>
      <c r="CR598" s="19" t="s">
        <v>2113</v>
      </c>
      <c r="CS598" s="19" t="s">
        <v>2113</v>
      </c>
      <c r="CT598" s="19" t="s">
        <v>2113</v>
      </c>
      <c r="CU598" s="19" t="s">
        <v>2113</v>
      </c>
      <c r="CV598" s="19" t="s">
        <v>2141</v>
      </c>
      <c r="CW598" s="19" t="s">
        <v>2113</v>
      </c>
      <c r="CX598" s="19" t="s">
        <v>2113</v>
      </c>
      <c r="CY598" s="19" t="s">
        <v>2113</v>
      </c>
      <c r="CZ598" s="19" t="s">
        <v>2113</v>
      </c>
      <c r="DA598" s="19" t="s">
        <v>16</v>
      </c>
      <c r="DB598" s="19" t="s">
        <v>17</v>
      </c>
      <c r="DC598" s="19" t="s">
        <v>2869</v>
      </c>
      <c r="DD598" s="19" t="s">
        <v>2113</v>
      </c>
      <c r="DE598" s="19" t="s">
        <v>2113</v>
      </c>
      <c r="DF598" s="19" t="s">
        <v>2498</v>
      </c>
      <c r="DG598" s="19" t="s">
        <v>3914</v>
      </c>
      <c r="DH598" s="19" t="s">
        <v>2144</v>
      </c>
      <c r="DI598" s="24">
        <v>45518.0</v>
      </c>
      <c r="DJ598" s="19" t="s">
        <v>2325</v>
      </c>
      <c r="DK598" s="19" t="s">
        <v>2145</v>
      </c>
      <c r="DL598" s="19" t="s">
        <v>2326</v>
      </c>
      <c r="DM598" s="19"/>
      <c r="DN598" s="19">
        <v>3.0</v>
      </c>
      <c r="DO598" s="19">
        <v>3.0</v>
      </c>
      <c r="DP598" s="19" t="s">
        <v>12064</v>
      </c>
      <c r="DQ598" s="19" t="s">
        <v>12065</v>
      </c>
      <c r="DR598" s="19" t="s">
        <v>12066</v>
      </c>
      <c r="DS598" s="19" t="s">
        <v>2185</v>
      </c>
      <c r="DT598" s="19" t="s">
        <v>2152</v>
      </c>
      <c r="DU598" s="19"/>
      <c r="DV598" s="19"/>
      <c r="DW598" s="19" t="s">
        <v>2153</v>
      </c>
      <c r="DX598" s="19">
        <v>3.0</v>
      </c>
      <c r="DY598" s="19">
        <v>0.0</v>
      </c>
      <c r="DZ598" s="19">
        <v>0.0</v>
      </c>
      <c r="EA598" s="19">
        <v>0.0</v>
      </c>
      <c r="EB598" s="19">
        <v>0.0</v>
      </c>
      <c r="EC598" s="19">
        <v>0.0</v>
      </c>
      <c r="ED598" s="19" t="s">
        <v>2325</v>
      </c>
      <c r="EE598" s="24">
        <v>45518.0</v>
      </c>
      <c r="EF598" s="19" t="s">
        <v>2325</v>
      </c>
      <c r="EG598" s="19" t="s">
        <v>2145</v>
      </c>
      <c r="EH598" s="19" t="s">
        <v>2326</v>
      </c>
      <c r="EI598" s="22">
        <v>11.8125</v>
      </c>
      <c r="EJ598" s="19">
        <v>43.0</v>
      </c>
      <c r="EK598" s="19" t="s">
        <v>2113</v>
      </c>
      <c r="EL598" s="19" t="s">
        <v>2163</v>
      </c>
      <c r="EM598" s="19" t="s">
        <v>5293</v>
      </c>
      <c r="EN598" s="19" t="s">
        <v>1761</v>
      </c>
      <c r="EO598" s="19" t="s">
        <v>3232</v>
      </c>
      <c r="EP598" s="19" t="s">
        <v>2310</v>
      </c>
      <c r="EQ598" s="19" t="s">
        <v>2868</v>
      </c>
      <c r="ER598" s="19"/>
      <c r="ES598" s="19" t="s">
        <v>1761</v>
      </c>
      <c r="ET598" s="19" t="s">
        <v>1761</v>
      </c>
      <c r="EU598" s="19" t="s">
        <v>12056</v>
      </c>
      <c r="EV598" s="19">
        <v>8785.0</v>
      </c>
      <c r="EW598" s="19" t="s">
        <v>16</v>
      </c>
      <c r="EX598" s="19">
        <v>4.0</v>
      </c>
      <c r="EY598" s="25" t="s">
        <v>1760</v>
      </c>
      <c r="EZ598" s="19" t="s">
        <v>2154</v>
      </c>
      <c r="FA598" s="5" t="s">
        <v>12067</v>
      </c>
      <c r="FB598" s="26" t="s">
        <v>2156</v>
      </c>
      <c r="FC598" s="26"/>
    </row>
    <row r="599">
      <c r="A599" s="19" t="s">
        <v>17</v>
      </c>
      <c r="B599" s="19"/>
      <c r="C599" s="19" t="s">
        <v>2113</v>
      </c>
      <c r="D599" s="19" t="s">
        <v>12068</v>
      </c>
      <c r="E599" s="19" t="s">
        <v>12069</v>
      </c>
      <c r="F599" s="19" t="s">
        <v>1762</v>
      </c>
      <c r="G599" s="19" t="s">
        <v>12070</v>
      </c>
      <c r="H599" s="19" t="s">
        <v>1762</v>
      </c>
      <c r="I599" s="19" t="s">
        <v>1687</v>
      </c>
      <c r="J599" s="19" t="s">
        <v>12071</v>
      </c>
      <c r="K599" s="19" t="s">
        <v>12072</v>
      </c>
      <c r="L599" s="20">
        <v>45439.0</v>
      </c>
      <c r="M599" s="20">
        <v>45440.0</v>
      </c>
      <c r="N599" s="20">
        <v>45440.0</v>
      </c>
      <c r="O599" s="19" t="s">
        <v>1763</v>
      </c>
      <c r="P599" s="19">
        <v>0.0</v>
      </c>
      <c r="Q599" s="19">
        <v>22.0</v>
      </c>
      <c r="R599" s="19">
        <v>8224.0</v>
      </c>
      <c r="S599" s="20" t="s">
        <v>2719</v>
      </c>
      <c r="T599" s="20">
        <v>45461.0</v>
      </c>
      <c r="U599" s="19" t="s">
        <v>1762</v>
      </c>
      <c r="V599" s="19"/>
      <c r="W599" s="19"/>
      <c r="X599" s="21">
        <v>0.0</v>
      </c>
      <c r="Y599" s="21">
        <v>0.0</v>
      </c>
      <c r="Z599" s="21">
        <v>3.0</v>
      </c>
      <c r="AA599" s="21">
        <v>0.0</v>
      </c>
      <c r="AB599" s="5">
        <v>3.0</v>
      </c>
      <c r="AC599" s="19">
        <v>4.666666666666667</v>
      </c>
      <c r="AD599" s="19">
        <v>4.333333333333333</v>
      </c>
      <c r="AE599" s="19">
        <v>4.666666666666667</v>
      </c>
      <c r="AF599" s="19">
        <v>3.0</v>
      </c>
      <c r="AG599" s="19">
        <v>4.333333333333333</v>
      </c>
      <c r="AH599" s="19">
        <v>4.666666666666667</v>
      </c>
      <c r="AI599" s="22">
        <v>13.03125</v>
      </c>
      <c r="AJ599" s="19">
        <v>14.0</v>
      </c>
      <c r="AK599" s="19">
        <v>15.0</v>
      </c>
      <c r="AL599" s="19">
        <v>13.7</v>
      </c>
      <c r="AM599" s="19">
        <v>42.7</v>
      </c>
      <c r="AN599" s="19">
        <v>55.7</v>
      </c>
      <c r="AO599" s="19">
        <v>58.7</v>
      </c>
      <c r="AP599" s="19">
        <v>1275.0</v>
      </c>
      <c r="AQ599" s="23">
        <v>588.0</v>
      </c>
      <c r="AR599" s="23">
        <v>36.0</v>
      </c>
      <c r="AS599" s="22"/>
      <c r="AT599" s="19" t="s">
        <v>2117</v>
      </c>
      <c r="AU599" s="19" t="s">
        <v>11399</v>
      </c>
      <c r="AV599" s="19" t="s">
        <v>12073</v>
      </c>
      <c r="AW599" s="19"/>
      <c r="AX599" s="20">
        <v>37237.0</v>
      </c>
      <c r="AY599" s="19" t="s">
        <v>3826</v>
      </c>
      <c r="AZ599" s="19" t="s">
        <v>2445</v>
      </c>
      <c r="BA599" s="19" t="s">
        <v>12074</v>
      </c>
      <c r="BB599" s="19" t="s">
        <v>7375</v>
      </c>
      <c r="BC599" s="19" t="s">
        <v>12075</v>
      </c>
      <c r="BD599" s="19" t="s">
        <v>12076</v>
      </c>
      <c r="BE599" s="19" t="s">
        <v>12071</v>
      </c>
      <c r="BF599" s="19">
        <v>1.1964619278E10</v>
      </c>
      <c r="BG599" s="19" t="s">
        <v>4038</v>
      </c>
      <c r="BH599" s="19" t="s">
        <v>2128</v>
      </c>
      <c r="BI599" s="19"/>
      <c r="BJ599" s="19" t="s">
        <v>2128</v>
      </c>
      <c r="BK599" s="19" t="s">
        <v>17</v>
      </c>
      <c r="BL599" s="19"/>
      <c r="BM599" s="19" t="s">
        <v>5563</v>
      </c>
      <c r="BN599" s="19" t="s">
        <v>5055</v>
      </c>
      <c r="BO599" s="19" t="s">
        <v>2473</v>
      </c>
      <c r="BP599" s="19" t="s">
        <v>12077</v>
      </c>
      <c r="BQ599" s="19" t="s">
        <v>3832</v>
      </c>
      <c r="BR599" s="19" t="s">
        <v>3832</v>
      </c>
      <c r="BS599" s="19" t="s">
        <v>2134</v>
      </c>
      <c r="BT599" s="19" t="s">
        <v>268</v>
      </c>
      <c r="BU599" s="19" t="s">
        <v>12078</v>
      </c>
      <c r="BV599" s="19"/>
      <c r="BW599" s="19" t="s">
        <v>2113</v>
      </c>
      <c r="BX599" s="19"/>
      <c r="BY599" s="19"/>
      <c r="BZ599" s="19"/>
      <c r="CA599" s="19"/>
      <c r="CB599" s="19" t="s">
        <v>2113</v>
      </c>
      <c r="CC599" s="19"/>
      <c r="CD599" s="19" t="s">
        <v>2137</v>
      </c>
      <c r="CE599" s="19" t="s">
        <v>16</v>
      </c>
      <c r="CF599" s="19"/>
      <c r="CG599" s="19"/>
      <c r="CH599" s="19" t="s">
        <v>16</v>
      </c>
      <c r="CI599" s="21">
        <v>0.0</v>
      </c>
      <c r="CJ599" s="19" t="s">
        <v>17</v>
      </c>
      <c r="CK599" s="19"/>
      <c r="CL599" s="19"/>
      <c r="CM599" s="19" t="s">
        <v>2138</v>
      </c>
      <c r="CN599" s="19" t="s">
        <v>3835</v>
      </c>
      <c r="CO599" s="19"/>
      <c r="CP599" s="19" t="s">
        <v>2246</v>
      </c>
      <c r="CQ599" s="19"/>
      <c r="CR599" s="19" t="s">
        <v>2113</v>
      </c>
      <c r="CS599" s="19" t="s">
        <v>2113</v>
      </c>
      <c r="CT599" s="19" t="s">
        <v>2113</v>
      </c>
      <c r="CU599" s="19" t="s">
        <v>2113</v>
      </c>
      <c r="CV599" s="19" t="s">
        <v>2141</v>
      </c>
      <c r="CW599" s="19" t="s">
        <v>2113</v>
      </c>
      <c r="CX599" s="19" t="s">
        <v>2113</v>
      </c>
      <c r="CY599" s="19" t="s">
        <v>2113</v>
      </c>
      <c r="CZ599" s="19" t="s">
        <v>2113</v>
      </c>
      <c r="DA599" s="19" t="s">
        <v>16</v>
      </c>
      <c r="DB599" s="19" t="s">
        <v>17</v>
      </c>
      <c r="DC599" s="19" t="s">
        <v>3991</v>
      </c>
      <c r="DD599" s="19" t="s">
        <v>2113</v>
      </c>
      <c r="DE599" s="19" t="s">
        <v>2113</v>
      </c>
      <c r="DF599" s="19" t="s">
        <v>2323</v>
      </c>
      <c r="DG599" s="19" t="s">
        <v>3163</v>
      </c>
      <c r="DH599" s="19" t="s">
        <v>2144</v>
      </c>
      <c r="DI599" s="24">
        <v>45525.0</v>
      </c>
      <c r="DJ599" s="19" t="s">
        <v>3257</v>
      </c>
      <c r="DK599" s="19" t="s">
        <v>2271</v>
      </c>
      <c r="DL599" s="19" t="s">
        <v>2207</v>
      </c>
      <c r="DM599" s="22" t="s">
        <v>9043</v>
      </c>
      <c r="DN599" s="19">
        <v>4.0</v>
      </c>
      <c r="DO599" s="19">
        <v>4.0</v>
      </c>
      <c r="DP599" s="19" t="s">
        <v>12079</v>
      </c>
      <c r="DQ599" s="19" t="s">
        <v>12080</v>
      </c>
      <c r="DR599" s="19" t="s">
        <v>12081</v>
      </c>
      <c r="DS599" s="19" t="s">
        <v>2185</v>
      </c>
      <c r="DT599" s="19" t="s">
        <v>2209</v>
      </c>
      <c r="DU599" s="19"/>
      <c r="DV599" s="19"/>
      <c r="DW599" s="19" t="s">
        <v>3306</v>
      </c>
      <c r="DX599" s="19">
        <v>4.0</v>
      </c>
      <c r="DY599" s="19">
        <v>0.0</v>
      </c>
      <c r="DZ599" s="19">
        <v>0.0</v>
      </c>
      <c r="EA599" s="19">
        <v>0.0</v>
      </c>
      <c r="EB599" s="19">
        <v>0.0</v>
      </c>
      <c r="EC599" s="19">
        <v>0.0</v>
      </c>
      <c r="ED599" s="19" t="s">
        <v>3257</v>
      </c>
      <c r="EE599" s="24">
        <v>45525.0</v>
      </c>
      <c r="EF599" s="19" t="s">
        <v>3257</v>
      </c>
      <c r="EG599" s="19" t="s">
        <v>2271</v>
      </c>
      <c r="EH599" s="19" t="s">
        <v>2207</v>
      </c>
      <c r="EI599" s="22">
        <v>13.03125</v>
      </c>
      <c r="EJ599" s="19">
        <v>42.66666667</v>
      </c>
      <c r="EK599" s="19" t="s">
        <v>2113</v>
      </c>
      <c r="EL599" s="19" t="s">
        <v>2117</v>
      </c>
      <c r="EM599" s="19" t="s">
        <v>11399</v>
      </c>
      <c r="EN599" s="19" t="s">
        <v>1687</v>
      </c>
      <c r="EO599" s="19" t="s">
        <v>3826</v>
      </c>
      <c r="EP599" s="19" t="s">
        <v>2445</v>
      </c>
      <c r="EQ599" s="19" t="s">
        <v>3835</v>
      </c>
      <c r="ER599" s="19"/>
      <c r="ES599" s="19" t="s">
        <v>1687</v>
      </c>
      <c r="ET599" s="19" t="s">
        <v>1687</v>
      </c>
      <c r="EU599" s="19" t="s">
        <v>12072</v>
      </c>
      <c r="EV599" s="19">
        <v>8224.0</v>
      </c>
      <c r="EW599" s="19" t="s">
        <v>16</v>
      </c>
      <c r="EX599" s="19">
        <v>3.0</v>
      </c>
      <c r="EY599" s="25" t="s">
        <v>1763</v>
      </c>
      <c r="EZ599" s="19" t="s">
        <v>2154</v>
      </c>
      <c r="FA599" s="5" t="s">
        <v>12082</v>
      </c>
      <c r="FB599" s="26" t="s">
        <v>2156</v>
      </c>
      <c r="FC599" s="26"/>
    </row>
    <row r="600">
      <c r="A600" s="19" t="s">
        <v>2112</v>
      </c>
      <c r="B600" s="19"/>
      <c r="C600" s="19" t="s">
        <v>2113</v>
      </c>
      <c r="D600" s="19" t="s">
        <v>1764</v>
      </c>
      <c r="E600" s="19" t="s">
        <v>12083</v>
      </c>
      <c r="F600" s="19" t="s">
        <v>1764</v>
      </c>
      <c r="G600" s="19"/>
      <c r="H600" s="19" t="s">
        <v>1764</v>
      </c>
      <c r="I600" s="19" t="s">
        <v>1766</v>
      </c>
      <c r="J600" s="19" t="s">
        <v>12084</v>
      </c>
      <c r="K600" s="19" t="s">
        <v>12085</v>
      </c>
      <c r="L600" s="20">
        <v>45443.0</v>
      </c>
      <c r="M600" s="20">
        <v>45446.0</v>
      </c>
      <c r="N600" s="20">
        <v>45446.0</v>
      </c>
      <c r="O600" s="19" t="s">
        <v>1765</v>
      </c>
      <c r="P600" s="19">
        <v>0.0</v>
      </c>
      <c r="Q600" s="19">
        <v>23.0</v>
      </c>
      <c r="R600" s="19">
        <v>8555.0</v>
      </c>
      <c r="S600" s="20" t="s">
        <v>12086</v>
      </c>
      <c r="T600" s="20">
        <v>45461.0</v>
      </c>
      <c r="U600" s="19" t="s">
        <v>1764</v>
      </c>
      <c r="V600" s="19"/>
      <c r="W600" s="19"/>
      <c r="X600" s="21">
        <v>0.0</v>
      </c>
      <c r="Y600" s="21">
        <v>0.0</v>
      </c>
      <c r="Z600" s="21">
        <v>3.0</v>
      </c>
      <c r="AA600" s="21">
        <v>0.0</v>
      </c>
      <c r="AB600" s="5">
        <v>3.0</v>
      </c>
      <c r="AC600" s="19">
        <v>5.0</v>
      </c>
      <c r="AD600" s="19">
        <v>4.0</v>
      </c>
      <c r="AE600" s="19">
        <v>4.0</v>
      </c>
      <c r="AF600" s="19">
        <v>4.0</v>
      </c>
      <c r="AG600" s="19">
        <v>4.0</v>
      </c>
      <c r="AH600" s="19">
        <v>4.0</v>
      </c>
      <c r="AI600" s="22">
        <v>12.46875</v>
      </c>
      <c r="AJ600" s="19">
        <v>15.0</v>
      </c>
      <c r="AK600" s="19">
        <v>15.0</v>
      </c>
      <c r="AL600" s="19">
        <v>13.0</v>
      </c>
      <c r="AM600" s="19">
        <v>43.0</v>
      </c>
      <c r="AN600" s="19">
        <v>55.5</v>
      </c>
      <c r="AO600" s="19">
        <v>58.5</v>
      </c>
      <c r="AP600" s="19">
        <v>1264.0</v>
      </c>
      <c r="AQ600" s="23">
        <v>589.0</v>
      </c>
      <c r="AR600" s="23">
        <v>86.0</v>
      </c>
      <c r="AS600" s="22"/>
      <c r="AT600" s="19" t="s">
        <v>2282</v>
      </c>
      <c r="AU600" s="19" t="s">
        <v>8614</v>
      </c>
      <c r="AV600" s="19" t="s">
        <v>12087</v>
      </c>
      <c r="AW600" s="19" t="s">
        <v>2166</v>
      </c>
      <c r="AX600" s="20">
        <v>36906.0</v>
      </c>
      <c r="AY600" s="19" t="s">
        <v>2467</v>
      </c>
      <c r="AZ600" s="19" t="s">
        <v>2310</v>
      </c>
      <c r="BA600" s="19" t="s">
        <v>12088</v>
      </c>
      <c r="BB600" s="19" t="s">
        <v>2781</v>
      </c>
      <c r="BC600" s="19" t="s">
        <v>12089</v>
      </c>
      <c r="BD600" s="19" t="s">
        <v>12090</v>
      </c>
      <c r="BE600" s="19" t="s">
        <v>12084</v>
      </c>
      <c r="BF600" s="19">
        <v>1.1954959514E10</v>
      </c>
      <c r="BG600" s="19" t="s">
        <v>4038</v>
      </c>
      <c r="BH600" s="19" t="s">
        <v>2128</v>
      </c>
      <c r="BI600" s="19"/>
      <c r="BJ600" s="19" t="s">
        <v>2129</v>
      </c>
      <c r="BK600" s="19" t="s">
        <v>17</v>
      </c>
      <c r="BL600" s="19"/>
      <c r="BM600" s="19" t="s">
        <v>5563</v>
      </c>
      <c r="BN600" s="19" t="s">
        <v>17</v>
      </c>
      <c r="BO600" s="19" t="s">
        <v>2473</v>
      </c>
      <c r="BP600" s="19" t="s">
        <v>12091</v>
      </c>
      <c r="BQ600" s="19" t="s">
        <v>2133</v>
      </c>
      <c r="BR600" s="19" t="s">
        <v>2133</v>
      </c>
      <c r="BS600" s="19" t="s">
        <v>2134</v>
      </c>
      <c r="BT600" s="19" t="s">
        <v>38</v>
      </c>
      <c r="BU600" s="19" t="s">
        <v>4422</v>
      </c>
      <c r="BV600" s="19"/>
      <c r="BW600" s="19"/>
      <c r="BX600" s="19"/>
      <c r="BY600" s="19" t="s">
        <v>2113</v>
      </c>
      <c r="BZ600" s="19" t="s">
        <v>2113</v>
      </c>
      <c r="CA600" s="19" t="s">
        <v>2113</v>
      </c>
      <c r="CB600" s="19" t="s">
        <v>2113</v>
      </c>
      <c r="CC600" s="19" t="s">
        <v>2113</v>
      </c>
      <c r="CD600" s="19" t="s">
        <v>2137</v>
      </c>
      <c r="CE600" s="19" t="s">
        <v>16</v>
      </c>
      <c r="CF600" s="19"/>
      <c r="CG600" s="19"/>
      <c r="CH600" s="19" t="s">
        <v>16</v>
      </c>
      <c r="CI600" s="21">
        <v>0.0</v>
      </c>
      <c r="CJ600" s="19" t="s">
        <v>16</v>
      </c>
      <c r="CK600" s="19"/>
      <c r="CL600" s="19"/>
      <c r="CM600" s="19" t="s">
        <v>2344</v>
      </c>
      <c r="CN600" s="19" t="s">
        <v>2475</v>
      </c>
      <c r="CO600" s="19"/>
      <c r="CP600" s="19" t="s">
        <v>2246</v>
      </c>
      <c r="CQ600" s="19"/>
      <c r="CR600" s="19" t="s">
        <v>2113</v>
      </c>
      <c r="CS600" s="19" t="s">
        <v>2113</v>
      </c>
      <c r="CT600" s="19" t="s">
        <v>2113</v>
      </c>
      <c r="CU600" s="19" t="s">
        <v>2113</v>
      </c>
      <c r="CV600" s="19" t="s">
        <v>2179</v>
      </c>
      <c r="CW600" s="19" t="s">
        <v>2113</v>
      </c>
      <c r="CX600" s="19" t="s">
        <v>2113</v>
      </c>
      <c r="CY600" s="19" t="s">
        <v>2113</v>
      </c>
      <c r="CZ600" s="19" t="s">
        <v>2113</v>
      </c>
      <c r="DA600" s="19" t="s">
        <v>16</v>
      </c>
      <c r="DB600" s="19" t="s">
        <v>16</v>
      </c>
      <c r="DC600" s="19" t="s">
        <v>11745</v>
      </c>
      <c r="DD600" s="19" t="s">
        <v>2113</v>
      </c>
      <c r="DE600" s="19" t="s">
        <v>2113</v>
      </c>
      <c r="DF600" s="19" t="s">
        <v>2143</v>
      </c>
      <c r="DG600" s="19" t="s">
        <v>2477</v>
      </c>
      <c r="DH600" s="19" t="s">
        <v>2144</v>
      </c>
      <c r="DI600" s="24">
        <v>45526.0</v>
      </c>
      <c r="DJ600" s="19" t="s">
        <v>2133</v>
      </c>
      <c r="DK600" s="19" t="s">
        <v>2271</v>
      </c>
      <c r="DL600" s="19" t="s">
        <v>2146</v>
      </c>
      <c r="DM600" s="19" t="s">
        <v>2805</v>
      </c>
      <c r="DN600" s="19">
        <v>12.0</v>
      </c>
      <c r="DO600" s="19">
        <v>12.0</v>
      </c>
      <c r="DP600" s="19"/>
      <c r="DQ600" s="19"/>
      <c r="DR600" s="19"/>
      <c r="DS600" s="19" t="s">
        <v>2185</v>
      </c>
      <c r="DT600" s="19" t="s">
        <v>2152</v>
      </c>
      <c r="DU600" s="19" t="s">
        <v>12092</v>
      </c>
      <c r="DV600" s="19"/>
      <c r="DW600" s="19" t="s">
        <v>2479</v>
      </c>
      <c r="DX600" s="19">
        <v>6.0</v>
      </c>
      <c r="DY600" s="19">
        <v>0.0</v>
      </c>
      <c r="DZ600" s="19">
        <v>0.0</v>
      </c>
      <c r="EA600" s="19">
        <v>0.0</v>
      </c>
      <c r="EB600" s="19">
        <v>0.0</v>
      </c>
      <c r="EC600" s="19">
        <v>0.0</v>
      </c>
      <c r="ED600" s="19" t="s">
        <v>2133</v>
      </c>
      <c r="EE600" s="24">
        <v>45526.0</v>
      </c>
      <c r="EF600" s="19" t="s">
        <v>2133</v>
      </c>
      <c r="EG600" s="19" t="s">
        <v>2271</v>
      </c>
      <c r="EH600" s="19" t="s">
        <v>2146</v>
      </c>
      <c r="EI600" s="22">
        <v>12.46875</v>
      </c>
      <c r="EJ600" s="19">
        <v>43.0</v>
      </c>
      <c r="EK600" s="19"/>
      <c r="EL600" s="19" t="s">
        <v>2282</v>
      </c>
      <c r="EM600" s="19" t="s">
        <v>8614</v>
      </c>
      <c r="EN600" s="19" t="s">
        <v>1766</v>
      </c>
      <c r="EO600" s="19" t="s">
        <v>2467</v>
      </c>
      <c r="EP600" s="19" t="s">
        <v>2310</v>
      </c>
      <c r="EQ600" s="19" t="s">
        <v>2475</v>
      </c>
      <c r="ER600" s="19"/>
      <c r="ES600" s="19" t="s">
        <v>1766</v>
      </c>
      <c r="ET600" s="19" t="s">
        <v>1766</v>
      </c>
      <c r="EU600" s="19" t="s">
        <v>12085</v>
      </c>
      <c r="EV600" s="19">
        <v>8555.0</v>
      </c>
      <c r="EW600" s="19" t="s">
        <v>16</v>
      </c>
      <c r="EX600" s="19">
        <v>3.0</v>
      </c>
      <c r="EY600" s="25" t="s">
        <v>1765</v>
      </c>
      <c r="EZ600" s="19" t="s">
        <v>2154</v>
      </c>
      <c r="FA600" s="5" t="s">
        <v>12093</v>
      </c>
      <c r="FB600" s="26" t="s">
        <v>2156</v>
      </c>
      <c r="FC600" s="26"/>
    </row>
    <row r="601">
      <c r="A601" s="19" t="s">
        <v>2156</v>
      </c>
      <c r="B601" s="19"/>
      <c r="C601" s="19" t="s">
        <v>2113</v>
      </c>
      <c r="D601" s="19" t="s">
        <v>1767</v>
      </c>
      <c r="E601" s="19" t="s">
        <v>12094</v>
      </c>
      <c r="F601" s="19" t="s">
        <v>1767</v>
      </c>
      <c r="G601" s="19"/>
      <c r="H601" s="19" t="s">
        <v>1767</v>
      </c>
      <c r="I601" s="19" t="s">
        <v>1769</v>
      </c>
      <c r="J601" s="19" t="s">
        <v>12095</v>
      </c>
      <c r="K601" s="19" t="s">
        <v>12096</v>
      </c>
      <c r="L601" s="20">
        <v>45411.0</v>
      </c>
      <c r="M601" s="20">
        <v>45414.0</v>
      </c>
      <c r="N601" s="20">
        <v>45414.0</v>
      </c>
      <c r="O601" s="19" t="s">
        <v>1768</v>
      </c>
      <c r="P601" s="19">
        <v>0.0</v>
      </c>
      <c r="Q601" s="19">
        <v>23.0</v>
      </c>
      <c r="R601" s="19">
        <v>8464.0</v>
      </c>
      <c r="S601" s="20" t="s">
        <v>12097</v>
      </c>
      <c r="T601" s="20">
        <v>45461.0</v>
      </c>
      <c r="U601" s="19" t="s">
        <v>1767</v>
      </c>
      <c r="V601" s="19"/>
      <c r="W601" s="19"/>
      <c r="X601" s="21">
        <v>0.0</v>
      </c>
      <c r="Y601" s="21">
        <v>10.0</v>
      </c>
      <c r="Z601" s="21">
        <v>1.0</v>
      </c>
      <c r="AA601" s="21">
        <v>0.0</v>
      </c>
      <c r="AB601" s="5">
        <v>11.0</v>
      </c>
      <c r="AC601" s="19">
        <v>4.0</v>
      </c>
      <c r="AD601" s="19">
        <v>3.5</v>
      </c>
      <c r="AE601" s="19">
        <v>3.5</v>
      </c>
      <c r="AF601" s="19">
        <v>3.0</v>
      </c>
      <c r="AG601" s="19">
        <v>3.5</v>
      </c>
      <c r="AH601" s="19">
        <v>3.0</v>
      </c>
      <c r="AI601" s="22">
        <v>10.359375</v>
      </c>
      <c r="AJ601" s="19">
        <v>14.0</v>
      </c>
      <c r="AK601" s="19">
        <v>13.0</v>
      </c>
      <c r="AL601" s="19">
        <v>10.0</v>
      </c>
      <c r="AM601" s="19">
        <v>37.0</v>
      </c>
      <c r="AN601" s="19">
        <v>47.4</v>
      </c>
      <c r="AO601" s="19">
        <v>58.4</v>
      </c>
      <c r="AP601" s="19">
        <v>932.0</v>
      </c>
      <c r="AQ601" s="23">
        <v>590.0</v>
      </c>
      <c r="AR601" s="23">
        <v>46.0</v>
      </c>
      <c r="AS601" s="22"/>
      <c r="AT601" s="19" t="s">
        <v>2282</v>
      </c>
      <c r="AU601" s="19" t="s">
        <v>8498</v>
      </c>
      <c r="AV601" s="19" t="s">
        <v>12098</v>
      </c>
      <c r="AW601" s="19" t="s">
        <v>12099</v>
      </c>
      <c r="AX601" s="20">
        <v>36997.0</v>
      </c>
      <c r="AY601" s="19" t="s">
        <v>9021</v>
      </c>
      <c r="AZ601" s="19" t="s">
        <v>2310</v>
      </c>
      <c r="BA601" s="19" t="s">
        <v>12100</v>
      </c>
      <c r="BB601" s="19" t="s">
        <v>12101</v>
      </c>
      <c r="BC601" s="19" t="s">
        <v>12102</v>
      </c>
      <c r="BD601" s="19" t="s">
        <v>12103</v>
      </c>
      <c r="BE601" s="19" t="s">
        <v>12095</v>
      </c>
      <c r="BF601" s="19">
        <v>1.1942331347E10</v>
      </c>
      <c r="BG601" s="19" t="s">
        <v>2127</v>
      </c>
      <c r="BH601" s="19" t="s">
        <v>2128</v>
      </c>
      <c r="BI601" s="19"/>
      <c r="BJ601" s="19"/>
      <c r="BK601" s="19" t="s">
        <v>16</v>
      </c>
      <c r="BL601" s="19"/>
      <c r="BM601" s="19" t="s">
        <v>5796</v>
      </c>
      <c r="BN601" s="19" t="s">
        <v>17</v>
      </c>
      <c r="BO601" s="19" t="s">
        <v>3082</v>
      </c>
      <c r="BP601" s="19" t="s">
        <v>12104</v>
      </c>
      <c r="BQ601" s="19" t="s">
        <v>2325</v>
      </c>
      <c r="BR601" s="19" t="s">
        <v>2325</v>
      </c>
      <c r="BS601" s="19" t="s">
        <v>2134</v>
      </c>
      <c r="BT601" s="19" t="s">
        <v>118</v>
      </c>
      <c r="BU601" s="19" t="s">
        <v>12105</v>
      </c>
      <c r="BV601" s="19"/>
      <c r="BW601" s="19" t="s">
        <v>2113</v>
      </c>
      <c r="BX601" s="19"/>
      <c r="BY601" s="19"/>
      <c r="BZ601" s="19"/>
      <c r="CA601" s="19"/>
      <c r="CB601" s="19" t="s">
        <v>2113</v>
      </c>
      <c r="CC601" s="19"/>
      <c r="CD601" s="19" t="s">
        <v>2137</v>
      </c>
      <c r="CE601" s="19" t="s">
        <v>16</v>
      </c>
      <c r="CF601" s="19"/>
      <c r="CG601" s="19"/>
      <c r="CH601" s="19" t="s">
        <v>16</v>
      </c>
      <c r="CI601" s="21">
        <v>0.0</v>
      </c>
      <c r="CJ601" s="19" t="s">
        <v>16</v>
      </c>
      <c r="CK601" s="19"/>
      <c r="CL601" s="19"/>
      <c r="CM601" s="19"/>
      <c r="CN601" s="19" t="s">
        <v>3503</v>
      </c>
      <c r="CO601" s="19"/>
      <c r="CP601" s="19"/>
      <c r="CQ601" s="19"/>
      <c r="CR601" s="19" t="s">
        <v>2113</v>
      </c>
      <c r="CS601" s="19" t="s">
        <v>2113</v>
      </c>
      <c r="CT601" s="19" t="s">
        <v>2113</v>
      </c>
      <c r="CU601" s="19" t="s">
        <v>2113</v>
      </c>
      <c r="CV601" s="19" t="s">
        <v>2141</v>
      </c>
      <c r="CW601" s="19" t="s">
        <v>2113</v>
      </c>
      <c r="CX601" s="19" t="s">
        <v>2113</v>
      </c>
      <c r="CY601" s="19" t="s">
        <v>2113</v>
      </c>
      <c r="CZ601" s="19" t="s">
        <v>2113</v>
      </c>
      <c r="DA601" s="19" t="s">
        <v>16</v>
      </c>
      <c r="DB601" s="19" t="s">
        <v>16</v>
      </c>
      <c r="DC601" s="19" t="s">
        <v>4903</v>
      </c>
      <c r="DD601" s="19" t="s">
        <v>2113</v>
      </c>
      <c r="DE601" s="19" t="s">
        <v>2113</v>
      </c>
      <c r="DF601" s="19" t="s">
        <v>2498</v>
      </c>
      <c r="DG601" s="19" t="s">
        <v>2433</v>
      </c>
      <c r="DH601" s="19" t="s">
        <v>2144</v>
      </c>
      <c r="DI601" s="24">
        <v>45519.0</v>
      </c>
      <c r="DJ601" s="19" t="s">
        <v>2325</v>
      </c>
      <c r="DK601" s="19" t="s">
        <v>2271</v>
      </c>
      <c r="DL601" s="19" t="s">
        <v>2326</v>
      </c>
      <c r="DM601" s="19"/>
      <c r="DN601" s="19">
        <v>6.0</v>
      </c>
      <c r="DO601" s="19">
        <v>6.0</v>
      </c>
      <c r="DP601" s="19" t="s">
        <v>12106</v>
      </c>
      <c r="DQ601" s="19" t="s">
        <v>12107</v>
      </c>
      <c r="DR601" s="19" t="s">
        <v>12108</v>
      </c>
      <c r="DS601" s="19" t="s">
        <v>2185</v>
      </c>
      <c r="DT601" s="19" t="s">
        <v>2186</v>
      </c>
      <c r="DU601" s="19"/>
      <c r="DV601" s="19"/>
      <c r="DW601" s="19" t="s">
        <v>3306</v>
      </c>
      <c r="DX601" s="19">
        <v>4.0</v>
      </c>
      <c r="DY601" s="19">
        <v>10.0</v>
      </c>
      <c r="DZ601" s="19">
        <v>0.0</v>
      </c>
      <c r="EA601" s="19">
        <v>10.0</v>
      </c>
      <c r="EB601" s="19">
        <v>0.0</v>
      </c>
      <c r="EC601" s="19">
        <v>0.0</v>
      </c>
      <c r="ED601" s="19" t="s">
        <v>2325</v>
      </c>
      <c r="EE601" s="24">
        <v>45519.0</v>
      </c>
      <c r="EF601" s="19" t="s">
        <v>2325</v>
      </c>
      <c r="EG601" s="19" t="s">
        <v>2271</v>
      </c>
      <c r="EH601" s="19" t="s">
        <v>2326</v>
      </c>
      <c r="EI601" s="22">
        <v>10.359375</v>
      </c>
      <c r="EJ601" s="19">
        <v>37.0</v>
      </c>
      <c r="EK601" s="19"/>
      <c r="EL601" s="19" t="s">
        <v>2282</v>
      </c>
      <c r="EM601" s="19" t="s">
        <v>8498</v>
      </c>
      <c r="EN601" s="19" t="s">
        <v>1769</v>
      </c>
      <c r="EO601" s="19" t="s">
        <v>9021</v>
      </c>
      <c r="EP601" s="19" t="s">
        <v>2310</v>
      </c>
      <c r="EQ601" s="19" t="s">
        <v>3503</v>
      </c>
      <c r="ER601" s="19"/>
      <c r="ES601" s="19" t="s">
        <v>1769</v>
      </c>
      <c r="ET601" s="19" t="s">
        <v>1769</v>
      </c>
      <c r="EU601" s="19" t="s">
        <v>12096</v>
      </c>
      <c r="EV601" s="19">
        <v>8464.0</v>
      </c>
      <c r="EW601" s="19" t="s">
        <v>16</v>
      </c>
      <c r="EX601" s="19">
        <v>1.0</v>
      </c>
      <c r="EY601" s="25" t="s">
        <v>1768</v>
      </c>
      <c r="EZ601" s="19" t="s">
        <v>2154</v>
      </c>
      <c r="FA601" s="5" t="s">
        <v>12109</v>
      </c>
      <c r="FB601" s="26" t="s">
        <v>2156</v>
      </c>
      <c r="FC601" s="26"/>
    </row>
    <row r="602">
      <c r="A602" s="19" t="s">
        <v>2156</v>
      </c>
      <c r="B602" s="19"/>
      <c r="C602" s="19" t="s">
        <v>2113</v>
      </c>
      <c r="D602" s="19" t="s">
        <v>1770</v>
      </c>
      <c r="E602" s="19" t="s">
        <v>12110</v>
      </c>
      <c r="F602" s="19" t="s">
        <v>1770</v>
      </c>
      <c r="G602" s="19"/>
      <c r="H602" s="19" t="s">
        <v>1770</v>
      </c>
      <c r="I602" s="19" t="s">
        <v>586</v>
      </c>
      <c r="J602" s="19" t="s">
        <v>12111</v>
      </c>
      <c r="K602" s="19" t="s">
        <v>12112</v>
      </c>
      <c r="L602" s="20">
        <v>45460.0</v>
      </c>
      <c r="M602" s="20">
        <v>45462.0</v>
      </c>
      <c r="N602" s="20">
        <v>45462.0</v>
      </c>
      <c r="O602" s="19" t="s">
        <v>1771</v>
      </c>
      <c r="P602" s="19">
        <v>0.0</v>
      </c>
      <c r="Q602" s="19">
        <v>18.0</v>
      </c>
      <c r="R602" s="19">
        <v>6699.0</v>
      </c>
      <c r="S602" s="20" t="s">
        <v>12113</v>
      </c>
      <c r="T602" s="20">
        <v>45461.0</v>
      </c>
      <c r="U602" s="19" t="s">
        <v>1770</v>
      </c>
      <c r="V602" s="19"/>
      <c r="W602" s="19"/>
      <c r="X602" s="21">
        <v>0.0</v>
      </c>
      <c r="Y602" s="21">
        <v>0.0</v>
      </c>
      <c r="Z602" s="21">
        <v>3.0</v>
      </c>
      <c r="AA602" s="21">
        <v>3.0</v>
      </c>
      <c r="AB602" s="5">
        <v>6.0</v>
      </c>
      <c r="AC602" s="19">
        <v>4.0</v>
      </c>
      <c r="AD602" s="19">
        <v>3.5</v>
      </c>
      <c r="AE602" s="19">
        <v>4.0</v>
      </c>
      <c r="AF602" s="19">
        <v>4.0</v>
      </c>
      <c r="AG602" s="19">
        <v>3.0</v>
      </c>
      <c r="AH602" s="19">
        <v>4.0</v>
      </c>
      <c r="AI602" s="22">
        <v>11.296875</v>
      </c>
      <c r="AJ602" s="19">
        <v>13.0</v>
      </c>
      <c r="AK602" s="19">
        <v>15.0</v>
      </c>
      <c r="AL602" s="19">
        <v>13.0</v>
      </c>
      <c r="AM602" s="19">
        <v>41.0</v>
      </c>
      <c r="AN602" s="19">
        <v>52.3</v>
      </c>
      <c r="AO602" s="19">
        <v>58.3</v>
      </c>
      <c r="AP602" s="19">
        <v>1025.0</v>
      </c>
      <c r="AQ602" s="23">
        <v>591.0</v>
      </c>
      <c r="AR602" s="23">
        <v>53.0</v>
      </c>
      <c r="AS602" s="22"/>
      <c r="AT602" s="19" t="s">
        <v>2282</v>
      </c>
      <c r="AU602" s="19" t="s">
        <v>12114</v>
      </c>
      <c r="AV602" s="19" t="s">
        <v>12115</v>
      </c>
      <c r="AW602" s="19"/>
      <c r="AX602" s="20">
        <v>38762.0</v>
      </c>
      <c r="AY602" s="19" t="s">
        <v>3053</v>
      </c>
      <c r="AZ602" s="19" t="s">
        <v>2310</v>
      </c>
      <c r="BA602" s="19" t="s">
        <v>12116</v>
      </c>
      <c r="BB602" s="19" t="s">
        <v>3756</v>
      </c>
      <c r="BC602" s="19" t="s">
        <v>12117</v>
      </c>
      <c r="BD602" s="19" t="s">
        <v>12118</v>
      </c>
      <c r="BE602" s="19" t="s">
        <v>12111</v>
      </c>
      <c r="BF602" s="19" t="s">
        <v>12119</v>
      </c>
      <c r="BG602" s="19" t="s">
        <v>4038</v>
      </c>
      <c r="BH602" s="19" t="s">
        <v>2128</v>
      </c>
      <c r="BI602" s="19"/>
      <c r="BJ602" s="19" t="s">
        <v>2129</v>
      </c>
      <c r="BK602" s="19" t="s">
        <v>17</v>
      </c>
      <c r="BL602" s="19" t="s">
        <v>2113</v>
      </c>
      <c r="BM602" s="19" t="s">
        <v>5796</v>
      </c>
      <c r="BN602" s="19" t="s">
        <v>17</v>
      </c>
      <c r="BO602" s="19" t="s">
        <v>2473</v>
      </c>
      <c r="BP602" s="19"/>
      <c r="BQ602" s="19" t="s">
        <v>2325</v>
      </c>
      <c r="BR602" s="19" t="s">
        <v>2325</v>
      </c>
      <c r="BS602" s="19" t="s">
        <v>2243</v>
      </c>
      <c r="BT602" s="19" t="s">
        <v>59</v>
      </c>
      <c r="BU602" s="19" t="s">
        <v>12120</v>
      </c>
      <c r="BV602" s="19"/>
      <c r="BW602" s="19"/>
      <c r="BX602" s="19"/>
      <c r="BY602" s="19"/>
      <c r="BZ602" s="19"/>
      <c r="CA602" s="19"/>
      <c r="CB602" s="19" t="s">
        <v>2113</v>
      </c>
      <c r="CC602" s="19"/>
      <c r="CD602" s="19" t="s">
        <v>2137</v>
      </c>
      <c r="CE602" s="19" t="s">
        <v>16</v>
      </c>
      <c r="CF602" s="19"/>
      <c r="CG602" s="19"/>
      <c r="CH602" s="19" t="s">
        <v>17</v>
      </c>
      <c r="CI602" s="21">
        <v>3.0</v>
      </c>
      <c r="CJ602" s="19" t="s">
        <v>16</v>
      </c>
      <c r="CK602" s="19"/>
      <c r="CL602" s="19"/>
      <c r="CM602" s="19" t="s">
        <v>2926</v>
      </c>
      <c r="CN602" s="19" t="s">
        <v>3064</v>
      </c>
      <c r="CO602" s="19"/>
      <c r="CP602" s="19" t="s">
        <v>2246</v>
      </c>
      <c r="CQ602" s="19"/>
      <c r="CR602" s="19"/>
      <c r="CS602" s="19"/>
      <c r="CT602" s="19"/>
      <c r="CU602" s="19"/>
      <c r="CV602" s="19" t="s">
        <v>2179</v>
      </c>
      <c r="CW602" s="19"/>
      <c r="CX602" s="19"/>
      <c r="CY602" s="19" t="s">
        <v>2113</v>
      </c>
      <c r="CZ602" s="19" t="s">
        <v>2113</v>
      </c>
      <c r="DA602" s="19" t="s">
        <v>16</v>
      </c>
      <c r="DB602" s="19" t="s">
        <v>16</v>
      </c>
      <c r="DC602" s="19" t="s">
        <v>2432</v>
      </c>
      <c r="DD602" s="19" t="s">
        <v>2113</v>
      </c>
      <c r="DE602" s="19" t="s">
        <v>2113</v>
      </c>
      <c r="DF602" s="19" t="s">
        <v>2562</v>
      </c>
      <c r="DG602" s="19" t="s">
        <v>2498</v>
      </c>
      <c r="DH602" s="19" t="s">
        <v>2144</v>
      </c>
      <c r="DI602" s="24">
        <v>45518.0</v>
      </c>
      <c r="DJ602" s="19" t="s">
        <v>2325</v>
      </c>
      <c r="DK602" s="19" t="s">
        <v>2145</v>
      </c>
      <c r="DL602" s="19" t="s">
        <v>2326</v>
      </c>
      <c r="DM602" s="19"/>
      <c r="DN602" s="19">
        <v>3.0</v>
      </c>
      <c r="DO602" s="19">
        <v>3.0</v>
      </c>
      <c r="DP602" s="19"/>
      <c r="DQ602" s="19"/>
      <c r="DR602" s="19"/>
      <c r="DS602" s="19" t="s">
        <v>2185</v>
      </c>
      <c r="DT602" s="19" t="s">
        <v>2350</v>
      </c>
      <c r="DU602" s="19" t="s">
        <v>12121</v>
      </c>
      <c r="DV602" s="19"/>
      <c r="DW602" s="19" t="s">
        <v>2153</v>
      </c>
      <c r="DX602" s="19">
        <v>3.0</v>
      </c>
      <c r="DY602" s="19">
        <v>0.0</v>
      </c>
      <c r="DZ602" s="19">
        <v>0.0</v>
      </c>
      <c r="EA602" s="19">
        <v>0.0</v>
      </c>
      <c r="EB602" s="19">
        <v>3.0</v>
      </c>
      <c r="EC602" s="19">
        <v>0.0</v>
      </c>
      <c r="ED602" s="19" t="s">
        <v>2325</v>
      </c>
      <c r="EE602" s="24">
        <v>45518.0</v>
      </c>
      <c r="EF602" s="19" t="s">
        <v>2325</v>
      </c>
      <c r="EG602" s="19" t="s">
        <v>2145</v>
      </c>
      <c r="EH602" s="19" t="s">
        <v>2326</v>
      </c>
      <c r="EI602" s="22">
        <v>11.296875</v>
      </c>
      <c r="EJ602" s="19">
        <v>41.0</v>
      </c>
      <c r="EK602" s="19"/>
      <c r="EL602" s="19" t="s">
        <v>2282</v>
      </c>
      <c r="EM602" s="19" t="s">
        <v>12114</v>
      </c>
      <c r="EN602" s="19" t="s">
        <v>586</v>
      </c>
      <c r="EO602" s="19" t="s">
        <v>3053</v>
      </c>
      <c r="EP602" s="19" t="s">
        <v>2310</v>
      </c>
      <c r="EQ602" s="19" t="s">
        <v>3064</v>
      </c>
      <c r="ER602" s="19"/>
      <c r="ES602" s="19" t="s">
        <v>586</v>
      </c>
      <c r="ET602" s="19" t="s">
        <v>586</v>
      </c>
      <c r="EU602" s="19" t="s">
        <v>12112</v>
      </c>
      <c r="EV602" s="19">
        <v>6699.0</v>
      </c>
      <c r="EW602" s="19" t="s">
        <v>16</v>
      </c>
      <c r="EX602" s="19">
        <v>3.0</v>
      </c>
      <c r="EY602" s="25" t="s">
        <v>1771</v>
      </c>
      <c r="EZ602" s="19" t="s">
        <v>2154</v>
      </c>
      <c r="FA602" s="5" t="s">
        <v>12122</v>
      </c>
      <c r="FB602" s="26" t="s">
        <v>2156</v>
      </c>
      <c r="FC602" s="26"/>
    </row>
    <row r="603">
      <c r="A603" s="19" t="s">
        <v>2156</v>
      </c>
      <c r="B603" s="19"/>
      <c r="C603" s="19" t="s">
        <v>2113</v>
      </c>
      <c r="D603" s="19" t="s">
        <v>1772</v>
      </c>
      <c r="E603" s="19" t="s">
        <v>12123</v>
      </c>
      <c r="F603" s="19" t="s">
        <v>1772</v>
      </c>
      <c r="G603" s="19"/>
      <c r="H603" s="19" t="s">
        <v>1772</v>
      </c>
      <c r="I603" s="19" t="s">
        <v>1774</v>
      </c>
      <c r="J603" s="19" t="s">
        <v>12124</v>
      </c>
      <c r="K603" s="19" t="s">
        <v>12125</v>
      </c>
      <c r="L603" s="20">
        <v>45445.0</v>
      </c>
      <c r="M603" s="20">
        <v>45446.0</v>
      </c>
      <c r="N603" s="20">
        <v>45446.0</v>
      </c>
      <c r="O603" s="19" t="s">
        <v>1773</v>
      </c>
      <c r="P603" s="19">
        <v>0.0</v>
      </c>
      <c r="Q603" s="19">
        <v>24.0</v>
      </c>
      <c r="R603" s="19">
        <v>8860.0</v>
      </c>
      <c r="S603" s="20" t="s">
        <v>12126</v>
      </c>
      <c r="T603" s="20">
        <v>45461.0</v>
      </c>
      <c r="U603" s="19" t="s">
        <v>1772</v>
      </c>
      <c r="V603" s="19"/>
      <c r="W603" s="19"/>
      <c r="X603" s="21">
        <v>0.0</v>
      </c>
      <c r="Y603" s="21">
        <v>10.0</v>
      </c>
      <c r="Z603" s="21">
        <v>3.0</v>
      </c>
      <c r="AA603" s="21">
        <v>0.0</v>
      </c>
      <c r="AB603" s="5">
        <v>13.0</v>
      </c>
      <c r="AC603" s="19">
        <v>4.5</v>
      </c>
      <c r="AD603" s="19">
        <v>3.5</v>
      </c>
      <c r="AE603" s="19">
        <v>3.5</v>
      </c>
      <c r="AF603" s="19">
        <v>4.0</v>
      </c>
      <c r="AG603" s="19">
        <v>3.0</v>
      </c>
      <c r="AH603" s="19">
        <v>4.0</v>
      </c>
      <c r="AI603" s="22">
        <v>11.15625</v>
      </c>
      <c r="AJ603" s="19">
        <v>12.0</v>
      </c>
      <c r="AK603" s="19">
        <v>12.0</v>
      </c>
      <c r="AL603" s="19">
        <v>10.0</v>
      </c>
      <c r="AM603" s="19">
        <v>34.0</v>
      </c>
      <c r="AN603" s="19">
        <v>45.2</v>
      </c>
      <c r="AO603" s="19">
        <v>58.2</v>
      </c>
      <c r="AP603" s="19">
        <v>705.0</v>
      </c>
      <c r="AQ603" s="23">
        <v>592.0</v>
      </c>
      <c r="AR603" s="23">
        <v>54.0</v>
      </c>
      <c r="AS603" s="22"/>
      <c r="AT603" s="19" t="s">
        <v>2282</v>
      </c>
      <c r="AU603" s="19" t="s">
        <v>12127</v>
      </c>
      <c r="AV603" s="19" t="s">
        <v>12128</v>
      </c>
      <c r="AW603" s="19" t="s">
        <v>2701</v>
      </c>
      <c r="AX603" s="20">
        <v>36601.0</v>
      </c>
      <c r="AY603" s="19" t="s">
        <v>4860</v>
      </c>
      <c r="AZ603" s="19" t="s">
        <v>2122</v>
      </c>
      <c r="BA603" s="19" t="s">
        <v>12129</v>
      </c>
      <c r="BB603" s="19" t="s">
        <v>5038</v>
      </c>
      <c r="BC603" s="19" t="s">
        <v>12130</v>
      </c>
      <c r="BD603" s="19" t="s">
        <v>12131</v>
      </c>
      <c r="BE603" s="19"/>
      <c r="BF603" s="19"/>
      <c r="BG603" s="19" t="s">
        <v>2127</v>
      </c>
      <c r="BH603" s="19" t="s">
        <v>2128</v>
      </c>
      <c r="BI603" s="19"/>
      <c r="BJ603" s="19"/>
      <c r="BK603" s="19" t="s">
        <v>16</v>
      </c>
      <c r="BL603" s="19"/>
      <c r="BM603" s="19" t="s">
        <v>5411</v>
      </c>
      <c r="BN603" s="19" t="s">
        <v>17</v>
      </c>
      <c r="BO603" s="19" t="s">
        <v>2473</v>
      </c>
      <c r="BP603" s="19"/>
      <c r="BQ603" s="19" t="s">
        <v>2325</v>
      </c>
      <c r="BR603" s="19" t="s">
        <v>2325</v>
      </c>
      <c r="BS603" s="19" t="s">
        <v>2134</v>
      </c>
      <c r="BT603" s="19" t="s">
        <v>59</v>
      </c>
      <c r="BU603" s="19" t="s">
        <v>12132</v>
      </c>
      <c r="BV603" s="19"/>
      <c r="BW603" s="19" t="s">
        <v>2113</v>
      </c>
      <c r="BX603" s="19"/>
      <c r="BY603" s="19"/>
      <c r="BZ603" s="19"/>
      <c r="CA603" s="19"/>
      <c r="CB603" s="19"/>
      <c r="CC603" s="19"/>
      <c r="CD603" s="19" t="s">
        <v>2137</v>
      </c>
      <c r="CE603" s="19" t="s">
        <v>16</v>
      </c>
      <c r="CF603" s="19"/>
      <c r="CG603" s="19"/>
      <c r="CH603" s="19" t="s">
        <v>16</v>
      </c>
      <c r="CI603" s="21">
        <v>0.0</v>
      </c>
      <c r="CJ603" s="19" t="s">
        <v>16</v>
      </c>
      <c r="CK603" s="19"/>
      <c r="CL603" s="19"/>
      <c r="CM603" s="19" t="s">
        <v>2344</v>
      </c>
      <c r="CN603" s="19" t="s">
        <v>3064</v>
      </c>
      <c r="CO603" s="19"/>
      <c r="CP603" s="19"/>
      <c r="CQ603" s="19"/>
      <c r="CR603" s="19" t="s">
        <v>2113</v>
      </c>
      <c r="CS603" s="19" t="s">
        <v>2113</v>
      </c>
      <c r="CT603" s="19" t="s">
        <v>2113</v>
      </c>
      <c r="CU603" s="19" t="s">
        <v>2113</v>
      </c>
      <c r="CV603" s="19" t="s">
        <v>2179</v>
      </c>
      <c r="CW603" s="19" t="s">
        <v>2113</v>
      </c>
      <c r="CX603" s="19" t="s">
        <v>2113</v>
      </c>
      <c r="CY603" s="19"/>
      <c r="CZ603" s="19"/>
      <c r="DA603" s="19" t="s">
        <v>16</v>
      </c>
      <c r="DB603" s="19" t="s">
        <v>16</v>
      </c>
      <c r="DC603" s="19" t="s">
        <v>4903</v>
      </c>
      <c r="DD603" s="19" t="s">
        <v>2113</v>
      </c>
      <c r="DE603" s="19" t="s">
        <v>2113</v>
      </c>
      <c r="DF603" s="19" t="s">
        <v>4652</v>
      </c>
      <c r="DG603" s="19" t="s">
        <v>2432</v>
      </c>
      <c r="DH603" s="19" t="s">
        <v>2144</v>
      </c>
      <c r="DI603" s="24">
        <v>45517.0</v>
      </c>
      <c r="DJ603" s="19" t="s">
        <v>2325</v>
      </c>
      <c r="DK603" s="19" t="s">
        <v>2271</v>
      </c>
      <c r="DL603" s="19" t="s">
        <v>2326</v>
      </c>
      <c r="DM603" s="19"/>
      <c r="DN603" s="19">
        <v>2.0</v>
      </c>
      <c r="DO603" s="19">
        <v>2.0</v>
      </c>
      <c r="DP603" s="19"/>
      <c r="DQ603" s="19"/>
      <c r="DR603" s="19"/>
      <c r="DS603" s="19" t="s">
        <v>2185</v>
      </c>
      <c r="DT603" s="19" t="s">
        <v>2186</v>
      </c>
      <c r="DU603" s="19" t="s">
        <v>12133</v>
      </c>
      <c r="DV603" s="19"/>
      <c r="DW603" s="19" t="s">
        <v>2153</v>
      </c>
      <c r="DX603" s="19">
        <v>3.0</v>
      </c>
      <c r="DY603" s="19">
        <v>10.0</v>
      </c>
      <c r="DZ603" s="19">
        <v>0.0</v>
      </c>
      <c r="EA603" s="19">
        <v>10.0</v>
      </c>
      <c r="EB603" s="19">
        <v>0.0</v>
      </c>
      <c r="EC603" s="19">
        <v>0.0</v>
      </c>
      <c r="ED603" s="19" t="s">
        <v>2325</v>
      </c>
      <c r="EE603" s="24">
        <v>45517.0</v>
      </c>
      <c r="EF603" s="19" t="s">
        <v>2325</v>
      </c>
      <c r="EG603" s="19" t="s">
        <v>2271</v>
      </c>
      <c r="EH603" s="19" t="s">
        <v>2326</v>
      </c>
      <c r="EI603" s="22">
        <v>11.15625</v>
      </c>
      <c r="EJ603" s="19">
        <v>34.0</v>
      </c>
      <c r="EK603" s="19"/>
      <c r="EL603" s="19" t="s">
        <v>2282</v>
      </c>
      <c r="EM603" s="19" t="s">
        <v>12127</v>
      </c>
      <c r="EN603" s="19" t="s">
        <v>1774</v>
      </c>
      <c r="EO603" s="19" t="s">
        <v>4860</v>
      </c>
      <c r="EP603" s="19" t="s">
        <v>2122</v>
      </c>
      <c r="EQ603" s="19" t="s">
        <v>3064</v>
      </c>
      <c r="ER603" s="19"/>
      <c r="ES603" s="19" t="s">
        <v>1774</v>
      </c>
      <c r="ET603" s="19" t="s">
        <v>1774</v>
      </c>
      <c r="EU603" s="19" t="s">
        <v>12125</v>
      </c>
      <c r="EV603" s="19">
        <v>8860.0</v>
      </c>
      <c r="EW603" s="19" t="s">
        <v>16</v>
      </c>
      <c r="EX603" s="19">
        <v>3.0</v>
      </c>
      <c r="EY603" s="25" t="s">
        <v>1773</v>
      </c>
      <c r="EZ603" s="19" t="s">
        <v>2154</v>
      </c>
      <c r="FA603" s="5" t="s">
        <v>12134</v>
      </c>
      <c r="FB603" s="26" t="s">
        <v>2156</v>
      </c>
      <c r="FC603" s="26"/>
    </row>
    <row r="604">
      <c r="A604" s="19" t="s">
        <v>2112</v>
      </c>
      <c r="B604" s="19"/>
      <c r="C604" s="19" t="s">
        <v>2113</v>
      </c>
      <c r="D604" s="19" t="s">
        <v>1775</v>
      </c>
      <c r="E604" s="19" t="s">
        <v>12135</v>
      </c>
      <c r="F604" s="19" t="s">
        <v>1775</v>
      </c>
      <c r="G604" s="19"/>
      <c r="H604" s="19" t="s">
        <v>1775</v>
      </c>
      <c r="I604" s="19" t="s">
        <v>1777</v>
      </c>
      <c r="J604" s="19" t="s">
        <v>12136</v>
      </c>
      <c r="K604" s="19" t="s">
        <v>12137</v>
      </c>
      <c r="L604" s="20">
        <v>45446.0</v>
      </c>
      <c r="M604" s="20">
        <v>45447.0</v>
      </c>
      <c r="N604" s="20">
        <v>45447.0</v>
      </c>
      <c r="O604" s="19" t="s">
        <v>1776</v>
      </c>
      <c r="P604" s="19">
        <v>0.0</v>
      </c>
      <c r="Q604" s="19">
        <v>23.0</v>
      </c>
      <c r="R604" s="19">
        <v>8553.0</v>
      </c>
      <c r="S604" s="20" t="s">
        <v>11128</v>
      </c>
      <c r="T604" s="20">
        <v>45461.0</v>
      </c>
      <c r="U604" s="19" t="s">
        <v>1775</v>
      </c>
      <c r="V604" s="19"/>
      <c r="W604" s="19"/>
      <c r="X604" s="21">
        <v>0.0</v>
      </c>
      <c r="Y604" s="21">
        <v>0.0</v>
      </c>
      <c r="Z604" s="21">
        <v>4.0</v>
      </c>
      <c r="AA604" s="21">
        <v>0.0</v>
      </c>
      <c r="AB604" s="5">
        <v>4.0</v>
      </c>
      <c r="AC604" s="19">
        <v>4.0</v>
      </c>
      <c r="AD604" s="19">
        <v>3.5</v>
      </c>
      <c r="AE604" s="19">
        <v>4.5</v>
      </c>
      <c r="AF604" s="19">
        <v>4.5</v>
      </c>
      <c r="AG604" s="19">
        <v>3.5</v>
      </c>
      <c r="AH604" s="19">
        <v>4.5</v>
      </c>
      <c r="AI604" s="22">
        <v>12.234375</v>
      </c>
      <c r="AJ604" s="19">
        <v>14.0</v>
      </c>
      <c r="AK604" s="19">
        <v>14.0</v>
      </c>
      <c r="AL604" s="19">
        <v>14.0</v>
      </c>
      <c r="AM604" s="19">
        <v>42.0</v>
      </c>
      <c r="AN604" s="19">
        <v>54.2</v>
      </c>
      <c r="AO604" s="19">
        <v>58.2</v>
      </c>
      <c r="AP604" s="19">
        <v>1180.0</v>
      </c>
      <c r="AQ604" s="23">
        <v>593.0</v>
      </c>
      <c r="AR604" s="23">
        <v>42.0</v>
      </c>
      <c r="AS604" s="19"/>
      <c r="AT604" s="19" t="s">
        <v>2163</v>
      </c>
      <c r="AU604" s="19" t="s">
        <v>12138</v>
      </c>
      <c r="AV604" s="19" t="s">
        <v>12139</v>
      </c>
      <c r="AW604" s="19"/>
      <c r="AX604" s="20">
        <v>36908.0</v>
      </c>
      <c r="AY604" s="19" t="s">
        <v>2702</v>
      </c>
      <c r="AZ604" s="19" t="s">
        <v>2310</v>
      </c>
      <c r="BA604" s="19" t="s">
        <v>12140</v>
      </c>
      <c r="BB604" s="19" t="s">
        <v>7759</v>
      </c>
      <c r="BC604" s="19" t="s">
        <v>12141</v>
      </c>
      <c r="BD604" s="19" t="s">
        <v>12142</v>
      </c>
      <c r="BE604" s="19" t="s">
        <v>12143</v>
      </c>
      <c r="BF604" s="19">
        <v>1.1963582209E10</v>
      </c>
      <c r="BG604" s="19" t="s">
        <v>4038</v>
      </c>
      <c r="BH604" s="19" t="s">
        <v>2128</v>
      </c>
      <c r="BI604" s="19"/>
      <c r="BJ604" s="19" t="s">
        <v>2128</v>
      </c>
      <c r="BK604" s="19" t="s">
        <v>17</v>
      </c>
      <c r="BL604" s="19"/>
      <c r="BM604" s="19" t="s">
        <v>5411</v>
      </c>
      <c r="BN604" s="19" t="s">
        <v>17</v>
      </c>
      <c r="BO604" s="19" t="s">
        <v>2317</v>
      </c>
      <c r="BP604" s="19" t="s">
        <v>12144</v>
      </c>
      <c r="BQ604" s="19" t="s">
        <v>2318</v>
      </c>
      <c r="BR604" s="19" t="s">
        <v>2318</v>
      </c>
      <c r="BS604" s="19" t="s">
        <v>2134</v>
      </c>
      <c r="BT604" s="19" t="s">
        <v>42</v>
      </c>
      <c r="BU604" s="19" t="s">
        <v>12145</v>
      </c>
      <c r="BV604" s="19"/>
      <c r="BW604" s="19"/>
      <c r="BX604" s="19"/>
      <c r="BY604" s="19"/>
      <c r="BZ604" s="19" t="s">
        <v>2113</v>
      </c>
      <c r="CA604" s="19"/>
      <c r="CB604" s="19"/>
      <c r="CC604" s="19"/>
      <c r="CD604" s="19" t="s">
        <v>2137</v>
      </c>
      <c r="CE604" s="19" t="s">
        <v>16</v>
      </c>
      <c r="CF604" s="19"/>
      <c r="CG604" s="19"/>
      <c r="CH604" s="19" t="s">
        <v>16</v>
      </c>
      <c r="CI604" s="21">
        <v>0.0</v>
      </c>
      <c r="CJ604" s="19" t="s">
        <v>17</v>
      </c>
      <c r="CK604" s="19"/>
      <c r="CL604" s="19"/>
      <c r="CM604" s="19" t="s">
        <v>2138</v>
      </c>
      <c r="CN604" s="19" t="s">
        <v>2321</v>
      </c>
      <c r="CO604" s="19"/>
      <c r="CP604" s="19" t="s">
        <v>2246</v>
      </c>
      <c r="CQ604" s="19"/>
      <c r="CR604" s="19"/>
      <c r="CS604" s="19"/>
      <c r="CT604" s="19" t="s">
        <v>2113</v>
      </c>
      <c r="CU604" s="19" t="s">
        <v>2113</v>
      </c>
      <c r="CV604" s="19" t="s">
        <v>2141</v>
      </c>
      <c r="CW604" s="19"/>
      <c r="CX604" s="19"/>
      <c r="CY604" s="19"/>
      <c r="CZ604" s="19"/>
      <c r="DA604" s="19" t="s">
        <v>16</v>
      </c>
      <c r="DB604" s="19" t="s">
        <v>17</v>
      </c>
      <c r="DC604" s="19" t="s">
        <v>2324</v>
      </c>
      <c r="DD604" s="19" t="s">
        <v>2113</v>
      </c>
      <c r="DE604" s="19" t="s">
        <v>2113</v>
      </c>
      <c r="DF604" s="19" t="s">
        <v>12146</v>
      </c>
      <c r="DG604" s="19" t="s">
        <v>12147</v>
      </c>
      <c r="DH604" s="19" t="s">
        <v>2144</v>
      </c>
      <c r="DI604" s="24">
        <v>45533.0</v>
      </c>
      <c r="DJ604" s="19" t="s">
        <v>2325</v>
      </c>
      <c r="DK604" s="19" t="s">
        <v>2145</v>
      </c>
      <c r="DL604" s="19" t="s">
        <v>2207</v>
      </c>
      <c r="DM604" s="19" t="s">
        <v>2208</v>
      </c>
      <c r="DN604" s="19">
        <v>10.0</v>
      </c>
      <c r="DO604" s="19">
        <v>10.0</v>
      </c>
      <c r="DP604" s="19" t="s">
        <v>12148</v>
      </c>
      <c r="DQ604" s="19" t="s">
        <v>12149</v>
      </c>
      <c r="DR604" s="19" t="s">
        <v>12150</v>
      </c>
      <c r="DS604" s="19" t="s">
        <v>2365</v>
      </c>
      <c r="DT604" s="19" t="s">
        <v>2209</v>
      </c>
      <c r="DU604" s="19"/>
      <c r="DV604" s="19" t="s">
        <v>12151</v>
      </c>
      <c r="DW604" s="19" t="s">
        <v>2153</v>
      </c>
      <c r="DX604" s="19">
        <v>9.0</v>
      </c>
      <c r="DY604" s="19">
        <v>0.0</v>
      </c>
      <c r="DZ604" s="19">
        <v>0.0</v>
      </c>
      <c r="EA604" s="19">
        <v>0.0</v>
      </c>
      <c r="EB604" s="19">
        <v>0.0</v>
      </c>
      <c r="EC604" s="19">
        <v>0.0</v>
      </c>
      <c r="ED604" s="19" t="s">
        <v>2325</v>
      </c>
      <c r="EE604" s="24">
        <v>45533.0</v>
      </c>
      <c r="EF604" s="19" t="s">
        <v>2325</v>
      </c>
      <c r="EG604" s="19" t="s">
        <v>2145</v>
      </c>
      <c r="EH604" s="19" t="s">
        <v>2207</v>
      </c>
      <c r="EI604" s="22">
        <v>12.234375</v>
      </c>
      <c r="EJ604" s="19">
        <v>42.0</v>
      </c>
      <c r="EK604" s="19" t="s">
        <v>2113</v>
      </c>
      <c r="EL604" s="19" t="s">
        <v>2163</v>
      </c>
      <c r="EM604" s="19" t="s">
        <v>12138</v>
      </c>
      <c r="EN604" s="19" t="s">
        <v>1777</v>
      </c>
      <c r="EO604" s="19" t="s">
        <v>2702</v>
      </c>
      <c r="EP604" s="19" t="s">
        <v>2310</v>
      </c>
      <c r="EQ604" s="19" t="s">
        <v>2321</v>
      </c>
      <c r="ER604" s="19"/>
      <c r="ES604" s="19" t="s">
        <v>1777</v>
      </c>
      <c r="ET604" s="19" t="s">
        <v>1777</v>
      </c>
      <c r="EU604" s="19" t="s">
        <v>12137</v>
      </c>
      <c r="EV604" s="19">
        <v>8553.0</v>
      </c>
      <c r="EW604" s="19" t="s">
        <v>16</v>
      </c>
      <c r="EX604" s="19">
        <v>4.0</v>
      </c>
      <c r="EY604" s="25" t="s">
        <v>1776</v>
      </c>
      <c r="EZ604" s="19" t="s">
        <v>2154</v>
      </c>
      <c r="FA604" s="5" t="s">
        <v>12152</v>
      </c>
      <c r="FB604" s="26" t="s">
        <v>2156</v>
      </c>
      <c r="FC604" s="26"/>
    </row>
    <row r="605">
      <c r="A605" s="19" t="s">
        <v>2112</v>
      </c>
      <c r="B605" s="19"/>
      <c r="C605" s="19" t="s">
        <v>2113</v>
      </c>
      <c r="D605" s="19" t="s">
        <v>1778</v>
      </c>
      <c r="E605" s="19" t="s">
        <v>12153</v>
      </c>
      <c r="F605" s="19" t="s">
        <v>1778</v>
      </c>
      <c r="G605" s="19"/>
      <c r="H605" s="19" t="s">
        <v>1778</v>
      </c>
      <c r="I605" s="19" t="s">
        <v>1780</v>
      </c>
      <c r="J605" s="19" t="s">
        <v>12154</v>
      </c>
      <c r="K605" s="19" t="s">
        <v>12155</v>
      </c>
      <c r="L605" s="20">
        <v>45442.0</v>
      </c>
      <c r="M605" s="20">
        <v>45446.0</v>
      </c>
      <c r="N605" s="20">
        <v>45446.0</v>
      </c>
      <c r="O605" s="19" t="s">
        <v>1779</v>
      </c>
      <c r="P605" s="19">
        <v>0.0</v>
      </c>
      <c r="Q605" s="19">
        <v>27.0</v>
      </c>
      <c r="R605" s="19">
        <v>9892.0</v>
      </c>
      <c r="S605" s="20" t="s">
        <v>12156</v>
      </c>
      <c r="T605" s="20">
        <v>45461.0</v>
      </c>
      <c r="U605" s="19" t="s">
        <v>1778</v>
      </c>
      <c r="V605" s="19"/>
      <c r="W605" s="19"/>
      <c r="X605" s="21">
        <v>0.0</v>
      </c>
      <c r="Y605" s="21">
        <v>10.0</v>
      </c>
      <c r="Z605" s="21">
        <v>2.0</v>
      </c>
      <c r="AA605" s="21">
        <v>0.0</v>
      </c>
      <c r="AB605" s="5">
        <v>12.0</v>
      </c>
      <c r="AC605" s="19">
        <v>5.0</v>
      </c>
      <c r="AD605" s="19">
        <v>5.0</v>
      </c>
      <c r="AE605" s="19">
        <v>4.0</v>
      </c>
      <c r="AF605" s="19">
        <v>4.0</v>
      </c>
      <c r="AG605" s="19">
        <v>4.0</v>
      </c>
      <c r="AH605" s="19">
        <v>4.0</v>
      </c>
      <c r="AI605" s="22">
        <v>13.125</v>
      </c>
      <c r="AJ605" s="19">
        <v>15.0</v>
      </c>
      <c r="AK605" s="19">
        <v>5.0</v>
      </c>
      <c r="AL605" s="19">
        <v>13.0</v>
      </c>
      <c r="AM605" s="19">
        <v>33.0</v>
      </c>
      <c r="AN605" s="19">
        <v>46.1</v>
      </c>
      <c r="AO605" s="19">
        <v>58.1</v>
      </c>
      <c r="AP605" s="19">
        <v>842.0</v>
      </c>
      <c r="AQ605" s="23">
        <v>594.0</v>
      </c>
      <c r="AR605" s="23">
        <v>41.0</v>
      </c>
      <c r="AS605" s="22"/>
      <c r="AT605" s="19" t="s">
        <v>2282</v>
      </c>
      <c r="AU605" s="19" t="s">
        <v>7222</v>
      </c>
      <c r="AV605" s="19" t="s">
        <v>12157</v>
      </c>
      <c r="AW605" s="19" t="s">
        <v>12158</v>
      </c>
      <c r="AX605" s="20">
        <v>35569.0</v>
      </c>
      <c r="AY605" s="19" t="s">
        <v>6932</v>
      </c>
      <c r="AZ605" s="19" t="s">
        <v>2995</v>
      </c>
      <c r="BA605" s="19" t="s">
        <v>12159</v>
      </c>
      <c r="BB605" s="19" t="s">
        <v>12160</v>
      </c>
      <c r="BC605" s="19" t="s">
        <v>12161</v>
      </c>
      <c r="BD605" s="19" t="s">
        <v>12162</v>
      </c>
      <c r="BE605" s="19" t="s">
        <v>12163</v>
      </c>
      <c r="BF605" s="19">
        <v>1.1901588007E10</v>
      </c>
      <c r="BG605" s="19" t="s">
        <v>2127</v>
      </c>
      <c r="BH605" s="19" t="s">
        <v>2128</v>
      </c>
      <c r="BI605" s="19"/>
      <c r="BJ605" s="19"/>
      <c r="BK605" s="19" t="s">
        <v>16</v>
      </c>
      <c r="BL605" s="19"/>
      <c r="BM605" s="19" t="s">
        <v>5563</v>
      </c>
      <c r="BN605" s="19" t="s">
        <v>2172</v>
      </c>
      <c r="BO605" s="19" t="s">
        <v>3199</v>
      </c>
      <c r="BP605" s="19" t="s">
        <v>12164</v>
      </c>
      <c r="BQ605" s="19" t="s">
        <v>2133</v>
      </c>
      <c r="BR605" s="19" t="s">
        <v>2133</v>
      </c>
      <c r="BS605" s="19" t="s">
        <v>2134</v>
      </c>
      <c r="BT605" s="19" t="s">
        <v>222</v>
      </c>
      <c r="BU605" s="19"/>
      <c r="BV605" s="19"/>
      <c r="BW605" s="19"/>
      <c r="BX605" s="19" t="s">
        <v>2113</v>
      </c>
      <c r="BY605" s="19" t="s">
        <v>2113</v>
      </c>
      <c r="BZ605" s="19" t="s">
        <v>2113</v>
      </c>
      <c r="CA605" s="19" t="s">
        <v>2113</v>
      </c>
      <c r="CB605" s="19" t="s">
        <v>2113</v>
      </c>
      <c r="CC605" s="19"/>
      <c r="CD605" s="19" t="s">
        <v>2137</v>
      </c>
      <c r="CE605" s="19" t="s">
        <v>16</v>
      </c>
      <c r="CF605" s="19"/>
      <c r="CG605" s="19"/>
      <c r="CH605" s="19" t="s">
        <v>16</v>
      </c>
      <c r="CI605" s="21">
        <v>0.0</v>
      </c>
      <c r="CJ605" s="19" t="s">
        <v>16</v>
      </c>
      <c r="CK605" s="19"/>
      <c r="CL605" s="19"/>
      <c r="CM605" s="19" t="s">
        <v>2344</v>
      </c>
      <c r="CN605" s="19" t="s">
        <v>4465</v>
      </c>
      <c r="CO605" s="19"/>
      <c r="CP605" s="19"/>
      <c r="CQ605" s="19"/>
      <c r="CR605" s="19"/>
      <c r="CS605" s="19"/>
      <c r="CT605" s="19"/>
      <c r="CU605" s="19"/>
      <c r="CV605" s="19" t="s">
        <v>2179</v>
      </c>
      <c r="CW605" s="19"/>
      <c r="CX605" s="19"/>
      <c r="CY605" s="19" t="s">
        <v>2113</v>
      </c>
      <c r="CZ605" s="19" t="s">
        <v>2113</v>
      </c>
      <c r="DA605" s="19" t="s">
        <v>16</v>
      </c>
      <c r="DB605" s="19" t="s">
        <v>16</v>
      </c>
      <c r="DC605" s="19" t="s">
        <v>6592</v>
      </c>
      <c r="DD605" s="19" t="s">
        <v>2113</v>
      </c>
      <c r="DE605" s="19" t="s">
        <v>2113</v>
      </c>
      <c r="DF605" s="19" t="s">
        <v>10755</v>
      </c>
      <c r="DG605" s="19" t="s">
        <v>5270</v>
      </c>
      <c r="DH605" s="19" t="s">
        <v>2144</v>
      </c>
      <c r="DI605" s="24">
        <v>45526.0</v>
      </c>
      <c r="DJ605" s="19" t="s">
        <v>2133</v>
      </c>
      <c r="DK605" s="19" t="s">
        <v>2145</v>
      </c>
      <c r="DL605" s="19" t="s">
        <v>2146</v>
      </c>
      <c r="DM605" s="19" t="s">
        <v>3338</v>
      </c>
      <c r="DN605" s="19">
        <v>11.0</v>
      </c>
      <c r="DO605" s="19">
        <v>11.0</v>
      </c>
      <c r="DP605" s="19"/>
      <c r="DQ605" s="19"/>
      <c r="DR605" s="19"/>
      <c r="DS605" s="19" t="s">
        <v>2365</v>
      </c>
      <c r="DT605" s="19" t="s">
        <v>2301</v>
      </c>
      <c r="DU605" s="19" t="s">
        <v>12165</v>
      </c>
      <c r="DV605" s="19"/>
      <c r="DW605" s="19" t="s">
        <v>2153</v>
      </c>
      <c r="DX605" s="19">
        <v>8.0</v>
      </c>
      <c r="DY605" s="19">
        <v>10.0</v>
      </c>
      <c r="DZ605" s="19">
        <v>0.0</v>
      </c>
      <c r="EA605" s="19">
        <v>10.0</v>
      </c>
      <c r="EB605" s="19">
        <v>0.0</v>
      </c>
      <c r="EC605" s="19">
        <v>0.0</v>
      </c>
      <c r="ED605" s="19" t="s">
        <v>2133</v>
      </c>
      <c r="EE605" s="24">
        <v>45526.0</v>
      </c>
      <c r="EF605" s="19" t="s">
        <v>2133</v>
      </c>
      <c r="EG605" s="19" t="s">
        <v>2145</v>
      </c>
      <c r="EH605" s="19" t="s">
        <v>2146</v>
      </c>
      <c r="EI605" s="22">
        <v>13.125</v>
      </c>
      <c r="EJ605" s="19">
        <v>33.0</v>
      </c>
      <c r="EK605" s="19"/>
      <c r="EL605" s="19" t="s">
        <v>2282</v>
      </c>
      <c r="EM605" s="19" t="s">
        <v>7222</v>
      </c>
      <c r="EN605" s="19" t="s">
        <v>1780</v>
      </c>
      <c r="EO605" s="19" t="s">
        <v>6932</v>
      </c>
      <c r="EP605" s="19" t="s">
        <v>2995</v>
      </c>
      <c r="EQ605" s="19" t="s">
        <v>4465</v>
      </c>
      <c r="ER605" s="19"/>
      <c r="ES605" s="19" t="s">
        <v>1780</v>
      </c>
      <c r="ET605" s="19" t="s">
        <v>1780</v>
      </c>
      <c r="EU605" s="19" t="s">
        <v>12155</v>
      </c>
      <c r="EV605" s="19">
        <v>9892.0</v>
      </c>
      <c r="EW605" s="19" t="s">
        <v>16</v>
      </c>
      <c r="EX605" s="19">
        <v>2.0</v>
      </c>
      <c r="EY605" s="25" t="s">
        <v>1779</v>
      </c>
      <c r="EZ605" s="19" t="s">
        <v>2154</v>
      </c>
      <c r="FA605" s="5" t="s">
        <v>12166</v>
      </c>
      <c r="FB605" s="26" t="s">
        <v>2156</v>
      </c>
      <c r="FC605" s="26"/>
    </row>
    <row r="606">
      <c r="A606" s="19" t="s">
        <v>2112</v>
      </c>
      <c r="B606" s="19"/>
      <c r="C606" s="19" t="s">
        <v>2113</v>
      </c>
      <c r="D606" s="19" t="s">
        <v>1781</v>
      </c>
      <c r="E606" s="19" t="s">
        <v>12167</v>
      </c>
      <c r="F606" s="19" t="s">
        <v>1781</v>
      </c>
      <c r="G606" s="19" t="s">
        <v>12168</v>
      </c>
      <c r="H606" s="19" t="s">
        <v>1781</v>
      </c>
      <c r="I606" s="19" t="s">
        <v>1783</v>
      </c>
      <c r="J606" s="19" t="s">
        <v>12169</v>
      </c>
      <c r="K606" s="19" t="s">
        <v>12170</v>
      </c>
      <c r="L606" s="20">
        <v>45448.0</v>
      </c>
      <c r="M606" s="20">
        <v>45449.0</v>
      </c>
      <c r="N606" s="20">
        <v>45449.0</v>
      </c>
      <c r="O606" s="19" t="s">
        <v>1782</v>
      </c>
      <c r="P606" s="19">
        <v>0.0</v>
      </c>
      <c r="Q606" s="19">
        <v>23.0</v>
      </c>
      <c r="R606" s="19">
        <v>8653.0</v>
      </c>
      <c r="S606" s="20" t="s">
        <v>12171</v>
      </c>
      <c r="T606" s="20">
        <v>45461.0</v>
      </c>
      <c r="U606" s="19" t="s">
        <v>12172</v>
      </c>
      <c r="V606" s="19"/>
      <c r="W606" s="19"/>
      <c r="X606" s="21">
        <v>0.0</v>
      </c>
      <c r="Y606" s="21">
        <v>0.0</v>
      </c>
      <c r="Z606" s="21">
        <v>3.0</v>
      </c>
      <c r="AA606" s="21">
        <v>0.0</v>
      </c>
      <c r="AB606" s="5">
        <v>3.0</v>
      </c>
      <c r="AC606" s="19">
        <v>4.5</v>
      </c>
      <c r="AD606" s="19">
        <v>4.5</v>
      </c>
      <c r="AE606" s="19">
        <v>4.5</v>
      </c>
      <c r="AF606" s="19">
        <v>4.0</v>
      </c>
      <c r="AG606" s="19">
        <v>4.5</v>
      </c>
      <c r="AH606" s="19">
        <v>4.0</v>
      </c>
      <c r="AI606" s="22">
        <v>13.125</v>
      </c>
      <c r="AJ606" s="19">
        <v>13.3</v>
      </c>
      <c r="AK606" s="19">
        <v>14.3</v>
      </c>
      <c r="AL606" s="19">
        <v>14.3</v>
      </c>
      <c r="AM606" s="19">
        <v>42.0</v>
      </c>
      <c r="AN606" s="19">
        <v>55.1</v>
      </c>
      <c r="AO606" s="19">
        <v>58.1</v>
      </c>
      <c r="AP606" s="19">
        <v>1259.0</v>
      </c>
      <c r="AQ606" s="23">
        <v>595.0</v>
      </c>
      <c r="AR606" s="23">
        <v>37.0</v>
      </c>
      <c r="AS606" s="19"/>
      <c r="AT606" s="19" t="s">
        <v>2992</v>
      </c>
      <c r="AU606" s="19" t="s">
        <v>12173</v>
      </c>
      <c r="AV606" s="19" t="s">
        <v>12174</v>
      </c>
      <c r="AW606" s="19" t="s">
        <v>12175</v>
      </c>
      <c r="AX606" s="20">
        <v>36808.0</v>
      </c>
      <c r="AY606" s="19" t="s">
        <v>5087</v>
      </c>
      <c r="AZ606" s="19" t="s">
        <v>2310</v>
      </c>
      <c r="BA606" s="19" t="s">
        <v>12176</v>
      </c>
      <c r="BB606" s="19" t="s">
        <v>12177</v>
      </c>
      <c r="BC606" s="19" t="s">
        <v>12178</v>
      </c>
      <c r="BD606" s="19" t="s">
        <v>12179</v>
      </c>
      <c r="BE606" s="19" t="s">
        <v>12180</v>
      </c>
      <c r="BF606" s="19">
        <v>1.1983749097E10</v>
      </c>
      <c r="BG606" s="19" t="s">
        <v>4038</v>
      </c>
      <c r="BH606" s="19" t="s">
        <v>2128</v>
      </c>
      <c r="BI606" s="19"/>
      <c r="BJ606" s="19" t="s">
        <v>2129</v>
      </c>
      <c r="BK606" s="19" t="s">
        <v>17</v>
      </c>
      <c r="BL606" s="19"/>
      <c r="BM606" s="19" t="s">
        <v>5411</v>
      </c>
      <c r="BN606" s="19" t="s">
        <v>17</v>
      </c>
      <c r="BO606" s="19" t="s">
        <v>2473</v>
      </c>
      <c r="BP606" s="19" t="s">
        <v>12181</v>
      </c>
      <c r="BQ606" s="19" t="s">
        <v>3832</v>
      </c>
      <c r="BR606" s="19" t="s">
        <v>3832</v>
      </c>
      <c r="BS606" s="19" t="s">
        <v>2134</v>
      </c>
      <c r="BT606" s="19" t="s">
        <v>268</v>
      </c>
      <c r="BU606" s="19" t="s">
        <v>4319</v>
      </c>
      <c r="BV606" s="19"/>
      <c r="BW606" s="19" t="s">
        <v>2113</v>
      </c>
      <c r="BX606" s="19"/>
      <c r="BY606" s="19"/>
      <c r="BZ606" s="19"/>
      <c r="CA606" s="19"/>
      <c r="CB606" s="19" t="s">
        <v>2113</v>
      </c>
      <c r="CC606" s="19"/>
      <c r="CD606" s="19" t="s">
        <v>2137</v>
      </c>
      <c r="CE606" s="19" t="s">
        <v>16</v>
      </c>
      <c r="CF606" s="19"/>
      <c r="CG606" s="19"/>
      <c r="CH606" s="19" t="s">
        <v>16</v>
      </c>
      <c r="CI606" s="21">
        <v>0.0</v>
      </c>
      <c r="CJ606" s="19" t="s">
        <v>16</v>
      </c>
      <c r="CK606" s="19"/>
      <c r="CL606" s="19"/>
      <c r="CM606" s="19" t="s">
        <v>2138</v>
      </c>
      <c r="CN606" s="19" t="s">
        <v>3835</v>
      </c>
      <c r="CO606" s="19"/>
      <c r="CP606" s="19" t="s">
        <v>2246</v>
      </c>
      <c r="CQ606" s="19"/>
      <c r="CR606" s="19" t="s">
        <v>2113</v>
      </c>
      <c r="CS606" s="19" t="s">
        <v>2113</v>
      </c>
      <c r="CT606" s="19"/>
      <c r="CU606" s="19"/>
      <c r="CV606" s="19" t="s">
        <v>2141</v>
      </c>
      <c r="CW606" s="19" t="s">
        <v>2113</v>
      </c>
      <c r="CX606" s="19" t="s">
        <v>2113</v>
      </c>
      <c r="CY606" s="19" t="s">
        <v>2113</v>
      </c>
      <c r="CZ606" s="19" t="s">
        <v>2113</v>
      </c>
      <c r="DA606" s="19" t="s">
        <v>16</v>
      </c>
      <c r="DB606" s="19" t="s">
        <v>16</v>
      </c>
      <c r="DC606" s="19" t="s">
        <v>3836</v>
      </c>
      <c r="DD606" s="19" t="s">
        <v>2113</v>
      </c>
      <c r="DE606" s="19" t="s">
        <v>2113</v>
      </c>
      <c r="DF606" s="19" t="s">
        <v>4083</v>
      </c>
      <c r="DG606" s="19" t="s">
        <v>3163</v>
      </c>
      <c r="DH606" s="19" t="s">
        <v>2144</v>
      </c>
      <c r="DI606" s="24">
        <v>45533.0</v>
      </c>
      <c r="DJ606" s="19" t="s">
        <v>3257</v>
      </c>
      <c r="DK606" s="19" t="s">
        <v>2271</v>
      </c>
      <c r="DL606" s="19" t="s">
        <v>2207</v>
      </c>
      <c r="DM606" s="19" t="s">
        <v>4927</v>
      </c>
      <c r="DN606" s="19">
        <v>4.0</v>
      </c>
      <c r="DO606" s="19">
        <v>4.0</v>
      </c>
      <c r="DP606" s="19" t="s">
        <v>12182</v>
      </c>
      <c r="DQ606" s="19" t="s">
        <v>12183</v>
      </c>
      <c r="DR606" s="19" t="s">
        <v>12184</v>
      </c>
      <c r="DS606" s="19" t="s">
        <v>2185</v>
      </c>
      <c r="DT606" s="19" t="s">
        <v>2209</v>
      </c>
      <c r="DU606" s="19"/>
      <c r="DV606" s="19" t="s">
        <v>12185</v>
      </c>
      <c r="DW606" s="19" t="s">
        <v>3306</v>
      </c>
      <c r="DX606" s="19">
        <v>4.0</v>
      </c>
      <c r="DY606" s="19">
        <v>0.0</v>
      </c>
      <c r="DZ606" s="19">
        <v>0.0</v>
      </c>
      <c r="EA606" s="19">
        <v>0.0</v>
      </c>
      <c r="EB606" s="19">
        <v>0.0</v>
      </c>
      <c r="EC606" s="19">
        <v>0.0</v>
      </c>
      <c r="ED606" s="19" t="s">
        <v>3257</v>
      </c>
      <c r="EE606" s="24">
        <v>45533.0</v>
      </c>
      <c r="EF606" s="19" t="s">
        <v>3257</v>
      </c>
      <c r="EG606" s="19" t="s">
        <v>2271</v>
      </c>
      <c r="EH606" s="19" t="s">
        <v>2207</v>
      </c>
      <c r="EI606" s="22">
        <v>13.125</v>
      </c>
      <c r="EJ606" s="19">
        <v>42.0</v>
      </c>
      <c r="EK606" s="19"/>
      <c r="EL606" s="19" t="s">
        <v>2992</v>
      </c>
      <c r="EM606" s="19" t="s">
        <v>12173</v>
      </c>
      <c r="EN606" s="19" t="s">
        <v>1783</v>
      </c>
      <c r="EO606" s="19" t="s">
        <v>5087</v>
      </c>
      <c r="EP606" s="19" t="s">
        <v>2310</v>
      </c>
      <c r="EQ606" s="19" t="s">
        <v>3835</v>
      </c>
      <c r="ER606" s="19"/>
      <c r="ES606" s="19" t="s">
        <v>1783</v>
      </c>
      <c r="ET606" s="19" t="s">
        <v>1783</v>
      </c>
      <c r="EU606" s="19" t="s">
        <v>12170</v>
      </c>
      <c r="EV606" s="19">
        <v>8653.0</v>
      </c>
      <c r="EW606" s="19" t="s">
        <v>16</v>
      </c>
      <c r="EX606" s="19">
        <v>3.0</v>
      </c>
      <c r="EY606" s="25" t="s">
        <v>1782</v>
      </c>
      <c r="EZ606" s="19" t="s">
        <v>2154</v>
      </c>
      <c r="FA606" s="5" t="s">
        <v>12186</v>
      </c>
      <c r="FB606" s="26" t="s">
        <v>2156</v>
      </c>
      <c r="FC606" s="26"/>
    </row>
    <row r="607">
      <c r="A607" s="19" t="s">
        <v>2112</v>
      </c>
      <c r="B607" s="19"/>
      <c r="C607" s="19" t="s">
        <v>2113</v>
      </c>
      <c r="D607" s="19" t="s">
        <v>12187</v>
      </c>
      <c r="E607" s="19" t="s">
        <v>12188</v>
      </c>
      <c r="F607" s="19" t="s">
        <v>12189</v>
      </c>
      <c r="G607" s="19" t="s">
        <v>12190</v>
      </c>
      <c r="H607" s="19" t="s">
        <v>1784</v>
      </c>
      <c r="I607" s="19" t="s">
        <v>1786</v>
      </c>
      <c r="J607" s="19" t="s">
        <v>12191</v>
      </c>
      <c r="K607" s="19" t="s">
        <v>12192</v>
      </c>
      <c r="L607" s="20">
        <v>45444.0</v>
      </c>
      <c r="M607" s="20">
        <v>45446.0</v>
      </c>
      <c r="N607" s="20">
        <v>45446.0</v>
      </c>
      <c r="O607" s="19" t="s">
        <v>1785</v>
      </c>
      <c r="P607" s="19">
        <v>0.0</v>
      </c>
      <c r="Q607" s="19">
        <v>19.0</v>
      </c>
      <c r="R607" s="19">
        <v>7282.0</v>
      </c>
      <c r="S607" s="20" t="s">
        <v>12193</v>
      </c>
      <c r="T607" s="20">
        <v>45461.0</v>
      </c>
      <c r="U607" s="19" t="s">
        <v>12189</v>
      </c>
      <c r="V607" s="19"/>
      <c r="W607" s="19" t="s">
        <v>12194</v>
      </c>
      <c r="X607" s="21">
        <v>0.0</v>
      </c>
      <c r="Y607" s="21">
        <v>0.0</v>
      </c>
      <c r="Z607" s="21">
        <v>4.0</v>
      </c>
      <c r="AA607" s="21">
        <v>0.0</v>
      </c>
      <c r="AB607" s="5">
        <v>4.0</v>
      </c>
      <c r="AC607" s="19">
        <v>5.0</v>
      </c>
      <c r="AD607" s="19">
        <v>5.0</v>
      </c>
      <c r="AE607" s="19">
        <v>5.0</v>
      </c>
      <c r="AF607" s="19">
        <v>5.0</v>
      </c>
      <c r="AG607" s="19">
        <v>5.0</v>
      </c>
      <c r="AH607" s="19">
        <v>5.0</v>
      </c>
      <c r="AI607" s="22">
        <v>15.0</v>
      </c>
      <c r="AJ607" s="19">
        <v>12.0</v>
      </c>
      <c r="AK607" s="19">
        <v>15.0</v>
      </c>
      <c r="AL607" s="19">
        <v>12.0</v>
      </c>
      <c r="AM607" s="19">
        <v>39.0</v>
      </c>
      <c r="AN607" s="19">
        <v>54.0</v>
      </c>
      <c r="AO607" s="19">
        <v>58.0</v>
      </c>
      <c r="AP607" s="19">
        <v>1198.0</v>
      </c>
      <c r="AQ607" s="23">
        <v>596.0</v>
      </c>
      <c r="AR607" s="23">
        <v>54.0</v>
      </c>
      <c r="AS607" s="22"/>
      <c r="AT607" s="19" t="s">
        <v>2117</v>
      </c>
      <c r="AU607" s="19" t="s">
        <v>12042</v>
      </c>
      <c r="AV607" s="19" t="s">
        <v>12195</v>
      </c>
      <c r="AW607" s="19"/>
      <c r="AX607" s="20">
        <v>38179.0</v>
      </c>
      <c r="AY607" s="19" t="s">
        <v>2375</v>
      </c>
      <c r="AZ607" s="19" t="s">
        <v>2122</v>
      </c>
      <c r="BA607" s="19" t="s">
        <v>12196</v>
      </c>
      <c r="BB607" s="19" t="s">
        <v>12197</v>
      </c>
      <c r="BC607" s="19" t="s">
        <v>12198</v>
      </c>
      <c r="BD607" s="19" t="s">
        <v>12199</v>
      </c>
      <c r="BE607" s="19" t="s">
        <v>12200</v>
      </c>
      <c r="BF607" s="19">
        <v>1.1977416009E10</v>
      </c>
      <c r="BG607" s="19" t="s">
        <v>4038</v>
      </c>
      <c r="BH607" s="19" t="s">
        <v>2128</v>
      </c>
      <c r="BI607" s="19"/>
      <c r="BJ607" s="19" t="s">
        <v>2129</v>
      </c>
      <c r="BK607" s="19" t="s">
        <v>17</v>
      </c>
      <c r="BL607" s="19"/>
      <c r="BM607" s="19" t="s">
        <v>5411</v>
      </c>
      <c r="BN607" s="19" t="s">
        <v>3951</v>
      </c>
      <c r="BO607" s="19" t="s">
        <v>2317</v>
      </c>
      <c r="BP607" s="19"/>
      <c r="BQ607" s="19" t="s">
        <v>2133</v>
      </c>
      <c r="BR607" s="19" t="s">
        <v>2133</v>
      </c>
      <c r="BS607" s="19" t="s">
        <v>2134</v>
      </c>
      <c r="BT607" s="19" t="s">
        <v>52</v>
      </c>
      <c r="BU607" s="19" t="s">
        <v>12201</v>
      </c>
      <c r="BV607" s="19"/>
      <c r="BW607" s="19" t="s">
        <v>2113</v>
      </c>
      <c r="BX607" s="19"/>
      <c r="BY607" s="19"/>
      <c r="BZ607" s="19"/>
      <c r="CA607" s="19"/>
      <c r="CB607" s="19" t="s">
        <v>2113</v>
      </c>
      <c r="CC607" s="19"/>
      <c r="CD607" s="19" t="s">
        <v>2137</v>
      </c>
      <c r="CE607" s="19" t="s">
        <v>16</v>
      </c>
      <c r="CF607" s="19"/>
      <c r="CG607" s="19"/>
      <c r="CH607" s="19" t="s">
        <v>16</v>
      </c>
      <c r="CI607" s="21">
        <v>0.0</v>
      </c>
      <c r="CJ607" s="19" t="s">
        <v>17</v>
      </c>
      <c r="CK607" s="19"/>
      <c r="CL607" s="19"/>
      <c r="CM607" s="19" t="s">
        <v>2344</v>
      </c>
      <c r="CN607" s="19" t="s">
        <v>2382</v>
      </c>
      <c r="CO607" s="19"/>
      <c r="CP607" s="19" t="s">
        <v>2246</v>
      </c>
      <c r="CQ607" s="19"/>
      <c r="CR607" s="19" t="s">
        <v>2113</v>
      </c>
      <c r="CS607" s="19" t="s">
        <v>2113</v>
      </c>
      <c r="CT607" s="19"/>
      <c r="CU607" s="19"/>
      <c r="CV607" s="19" t="s">
        <v>2141</v>
      </c>
      <c r="CW607" s="19"/>
      <c r="CX607" s="19"/>
      <c r="CY607" s="19"/>
      <c r="CZ607" s="19"/>
      <c r="DA607" s="19" t="s">
        <v>16</v>
      </c>
      <c r="DB607" s="19" t="s">
        <v>17</v>
      </c>
      <c r="DC607" s="19" t="s">
        <v>6005</v>
      </c>
      <c r="DD607" s="19"/>
      <c r="DE607" s="19"/>
      <c r="DF607" s="19" t="s">
        <v>4707</v>
      </c>
      <c r="DG607" s="19" t="s">
        <v>2579</v>
      </c>
      <c r="DH607" s="19" t="s">
        <v>2144</v>
      </c>
      <c r="DI607" s="24">
        <v>45532.0</v>
      </c>
      <c r="DJ607" s="19" t="s">
        <v>2133</v>
      </c>
      <c r="DK607" s="19" t="s">
        <v>2145</v>
      </c>
      <c r="DL607" s="19" t="s">
        <v>2146</v>
      </c>
      <c r="DM607" s="19" t="s">
        <v>4101</v>
      </c>
      <c r="DN607" s="19">
        <v>15.0</v>
      </c>
      <c r="DO607" s="19">
        <v>15.0</v>
      </c>
      <c r="DP607" s="19" t="s">
        <v>12202</v>
      </c>
      <c r="DQ607" s="19" t="s">
        <v>12203</v>
      </c>
      <c r="DR607" s="19" t="s">
        <v>12204</v>
      </c>
      <c r="DS607" s="19" t="s">
        <v>2151</v>
      </c>
      <c r="DT607" s="19" t="s">
        <v>2229</v>
      </c>
      <c r="DU607" s="19"/>
      <c r="DV607" s="19"/>
      <c r="DW607" s="19" t="s">
        <v>2153</v>
      </c>
      <c r="DX607" s="19">
        <v>12.0</v>
      </c>
      <c r="DY607" s="19">
        <v>0.0</v>
      </c>
      <c r="DZ607" s="19">
        <v>0.0</v>
      </c>
      <c r="EA607" s="19">
        <v>0.0</v>
      </c>
      <c r="EB607" s="19">
        <v>0.0</v>
      </c>
      <c r="EC607" s="19">
        <v>0.0</v>
      </c>
      <c r="ED607" s="19" t="s">
        <v>2133</v>
      </c>
      <c r="EE607" s="24">
        <v>45532.0</v>
      </c>
      <c r="EF607" s="19" t="s">
        <v>2133</v>
      </c>
      <c r="EG607" s="19" t="s">
        <v>2145</v>
      </c>
      <c r="EH607" s="19" t="s">
        <v>2146</v>
      </c>
      <c r="EI607" s="22">
        <v>15.0</v>
      </c>
      <c r="EJ607" s="19">
        <v>39.0</v>
      </c>
      <c r="EK607" s="19" t="s">
        <v>2113</v>
      </c>
      <c r="EL607" s="19" t="s">
        <v>2117</v>
      </c>
      <c r="EM607" s="19" t="s">
        <v>12042</v>
      </c>
      <c r="EN607" s="19" t="s">
        <v>1786</v>
      </c>
      <c r="EO607" s="19" t="s">
        <v>2375</v>
      </c>
      <c r="EP607" s="19" t="s">
        <v>2122</v>
      </c>
      <c r="EQ607" s="19" t="s">
        <v>2382</v>
      </c>
      <c r="ER607" s="19"/>
      <c r="ES607" s="19" t="s">
        <v>1786</v>
      </c>
      <c r="ET607" s="19" t="s">
        <v>1786</v>
      </c>
      <c r="EU607" s="19" t="s">
        <v>12192</v>
      </c>
      <c r="EV607" s="19">
        <v>7282.0</v>
      </c>
      <c r="EW607" s="19" t="s">
        <v>16</v>
      </c>
      <c r="EX607" s="19">
        <v>4.0</v>
      </c>
      <c r="EY607" s="25" t="s">
        <v>1785</v>
      </c>
      <c r="EZ607" s="19" t="s">
        <v>2154</v>
      </c>
      <c r="FA607" s="5" t="s">
        <v>12205</v>
      </c>
      <c r="FB607" s="26" t="s">
        <v>2156</v>
      </c>
      <c r="FC607" s="26"/>
    </row>
    <row r="608">
      <c r="A608" s="19" t="s">
        <v>2112</v>
      </c>
      <c r="B608" s="19"/>
      <c r="C608" s="19" t="s">
        <v>2113</v>
      </c>
      <c r="D608" s="19" t="s">
        <v>12206</v>
      </c>
      <c r="E608" s="19" t="s">
        <v>12207</v>
      </c>
      <c r="F608" s="19" t="s">
        <v>12206</v>
      </c>
      <c r="G608" s="19"/>
      <c r="H608" s="19" t="s">
        <v>1787</v>
      </c>
      <c r="I608" s="19" t="s">
        <v>1789</v>
      </c>
      <c r="J608" s="19" t="s">
        <v>12208</v>
      </c>
      <c r="K608" s="19" t="s">
        <v>12209</v>
      </c>
      <c r="L608" s="20">
        <v>45445.0</v>
      </c>
      <c r="M608" s="20">
        <v>45446.0</v>
      </c>
      <c r="N608" s="20">
        <v>45446.0</v>
      </c>
      <c r="O608" s="19" t="s">
        <v>1788</v>
      </c>
      <c r="P608" s="19">
        <v>0.0</v>
      </c>
      <c r="Q608" s="19">
        <v>25.0</v>
      </c>
      <c r="R608" s="19">
        <v>9210.0</v>
      </c>
      <c r="S608" s="20" t="s">
        <v>12210</v>
      </c>
      <c r="T608" s="20">
        <v>45461.0</v>
      </c>
      <c r="U608" s="19" t="s">
        <v>12206</v>
      </c>
      <c r="V608" s="19"/>
      <c r="W608" s="19" t="s">
        <v>12211</v>
      </c>
      <c r="X608" s="21">
        <v>0.0</v>
      </c>
      <c r="Y608" s="21">
        <v>0.0</v>
      </c>
      <c r="Z608" s="21">
        <v>3.0</v>
      </c>
      <c r="AA608" s="21">
        <v>0.0</v>
      </c>
      <c r="AB608" s="5">
        <v>3.0</v>
      </c>
      <c r="AC608" s="19">
        <v>5.0</v>
      </c>
      <c r="AD608" s="19">
        <v>5.0</v>
      </c>
      <c r="AE608" s="19">
        <v>5.0</v>
      </c>
      <c r="AF608" s="19">
        <v>5.0</v>
      </c>
      <c r="AG608" s="19">
        <v>5.0</v>
      </c>
      <c r="AH608" s="19">
        <v>5.0</v>
      </c>
      <c r="AI608" s="22">
        <v>15.0</v>
      </c>
      <c r="AJ608" s="19">
        <v>15.0</v>
      </c>
      <c r="AK608" s="19">
        <v>15.0</v>
      </c>
      <c r="AL608" s="19">
        <v>10.0</v>
      </c>
      <c r="AM608" s="19">
        <v>40.0</v>
      </c>
      <c r="AN608" s="19">
        <v>55.0</v>
      </c>
      <c r="AO608" s="19">
        <v>58.0</v>
      </c>
      <c r="AP608" s="19">
        <v>1240.0</v>
      </c>
      <c r="AQ608" s="23">
        <v>597.0</v>
      </c>
      <c r="AR608" s="23">
        <v>55.0</v>
      </c>
      <c r="AS608" s="22"/>
      <c r="AT608" s="19" t="s">
        <v>2282</v>
      </c>
      <c r="AU608" s="19" t="s">
        <v>12212</v>
      </c>
      <c r="AV608" s="19" t="s">
        <v>12213</v>
      </c>
      <c r="AW608" s="19"/>
      <c r="AX608" s="20">
        <v>36251.0</v>
      </c>
      <c r="AY608" s="19" t="s">
        <v>12214</v>
      </c>
      <c r="AZ608" s="19" t="s">
        <v>2122</v>
      </c>
      <c r="BA608" s="19" t="s">
        <v>12215</v>
      </c>
      <c r="BB608" s="19" t="s">
        <v>4942</v>
      </c>
      <c r="BC608" s="19" t="s">
        <v>12216</v>
      </c>
      <c r="BD608" s="19" t="s">
        <v>12217</v>
      </c>
      <c r="BE608" s="19" t="s">
        <v>12218</v>
      </c>
      <c r="BF608" s="19">
        <v>1.1952346363E10</v>
      </c>
      <c r="BG608" s="19" t="s">
        <v>2127</v>
      </c>
      <c r="BH608" s="19" t="s">
        <v>2128</v>
      </c>
      <c r="BI608" s="19"/>
      <c r="BJ608" s="19"/>
      <c r="BK608" s="19" t="s">
        <v>16</v>
      </c>
      <c r="BL608" s="19"/>
      <c r="BM608" s="19" t="s">
        <v>5563</v>
      </c>
      <c r="BN608" s="19" t="s">
        <v>3951</v>
      </c>
      <c r="BO608" s="19" t="s">
        <v>2473</v>
      </c>
      <c r="BP608" s="19"/>
      <c r="BQ608" s="19" t="s">
        <v>2133</v>
      </c>
      <c r="BR608" s="19" t="s">
        <v>2133</v>
      </c>
      <c r="BS608" s="19" t="s">
        <v>3521</v>
      </c>
      <c r="BT608" s="19" t="s">
        <v>52</v>
      </c>
      <c r="BU608" s="19" t="s">
        <v>4830</v>
      </c>
      <c r="BV608" s="19"/>
      <c r="BW608" s="19" t="s">
        <v>2113</v>
      </c>
      <c r="BX608" s="19"/>
      <c r="BY608" s="19"/>
      <c r="BZ608" s="19"/>
      <c r="CA608" s="19"/>
      <c r="CB608" s="19" t="s">
        <v>2113</v>
      </c>
      <c r="CC608" s="19"/>
      <c r="CD608" s="19" t="s">
        <v>2137</v>
      </c>
      <c r="CE608" s="19" t="s">
        <v>16</v>
      </c>
      <c r="CF608" s="19"/>
      <c r="CG608" s="19"/>
      <c r="CH608" s="19" t="s">
        <v>16</v>
      </c>
      <c r="CI608" s="21">
        <v>0.0</v>
      </c>
      <c r="CJ608" s="19" t="s">
        <v>16</v>
      </c>
      <c r="CK608" s="19"/>
      <c r="CL608" s="19"/>
      <c r="CM608" s="19" t="s">
        <v>2138</v>
      </c>
      <c r="CN608" s="19" t="s">
        <v>6390</v>
      </c>
      <c r="CO608" s="19"/>
      <c r="CP608" s="19"/>
      <c r="CQ608" s="19"/>
      <c r="CR608" s="19" t="s">
        <v>2113</v>
      </c>
      <c r="CS608" s="19" t="s">
        <v>2113</v>
      </c>
      <c r="CT608" s="19" t="s">
        <v>2113</v>
      </c>
      <c r="CU608" s="19" t="s">
        <v>2113</v>
      </c>
      <c r="CV608" s="19" t="s">
        <v>2141</v>
      </c>
      <c r="CW608" s="19"/>
      <c r="CX608" s="19"/>
      <c r="CY608" s="19" t="s">
        <v>2113</v>
      </c>
      <c r="CZ608" s="19" t="s">
        <v>2113</v>
      </c>
      <c r="DA608" s="19" t="s">
        <v>16</v>
      </c>
      <c r="DB608" s="19" t="s">
        <v>16</v>
      </c>
      <c r="DC608" s="19" t="s">
        <v>11259</v>
      </c>
      <c r="DD608" s="19" t="s">
        <v>2113</v>
      </c>
      <c r="DE608" s="19" t="s">
        <v>2113</v>
      </c>
      <c r="DF608" s="19" t="s">
        <v>3163</v>
      </c>
      <c r="DG608" s="19" t="s">
        <v>2323</v>
      </c>
      <c r="DH608" s="19" t="s">
        <v>2144</v>
      </c>
      <c r="DI608" s="24">
        <v>45524.0</v>
      </c>
      <c r="DJ608" s="19" t="s">
        <v>2133</v>
      </c>
      <c r="DK608" s="19" t="s">
        <v>2271</v>
      </c>
      <c r="DL608" s="19" t="s">
        <v>2146</v>
      </c>
      <c r="DM608" s="19" t="s">
        <v>2628</v>
      </c>
      <c r="DN608" s="19">
        <v>8.0</v>
      </c>
      <c r="DO608" s="19">
        <v>8.0</v>
      </c>
      <c r="DP608" s="19" t="s">
        <v>12219</v>
      </c>
      <c r="DQ608" s="19" t="s">
        <v>12220</v>
      </c>
      <c r="DR608" s="19" t="s">
        <v>12221</v>
      </c>
      <c r="DS608" s="19" t="s">
        <v>2365</v>
      </c>
      <c r="DT608" s="19" t="s">
        <v>2186</v>
      </c>
      <c r="DU608" s="19"/>
      <c r="DV608" s="19"/>
      <c r="DW608" s="19" t="s">
        <v>2153</v>
      </c>
      <c r="DX608" s="19">
        <v>9.0</v>
      </c>
      <c r="DY608" s="19">
        <v>0.0</v>
      </c>
      <c r="DZ608" s="19">
        <v>0.0</v>
      </c>
      <c r="EA608" s="19">
        <v>0.0</v>
      </c>
      <c r="EB608" s="19">
        <v>0.0</v>
      </c>
      <c r="EC608" s="19">
        <v>0.0</v>
      </c>
      <c r="ED608" s="19" t="s">
        <v>2133</v>
      </c>
      <c r="EE608" s="24">
        <v>45524.0</v>
      </c>
      <c r="EF608" s="19" t="s">
        <v>2133</v>
      </c>
      <c r="EG608" s="19" t="s">
        <v>2271</v>
      </c>
      <c r="EH608" s="19" t="s">
        <v>2146</v>
      </c>
      <c r="EI608" s="22">
        <v>15.0</v>
      </c>
      <c r="EJ608" s="19">
        <v>40.0</v>
      </c>
      <c r="EK608" s="19"/>
      <c r="EL608" s="19" t="s">
        <v>2282</v>
      </c>
      <c r="EM608" s="19" t="s">
        <v>12212</v>
      </c>
      <c r="EN608" s="19" t="s">
        <v>1789</v>
      </c>
      <c r="EO608" s="19" t="s">
        <v>12214</v>
      </c>
      <c r="EP608" s="19" t="s">
        <v>2122</v>
      </c>
      <c r="EQ608" s="19" t="s">
        <v>6390</v>
      </c>
      <c r="ER608" s="19"/>
      <c r="ES608" s="19" t="s">
        <v>1789</v>
      </c>
      <c r="ET608" s="19" t="s">
        <v>1789</v>
      </c>
      <c r="EU608" s="19" t="s">
        <v>12209</v>
      </c>
      <c r="EV608" s="19">
        <v>9210.0</v>
      </c>
      <c r="EW608" s="19" t="s">
        <v>16</v>
      </c>
      <c r="EX608" s="19">
        <v>3.0</v>
      </c>
      <c r="EY608" s="25" t="s">
        <v>1788</v>
      </c>
      <c r="EZ608" s="19" t="s">
        <v>2154</v>
      </c>
      <c r="FA608" s="5" t="s">
        <v>12222</v>
      </c>
      <c r="FB608" s="26" t="s">
        <v>2156</v>
      </c>
      <c r="FC608" s="26"/>
    </row>
    <row r="609">
      <c r="A609" s="19" t="s">
        <v>2112</v>
      </c>
      <c r="B609" s="19"/>
      <c r="C609" s="19" t="s">
        <v>2113</v>
      </c>
      <c r="D609" s="19" t="s">
        <v>12223</v>
      </c>
      <c r="E609" s="19" t="s">
        <v>12224</v>
      </c>
      <c r="F609" s="19" t="s">
        <v>12223</v>
      </c>
      <c r="G609" s="19"/>
      <c r="H609" s="19" t="s">
        <v>1790</v>
      </c>
      <c r="I609" s="19" t="s">
        <v>1792</v>
      </c>
      <c r="J609" s="19" t="s">
        <v>12225</v>
      </c>
      <c r="K609" s="19" t="s">
        <v>12226</v>
      </c>
      <c r="L609" s="20">
        <v>45446.0</v>
      </c>
      <c r="M609" s="20">
        <v>45446.0</v>
      </c>
      <c r="N609" s="20">
        <v>45446.0</v>
      </c>
      <c r="O609" s="19" t="s">
        <v>1791</v>
      </c>
      <c r="P609" s="19">
        <v>0.0</v>
      </c>
      <c r="Q609" s="19">
        <v>23.0</v>
      </c>
      <c r="R609" s="19">
        <v>8694.0</v>
      </c>
      <c r="S609" s="20" t="s">
        <v>12227</v>
      </c>
      <c r="T609" s="20">
        <v>45461.0</v>
      </c>
      <c r="U609" s="19" t="s">
        <v>12223</v>
      </c>
      <c r="V609" s="19"/>
      <c r="W609" s="19"/>
      <c r="X609" s="21">
        <v>0.0</v>
      </c>
      <c r="Y609" s="21">
        <v>0.0</v>
      </c>
      <c r="Z609" s="21">
        <v>5.0</v>
      </c>
      <c r="AA609" s="21">
        <v>0.0</v>
      </c>
      <c r="AB609" s="5">
        <v>5.0</v>
      </c>
      <c r="AC609" s="19">
        <v>3.2</v>
      </c>
      <c r="AD609" s="19">
        <v>3.4</v>
      </c>
      <c r="AE609" s="19">
        <v>3.4</v>
      </c>
      <c r="AF609" s="19">
        <v>4.0</v>
      </c>
      <c r="AG609" s="19">
        <v>2.8</v>
      </c>
      <c r="AH609" s="19">
        <v>4.8</v>
      </c>
      <c r="AI609" s="22">
        <v>10.63125</v>
      </c>
      <c r="AJ609" s="19">
        <v>14.3</v>
      </c>
      <c r="AK609" s="19">
        <v>14.0</v>
      </c>
      <c r="AL609" s="19">
        <v>14.0</v>
      </c>
      <c r="AM609" s="19">
        <v>42.3</v>
      </c>
      <c r="AN609" s="19">
        <v>52.9</v>
      </c>
      <c r="AO609" s="19">
        <v>57.9</v>
      </c>
      <c r="AP609" s="19">
        <v>1066.0</v>
      </c>
      <c r="AQ609" s="23">
        <v>598.0</v>
      </c>
      <c r="AR609" s="23">
        <v>73.0</v>
      </c>
      <c r="AS609" s="22"/>
      <c r="AT609" s="19" t="s">
        <v>2163</v>
      </c>
      <c r="AU609" s="19" t="s">
        <v>2335</v>
      </c>
      <c r="AV609" s="19" t="s">
        <v>2336</v>
      </c>
      <c r="AW609" s="19"/>
      <c r="AX609" s="20">
        <v>36767.0</v>
      </c>
      <c r="AY609" s="19" t="s">
        <v>2338</v>
      </c>
      <c r="AZ609" s="19" t="s">
        <v>2310</v>
      </c>
      <c r="BA609" s="19" t="s">
        <v>2339</v>
      </c>
      <c r="BB609" s="19" t="s">
        <v>2473</v>
      </c>
      <c r="BC609" s="19" t="s">
        <v>12228</v>
      </c>
      <c r="BD609" s="19" t="s">
        <v>12229</v>
      </c>
      <c r="BE609" s="19" t="s">
        <v>12225</v>
      </c>
      <c r="BF609" s="19">
        <v>1.1984272046E10</v>
      </c>
      <c r="BG609" s="19" t="s">
        <v>2127</v>
      </c>
      <c r="BH609" s="19" t="s">
        <v>2128</v>
      </c>
      <c r="BI609" s="19"/>
      <c r="BJ609" s="19"/>
      <c r="BK609" s="19" t="s">
        <v>16</v>
      </c>
      <c r="BL609" s="19" t="s">
        <v>2113</v>
      </c>
      <c r="BM609" s="19" t="s">
        <v>5411</v>
      </c>
      <c r="BN609" s="19" t="s">
        <v>17</v>
      </c>
      <c r="BO609" s="19" t="s">
        <v>2132</v>
      </c>
      <c r="BP609" s="19"/>
      <c r="BQ609" s="19" t="s">
        <v>2174</v>
      </c>
      <c r="BR609" s="19" t="s">
        <v>2174</v>
      </c>
      <c r="BS609" s="19" t="s">
        <v>3521</v>
      </c>
      <c r="BT609" s="19" t="s">
        <v>21</v>
      </c>
      <c r="BU609" s="19" t="s">
        <v>6590</v>
      </c>
      <c r="BV609" s="19"/>
      <c r="BW609" s="19"/>
      <c r="BX609" s="19"/>
      <c r="BY609" s="19"/>
      <c r="BZ609" s="19"/>
      <c r="CA609" s="19"/>
      <c r="CB609" s="19"/>
      <c r="CC609" s="19"/>
      <c r="CD609" s="19" t="s">
        <v>2137</v>
      </c>
      <c r="CE609" s="19" t="s">
        <v>16</v>
      </c>
      <c r="CF609" s="19"/>
      <c r="CG609" s="19"/>
      <c r="CH609" s="19" t="s">
        <v>16</v>
      </c>
      <c r="CI609" s="21">
        <v>0.0</v>
      </c>
      <c r="CJ609" s="19" t="s">
        <v>17</v>
      </c>
      <c r="CK609" s="19"/>
      <c r="CL609" s="19"/>
      <c r="CM609" s="19" t="s">
        <v>2926</v>
      </c>
      <c r="CN609" s="19" t="s">
        <v>2204</v>
      </c>
      <c r="CO609" s="19"/>
      <c r="CP609" s="19"/>
      <c r="CQ609" s="19"/>
      <c r="CR609" s="19" t="s">
        <v>2113</v>
      </c>
      <c r="CS609" s="19" t="s">
        <v>2113</v>
      </c>
      <c r="CT609" s="19"/>
      <c r="CU609" s="19"/>
      <c r="CV609" s="19" t="s">
        <v>2141</v>
      </c>
      <c r="CW609" s="19" t="s">
        <v>2113</v>
      </c>
      <c r="CX609" s="19" t="s">
        <v>2113</v>
      </c>
      <c r="CY609" s="19" t="s">
        <v>2113</v>
      </c>
      <c r="CZ609" s="19" t="s">
        <v>2113</v>
      </c>
      <c r="DA609" s="19" t="s">
        <v>16</v>
      </c>
      <c r="DB609" s="19" t="s">
        <v>17</v>
      </c>
      <c r="DC609" s="19" t="s">
        <v>3856</v>
      </c>
      <c r="DD609" s="19"/>
      <c r="DE609" s="19"/>
      <c r="DF609" s="19" t="s">
        <v>5213</v>
      </c>
      <c r="DG609" s="19" t="s">
        <v>2181</v>
      </c>
      <c r="DH609" s="19" t="s">
        <v>2144</v>
      </c>
      <c r="DI609" s="24">
        <v>45518.0</v>
      </c>
      <c r="DJ609" s="19" t="s">
        <v>2174</v>
      </c>
      <c r="DK609" s="19" t="s">
        <v>2271</v>
      </c>
      <c r="DL609" s="19" t="s">
        <v>2183</v>
      </c>
      <c r="DM609" s="19" t="s">
        <v>2346</v>
      </c>
      <c r="DN609" s="19">
        <v>4.0</v>
      </c>
      <c r="DO609" s="19">
        <v>4.0</v>
      </c>
      <c r="DP609" s="19" t="s">
        <v>12230</v>
      </c>
      <c r="DQ609" s="19" t="s">
        <v>12231</v>
      </c>
      <c r="DR609" s="19" t="s">
        <v>12232</v>
      </c>
      <c r="DS609" s="19" t="s">
        <v>2151</v>
      </c>
      <c r="DT609" s="19" t="s">
        <v>2301</v>
      </c>
      <c r="DU609" s="19"/>
      <c r="DV609" s="19"/>
      <c r="DW609" s="19" t="s">
        <v>2153</v>
      </c>
      <c r="DX609" s="19">
        <v>13.0</v>
      </c>
      <c r="DY609" s="19">
        <v>0.0</v>
      </c>
      <c r="DZ609" s="19">
        <v>0.0</v>
      </c>
      <c r="EA609" s="19">
        <v>0.0</v>
      </c>
      <c r="EB609" s="19">
        <v>0.0</v>
      </c>
      <c r="EC609" s="19">
        <v>0.0</v>
      </c>
      <c r="ED609" s="19" t="s">
        <v>2174</v>
      </c>
      <c r="EE609" s="24">
        <v>45518.0</v>
      </c>
      <c r="EF609" s="19" t="s">
        <v>2174</v>
      </c>
      <c r="EG609" s="19" t="s">
        <v>2271</v>
      </c>
      <c r="EH609" s="19" t="s">
        <v>2183</v>
      </c>
      <c r="EI609" s="22">
        <v>10.63125</v>
      </c>
      <c r="EJ609" s="19">
        <v>42.25</v>
      </c>
      <c r="EK609" s="19" t="s">
        <v>2113</v>
      </c>
      <c r="EL609" s="19" t="s">
        <v>2163</v>
      </c>
      <c r="EM609" s="19" t="s">
        <v>2335</v>
      </c>
      <c r="EN609" s="19" t="s">
        <v>1792</v>
      </c>
      <c r="EO609" s="19" t="s">
        <v>2338</v>
      </c>
      <c r="EP609" s="19" t="s">
        <v>2310</v>
      </c>
      <c r="EQ609" s="19" t="s">
        <v>2204</v>
      </c>
      <c r="ER609" s="19"/>
      <c r="ES609" s="19" t="s">
        <v>1792</v>
      </c>
      <c r="ET609" s="19" t="s">
        <v>1792</v>
      </c>
      <c r="EU609" s="19" t="s">
        <v>12226</v>
      </c>
      <c r="EV609" s="19">
        <v>8694.0</v>
      </c>
      <c r="EW609" s="19" t="s">
        <v>16</v>
      </c>
      <c r="EX609" s="19">
        <v>5.0</v>
      </c>
      <c r="EY609" s="25" t="s">
        <v>1791</v>
      </c>
      <c r="EZ609" s="19" t="s">
        <v>2154</v>
      </c>
      <c r="FA609" s="5" t="s">
        <v>12233</v>
      </c>
      <c r="FB609" s="26" t="s">
        <v>2156</v>
      </c>
      <c r="FC609" s="26"/>
    </row>
    <row r="610">
      <c r="A610" s="19" t="s">
        <v>2156</v>
      </c>
      <c r="B610" s="19"/>
      <c r="C610" s="19" t="s">
        <v>2113</v>
      </c>
      <c r="D610" s="19" t="s">
        <v>12234</v>
      </c>
      <c r="E610" s="19" t="s">
        <v>12234</v>
      </c>
      <c r="F610" s="19" t="s">
        <v>9099</v>
      </c>
      <c r="G610" s="19" t="s">
        <v>9095</v>
      </c>
      <c r="H610" s="19" t="s">
        <v>1793</v>
      </c>
      <c r="I610" s="19" t="s">
        <v>1795</v>
      </c>
      <c r="J610" s="19" t="s">
        <v>12235</v>
      </c>
      <c r="K610" s="19" t="s">
        <v>12236</v>
      </c>
      <c r="L610" s="20">
        <v>45455.0</v>
      </c>
      <c r="M610" s="20">
        <v>45455.0</v>
      </c>
      <c r="N610" s="20">
        <v>45455.0</v>
      </c>
      <c r="O610" s="19" t="s">
        <v>1794</v>
      </c>
      <c r="P610" s="19">
        <v>0.0</v>
      </c>
      <c r="Q610" s="19">
        <v>21.0</v>
      </c>
      <c r="R610" s="19">
        <v>8008.0</v>
      </c>
      <c r="S610" s="20" t="s">
        <v>12237</v>
      </c>
      <c r="T610" s="20">
        <v>45461.0</v>
      </c>
      <c r="U610" s="19" t="s">
        <v>9099</v>
      </c>
      <c r="V610" s="19"/>
      <c r="W610" s="19" t="s">
        <v>12238</v>
      </c>
      <c r="X610" s="21">
        <v>0.0</v>
      </c>
      <c r="Y610" s="21">
        <v>10.0</v>
      </c>
      <c r="Z610" s="21">
        <v>3.0</v>
      </c>
      <c r="AA610" s="21">
        <v>0.0</v>
      </c>
      <c r="AB610" s="5">
        <v>13.0</v>
      </c>
      <c r="AC610" s="19">
        <v>4.0</v>
      </c>
      <c r="AD610" s="19">
        <v>3.0</v>
      </c>
      <c r="AE610" s="19">
        <v>3.0</v>
      </c>
      <c r="AF610" s="19">
        <v>4.0</v>
      </c>
      <c r="AG610" s="19">
        <v>3.0</v>
      </c>
      <c r="AH610" s="19">
        <v>3.0</v>
      </c>
      <c r="AI610" s="22">
        <v>9.84375</v>
      </c>
      <c r="AJ610" s="19">
        <v>13.0</v>
      </c>
      <c r="AK610" s="19">
        <v>12.0</v>
      </c>
      <c r="AL610" s="19">
        <v>10.0</v>
      </c>
      <c r="AM610" s="19">
        <v>35.0</v>
      </c>
      <c r="AN610" s="19">
        <v>44.8</v>
      </c>
      <c r="AO610" s="19">
        <v>57.8</v>
      </c>
      <c r="AP610" s="19">
        <v>746.0</v>
      </c>
      <c r="AQ610" s="23">
        <v>599.0</v>
      </c>
      <c r="AR610" s="23">
        <v>56.0</v>
      </c>
      <c r="AS610" s="22"/>
      <c r="AT610" s="19" t="s">
        <v>2282</v>
      </c>
      <c r="AU610" s="19" t="s">
        <v>12239</v>
      </c>
      <c r="AV610" s="19" t="s">
        <v>12240</v>
      </c>
      <c r="AW610" s="19" t="s">
        <v>4218</v>
      </c>
      <c r="AX610" s="20">
        <v>37453.0</v>
      </c>
      <c r="AY610" s="19" t="s">
        <v>4661</v>
      </c>
      <c r="AZ610" s="19" t="s">
        <v>2919</v>
      </c>
      <c r="BA610" s="19" t="s">
        <v>12241</v>
      </c>
      <c r="BB610" s="19" t="s">
        <v>6034</v>
      </c>
      <c r="BC610" s="19" t="s">
        <v>12242</v>
      </c>
      <c r="BD610" s="19" t="s">
        <v>12243</v>
      </c>
      <c r="BE610" s="19" t="s">
        <v>12235</v>
      </c>
      <c r="BF610" s="19">
        <v>1.1980644282E10</v>
      </c>
      <c r="BG610" s="19" t="s">
        <v>2127</v>
      </c>
      <c r="BH610" s="19" t="s">
        <v>2128</v>
      </c>
      <c r="BI610" s="19"/>
      <c r="BJ610" s="19"/>
      <c r="BK610" s="19" t="s">
        <v>16</v>
      </c>
      <c r="BL610" s="19"/>
      <c r="BM610" s="19" t="s">
        <v>5563</v>
      </c>
      <c r="BN610" s="19" t="s">
        <v>3198</v>
      </c>
      <c r="BO610" s="19" t="s">
        <v>2473</v>
      </c>
      <c r="BP610" s="19"/>
      <c r="BQ610" s="19" t="s">
        <v>2133</v>
      </c>
      <c r="BR610" s="19" t="s">
        <v>2133</v>
      </c>
      <c r="BS610" s="19" t="s">
        <v>2134</v>
      </c>
      <c r="BT610" s="19" t="s">
        <v>52</v>
      </c>
      <c r="BU610" s="19" t="s">
        <v>5143</v>
      </c>
      <c r="BV610" s="19"/>
      <c r="BW610" s="19" t="s">
        <v>2113</v>
      </c>
      <c r="BX610" s="19"/>
      <c r="BY610" s="19"/>
      <c r="BZ610" s="19"/>
      <c r="CA610" s="19"/>
      <c r="CB610" s="19"/>
      <c r="CC610" s="19"/>
      <c r="CD610" s="19" t="s">
        <v>2137</v>
      </c>
      <c r="CE610" s="19" t="s">
        <v>16</v>
      </c>
      <c r="CF610" s="19"/>
      <c r="CG610" s="19"/>
      <c r="CH610" s="19" t="s">
        <v>16</v>
      </c>
      <c r="CI610" s="21">
        <v>0.0</v>
      </c>
      <c r="CJ610" s="19" t="s">
        <v>16</v>
      </c>
      <c r="CK610" s="19"/>
      <c r="CL610" s="19"/>
      <c r="CM610" s="19" t="s">
        <v>2138</v>
      </c>
      <c r="CN610" s="19" t="s">
        <v>3544</v>
      </c>
      <c r="CO610" s="19"/>
      <c r="CP610" s="19" t="s">
        <v>2134</v>
      </c>
      <c r="CQ610" s="19"/>
      <c r="CR610" s="19"/>
      <c r="CS610" s="19"/>
      <c r="CT610" s="19"/>
      <c r="CU610" s="19"/>
      <c r="CV610" s="19" t="s">
        <v>2141</v>
      </c>
      <c r="CW610" s="19" t="s">
        <v>2113</v>
      </c>
      <c r="CX610" s="19" t="s">
        <v>2113</v>
      </c>
      <c r="CY610" s="19" t="s">
        <v>2113</v>
      </c>
      <c r="CZ610" s="19" t="s">
        <v>2113</v>
      </c>
      <c r="DA610" s="19" t="s">
        <v>16</v>
      </c>
      <c r="DB610" s="19" t="s">
        <v>16</v>
      </c>
      <c r="DC610" s="19" t="s">
        <v>2142</v>
      </c>
      <c r="DD610" s="19" t="s">
        <v>2113</v>
      </c>
      <c r="DE610" s="19" t="s">
        <v>2113</v>
      </c>
      <c r="DF610" s="19" t="s">
        <v>2578</v>
      </c>
      <c r="DG610" s="19" t="s">
        <v>2579</v>
      </c>
      <c r="DH610" s="19" t="s">
        <v>2144</v>
      </c>
      <c r="DI610" s="24">
        <v>45519.0</v>
      </c>
      <c r="DJ610" s="19" t="s">
        <v>2133</v>
      </c>
      <c r="DK610" s="19" t="s">
        <v>2145</v>
      </c>
      <c r="DL610" s="19" t="s">
        <v>2146</v>
      </c>
      <c r="DM610" s="19"/>
      <c r="DN610" s="19">
        <v>5.0</v>
      </c>
      <c r="DO610" s="19">
        <v>5.0</v>
      </c>
      <c r="DP610" s="19" t="s">
        <v>12244</v>
      </c>
      <c r="DQ610" s="19" t="s">
        <v>12245</v>
      </c>
      <c r="DR610" s="19" t="s">
        <v>12246</v>
      </c>
      <c r="DS610" s="19" t="s">
        <v>2365</v>
      </c>
      <c r="DT610" s="19" t="s">
        <v>2229</v>
      </c>
      <c r="DU610" s="19"/>
      <c r="DV610" s="19"/>
      <c r="DW610" s="19" t="s">
        <v>2153</v>
      </c>
      <c r="DX610" s="19">
        <v>9.0</v>
      </c>
      <c r="DY610" s="19">
        <v>10.0</v>
      </c>
      <c r="DZ610" s="19">
        <v>0.0</v>
      </c>
      <c r="EA610" s="19">
        <v>10.0</v>
      </c>
      <c r="EB610" s="19">
        <v>0.0</v>
      </c>
      <c r="EC610" s="19">
        <v>0.0</v>
      </c>
      <c r="ED610" s="19" t="s">
        <v>2133</v>
      </c>
      <c r="EE610" s="24">
        <v>45519.0</v>
      </c>
      <c r="EF610" s="19" t="s">
        <v>2133</v>
      </c>
      <c r="EG610" s="19" t="s">
        <v>2145</v>
      </c>
      <c r="EH610" s="19" t="s">
        <v>2146</v>
      </c>
      <c r="EI610" s="22">
        <v>9.84375</v>
      </c>
      <c r="EJ610" s="19">
        <v>35.0</v>
      </c>
      <c r="EK610" s="19"/>
      <c r="EL610" s="19" t="s">
        <v>2282</v>
      </c>
      <c r="EM610" s="19" t="s">
        <v>12239</v>
      </c>
      <c r="EN610" s="19" t="s">
        <v>1795</v>
      </c>
      <c r="EO610" s="19" t="s">
        <v>4661</v>
      </c>
      <c r="EP610" s="19" t="s">
        <v>2919</v>
      </c>
      <c r="EQ610" s="19" t="s">
        <v>3544</v>
      </c>
      <c r="ER610" s="19"/>
      <c r="ES610" s="19" t="s">
        <v>1795</v>
      </c>
      <c r="ET610" s="19" t="s">
        <v>1795</v>
      </c>
      <c r="EU610" s="19" t="s">
        <v>12236</v>
      </c>
      <c r="EV610" s="19">
        <v>8008.0</v>
      </c>
      <c r="EW610" s="19" t="s">
        <v>16</v>
      </c>
      <c r="EX610" s="19">
        <v>3.0</v>
      </c>
      <c r="EY610" s="25" t="s">
        <v>1794</v>
      </c>
      <c r="EZ610" s="19" t="s">
        <v>2154</v>
      </c>
      <c r="FA610" s="5" t="s">
        <v>12247</v>
      </c>
      <c r="FB610" s="26" t="s">
        <v>2156</v>
      </c>
      <c r="FC610" s="26"/>
    </row>
    <row r="611">
      <c r="A611" s="19" t="s">
        <v>2112</v>
      </c>
      <c r="B611" s="19"/>
      <c r="C611" s="19" t="s">
        <v>2113</v>
      </c>
      <c r="D611" s="19" t="s">
        <v>1796</v>
      </c>
      <c r="E611" s="19" t="s">
        <v>12248</v>
      </c>
      <c r="F611" s="19" t="s">
        <v>1796</v>
      </c>
      <c r="G611" s="19"/>
      <c r="H611" s="19" t="s">
        <v>1796</v>
      </c>
      <c r="I611" s="19" t="s">
        <v>1798</v>
      </c>
      <c r="J611" s="19" t="s">
        <v>12249</v>
      </c>
      <c r="K611" s="19" t="s">
        <v>12250</v>
      </c>
      <c r="L611" s="20">
        <v>45412.0</v>
      </c>
      <c r="M611" s="20">
        <v>45414.0</v>
      </c>
      <c r="N611" s="20">
        <v>45414.0</v>
      </c>
      <c r="O611" s="19" t="s">
        <v>1797</v>
      </c>
      <c r="P611" s="19">
        <v>0.0</v>
      </c>
      <c r="Q611" s="19">
        <v>20.0</v>
      </c>
      <c r="R611" s="19">
        <v>7621.0</v>
      </c>
      <c r="S611" s="20" t="s">
        <v>12251</v>
      </c>
      <c r="T611" s="20">
        <v>45461.0</v>
      </c>
      <c r="U611" s="19" t="s">
        <v>1796</v>
      </c>
      <c r="V611" s="19"/>
      <c r="W611" s="19" t="s">
        <v>12252</v>
      </c>
      <c r="X611" s="21">
        <v>0.0</v>
      </c>
      <c r="Y611" s="21">
        <v>0.0</v>
      </c>
      <c r="Z611" s="21">
        <v>5.0</v>
      </c>
      <c r="AA611" s="21">
        <v>0.0</v>
      </c>
      <c r="AB611" s="5">
        <v>5.0</v>
      </c>
      <c r="AC611" s="19">
        <v>5.0</v>
      </c>
      <c r="AD611" s="19">
        <v>4.0</v>
      </c>
      <c r="AE611" s="19">
        <v>4.0</v>
      </c>
      <c r="AF611" s="19">
        <v>4.0</v>
      </c>
      <c r="AG611" s="19">
        <v>4.0</v>
      </c>
      <c r="AH611" s="19">
        <v>5.0</v>
      </c>
      <c r="AI611" s="22">
        <v>12.84375</v>
      </c>
      <c r="AJ611" s="19">
        <v>13.0</v>
      </c>
      <c r="AK611" s="19">
        <v>14.0</v>
      </c>
      <c r="AL611" s="19">
        <v>13.0</v>
      </c>
      <c r="AM611" s="19">
        <v>40.0</v>
      </c>
      <c r="AN611" s="19">
        <v>52.8</v>
      </c>
      <c r="AO611" s="19">
        <v>57.8</v>
      </c>
      <c r="AP611" s="19">
        <v>1111.0</v>
      </c>
      <c r="AQ611" s="23">
        <v>600.0</v>
      </c>
      <c r="AR611" s="23">
        <v>87.0</v>
      </c>
      <c r="AS611" s="22"/>
      <c r="AT611" s="19" t="s">
        <v>2282</v>
      </c>
      <c r="AU611" s="19" t="s">
        <v>12253</v>
      </c>
      <c r="AV611" s="19" t="s">
        <v>12254</v>
      </c>
      <c r="AW611" s="19"/>
      <c r="AX611" s="20">
        <v>37840.0</v>
      </c>
      <c r="AY611" s="19" t="s">
        <v>2817</v>
      </c>
      <c r="AZ611" s="19" t="s">
        <v>2310</v>
      </c>
      <c r="BA611" s="19" t="s">
        <v>12255</v>
      </c>
      <c r="BB611" s="19" t="s">
        <v>12256</v>
      </c>
      <c r="BC611" s="19" t="s">
        <v>12257</v>
      </c>
      <c r="BD611" s="19" t="s">
        <v>12258</v>
      </c>
      <c r="BE611" s="19" t="s">
        <v>12259</v>
      </c>
      <c r="BF611" s="19">
        <v>1.191335188E10</v>
      </c>
      <c r="BG611" s="19" t="s">
        <v>4038</v>
      </c>
      <c r="BH611" s="19" t="s">
        <v>2128</v>
      </c>
      <c r="BI611" s="19"/>
      <c r="BJ611" s="19" t="s">
        <v>2128</v>
      </c>
      <c r="BK611" s="19" t="s">
        <v>17</v>
      </c>
      <c r="BL611" s="19"/>
      <c r="BM611" s="19" t="s">
        <v>5563</v>
      </c>
      <c r="BN611" s="19" t="s">
        <v>3951</v>
      </c>
      <c r="BO611" s="19" t="s">
        <v>2132</v>
      </c>
      <c r="BP611" s="19"/>
      <c r="BQ611" s="19" t="s">
        <v>2133</v>
      </c>
      <c r="BR611" s="19" t="s">
        <v>2133</v>
      </c>
      <c r="BS611" s="19" t="s">
        <v>2134</v>
      </c>
      <c r="BT611" s="19" t="s">
        <v>38</v>
      </c>
      <c r="BU611" s="19" t="s">
        <v>12260</v>
      </c>
      <c r="BV611" s="19"/>
      <c r="BW611" s="19" t="s">
        <v>2113</v>
      </c>
      <c r="BX611" s="19"/>
      <c r="BY611" s="19"/>
      <c r="BZ611" s="19"/>
      <c r="CA611" s="19"/>
      <c r="CB611" s="19" t="s">
        <v>2113</v>
      </c>
      <c r="CC611" s="19"/>
      <c r="CD611" s="19" t="s">
        <v>2137</v>
      </c>
      <c r="CE611" s="19" t="s">
        <v>16</v>
      </c>
      <c r="CF611" s="19"/>
      <c r="CG611" s="19"/>
      <c r="CH611" s="19" t="s">
        <v>16</v>
      </c>
      <c r="CI611" s="21">
        <v>0.0</v>
      </c>
      <c r="CJ611" s="19" t="s">
        <v>16</v>
      </c>
      <c r="CK611" s="19"/>
      <c r="CL611" s="19"/>
      <c r="CM611" s="19" t="s">
        <v>2138</v>
      </c>
      <c r="CN611" s="19" t="s">
        <v>2294</v>
      </c>
      <c r="CO611" s="19"/>
      <c r="CP611" s="19" t="s">
        <v>2246</v>
      </c>
      <c r="CQ611" s="19"/>
      <c r="CR611" s="19" t="s">
        <v>2113</v>
      </c>
      <c r="CS611" s="19" t="s">
        <v>2113</v>
      </c>
      <c r="CT611" s="19" t="s">
        <v>2113</v>
      </c>
      <c r="CU611" s="19" t="s">
        <v>2113</v>
      </c>
      <c r="CV611" s="19" t="s">
        <v>2141</v>
      </c>
      <c r="CW611" s="19" t="s">
        <v>2113</v>
      </c>
      <c r="CX611" s="19" t="s">
        <v>2113</v>
      </c>
      <c r="CY611" s="19" t="s">
        <v>2113</v>
      </c>
      <c r="CZ611" s="19" t="s">
        <v>2113</v>
      </c>
      <c r="DA611" s="19" t="s">
        <v>16</v>
      </c>
      <c r="DB611" s="19" t="s">
        <v>16</v>
      </c>
      <c r="DC611" s="19" t="s">
        <v>2407</v>
      </c>
      <c r="DD611" s="19" t="s">
        <v>2113</v>
      </c>
      <c r="DE611" s="19" t="s">
        <v>2113</v>
      </c>
      <c r="DF611" s="19" t="s">
        <v>3524</v>
      </c>
      <c r="DG611" s="19" t="s">
        <v>4541</v>
      </c>
      <c r="DH611" s="19" t="s">
        <v>2144</v>
      </c>
      <c r="DI611" s="24">
        <v>45532.0</v>
      </c>
      <c r="DJ611" s="19" t="s">
        <v>2133</v>
      </c>
      <c r="DK611" s="19" t="s">
        <v>2145</v>
      </c>
      <c r="DL611" s="19" t="s">
        <v>2146</v>
      </c>
      <c r="DM611" s="19" t="s">
        <v>4101</v>
      </c>
      <c r="DN611" s="19">
        <v>15.0</v>
      </c>
      <c r="DO611" s="19">
        <v>15.0</v>
      </c>
      <c r="DP611" s="19" t="s">
        <v>12261</v>
      </c>
      <c r="DQ611" s="19" t="s">
        <v>12262</v>
      </c>
      <c r="DR611" s="19" t="s">
        <v>12263</v>
      </c>
      <c r="DS611" s="19" t="s">
        <v>2365</v>
      </c>
      <c r="DT611" s="19" t="s">
        <v>2152</v>
      </c>
      <c r="DU611" s="19"/>
      <c r="DV611" s="19"/>
      <c r="DW611" s="19" t="s">
        <v>2153</v>
      </c>
      <c r="DX611" s="19">
        <v>9.0</v>
      </c>
      <c r="DY611" s="19">
        <v>0.0</v>
      </c>
      <c r="DZ611" s="19">
        <v>0.0</v>
      </c>
      <c r="EA611" s="19">
        <v>0.0</v>
      </c>
      <c r="EB611" s="19">
        <v>0.0</v>
      </c>
      <c r="EC611" s="19">
        <v>0.0</v>
      </c>
      <c r="ED611" s="19" t="s">
        <v>2133</v>
      </c>
      <c r="EE611" s="24">
        <v>45532.0</v>
      </c>
      <c r="EF611" s="19" t="s">
        <v>2133</v>
      </c>
      <c r="EG611" s="19" t="s">
        <v>2145</v>
      </c>
      <c r="EH611" s="19" t="s">
        <v>2146</v>
      </c>
      <c r="EI611" s="22">
        <v>12.84375</v>
      </c>
      <c r="EJ611" s="19">
        <v>40.0</v>
      </c>
      <c r="EK611" s="19"/>
      <c r="EL611" s="19" t="s">
        <v>2282</v>
      </c>
      <c r="EM611" s="19" t="s">
        <v>12253</v>
      </c>
      <c r="EN611" s="19" t="s">
        <v>1798</v>
      </c>
      <c r="EO611" s="19" t="s">
        <v>2817</v>
      </c>
      <c r="EP611" s="19" t="s">
        <v>2310</v>
      </c>
      <c r="EQ611" s="19" t="s">
        <v>2294</v>
      </c>
      <c r="ER611" s="19"/>
      <c r="ES611" s="19" t="s">
        <v>1798</v>
      </c>
      <c r="ET611" s="19" t="s">
        <v>1798</v>
      </c>
      <c r="EU611" s="19" t="s">
        <v>12250</v>
      </c>
      <c r="EV611" s="19">
        <v>7621.0</v>
      </c>
      <c r="EW611" s="19" t="s">
        <v>16</v>
      </c>
      <c r="EX611" s="19">
        <v>5.0</v>
      </c>
      <c r="EY611" s="25" t="s">
        <v>1797</v>
      </c>
      <c r="EZ611" s="19" t="s">
        <v>2154</v>
      </c>
      <c r="FA611" s="5" t="s">
        <v>12264</v>
      </c>
      <c r="FB611" s="26" t="s">
        <v>2156</v>
      </c>
      <c r="FC611" s="26"/>
    </row>
    <row r="612">
      <c r="A612" s="19" t="s">
        <v>2112</v>
      </c>
      <c r="B612" s="19"/>
      <c r="C612" s="19" t="s">
        <v>2113</v>
      </c>
      <c r="D612" s="19" t="s">
        <v>1799</v>
      </c>
      <c r="E612" s="19" t="s">
        <v>12265</v>
      </c>
      <c r="F612" s="19" t="s">
        <v>1799</v>
      </c>
      <c r="G612" s="19"/>
      <c r="H612" s="19" t="s">
        <v>1799</v>
      </c>
      <c r="I612" s="19" t="s">
        <v>1801</v>
      </c>
      <c r="J612" s="19" t="s">
        <v>12266</v>
      </c>
      <c r="K612" s="19" t="s">
        <v>12267</v>
      </c>
      <c r="L612" s="20">
        <v>45459.0</v>
      </c>
      <c r="M612" s="20">
        <v>45460.0</v>
      </c>
      <c r="N612" s="20">
        <v>45460.0</v>
      </c>
      <c r="O612" s="19" t="s">
        <v>1800</v>
      </c>
      <c r="P612" s="19">
        <v>0.0</v>
      </c>
      <c r="Q612" s="19">
        <v>24.0</v>
      </c>
      <c r="R612" s="19">
        <v>8835.0</v>
      </c>
      <c r="S612" s="20" t="s">
        <v>12268</v>
      </c>
      <c r="T612" s="20">
        <v>45461.0</v>
      </c>
      <c r="U612" s="19" t="s">
        <v>1799</v>
      </c>
      <c r="V612" s="19"/>
      <c r="W612" s="19"/>
      <c r="X612" s="21">
        <v>0.0</v>
      </c>
      <c r="Y612" s="21">
        <v>0.0</v>
      </c>
      <c r="Z612" s="21">
        <v>5.0</v>
      </c>
      <c r="AA612" s="21">
        <v>0.0</v>
      </c>
      <c r="AB612" s="5">
        <v>5.0</v>
      </c>
      <c r="AC612" s="19">
        <v>4.4</v>
      </c>
      <c r="AD612" s="19">
        <v>4.0</v>
      </c>
      <c r="AE612" s="19">
        <v>4.4</v>
      </c>
      <c r="AF612" s="19">
        <v>4.6</v>
      </c>
      <c r="AG612" s="19">
        <v>3.6</v>
      </c>
      <c r="AH612" s="19">
        <v>4.6</v>
      </c>
      <c r="AI612" s="22">
        <v>12.787500000000001</v>
      </c>
      <c r="AJ612" s="19">
        <v>15.0</v>
      </c>
      <c r="AK612" s="19">
        <v>15.0</v>
      </c>
      <c r="AL612" s="19">
        <v>10.0</v>
      </c>
      <c r="AM612" s="19">
        <v>40.0</v>
      </c>
      <c r="AN612" s="19">
        <v>52.8</v>
      </c>
      <c r="AO612" s="19">
        <v>57.8</v>
      </c>
      <c r="AP612" s="19">
        <v>1061.0</v>
      </c>
      <c r="AQ612" s="23">
        <v>601.0</v>
      </c>
      <c r="AR612" s="23">
        <v>44.0</v>
      </c>
      <c r="AS612" s="22"/>
      <c r="AT612" s="19" t="s">
        <v>2163</v>
      </c>
      <c r="AU612" s="19" t="s">
        <v>12269</v>
      </c>
      <c r="AV612" s="19" t="s">
        <v>12270</v>
      </c>
      <c r="AW612" s="19"/>
      <c r="AX612" s="20">
        <v>36626.0</v>
      </c>
      <c r="AY612" s="19" t="s">
        <v>2258</v>
      </c>
      <c r="AZ612" s="19" t="s">
        <v>2310</v>
      </c>
      <c r="BA612" s="19" t="s">
        <v>12271</v>
      </c>
      <c r="BB612" s="19" t="s">
        <v>2531</v>
      </c>
      <c r="BC612" s="19" t="s">
        <v>12272</v>
      </c>
      <c r="BD612" s="19" t="s">
        <v>12273</v>
      </c>
      <c r="BE612" s="19" t="s">
        <v>12266</v>
      </c>
      <c r="BF612" s="19">
        <v>1.1994374682E10</v>
      </c>
      <c r="BG612" s="19" t="s">
        <v>2127</v>
      </c>
      <c r="BH612" s="19" t="s">
        <v>2128</v>
      </c>
      <c r="BI612" s="19"/>
      <c r="BJ612" s="19"/>
      <c r="BK612" s="19" t="s">
        <v>16</v>
      </c>
      <c r="BL612" s="19"/>
      <c r="BM612" s="19" t="s">
        <v>5411</v>
      </c>
      <c r="BN612" s="19" t="s">
        <v>17</v>
      </c>
      <c r="BO612" s="19" t="s">
        <v>2132</v>
      </c>
      <c r="BP612" s="19"/>
      <c r="BQ612" s="19" t="s">
        <v>2174</v>
      </c>
      <c r="BR612" s="19" t="s">
        <v>2174</v>
      </c>
      <c r="BS612" s="19" t="s">
        <v>3521</v>
      </c>
      <c r="BT612" s="19" t="s">
        <v>34</v>
      </c>
      <c r="BU612" s="19" t="s">
        <v>4060</v>
      </c>
      <c r="BV612" s="19"/>
      <c r="BW612" s="19"/>
      <c r="BX612" s="19"/>
      <c r="BY612" s="19"/>
      <c r="BZ612" s="19"/>
      <c r="CA612" s="19" t="s">
        <v>2113</v>
      </c>
      <c r="CB612" s="19" t="s">
        <v>2113</v>
      </c>
      <c r="CC612" s="19"/>
      <c r="CD612" s="19" t="s">
        <v>2137</v>
      </c>
      <c r="CE612" s="19" t="s">
        <v>16</v>
      </c>
      <c r="CF612" s="19"/>
      <c r="CG612" s="19"/>
      <c r="CH612" s="19" t="s">
        <v>16</v>
      </c>
      <c r="CI612" s="21">
        <v>0.0</v>
      </c>
      <c r="CJ612" s="19" t="s">
        <v>17</v>
      </c>
      <c r="CK612" s="19"/>
      <c r="CL612" s="19"/>
      <c r="CM612" s="19" t="s">
        <v>2138</v>
      </c>
      <c r="CN612" s="19" t="s">
        <v>2266</v>
      </c>
      <c r="CO612" s="19"/>
      <c r="CP612" s="19"/>
      <c r="CQ612" s="19"/>
      <c r="CR612" s="19"/>
      <c r="CS612" s="19"/>
      <c r="CT612" s="19"/>
      <c r="CU612" s="19"/>
      <c r="CV612" s="19" t="s">
        <v>2179</v>
      </c>
      <c r="CW612" s="19" t="s">
        <v>2113</v>
      </c>
      <c r="CX612" s="19" t="s">
        <v>2113</v>
      </c>
      <c r="CY612" s="19" t="s">
        <v>2113</v>
      </c>
      <c r="CZ612" s="19" t="s">
        <v>2113</v>
      </c>
      <c r="DA612" s="19" t="s">
        <v>16</v>
      </c>
      <c r="DB612" s="19" t="s">
        <v>17</v>
      </c>
      <c r="DC612" s="19" t="s">
        <v>2268</v>
      </c>
      <c r="DD612" s="19" t="s">
        <v>2113</v>
      </c>
      <c r="DE612" s="19" t="s">
        <v>2113</v>
      </c>
      <c r="DF612" s="19" t="s">
        <v>5450</v>
      </c>
      <c r="DG612" s="19" t="s">
        <v>2270</v>
      </c>
      <c r="DH612" s="19" t="s">
        <v>2144</v>
      </c>
      <c r="DI612" s="24">
        <v>45519.0</v>
      </c>
      <c r="DJ612" s="19" t="s">
        <v>2174</v>
      </c>
      <c r="DK612" s="19" t="s">
        <v>2271</v>
      </c>
      <c r="DL612" s="19" t="s">
        <v>2183</v>
      </c>
      <c r="DM612" s="19" t="s">
        <v>2272</v>
      </c>
      <c r="DN612" s="19">
        <v>6.0</v>
      </c>
      <c r="DO612" s="19">
        <v>6.0</v>
      </c>
      <c r="DP612" s="19"/>
      <c r="DQ612" s="19"/>
      <c r="DR612" s="19"/>
      <c r="DS612" s="19" t="s">
        <v>2151</v>
      </c>
      <c r="DT612" s="19" t="s">
        <v>2152</v>
      </c>
      <c r="DU612" s="19" t="s">
        <v>12274</v>
      </c>
      <c r="DV612" s="19"/>
      <c r="DW612" s="19" t="s">
        <v>2153</v>
      </c>
      <c r="DX612" s="19">
        <v>13.0</v>
      </c>
      <c r="DY612" s="19">
        <v>0.0</v>
      </c>
      <c r="DZ612" s="19">
        <v>0.0</v>
      </c>
      <c r="EA612" s="19">
        <v>0.0</v>
      </c>
      <c r="EB612" s="19">
        <v>0.0</v>
      </c>
      <c r="EC612" s="19">
        <v>0.0</v>
      </c>
      <c r="ED612" s="19" t="s">
        <v>2174</v>
      </c>
      <c r="EE612" s="24">
        <v>45519.0</v>
      </c>
      <c r="EF612" s="19" t="s">
        <v>2174</v>
      </c>
      <c r="EG612" s="19" t="s">
        <v>2271</v>
      </c>
      <c r="EH612" s="19" t="s">
        <v>2183</v>
      </c>
      <c r="EI612" s="22">
        <v>12.787500000000001</v>
      </c>
      <c r="EJ612" s="19">
        <v>40.0</v>
      </c>
      <c r="EK612" s="19" t="s">
        <v>2113</v>
      </c>
      <c r="EL612" s="19" t="s">
        <v>2163</v>
      </c>
      <c r="EM612" s="19" t="s">
        <v>12269</v>
      </c>
      <c r="EN612" s="19" t="s">
        <v>1801</v>
      </c>
      <c r="EO612" s="19" t="s">
        <v>2258</v>
      </c>
      <c r="EP612" s="19" t="s">
        <v>2310</v>
      </c>
      <c r="EQ612" s="19" t="s">
        <v>2266</v>
      </c>
      <c r="ER612" s="19"/>
      <c r="ES612" s="19" t="s">
        <v>1801</v>
      </c>
      <c r="ET612" s="19" t="s">
        <v>1801</v>
      </c>
      <c r="EU612" s="19" t="s">
        <v>12267</v>
      </c>
      <c r="EV612" s="19">
        <v>8835.0</v>
      </c>
      <c r="EW612" s="19" t="s">
        <v>16</v>
      </c>
      <c r="EX612" s="19">
        <v>5.0</v>
      </c>
      <c r="EY612" s="25" t="s">
        <v>1800</v>
      </c>
      <c r="EZ612" s="19" t="s">
        <v>2154</v>
      </c>
      <c r="FA612" s="5" t="s">
        <v>12275</v>
      </c>
      <c r="FB612" s="26" t="s">
        <v>2156</v>
      </c>
      <c r="FC612" s="26"/>
    </row>
    <row r="613">
      <c r="A613" s="19" t="s">
        <v>17</v>
      </c>
      <c r="B613" s="19"/>
      <c r="C613" s="19" t="s">
        <v>2113</v>
      </c>
      <c r="D613" s="19" t="s">
        <v>1802</v>
      </c>
      <c r="E613" s="19" t="s">
        <v>12276</v>
      </c>
      <c r="F613" s="19" t="s">
        <v>12277</v>
      </c>
      <c r="G613" s="19" t="s">
        <v>12278</v>
      </c>
      <c r="H613" s="19" t="s">
        <v>1802</v>
      </c>
      <c r="I613" s="19" t="s">
        <v>1804</v>
      </c>
      <c r="J613" s="19" t="s">
        <v>12279</v>
      </c>
      <c r="K613" s="19" t="s">
        <v>12280</v>
      </c>
      <c r="L613" s="20">
        <v>45441.0</v>
      </c>
      <c r="M613" s="20">
        <v>45446.0</v>
      </c>
      <c r="N613" s="20">
        <v>45446.0</v>
      </c>
      <c r="O613" s="19" t="s">
        <v>1803</v>
      </c>
      <c r="P613" s="19">
        <v>0.0</v>
      </c>
      <c r="Q613" s="19">
        <v>26.0</v>
      </c>
      <c r="R613" s="19">
        <v>9719.0</v>
      </c>
      <c r="S613" s="20" t="s">
        <v>12281</v>
      </c>
      <c r="T613" s="20">
        <v>45461.0</v>
      </c>
      <c r="U613" s="19" t="s">
        <v>12277</v>
      </c>
      <c r="V613" s="19"/>
      <c r="W613" s="19"/>
      <c r="X613" s="21">
        <v>0.0</v>
      </c>
      <c r="Y613" s="21">
        <v>10.0</v>
      </c>
      <c r="Z613" s="21">
        <v>3.0</v>
      </c>
      <c r="AA613" s="21">
        <v>0.0</v>
      </c>
      <c r="AB613" s="5">
        <v>13.0</v>
      </c>
      <c r="AC613" s="19">
        <v>5.0</v>
      </c>
      <c r="AD613" s="19">
        <v>4.5</v>
      </c>
      <c r="AE613" s="19">
        <v>5.0</v>
      </c>
      <c r="AF613" s="19">
        <v>5.0</v>
      </c>
      <c r="AG613" s="19">
        <v>5.0</v>
      </c>
      <c r="AH613" s="19">
        <v>5.0</v>
      </c>
      <c r="AI613" s="22">
        <v>14.671875</v>
      </c>
      <c r="AJ613" s="19">
        <v>10.0</v>
      </c>
      <c r="AK613" s="19">
        <v>10.0</v>
      </c>
      <c r="AL613" s="19">
        <v>10.0</v>
      </c>
      <c r="AM613" s="19">
        <v>30.0</v>
      </c>
      <c r="AN613" s="19">
        <v>44.7</v>
      </c>
      <c r="AO613" s="19">
        <v>57.7</v>
      </c>
      <c r="AP613" s="19">
        <v>683.0</v>
      </c>
      <c r="AQ613" s="23">
        <v>602.0</v>
      </c>
      <c r="AR613" s="23">
        <v>38.0</v>
      </c>
      <c r="AS613" s="22"/>
      <c r="AT613" s="19" t="s">
        <v>2282</v>
      </c>
      <c r="AU613" s="19" t="s">
        <v>12282</v>
      </c>
      <c r="AV613" s="19" t="s">
        <v>12283</v>
      </c>
      <c r="AW613" s="19"/>
      <c r="AX613" s="20">
        <v>35742.0</v>
      </c>
      <c r="AY613" s="19" t="s">
        <v>5087</v>
      </c>
      <c r="AZ613" s="19" t="s">
        <v>2122</v>
      </c>
      <c r="BA613" s="19" t="s">
        <v>12284</v>
      </c>
      <c r="BB613" s="19" t="s">
        <v>12285</v>
      </c>
      <c r="BC613" s="19" t="s">
        <v>12286</v>
      </c>
      <c r="BD613" s="19" t="s">
        <v>12287</v>
      </c>
      <c r="BE613" s="19" t="s">
        <v>12279</v>
      </c>
      <c r="BF613" s="19">
        <v>1.199529103E10</v>
      </c>
      <c r="BG613" s="19" t="s">
        <v>2127</v>
      </c>
      <c r="BH613" s="19" t="s">
        <v>2649</v>
      </c>
      <c r="BI613" s="19"/>
      <c r="BJ613" s="19" t="s">
        <v>2128</v>
      </c>
      <c r="BK613" s="19" t="s">
        <v>17</v>
      </c>
      <c r="BL613" s="19"/>
      <c r="BM613" s="19" t="s">
        <v>5796</v>
      </c>
      <c r="BN613" s="19" t="s">
        <v>5055</v>
      </c>
      <c r="BO613" s="19" t="s">
        <v>2473</v>
      </c>
      <c r="BP613" s="19"/>
      <c r="BQ613" s="19" t="s">
        <v>3832</v>
      </c>
      <c r="BR613" s="19" t="s">
        <v>3832</v>
      </c>
      <c r="BS613" s="19" t="s">
        <v>2134</v>
      </c>
      <c r="BT613" s="19" t="s">
        <v>268</v>
      </c>
      <c r="BU613" s="19" t="s">
        <v>12288</v>
      </c>
      <c r="BV613" s="19"/>
      <c r="BW613" s="19"/>
      <c r="BX613" s="19"/>
      <c r="BY613" s="19"/>
      <c r="BZ613" s="19"/>
      <c r="CA613" s="19"/>
      <c r="CB613" s="19" t="s">
        <v>2113</v>
      </c>
      <c r="CC613" s="19"/>
      <c r="CD613" s="19" t="s">
        <v>2137</v>
      </c>
      <c r="CE613" s="19" t="s">
        <v>16</v>
      </c>
      <c r="CF613" s="19"/>
      <c r="CG613" s="19" t="s">
        <v>2113</v>
      </c>
      <c r="CH613" s="19" t="s">
        <v>16</v>
      </c>
      <c r="CI613" s="21">
        <v>0.0</v>
      </c>
      <c r="CJ613" s="19" t="s">
        <v>16</v>
      </c>
      <c r="CK613" s="19"/>
      <c r="CL613" s="19"/>
      <c r="CM613" s="19" t="s">
        <v>2138</v>
      </c>
      <c r="CN613" s="19" t="s">
        <v>3835</v>
      </c>
      <c r="CO613" s="19" t="s">
        <v>3449</v>
      </c>
      <c r="CP613" s="19" t="s">
        <v>2225</v>
      </c>
      <c r="CQ613" s="19"/>
      <c r="CR613" s="19" t="s">
        <v>2113</v>
      </c>
      <c r="CS613" s="19" t="s">
        <v>2113</v>
      </c>
      <c r="CT613" s="19"/>
      <c r="CU613" s="19"/>
      <c r="CV613" s="19" t="s">
        <v>2141</v>
      </c>
      <c r="CW613" s="19"/>
      <c r="CX613" s="19"/>
      <c r="CY613" s="19"/>
      <c r="CZ613" s="19"/>
      <c r="DA613" s="19" t="s">
        <v>16</v>
      </c>
      <c r="DB613" s="19" t="s">
        <v>16</v>
      </c>
      <c r="DC613" s="19" t="s">
        <v>3836</v>
      </c>
      <c r="DD613" s="19"/>
      <c r="DE613" s="19"/>
      <c r="DF613" s="19" t="s">
        <v>5145</v>
      </c>
      <c r="DG613" s="19" t="s">
        <v>4084</v>
      </c>
      <c r="DH613" s="19" t="s">
        <v>2144</v>
      </c>
      <c r="DI613" s="24">
        <v>45519.0</v>
      </c>
      <c r="DJ613" s="19" t="s">
        <v>3257</v>
      </c>
      <c r="DK613" s="19" t="s">
        <v>2271</v>
      </c>
      <c r="DL613" s="19" t="s">
        <v>2207</v>
      </c>
      <c r="DM613" s="22" t="s">
        <v>5286</v>
      </c>
      <c r="DN613" s="19">
        <v>3.0</v>
      </c>
      <c r="DO613" s="19">
        <v>3.0</v>
      </c>
      <c r="DP613" s="19" t="s">
        <v>12289</v>
      </c>
      <c r="DQ613" s="19" t="s">
        <v>12290</v>
      </c>
      <c r="DR613" s="19" t="s">
        <v>12291</v>
      </c>
      <c r="DS613" s="19" t="s">
        <v>2185</v>
      </c>
      <c r="DT613" s="19" t="s">
        <v>2209</v>
      </c>
      <c r="DU613" s="19"/>
      <c r="DV613" s="19"/>
      <c r="DW613" s="19" t="s">
        <v>2153</v>
      </c>
      <c r="DX613" s="19">
        <v>2.0</v>
      </c>
      <c r="DY613" s="19">
        <v>10.0</v>
      </c>
      <c r="DZ613" s="19">
        <v>0.0</v>
      </c>
      <c r="EA613" s="19">
        <v>10.0</v>
      </c>
      <c r="EB613" s="19">
        <v>0.0</v>
      </c>
      <c r="EC613" s="19">
        <v>0.0</v>
      </c>
      <c r="ED613" s="19" t="s">
        <v>3257</v>
      </c>
      <c r="EE613" s="24">
        <v>45519.0</v>
      </c>
      <c r="EF613" s="19" t="s">
        <v>3257</v>
      </c>
      <c r="EG613" s="19" t="s">
        <v>2271</v>
      </c>
      <c r="EH613" s="19" t="s">
        <v>2207</v>
      </c>
      <c r="EI613" s="22">
        <v>14.671875</v>
      </c>
      <c r="EJ613" s="19">
        <v>30.0</v>
      </c>
      <c r="EK613" s="19"/>
      <c r="EL613" s="19" t="s">
        <v>2282</v>
      </c>
      <c r="EM613" s="19" t="s">
        <v>12282</v>
      </c>
      <c r="EN613" s="19" t="s">
        <v>1804</v>
      </c>
      <c r="EO613" s="19" t="s">
        <v>5087</v>
      </c>
      <c r="EP613" s="19" t="s">
        <v>2122</v>
      </c>
      <c r="EQ613" s="19" t="s">
        <v>3835</v>
      </c>
      <c r="ER613" s="19" t="s">
        <v>3449</v>
      </c>
      <c r="ES613" s="19" t="s">
        <v>1804</v>
      </c>
      <c r="ET613" s="19" t="s">
        <v>1804</v>
      </c>
      <c r="EU613" s="19" t="s">
        <v>12280</v>
      </c>
      <c r="EV613" s="19">
        <v>9719.0</v>
      </c>
      <c r="EW613" s="19" t="s">
        <v>16</v>
      </c>
      <c r="EX613" s="19">
        <v>3.0</v>
      </c>
      <c r="EY613" s="25" t="s">
        <v>1803</v>
      </c>
      <c r="EZ613" s="19" t="s">
        <v>2154</v>
      </c>
      <c r="FA613" s="5" t="s">
        <v>12292</v>
      </c>
      <c r="FB613" s="26" t="s">
        <v>2156</v>
      </c>
      <c r="FC613" s="26"/>
    </row>
    <row r="614">
      <c r="A614" s="19" t="s">
        <v>17</v>
      </c>
      <c r="B614" s="19"/>
      <c r="C614" s="19" t="s">
        <v>2113</v>
      </c>
      <c r="D614" s="19" t="s">
        <v>12293</v>
      </c>
      <c r="E614" s="19" t="s">
        <v>12294</v>
      </c>
      <c r="F614" s="19" t="s">
        <v>1805</v>
      </c>
      <c r="G614" s="19" t="s">
        <v>12294</v>
      </c>
      <c r="H614" s="19" t="s">
        <v>1805</v>
      </c>
      <c r="I614" s="19" t="s">
        <v>1807</v>
      </c>
      <c r="J614" s="19" t="s">
        <v>12295</v>
      </c>
      <c r="K614" s="19" t="s">
        <v>12296</v>
      </c>
      <c r="L614" s="20">
        <v>45446.0</v>
      </c>
      <c r="M614" s="20">
        <v>45447.0</v>
      </c>
      <c r="N614" s="20">
        <v>45447.0</v>
      </c>
      <c r="O614" s="19" t="s">
        <v>1806</v>
      </c>
      <c r="P614" s="19">
        <v>0.0</v>
      </c>
      <c r="Q614" s="19">
        <v>21.0</v>
      </c>
      <c r="R614" s="19">
        <v>7794.0</v>
      </c>
      <c r="S614" s="20" t="s">
        <v>12297</v>
      </c>
      <c r="T614" s="20">
        <v>45461.0</v>
      </c>
      <c r="U614" s="19" t="s">
        <v>1805</v>
      </c>
      <c r="V614" s="19"/>
      <c r="W614" s="19"/>
      <c r="X614" s="21">
        <v>0.0</v>
      </c>
      <c r="Y614" s="21">
        <v>0.0</v>
      </c>
      <c r="Z614" s="21">
        <v>3.0</v>
      </c>
      <c r="AA614" s="21">
        <v>0.0</v>
      </c>
      <c r="AB614" s="5">
        <v>3.0</v>
      </c>
      <c r="AC614" s="19">
        <v>4.666666666666667</v>
      </c>
      <c r="AD614" s="19">
        <v>4.666666666666667</v>
      </c>
      <c r="AE614" s="19">
        <v>4.666666666666667</v>
      </c>
      <c r="AF614" s="19">
        <v>4.0</v>
      </c>
      <c r="AG614" s="19">
        <v>4.333333333333333</v>
      </c>
      <c r="AH614" s="19">
        <v>4.0</v>
      </c>
      <c r="AI614" s="22">
        <v>13.375000000000002</v>
      </c>
      <c r="AJ614" s="19">
        <v>13.0</v>
      </c>
      <c r="AK614" s="19">
        <v>14.3</v>
      </c>
      <c r="AL614" s="19">
        <v>14.0</v>
      </c>
      <c r="AM614" s="19">
        <v>41.3</v>
      </c>
      <c r="AN614" s="19">
        <v>54.7</v>
      </c>
      <c r="AO614" s="19">
        <v>57.7</v>
      </c>
      <c r="AP614" s="19">
        <v>1291.0</v>
      </c>
      <c r="AQ614" s="23">
        <v>603.0</v>
      </c>
      <c r="AR614" s="23">
        <v>39.0</v>
      </c>
      <c r="AS614" s="22"/>
      <c r="AT614" s="19" t="s">
        <v>2117</v>
      </c>
      <c r="AU614" s="19" t="s">
        <v>4072</v>
      </c>
      <c r="AV614" s="19" t="s">
        <v>4073</v>
      </c>
      <c r="AW614" s="19" t="s">
        <v>12298</v>
      </c>
      <c r="AX614" s="20">
        <v>37667.0</v>
      </c>
      <c r="AY614" s="19" t="s">
        <v>3826</v>
      </c>
      <c r="AZ614" s="19" t="s">
        <v>2445</v>
      </c>
      <c r="BA614" s="19" t="s">
        <v>4075</v>
      </c>
      <c r="BB614" s="19" t="s">
        <v>4076</v>
      </c>
      <c r="BC614" s="19" t="s">
        <v>12299</v>
      </c>
      <c r="BD614" s="19" t="s">
        <v>12300</v>
      </c>
      <c r="BE614" s="19" t="s">
        <v>12295</v>
      </c>
      <c r="BF614" s="19">
        <v>1.1994391877E10</v>
      </c>
      <c r="BG614" s="19" t="s">
        <v>4038</v>
      </c>
      <c r="BH614" s="19" t="s">
        <v>2128</v>
      </c>
      <c r="BI614" s="19"/>
      <c r="BJ614" s="19" t="s">
        <v>2128</v>
      </c>
      <c r="BK614" s="19" t="s">
        <v>17</v>
      </c>
      <c r="BL614" s="19"/>
      <c r="BM614" s="19" t="s">
        <v>5411</v>
      </c>
      <c r="BN614" s="19" t="s">
        <v>7956</v>
      </c>
      <c r="BO614" s="19" t="s">
        <v>2473</v>
      </c>
      <c r="BP614" s="19" t="s">
        <v>12301</v>
      </c>
      <c r="BQ614" s="19" t="s">
        <v>3832</v>
      </c>
      <c r="BR614" s="19" t="s">
        <v>3832</v>
      </c>
      <c r="BS614" s="19" t="s">
        <v>2243</v>
      </c>
      <c r="BT614" s="19" t="s">
        <v>268</v>
      </c>
      <c r="BU614" s="19" t="s">
        <v>12302</v>
      </c>
      <c r="BV614" s="19"/>
      <c r="BW614" s="19" t="s">
        <v>2113</v>
      </c>
      <c r="BX614" s="19"/>
      <c r="BY614" s="19"/>
      <c r="BZ614" s="19"/>
      <c r="CA614" s="19"/>
      <c r="CB614" s="19" t="s">
        <v>2113</v>
      </c>
      <c r="CC614" s="19"/>
      <c r="CD614" s="19" t="s">
        <v>2137</v>
      </c>
      <c r="CE614" s="19" t="s">
        <v>16</v>
      </c>
      <c r="CF614" s="19"/>
      <c r="CG614" s="19"/>
      <c r="CH614" s="19" t="s">
        <v>16</v>
      </c>
      <c r="CI614" s="21">
        <v>0.0</v>
      </c>
      <c r="CJ614" s="19" t="s">
        <v>17</v>
      </c>
      <c r="CK614" s="19"/>
      <c r="CL614" s="19"/>
      <c r="CM614" s="19" t="s">
        <v>2926</v>
      </c>
      <c r="CN614" s="19" t="s">
        <v>3835</v>
      </c>
      <c r="CO614" s="19"/>
      <c r="CP614" s="19" t="s">
        <v>2246</v>
      </c>
      <c r="CQ614" s="19"/>
      <c r="CR614" s="19"/>
      <c r="CS614" s="19"/>
      <c r="CT614" s="19"/>
      <c r="CU614" s="19"/>
      <c r="CV614" s="19" t="s">
        <v>2141</v>
      </c>
      <c r="CW614" s="19" t="s">
        <v>2113</v>
      </c>
      <c r="CX614" s="19" t="s">
        <v>2113</v>
      </c>
      <c r="CY614" s="19"/>
      <c r="CZ614" s="19"/>
      <c r="DA614" s="19" t="s">
        <v>16</v>
      </c>
      <c r="DB614" s="19" t="s">
        <v>17</v>
      </c>
      <c r="DC614" s="19" t="s">
        <v>4084</v>
      </c>
      <c r="DD614" s="19" t="s">
        <v>2113</v>
      </c>
      <c r="DE614" s="19" t="s">
        <v>2113</v>
      </c>
      <c r="DF614" s="19" t="s">
        <v>3990</v>
      </c>
      <c r="DG614" s="19" t="s">
        <v>2433</v>
      </c>
      <c r="DH614" s="19" t="s">
        <v>2144</v>
      </c>
      <c r="DI614" s="24">
        <v>45525.0</v>
      </c>
      <c r="DJ614" s="19" t="s">
        <v>3257</v>
      </c>
      <c r="DK614" s="19" t="s">
        <v>2271</v>
      </c>
      <c r="DL614" s="19" t="s">
        <v>2207</v>
      </c>
      <c r="DM614" s="22" t="s">
        <v>3599</v>
      </c>
      <c r="DN614" s="19">
        <v>4.0</v>
      </c>
      <c r="DO614" s="19">
        <v>4.0</v>
      </c>
      <c r="DP614" s="19" t="s">
        <v>12303</v>
      </c>
      <c r="DQ614" s="19" t="s">
        <v>12304</v>
      </c>
      <c r="DR614" s="19" t="s">
        <v>12305</v>
      </c>
      <c r="DS614" s="19" t="s">
        <v>2185</v>
      </c>
      <c r="DT614" s="19" t="s">
        <v>2209</v>
      </c>
      <c r="DU614" s="19"/>
      <c r="DV614" s="19"/>
      <c r="DW614" s="19" t="s">
        <v>3306</v>
      </c>
      <c r="DX614" s="19">
        <v>4.0</v>
      </c>
      <c r="DY614" s="19">
        <v>0.0</v>
      </c>
      <c r="DZ614" s="19">
        <v>0.0</v>
      </c>
      <c r="EA614" s="19">
        <v>0.0</v>
      </c>
      <c r="EB614" s="19">
        <v>0.0</v>
      </c>
      <c r="EC614" s="19">
        <v>0.0</v>
      </c>
      <c r="ED614" s="19" t="s">
        <v>3257</v>
      </c>
      <c r="EE614" s="24">
        <v>45525.0</v>
      </c>
      <c r="EF614" s="19" t="s">
        <v>3257</v>
      </c>
      <c r="EG614" s="19" t="s">
        <v>2271</v>
      </c>
      <c r="EH614" s="19" t="s">
        <v>2207</v>
      </c>
      <c r="EI614" s="22">
        <v>13.375000000000002</v>
      </c>
      <c r="EJ614" s="19">
        <v>41.33333333</v>
      </c>
      <c r="EK614" s="19" t="s">
        <v>2113</v>
      </c>
      <c r="EL614" s="19" t="s">
        <v>2117</v>
      </c>
      <c r="EM614" s="19" t="s">
        <v>4072</v>
      </c>
      <c r="EN614" s="19" t="s">
        <v>1807</v>
      </c>
      <c r="EO614" s="19" t="s">
        <v>3826</v>
      </c>
      <c r="EP614" s="19" t="s">
        <v>2445</v>
      </c>
      <c r="EQ614" s="19" t="s">
        <v>3835</v>
      </c>
      <c r="ER614" s="19"/>
      <c r="ES614" s="19" t="s">
        <v>1807</v>
      </c>
      <c r="ET614" s="19" t="s">
        <v>1807</v>
      </c>
      <c r="EU614" s="19" t="s">
        <v>12296</v>
      </c>
      <c r="EV614" s="19">
        <v>7794.0</v>
      </c>
      <c r="EW614" s="19" t="s">
        <v>16</v>
      </c>
      <c r="EX614" s="19">
        <v>3.0</v>
      </c>
      <c r="EY614" s="25" t="s">
        <v>1806</v>
      </c>
      <c r="EZ614" s="19" t="s">
        <v>2154</v>
      </c>
      <c r="FA614" s="5" t="s">
        <v>12306</v>
      </c>
      <c r="FB614" s="26" t="s">
        <v>2156</v>
      </c>
      <c r="FC614" s="26"/>
    </row>
    <row r="615">
      <c r="A615" s="19" t="s">
        <v>17</v>
      </c>
      <c r="B615" s="19"/>
      <c r="C615" s="19" t="s">
        <v>2113</v>
      </c>
      <c r="D615" s="19" t="s">
        <v>1808</v>
      </c>
      <c r="E615" s="19" t="s">
        <v>12307</v>
      </c>
      <c r="F615" s="19" t="s">
        <v>1808</v>
      </c>
      <c r="G615" s="19"/>
      <c r="H615" s="19" t="s">
        <v>1808</v>
      </c>
      <c r="I615" s="19" t="s">
        <v>1810</v>
      </c>
      <c r="J615" s="19" t="s">
        <v>12308</v>
      </c>
      <c r="K615" s="19" t="s">
        <v>12309</v>
      </c>
      <c r="L615" s="20">
        <v>45420.0</v>
      </c>
      <c r="M615" s="20">
        <v>45428.0</v>
      </c>
      <c r="N615" s="20">
        <v>45428.0</v>
      </c>
      <c r="O615" s="19" t="s">
        <v>1809</v>
      </c>
      <c r="P615" s="19">
        <v>0.0</v>
      </c>
      <c r="Q615" s="19">
        <v>29.0</v>
      </c>
      <c r="R615" s="19">
        <v>10942.0</v>
      </c>
      <c r="S615" s="20" t="s">
        <v>12310</v>
      </c>
      <c r="T615" s="20">
        <v>45461.0</v>
      </c>
      <c r="U615" s="19" t="s">
        <v>1808</v>
      </c>
      <c r="V615" s="19" t="s">
        <v>12311</v>
      </c>
      <c r="W615" s="19"/>
      <c r="X615" s="21">
        <v>0.0</v>
      </c>
      <c r="Y615" s="21">
        <v>10.0</v>
      </c>
      <c r="Z615" s="21">
        <v>2.0</v>
      </c>
      <c r="AA615" s="21">
        <v>0.0</v>
      </c>
      <c r="AB615" s="5">
        <v>12.0</v>
      </c>
      <c r="AC615" s="19">
        <v>4.0</v>
      </c>
      <c r="AD615" s="19">
        <v>4.0</v>
      </c>
      <c r="AE615" s="19">
        <v>3.0</v>
      </c>
      <c r="AF615" s="19">
        <v>2.5</v>
      </c>
      <c r="AG615" s="19">
        <v>3.0</v>
      </c>
      <c r="AH615" s="19">
        <v>2.0</v>
      </c>
      <c r="AI615" s="22">
        <v>9.5625</v>
      </c>
      <c r="AJ615" s="19">
        <v>11.0</v>
      </c>
      <c r="AK615" s="19">
        <v>10.0</v>
      </c>
      <c r="AL615" s="19">
        <v>15.0</v>
      </c>
      <c r="AM615" s="19">
        <v>36.0</v>
      </c>
      <c r="AN615" s="19">
        <v>45.6</v>
      </c>
      <c r="AO615" s="19">
        <v>57.6</v>
      </c>
      <c r="AP615" s="19">
        <v>828.0</v>
      </c>
      <c r="AQ615" s="23">
        <v>604.0</v>
      </c>
      <c r="AR615" s="23">
        <v>18.0</v>
      </c>
      <c r="AS615" s="22"/>
      <c r="AT615" s="19" t="s">
        <v>2282</v>
      </c>
      <c r="AU615" s="19" t="s">
        <v>10238</v>
      </c>
      <c r="AV615" s="19" t="s">
        <v>10239</v>
      </c>
      <c r="AW615" s="19" t="s">
        <v>12312</v>
      </c>
      <c r="AX615" s="20">
        <v>34519.0</v>
      </c>
      <c r="AY615" s="19" t="s">
        <v>7839</v>
      </c>
      <c r="AZ615" s="19" t="s">
        <v>2122</v>
      </c>
      <c r="BA615" s="19" t="s">
        <v>10241</v>
      </c>
      <c r="BB615" s="19" t="s">
        <v>12313</v>
      </c>
      <c r="BC615" s="19" t="s">
        <v>12314</v>
      </c>
      <c r="BD615" s="19" t="s">
        <v>12315</v>
      </c>
      <c r="BE615" s="19" t="s">
        <v>12308</v>
      </c>
      <c r="BF615" s="19">
        <v>6.2985894587E10</v>
      </c>
      <c r="BG615" s="19" t="s">
        <v>2127</v>
      </c>
      <c r="BH615" s="19" t="s">
        <v>2128</v>
      </c>
      <c r="BI615" s="19"/>
      <c r="BJ615" s="19" t="s">
        <v>2128</v>
      </c>
      <c r="BK615" s="19" t="s">
        <v>17</v>
      </c>
      <c r="BL615" s="19"/>
      <c r="BM615" s="19" t="s">
        <v>5563</v>
      </c>
      <c r="BN615" s="19" t="s">
        <v>5335</v>
      </c>
      <c r="BO615" s="19" t="s">
        <v>3199</v>
      </c>
      <c r="BP615" s="19" t="s">
        <v>12316</v>
      </c>
      <c r="BQ615" s="19" t="s">
        <v>3251</v>
      </c>
      <c r="BR615" s="19" t="s">
        <v>3251</v>
      </c>
      <c r="BS615" s="19" t="s">
        <v>2243</v>
      </c>
      <c r="BT615" s="19" t="s">
        <v>177</v>
      </c>
      <c r="BU615" s="19" t="s">
        <v>3019</v>
      </c>
      <c r="BV615" s="19"/>
      <c r="BW615" s="19" t="s">
        <v>2113</v>
      </c>
      <c r="BX615" s="19"/>
      <c r="BY615" s="19"/>
      <c r="BZ615" s="19"/>
      <c r="CA615" s="19"/>
      <c r="CB615" s="19" t="s">
        <v>2113</v>
      </c>
      <c r="CC615" s="19"/>
      <c r="CD615" s="19" t="s">
        <v>2137</v>
      </c>
      <c r="CE615" s="19" t="s">
        <v>16</v>
      </c>
      <c r="CF615" s="19"/>
      <c r="CG615" s="19"/>
      <c r="CH615" s="19" t="s">
        <v>16</v>
      </c>
      <c r="CI615" s="21">
        <v>0.0</v>
      </c>
      <c r="CJ615" s="19" t="s">
        <v>16</v>
      </c>
      <c r="CK615" s="19"/>
      <c r="CL615" s="19"/>
      <c r="CM615" s="19" t="s">
        <v>2344</v>
      </c>
      <c r="CN615" s="19"/>
      <c r="CO615" s="19"/>
      <c r="CP615" s="19" t="s">
        <v>2267</v>
      </c>
      <c r="CQ615" s="19"/>
      <c r="CR615" s="19"/>
      <c r="CS615" s="19"/>
      <c r="CT615" s="19"/>
      <c r="CU615" s="19"/>
      <c r="CV615" s="19" t="s">
        <v>2141</v>
      </c>
      <c r="CW615" s="19" t="s">
        <v>2113</v>
      </c>
      <c r="CX615" s="19" t="s">
        <v>2113</v>
      </c>
      <c r="CY615" s="19"/>
      <c r="CZ615" s="19"/>
      <c r="DA615" s="19" t="s">
        <v>16</v>
      </c>
      <c r="DB615" s="19" t="s">
        <v>16</v>
      </c>
      <c r="DC615" s="19" t="s">
        <v>2207</v>
      </c>
      <c r="DD615" s="19" t="s">
        <v>2113</v>
      </c>
      <c r="DE615" s="19" t="s">
        <v>2113</v>
      </c>
      <c r="DF615" s="19" t="s">
        <v>7621</v>
      </c>
      <c r="DG615" s="19" t="s">
        <v>3256</v>
      </c>
      <c r="DH615" s="19" t="s">
        <v>2144</v>
      </c>
      <c r="DI615" s="24">
        <v>45519.0</v>
      </c>
      <c r="DJ615" s="19" t="s">
        <v>3257</v>
      </c>
      <c r="DK615" s="19" t="s">
        <v>2271</v>
      </c>
      <c r="DL615" s="19" t="s">
        <v>2207</v>
      </c>
      <c r="DM615" s="22" t="s">
        <v>3258</v>
      </c>
      <c r="DN615" s="19">
        <v>3.0</v>
      </c>
      <c r="DO615" s="19">
        <v>3.0</v>
      </c>
      <c r="DP615" s="19" t="s">
        <v>12317</v>
      </c>
      <c r="DQ615" s="19" t="s">
        <v>12318</v>
      </c>
      <c r="DR615" s="19" t="s">
        <v>12319</v>
      </c>
      <c r="DS615" s="19" t="s">
        <v>2365</v>
      </c>
      <c r="DT615" s="19" t="s">
        <v>2209</v>
      </c>
      <c r="DU615" s="19"/>
      <c r="DV615" s="19"/>
      <c r="DW615" s="19" t="s">
        <v>2188</v>
      </c>
      <c r="DX615" s="19">
        <v>10.0</v>
      </c>
      <c r="DY615" s="19">
        <v>10.0</v>
      </c>
      <c r="DZ615" s="19">
        <v>0.0</v>
      </c>
      <c r="EA615" s="19">
        <v>10.0</v>
      </c>
      <c r="EB615" s="19">
        <v>0.0</v>
      </c>
      <c r="EC615" s="19">
        <v>0.0</v>
      </c>
      <c r="ED615" s="19" t="s">
        <v>3257</v>
      </c>
      <c r="EE615" s="24">
        <v>45519.0</v>
      </c>
      <c r="EF615" s="19" t="s">
        <v>3257</v>
      </c>
      <c r="EG615" s="19" t="s">
        <v>2271</v>
      </c>
      <c r="EH615" s="19" t="s">
        <v>2207</v>
      </c>
      <c r="EI615" s="22">
        <v>9.5625</v>
      </c>
      <c r="EJ615" s="19">
        <v>36.0</v>
      </c>
      <c r="EK615" s="19"/>
      <c r="EL615" s="19" t="s">
        <v>2282</v>
      </c>
      <c r="EM615" s="19" t="s">
        <v>10238</v>
      </c>
      <c r="EN615" s="19" t="s">
        <v>1810</v>
      </c>
      <c r="EO615" s="19" t="s">
        <v>7839</v>
      </c>
      <c r="EP615" s="19" t="s">
        <v>2122</v>
      </c>
      <c r="EQ615" s="19"/>
      <c r="ER615" s="19"/>
      <c r="ES615" s="19" t="s">
        <v>1810</v>
      </c>
      <c r="ET615" s="19" t="s">
        <v>1810</v>
      </c>
      <c r="EU615" s="19" t="s">
        <v>12309</v>
      </c>
      <c r="EV615" s="19">
        <v>10942.0</v>
      </c>
      <c r="EW615" s="19" t="s">
        <v>16</v>
      </c>
      <c r="EX615" s="19">
        <v>2.0</v>
      </c>
      <c r="EY615" s="25" t="s">
        <v>1809</v>
      </c>
      <c r="EZ615" s="19" t="s">
        <v>2154</v>
      </c>
      <c r="FA615" s="5" t="s">
        <v>12320</v>
      </c>
      <c r="FB615" s="26" t="s">
        <v>2156</v>
      </c>
      <c r="FC615" s="26"/>
    </row>
    <row r="616">
      <c r="A616" s="19" t="s">
        <v>17</v>
      </c>
      <c r="B616" s="19"/>
      <c r="C616" s="19" t="s">
        <v>2113</v>
      </c>
      <c r="D616" s="19" t="s">
        <v>1811</v>
      </c>
      <c r="E616" s="19" t="s">
        <v>12321</v>
      </c>
      <c r="F616" s="19" t="s">
        <v>1811</v>
      </c>
      <c r="G616" s="19" t="s">
        <v>12321</v>
      </c>
      <c r="H616" s="19" t="s">
        <v>1811</v>
      </c>
      <c r="I616" s="19" t="s">
        <v>1812</v>
      </c>
      <c r="J616" s="19" t="s">
        <v>12322</v>
      </c>
      <c r="K616" s="19" t="s">
        <v>12323</v>
      </c>
      <c r="L616" s="20">
        <v>45456.0</v>
      </c>
      <c r="M616" s="20">
        <v>45457.0</v>
      </c>
      <c r="N616" s="20">
        <v>45457.0</v>
      </c>
      <c r="O616" s="19">
        <v>3.2895466E7</v>
      </c>
      <c r="P616" s="19">
        <v>0.0</v>
      </c>
      <c r="Q616" s="19">
        <v>26.0</v>
      </c>
      <c r="R616" s="19">
        <v>9771.0</v>
      </c>
      <c r="S616" s="20" t="s">
        <v>12324</v>
      </c>
      <c r="T616" s="20">
        <v>45461.0</v>
      </c>
      <c r="U616" s="19" t="s">
        <v>1811</v>
      </c>
      <c r="V616" s="19"/>
      <c r="W616" s="19"/>
      <c r="X616" s="21">
        <v>0.0</v>
      </c>
      <c r="Y616" s="21">
        <v>0.0</v>
      </c>
      <c r="Z616" s="21">
        <v>3.0</v>
      </c>
      <c r="AA616" s="21">
        <v>0.0</v>
      </c>
      <c r="AB616" s="5">
        <v>3.0</v>
      </c>
      <c r="AC616" s="19">
        <v>5.0</v>
      </c>
      <c r="AD616" s="19">
        <v>4.0</v>
      </c>
      <c r="AE616" s="19">
        <v>5.0</v>
      </c>
      <c r="AF616" s="19">
        <v>4.0</v>
      </c>
      <c r="AG616" s="19">
        <v>4.0</v>
      </c>
      <c r="AH616" s="19">
        <v>5.0</v>
      </c>
      <c r="AI616" s="22">
        <v>13.59375</v>
      </c>
      <c r="AJ616" s="23">
        <v>15.0</v>
      </c>
      <c r="AK616" s="23">
        <v>13.0</v>
      </c>
      <c r="AL616" s="23">
        <v>13.0</v>
      </c>
      <c r="AM616" s="23">
        <v>41.0</v>
      </c>
      <c r="AN616" s="23">
        <v>54.6</v>
      </c>
      <c r="AO616" s="19">
        <f>AN616+AB616</f>
        <v>57.6</v>
      </c>
      <c r="AP616" s="19">
        <v>1228.0</v>
      </c>
      <c r="AQ616" s="23">
        <v>605.0</v>
      </c>
      <c r="AR616" s="23">
        <v>88.0</v>
      </c>
      <c r="AS616" s="22"/>
      <c r="AT616" s="19" t="s">
        <v>2163</v>
      </c>
      <c r="AU616" s="19" t="s">
        <v>12325</v>
      </c>
      <c r="AV616" s="19" t="s">
        <v>12326</v>
      </c>
      <c r="AW616" s="19"/>
      <c r="AX616" s="20">
        <v>35690.0</v>
      </c>
      <c r="AY616" s="19" t="s">
        <v>2467</v>
      </c>
      <c r="AZ616" s="19" t="s">
        <v>2122</v>
      </c>
      <c r="BA616" s="19" t="s">
        <v>12327</v>
      </c>
      <c r="BB616" s="19">
        <v>141.0</v>
      </c>
      <c r="BC616" s="19">
        <v>5.53016684E8</v>
      </c>
      <c r="BD616" s="19" t="s">
        <v>12328</v>
      </c>
      <c r="BE616" s="19"/>
      <c r="BF616" s="19"/>
      <c r="BG616" s="19" t="s">
        <v>4038</v>
      </c>
      <c r="BH616" s="19" t="s">
        <v>2128</v>
      </c>
      <c r="BI616" s="19"/>
      <c r="BJ616" s="19" t="s">
        <v>2129</v>
      </c>
      <c r="BK616" s="19" t="s">
        <v>17</v>
      </c>
      <c r="BL616" s="19"/>
      <c r="BM616" s="19" t="s">
        <v>5563</v>
      </c>
      <c r="BN616" s="19" t="s">
        <v>17</v>
      </c>
      <c r="BO616" s="19">
        <v>3.0</v>
      </c>
      <c r="BP616" s="19"/>
      <c r="BQ616" s="19" t="s">
        <v>2133</v>
      </c>
      <c r="BR616" s="19" t="s">
        <v>2133</v>
      </c>
      <c r="BS616" s="19" t="s">
        <v>2134</v>
      </c>
      <c r="BT616" s="19" t="s">
        <v>38</v>
      </c>
      <c r="BU616" s="19" t="s">
        <v>12329</v>
      </c>
      <c r="BV616" s="19"/>
      <c r="BW616" s="19" t="s">
        <v>2113</v>
      </c>
      <c r="BX616" s="19"/>
      <c r="BY616" s="19"/>
      <c r="BZ616" s="19"/>
      <c r="CA616" s="19"/>
      <c r="CB616" s="19" t="s">
        <v>2113</v>
      </c>
      <c r="CC616" s="19"/>
      <c r="CD616" s="19" t="s">
        <v>2137</v>
      </c>
      <c r="CE616" s="19" t="s">
        <v>16</v>
      </c>
      <c r="CF616" s="19"/>
      <c r="CG616" s="19"/>
      <c r="CH616" s="19" t="s">
        <v>16</v>
      </c>
      <c r="CI616" s="21">
        <v>0.0</v>
      </c>
      <c r="CJ616" s="19" t="s">
        <v>17</v>
      </c>
      <c r="CK616" s="19"/>
      <c r="CL616" s="19"/>
      <c r="CM616" s="19" t="s">
        <v>2344</v>
      </c>
      <c r="CN616" s="19" t="s">
        <v>2475</v>
      </c>
      <c r="CO616" s="19"/>
      <c r="CP616" s="19" t="s">
        <v>2246</v>
      </c>
      <c r="CQ616" s="19"/>
      <c r="CR616" s="19" t="s">
        <v>2113</v>
      </c>
      <c r="CS616" s="19" t="s">
        <v>2113</v>
      </c>
      <c r="CT616" s="19" t="s">
        <v>2113</v>
      </c>
      <c r="CU616" s="19" t="s">
        <v>2113</v>
      </c>
      <c r="CV616" s="19" t="s">
        <v>2141</v>
      </c>
      <c r="CW616" s="19" t="s">
        <v>2113</v>
      </c>
      <c r="CX616" s="19" t="s">
        <v>2113</v>
      </c>
      <c r="CY616" s="19"/>
      <c r="CZ616" s="19"/>
      <c r="DA616" s="19" t="s">
        <v>16</v>
      </c>
      <c r="DB616" s="19" t="s">
        <v>17</v>
      </c>
      <c r="DC616" s="19" t="s">
        <v>2407</v>
      </c>
      <c r="DD616" s="19" t="s">
        <v>2113</v>
      </c>
      <c r="DE616" s="19" t="s">
        <v>2113</v>
      </c>
      <c r="DF616" s="19" t="s">
        <v>2433</v>
      </c>
      <c r="DG616" s="19" t="s">
        <v>3524</v>
      </c>
      <c r="DH616" s="19" t="s">
        <v>2580</v>
      </c>
      <c r="DI616" s="24">
        <v>45517.0</v>
      </c>
      <c r="DJ616" s="19" t="s">
        <v>2133</v>
      </c>
      <c r="DK616" s="19" t="s">
        <v>2145</v>
      </c>
      <c r="DL616" s="19" t="s">
        <v>2146</v>
      </c>
      <c r="DM616" s="19" t="s">
        <v>3021</v>
      </c>
      <c r="DN616" s="19">
        <v>1.0</v>
      </c>
      <c r="DO616" s="19">
        <v>1.0</v>
      </c>
      <c r="DP616" s="19" t="s">
        <v>12330</v>
      </c>
      <c r="DQ616" s="19" t="s">
        <v>12331</v>
      </c>
      <c r="DR616" s="19" t="s">
        <v>12332</v>
      </c>
      <c r="DS616" s="19" t="s">
        <v>2185</v>
      </c>
      <c r="DT616" s="19" t="s">
        <v>2366</v>
      </c>
      <c r="DU616" s="19"/>
      <c r="DV616" s="19"/>
      <c r="DW616" s="19" t="s">
        <v>2153</v>
      </c>
      <c r="DX616" s="19">
        <v>1.0</v>
      </c>
      <c r="DY616" s="19">
        <v>0.0</v>
      </c>
      <c r="DZ616" s="23">
        <v>0.0</v>
      </c>
      <c r="EA616" s="19" t="e">
        <v>#REF!</v>
      </c>
      <c r="EB616" s="23">
        <v>0.0</v>
      </c>
      <c r="EC616" s="19" t="e">
        <v>#REF!</v>
      </c>
      <c r="ED616" s="19" t="s">
        <v>2133</v>
      </c>
      <c r="EE616" s="24">
        <v>45517.0</v>
      </c>
      <c r="EF616" s="19" t="s">
        <v>2133</v>
      </c>
      <c r="EG616" s="19" t="s">
        <v>2145</v>
      </c>
      <c r="EH616" s="19" t="s">
        <v>2146</v>
      </c>
      <c r="EI616" s="22">
        <v>13.59375</v>
      </c>
      <c r="EJ616" s="19" t="e">
        <v>#REF!</v>
      </c>
      <c r="EK616" s="19" t="s">
        <v>2113</v>
      </c>
      <c r="EL616" s="19" t="s">
        <v>2163</v>
      </c>
      <c r="EM616" s="19" t="s">
        <v>12325</v>
      </c>
      <c r="EN616" s="19" t="s">
        <v>1812</v>
      </c>
      <c r="EO616" s="19" t="s">
        <v>2467</v>
      </c>
      <c r="EP616" s="19" t="s">
        <v>2122</v>
      </c>
      <c r="EQ616" s="19" t="s">
        <v>2475</v>
      </c>
      <c r="ER616" s="19"/>
      <c r="ES616" s="19" t="s">
        <v>1812</v>
      </c>
      <c r="ET616" s="19" t="s">
        <v>1812</v>
      </c>
      <c r="EU616" s="19" t="s">
        <v>12323</v>
      </c>
      <c r="EV616" s="19" t="e">
        <v>#REF!</v>
      </c>
      <c r="EW616" s="19" t="s">
        <v>16</v>
      </c>
      <c r="EX616" s="19" t="e">
        <v>#REF!</v>
      </c>
      <c r="EY616" s="25" t="s">
        <v>12333</v>
      </c>
      <c r="EZ616" s="19" t="s">
        <v>2154</v>
      </c>
      <c r="FA616" s="5" t="s">
        <v>12334</v>
      </c>
      <c r="FB616" s="26" t="s">
        <v>2156</v>
      </c>
      <c r="FC616" s="26"/>
    </row>
    <row r="617">
      <c r="A617" s="19" t="s">
        <v>2112</v>
      </c>
      <c r="B617" s="19"/>
      <c r="C617" s="19" t="s">
        <v>2113</v>
      </c>
      <c r="D617" s="19" t="s">
        <v>12335</v>
      </c>
      <c r="E617" s="19" t="s">
        <v>12336</v>
      </c>
      <c r="F617" s="19" t="s">
        <v>1813</v>
      </c>
      <c r="G617" s="19"/>
      <c r="H617" s="19" t="s">
        <v>1813</v>
      </c>
      <c r="I617" s="19" t="s">
        <v>1815</v>
      </c>
      <c r="J617" s="19" t="s">
        <v>12337</v>
      </c>
      <c r="K617" s="19" t="s">
        <v>12338</v>
      </c>
      <c r="L617" s="20">
        <v>45458.0</v>
      </c>
      <c r="M617" s="20">
        <v>45460.0</v>
      </c>
      <c r="N617" s="20">
        <v>45460.0</v>
      </c>
      <c r="O617" s="19" t="s">
        <v>1814</v>
      </c>
      <c r="P617" s="19">
        <v>0.0</v>
      </c>
      <c r="Q617" s="19">
        <v>25.0</v>
      </c>
      <c r="R617" s="19">
        <v>9490.0</v>
      </c>
      <c r="S617" s="20" t="s">
        <v>12339</v>
      </c>
      <c r="T617" s="20">
        <v>45461.0</v>
      </c>
      <c r="U617" s="19" t="s">
        <v>1813</v>
      </c>
      <c r="V617" s="19"/>
      <c r="W617" s="19"/>
      <c r="X617" s="21">
        <v>0.0</v>
      </c>
      <c r="Y617" s="21">
        <v>0.0</v>
      </c>
      <c r="Z617" s="21">
        <v>5.0</v>
      </c>
      <c r="AA617" s="21">
        <v>0.0</v>
      </c>
      <c r="AB617" s="5">
        <v>5.0</v>
      </c>
      <c r="AC617" s="19">
        <v>3.0</v>
      </c>
      <c r="AD617" s="19">
        <v>3.0</v>
      </c>
      <c r="AE617" s="19">
        <v>4.0</v>
      </c>
      <c r="AF617" s="19">
        <v>3.0</v>
      </c>
      <c r="AG617" s="19">
        <v>3.0</v>
      </c>
      <c r="AH617" s="19">
        <v>5.0</v>
      </c>
      <c r="AI617" s="22">
        <v>10.5</v>
      </c>
      <c r="AJ617" s="19">
        <v>15.0</v>
      </c>
      <c r="AK617" s="19">
        <v>13.0</v>
      </c>
      <c r="AL617" s="19">
        <v>14.0</v>
      </c>
      <c r="AM617" s="19">
        <v>42.0</v>
      </c>
      <c r="AN617" s="19">
        <v>52.5</v>
      </c>
      <c r="AO617" s="19">
        <v>57.5</v>
      </c>
      <c r="AP617" s="19">
        <v>1042.0</v>
      </c>
      <c r="AQ617" s="23">
        <v>606.0</v>
      </c>
      <c r="AR617" s="23">
        <v>56.0</v>
      </c>
      <c r="AS617" s="22"/>
      <c r="AT617" s="19" t="s">
        <v>2282</v>
      </c>
      <c r="AU617" s="19" t="s">
        <v>10003</v>
      </c>
      <c r="AV617" s="19" t="s">
        <v>12340</v>
      </c>
      <c r="AW617" s="19"/>
      <c r="AX617" s="20">
        <v>35971.0</v>
      </c>
      <c r="AY617" s="19" t="s">
        <v>8059</v>
      </c>
      <c r="AZ617" s="19" t="s">
        <v>2310</v>
      </c>
      <c r="BA617" s="19" t="s">
        <v>12341</v>
      </c>
      <c r="BB617" s="19" t="s">
        <v>3756</v>
      </c>
      <c r="BC617" s="19" t="s">
        <v>12342</v>
      </c>
      <c r="BD617" s="19" t="s">
        <v>12343</v>
      </c>
      <c r="BE617" s="19" t="s">
        <v>12344</v>
      </c>
      <c r="BF617" s="19">
        <v>1.1914161047E10</v>
      </c>
      <c r="BG617" s="19" t="s">
        <v>2127</v>
      </c>
      <c r="BH617" s="19" t="s">
        <v>2128</v>
      </c>
      <c r="BI617" s="19"/>
      <c r="BJ617" s="19"/>
      <c r="BK617" s="19" t="s">
        <v>16</v>
      </c>
      <c r="BL617" s="19" t="s">
        <v>2113</v>
      </c>
      <c r="BM617" s="19" t="s">
        <v>5411</v>
      </c>
      <c r="BN617" s="19" t="s">
        <v>12345</v>
      </c>
      <c r="BO617" s="19" t="s">
        <v>2132</v>
      </c>
      <c r="BP617" s="19"/>
      <c r="BQ617" s="19" t="s">
        <v>2133</v>
      </c>
      <c r="BR617" s="19" t="s">
        <v>2133</v>
      </c>
      <c r="BS617" s="19" t="s">
        <v>3521</v>
      </c>
      <c r="BT617" s="19" t="s">
        <v>15</v>
      </c>
      <c r="BU617" s="19" t="s">
        <v>12346</v>
      </c>
      <c r="BV617" s="19"/>
      <c r="BW617" s="19"/>
      <c r="BX617" s="19"/>
      <c r="BY617" s="19"/>
      <c r="BZ617" s="19"/>
      <c r="CA617" s="19"/>
      <c r="CB617" s="19" t="s">
        <v>2113</v>
      </c>
      <c r="CC617" s="19"/>
      <c r="CD617" s="19" t="s">
        <v>2137</v>
      </c>
      <c r="CE617" s="19" t="s">
        <v>16</v>
      </c>
      <c r="CF617" s="19"/>
      <c r="CG617" s="19"/>
      <c r="CH617" s="19" t="s">
        <v>16</v>
      </c>
      <c r="CI617" s="21">
        <v>0.0</v>
      </c>
      <c r="CJ617" s="19" t="s">
        <v>16</v>
      </c>
      <c r="CK617" s="19"/>
      <c r="CL617" s="19"/>
      <c r="CM617" s="19" t="s">
        <v>2138</v>
      </c>
      <c r="CN617" s="19" t="s">
        <v>2139</v>
      </c>
      <c r="CO617" s="19"/>
      <c r="CP617" s="19"/>
      <c r="CQ617" s="19"/>
      <c r="CR617" s="19"/>
      <c r="CS617" s="19"/>
      <c r="CT617" s="19"/>
      <c r="CU617" s="19"/>
      <c r="CV617" s="19" t="s">
        <v>2141</v>
      </c>
      <c r="CW617" s="19"/>
      <c r="CX617" s="19"/>
      <c r="CY617" s="19" t="s">
        <v>2113</v>
      </c>
      <c r="CZ617" s="19" t="s">
        <v>2113</v>
      </c>
      <c r="DA617" s="19" t="s">
        <v>16</v>
      </c>
      <c r="DB617" s="19" t="s">
        <v>16</v>
      </c>
      <c r="DC617" s="19" t="s">
        <v>7449</v>
      </c>
      <c r="DD617" s="19" t="s">
        <v>2113</v>
      </c>
      <c r="DE617" s="19" t="s">
        <v>2113</v>
      </c>
      <c r="DF617" s="19" t="s">
        <v>3525</v>
      </c>
      <c r="DG617" s="19" t="s">
        <v>2405</v>
      </c>
      <c r="DH617" s="19" t="s">
        <v>2144</v>
      </c>
      <c r="DI617" s="24">
        <v>45524.0</v>
      </c>
      <c r="DJ617" s="19" t="s">
        <v>2133</v>
      </c>
      <c r="DK617" s="19" t="s">
        <v>2271</v>
      </c>
      <c r="DL617" s="19" t="s">
        <v>2146</v>
      </c>
      <c r="DM617" s="19" t="s">
        <v>2628</v>
      </c>
      <c r="DN617" s="19">
        <v>8.0</v>
      </c>
      <c r="DO617" s="19">
        <v>8.0</v>
      </c>
      <c r="DP617" s="19" t="s">
        <v>12347</v>
      </c>
      <c r="DQ617" s="19" t="s">
        <v>12348</v>
      </c>
      <c r="DR617" s="19" t="s">
        <v>12349</v>
      </c>
      <c r="DS617" s="19" t="s">
        <v>2365</v>
      </c>
      <c r="DT617" s="19" t="s">
        <v>2301</v>
      </c>
      <c r="DU617" s="19"/>
      <c r="DV617" s="19"/>
      <c r="DW617" s="19" t="s">
        <v>2153</v>
      </c>
      <c r="DX617" s="19">
        <v>7.0</v>
      </c>
      <c r="DY617" s="19">
        <v>0.0</v>
      </c>
      <c r="DZ617" s="19">
        <v>0.0</v>
      </c>
      <c r="EA617" s="19">
        <v>0.0</v>
      </c>
      <c r="EB617" s="19">
        <v>0.0</v>
      </c>
      <c r="EC617" s="19">
        <v>0.0</v>
      </c>
      <c r="ED617" s="19" t="s">
        <v>2133</v>
      </c>
      <c r="EE617" s="24">
        <v>45524.0</v>
      </c>
      <c r="EF617" s="19" t="s">
        <v>2133</v>
      </c>
      <c r="EG617" s="19" t="s">
        <v>2271</v>
      </c>
      <c r="EH617" s="19" t="s">
        <v>2146</v>
      </c>
      <c r="EI617" s="22">
        <v>10.5</v>
      </c>
      <c r="EJ617" s="19">
        <v>42.0</v>
      </c>
      <c r="EK617" s="19"/>
      <c r="EL617" s="19" t="s">
        <v>2282</v>
      </c>
      <c r="EM617" s="19" t="s">
        <v>10003</v>
      </c>
      <c r="EN617" s="19" t="s">
        <v>1815</v>
      </c>
      <c r="EO617" s="19" t="s">
        <v>8059</v>
      </c>
      <c r="EP617" s="19" t="s">
        <v>2310</v>
      </c>
      <c r="EQ617" s="19" t="s">
        <v>2139</v>
      </c>
      <c r="ER617" s="19"/>
      <c r="ES617" s="19" t="s">
        <v>1815</v>
      </c>
      <c r="ET617" s="19" t="s">
        <v>1815</v>
      </c>
      <c r="EU617" s="19" t="s">
        <v>12338</v>
      </c>
      <c r="EV617" s="19">
        <v>9490.0</v>
      </c>
      <c r="EW617" s="19" t="s">
        <v>16</v>
      </c>
      <c r="EX617" s="19">
        <v>5.0</v>
      </c>
      <c r="EY617" s="25" t="s">
        <v>1814</v>
      </c>
      <c r="EZ617" s="19" t="s">
        <v>2154</v>
      </c>
      <c r="FA617" s="5" t="s">
        <v>12350</v>
      </c>
      <c r="FB617" s="26" t="s">
        <v>2156</v>
      </c>
      <c r="FC617" s="26"/>
    </row>
    <row r="618">
      <c r="A618" s="19" t="s">
        <v>2112</v>
      </c>
      <c r="B618" s="19"/>
      <c r="C618" s="19" t="s">
        <v>2113</v>
      </c>
      <c r="D618" s="19" t="s">
        <v>1816</v>
      </c>
      <c r="E618" s="19" t="s">
        <v>12351</v>
      </c>
      <c r="F618" s="19" t="s">
        <v>1816</v>
      </c>
      <c r="G618" s="19"/>
      <c r="H618" s="19" t="s">
        <v>1816</v>
      </c>
      <c r="I618" s="19" t="s">
        <v>1818</v>
      </c>
      <c r="J618" s="19" t="s">
        <v>12352</v>
      </c>
      <c r="K618" s="19" t="s">
        <v>12353</v>
      </c>
      <c r="L618" s="20">
        <v>45394.0</v>
      </c>
      <c r="M618" s="20">
        <v>45404.0</v>
      </c>
      <c r="N618" s="20">
        <v>45404.0</v>
      </c>
      <c r="O618" s="19" t="s">
        <v>1817</v>
      </c>
      <c r="P618" s="19">
        <v>0.0</v>
      </c>
      <c r="Q618" s="19">
        <v>28.0</v>
      </c>
      <c r="R618" s="19">
        <v>10310.0</v>
      </c>
      <c r="S618" s="20" t="s">
        <v>12354</v>
      </c>
      <c r="T618" s="20">
        <v>45461.0</v>
      </c>
      <c r="U618" s="19" t="s">
        <v>1816</v>
      </c>
      <c r="V618" s="19"/>
      <c r="W618" s="19"/>
      <c r="X618" s="21">
        <v>0.0</v>
      </c>
      <c r="Y618" s="21">
        <v>0.0</v>
      </c>
      <c r="Z618" s="21">
        <v>4.0</v>
      </c>
      <c r="AA618" s="21">
        <v>0.0</v>
      </c>
      <c r="AB618" s="5">
        <v>4.0</v>
      </c>
      <c r="AC618" s="19">
        <v>4.5</v>
      </c>
      <c r="AD618" s="19">
        <v>4.5</v>
      </c>
      <c r="AE618" s="19">
        <v>4.5</v>
      </c>
      <c r="AF618" s="19">
        <v>4.5</v>
      </c>
      <c r="AG618" s="19">
        <v>4.5</v>
      </c>
      <c r="AH618" s="19">
        <v>4.5</v>
      </c>
      <c r="AI618" s="22">
        <v>13.5</v>
      </c>
      <c r="AJ618" s="19">
        <v>15.0</v>
      </c>
      <c r="AK618" s="19">
        <v>15.0</v>
      </c>
      <c r="AL618" s="19">
        <v>10.0</v>
      </c>
      <c r="AM618" s="19">
        <v>40.0</v>
      </c>
      <c r="AN618" s="19">
        <v>53.5</v>
      </c>
      <c r="AO618" s="19">
        <v>57.5</v>
      </c>
      <c r="AP618" s="19">
        <v>1162.0</v>
      </c>
      <c r="AQ618" s="23">
        <v>607.0</v>
      </c>
      <c r="AR618" s="23">
        <v>43.0</v>
      </c>
      <c r="AS618" s="22"/>
      <c r="AT618" s="19" t="s">
        <v>2163</v>
      </c>
      <c r="AU618" s="19" t="s">
        <v>12355</v>
      </c>
      <c r="AV618" s="19" t="s">
        <v>12356</v>
      </c>
      <c r="AW618" s="19"/>
      <c r="AX618" s="20">
        <v>35151.0</v>
      </c>
      <c r="AY618" s="19" t="s">
        <v>2702</v>
      </c>
      <c r="AZ618" s="19" t="s">
        <v>2122</v>
      </c>
      <c r="BA618" s="19" t="s">
        <v>12357</v>
      </c>
      <c r="BB618" s="19" t="s">
        <v>6352</v>
      </c>
      <c r="BC618" s="19" t="s">
        <v>12358</v>
      </c>
      <c r="BD618" s="19" t="s">
        <v>12359</v>
      </c>
      <c r="BE618" s="19" t="s">
        <v>12360</v>
      </c>
      <c r="BF618" s="19">
        <v>1.1969985008E10</v>
      </c>
      <c r="BG618" s="19" t="s">
        <v>4038</v>
      </c>
      <c r="BH618" s="19" t="s">
        <v>2128</v>
      </c>
      <c r="BI618" s="19"/>
      <c r="BJ618" s="19" t="s">
        <v>2427</v>
      </c>
      <c r="BK618" s="19" t="s">
        <v>17</v>
      </c>
      <c r="BL618" s="19"/>
      <c r="BM618" s="19" t="s">
        <v>5411</v>
      </c>
      <c r="BN618" s="19" t="s">
        <v>2708</v>
      </c>
      <c r="BO618" s="19" t="s">
        <v>2317</v>
      </c>
      <c r="BP618" s="19" t="s">
        <v>12361</v>
      </c>
      <c r="BQ618" s="19" t="s">
        <v>2318</v>
      </c>
      <c r="BR618" s="19" t="s">
        <v>2318</v>
      </c>
      <c r="BS618" s="19" t="s">
        <v>2134</v>
      </c>
      <c r="BT618" s="19" t="s">
        <v>42</v>
      </c>
      <c r="BU618" s="19" t="s">
        <v>12362</v>
      </c>
      <c r="BV618" s="19"/>
      <c r="BW618" s="19" t="s">
        <v>2113</v>
      </c>
      <c r="BX618" s="19"/>
      <c r="BY618" s="19"/>
      <c r="BZ618" s="19"/>
      <c r="CA618" s="19"/>
      <c r="CB618" s="19" t="s">
        <v>2113</v>
      </c>
      <c r="CC618" s="19"/>
      <c r="CD618" s="19" t="s">
        <v>2137</v>
      </c>
      <c r="CE618" s="19" t="s">
        <v>16</v>
      </c>
      <c r="CF618" s="19"/>
      <c r="CG618" s="19"/>
      <c r="CH618" s="19" t="s">
        <v>16</v>
      </c>
      <c r="CI618" s="21">
        <v>0.0</v>
      </c>
      <c r="CJ618" s="19" t="s">
        <v>17</v>
      </c>
      <c r="CK618" s="19"/>
      <c r="CL618" s="19"/>
      <c r="CM618" s="19" t="s">
        <v>2344</v>
      </c>
      <c r="CN618" s="19" t="s">
        <v>2321</v>
      </c>
      <c r="CO618" s="19"/>
      <c r="CP618" s="19" t="s">
        <v>2140</v>
      </c>
      <c r="CQ618" s="19"/>
      <c r="CR618" s="19" t="s">
        <v>2113</v>
      </c>
      <c r="CS618" s="19" t="s">
        <v>2113</v>
      </c>
      <c r="CT618" s="19"/>
      <c r="CU618" s="19"/>
      <c r="CV618" s="19" t="s">
        <v>2141</v>
      </c>
      <c r="CW618" s="19"/>
      <c r="CX618" s="19"/>
      <c r="CY618" s="19" t="s">
        <v>2113</v>
      </c>
      <c r="CZ618" s="19" t="s">
        <v>2113</v>
      </c>
      <c r="DA618" s="19" t="s">
        <v>16</v>
      </c>
      <c r="DB618" s="19" t="s">
        <v>17</v>
      </c>
      <c r="DC618" s="19" t="s">
        <v>2983</v>
      </c>
      <c r="DD618" s="19" t="s">
        <v>2113</v>
      </c>
      <c r="DE618" s="19" t="s">
        <v>2113</v>
      </c>
      <c r="DF618" s="19" t="s">
        <v>5828</v>
      </c>
      <c r="DG618" s="19" t="s">
        <v>2433</v>
      </c>
      <c r="DH618" s="19" t="s">
        <v>2144</v>
      </c>
      <c r="DI618" s="24">
        <v>45524.0</v>
      </c>
      <c r="DJ618" s="19" t="s">
        <v>2325</v>
      </c>
      <c r="DK618" s="19" t="s">
        <v>2145</v>
      </c>
      <c r="DL618" s="19" t="s">
        <v>2326</v>
      </c>
      <c r="DM618" s="19"/>
      <c r="DN618" s="19">
        <v>7.0</v>
      </c>
      <c r="DO618" s="19">
        <v>7.0</v>
      </c>
      <c r="DP618" s="19" t="s">
        <v>12363</v>
      </c>
      <c r="DQ618" s="19" t="s">
        <v>12364</v>
      </c>
      <c r="DR618" s="19" t="s">
        <v>12365</v>
      </c>
      <c r="DS618" s="19" t="s">
        <v>2185</v>
      </c>
      <c r="DT618" s="19" t="s">
        <v>2186</v>
      </c>
      <c r="DU618" s="19"/>
      <c r="DV618" s="19"/>
      <c r="DW618" s="19" t="s">
        <v>2479</v>
      </c>
      <c r="DX618" s="19">
        <v>6.0</v>
      </c>
      <c r="DY618" s="19">
        <v>0.0</v>
      </c>
      <c r="DZ618" s="19">
        <v>0.0</v>
      </c>
      <c r="EA618" s="19">
        <v>0.0</v>
      </c>
      <c r="EB618" s="19">
        <v>0.0</v>
      </c>
      <c r="EC618" s="19">
        <v>0.0</v>
      </c>
      <c r="ED618" s="19" t="s">
        <v>2325</v>
      </c>
      <c r="EE618" s="24">
        <v>45524.0</v>
      </c>
      <c r="EF618" s="19" t="s">
        <v>2325</v>
      </c>
      <c r="EG618" s="19" t="s">
        <v>2145</v>
      </c>
      <c r="EH618" s="19" t="s">
        <v>2326</v>
      </c>
      <c r="EI618" s="22">
        <v>13.5</v>
      </c>
      <c r="EJ618" s="19">
        <v>40.0</v>
      </c>
      <c r="EK618" s="19" t="s">
        <v>2113</v>
      </c>
      <c r="EL618" s="19" t="s">
        <v>2163</v>
      </c>
      <c r="EM618" s="19" t="s">
        <v>12355</v>
      </c>
      <c r="EN618" s="19" t="s">
        <v>1818</v>
      </c>
      <c r="EO618" s="19" t="s">
        <v>2702</v>
      </c>
      <c r="EP618" s="19" t="s">
        <v>2122</v>
      </c>
      <c r="EQ618" s="19" t="s">
        <v>2321</v>
      </c>
      <c r="ER618" s="19"/>
      <c r="ES618" s="19" t="s">
        <v>1818</v>
      </c>
      <c r="ET618" s="19" t="s">
        <v>1818</v>
      </c>
      <c r="EU618" s="19" t="s">
        <v>12353</v>
      </c>
      <c r="EV618" s="19">
        <v>10310.0</v>
      </c>
      <c r="EW618" s="19" t="s">
        <v>16</v>
      </c>
      <c r="EX618" s="19">
        <v>4.0</v>
      </c>
      <c r="EY618" s="25" t="s">
        <v>1817</v>
      </c>
      <c r="EZ618" s="19" t="s">
        <v>2154</v>
      </c>
      <c r="FA618" s="5" t="s">
        <v>12366</v>
      </c>
      <c r="FB618" s="26" t="s">
        <v>2156</v>
      </c>
      <c r="FC618" s="26"/>
    </row>
    <row r="619">
      <c r="A619" s="19" t="s">
        <v>2112</v>
      </c>
      <c r="B619" s="19"/>
      <c r="C619" s="19" t="s">
        <v>2113</v>
      </c>
      <c r="D619" s="19" t="s">
        <v>1819</v>
      </c>
      <c r="E619" s="19" t="s">
        <v>12367</v>
      </c>
      <c r="F619" s="19" t="s">
        <v>1819</v>
      </c>
      <c r="G619" s="19"/>
      <c r="H619" s="19" t="s">
        <v>1819</v>
      </c>
      <c r="I619" s="19" t="s">
        <v>1821</v>
      </c>
      <c r="J619" s="19" t="s">
        <v>12368</v>
      </c>
      <c r="K619" s="19" t="s">
        <v>12369</v>
      </c>
      <c r="L619" s="20">
        <v>45446.0</v>
      </c>
      <c r="M619" s="20">
        <v>45446.0</v>
      </c>
      <c r="N619" s="20">
        <v>45446.0</v>
      </c>
      <c r="O619" s="19" t="s">
        <v>1820</v>
      </c>
      <c r="P619" s="19">
        <v>0.0</v>
      </c>
      <c r="Q619" s="19">
        <v>23.0</v>
      </c>
      <c r="R619" s="19">
        <v>8439.0</v>
      </c>
      <c r="S619" s="20" t="s">
        <v>12370</v>
      </c>
      <c r="T619" s="20">
        <v>45461.0</v>
      </c>
      <c r="U619" s="19" t="s">
        <v>1819</v>
      </c>
      <c r="V619" s="19"/>
      <c r="W619" s="19"/>
      <c r="X619" s="21">
        <v>0.0</v>
      </c>
      <c r="Y619" s="21">
        <v>0.0</v>
      </c>
      <c r="Z619" s="21">
        <v>3.0</v>
      </c>
      <c r="AA619" s="21">
        <v>0.0</v>
      </c>
      <c r="AB619" s="5">
        <v>3.0</v>
      </c>
      <c r="AC619" s="19">
        <v>4.0</v>
      </c>
      <c r="AD619" s="19">
        <v>3.0</v>
      </c>
      <c r="AE619" s="19">
        <v>3.0</v>
      </c>
      <c r="AF619" s="19">
        <v>3.0</v>
      </c>
      <c r="AG619" s="19">
        <v>2.5</v>
      </c>
      <c r="AH619" s="19">
        <v>3.0</v>
      </c>
      <c r="AI619" s="22">
        <v>9.28125</v>
      </c>
      <c r="AJ619" s="19">
        <v>15.0</v>
      </c>
      <c r="AK619" s="19">
        <v>15.0</v>
      </c>
      <c r="AL619" s="19">
        <v>15.0</v>
      </c>
      <c r="AM619" s="19">
        <v>45.0</v>
      </c>
      <c r="AN619" s="19">
        <v>54.3</v>
      </c>
      <c r="AO619" s="19">
        <v>57.3</v>
      </c>
      <c r="AP619" s="19">
        <v>1268.0</v>
      </c>
      <c r="AQ619" s="23">
        <v>608.0</v>
      </c>
      <c r="AR619" s="23">
        <v>40.0</v>
      </c>
      <c r="AS619" s="22" t="s">
        <v>4071</v>
      </c>
      <c r="AT619" s="19" t="s">
        <v>2117</v>
      </c>
      <c r="AU619" s="19" t="s">
        <v>5592</v>
      </c>
      <c r="AV619" s="19" t="s">
        <v>12371</v>
      </c>
      <c r="AW619" s="19"/>
      <c r="AX619" s="20">
        <v>37022.0</v>
      </c>
      <c r="AY619" s="19" t="s">
        <v>3826</v>
      </c>
      <c r="AZ619" s="19" t="s">
        <v>2122</v>
      </c>
      <c r="BA619" s="19" t="s">
        <v>12372</v>
      </c>
      <c r="BB619" s="19" t="s">
        <v>3365</v>
      </c>
      <c r="BC619" s="19" t="s">
        <v>12373</v>
      </c>
      <c r="BD619" s="19" t="s">
        <v>12374</v>
      </c>
      <c r="BE619" s="19" t="s">
        <v>12375</v>
      </c>
      <c r="BF619" s="19">
        <v>1.198248272E10</v>
      </c>
      <c r="BG619" s="19" t="s">
        <v>4038</v>
      </c>
      <c r="BH619" s="19" t="s">
        <v>2128</v>
      </c>
      <c r="BI619" s="19"/>
      <c r="BJ619" s="19" t="s">
        <v>2128</v>
      </c>
      <c r="BK619" s="19" t="s">
        <v>17</v>
      </c>
      <c r="BL619" s="19"/>
      <c r="BM619" s="19" t="s">
        <v>5411</v>
      </c>
      <c r="BN619" s="19" t="s">
        <v>17</v>
      </c>
      <c r="BO619" s="19" t="s">
        <v>2473</v>
      </c>
      <c r="BP619" s="19"/>
      <c r="BQ619" s="19" t="s">
        <v>3832</v>
      </c>
      <c r="BR619" s="19" t="s">
        <v>3832</v>
      </c>
      <c r="BS619" s="19" t="s">
        <v>2243</v>
      </c>
      <c r="BT619" s="19" t="s">
        <v>268</v>
      </c>
      <c r="BU619" s="19" t="s">
        <v>4538</v>
      </c>
      <c r="BV619" s="19"/>
      <c r="BW619" s="19" t="s">
        <v>2113</v>
      </c>
      <c r="BX619" s="19"/>
      <c r="BY619" s="19"/>
      <c r="BZ619" s="19"/>
      <c r="CA619" s="19"/>
      <c r="CB619" s="19"/>
      <c r="CC619" s="19"/>
      <c r="CD619" s="19" t="s">
        <v>2137</v>
      </c>
      <c r="CE619" s="19" t="s">
        <v>16</v>
      </c>
      <c r="CF619" s="19"/>
      <c r="CG619" s="19"/>
      <c r="CH619" s="19" t="s">
        <v>16</v>
      </c>
      <c r="CI619" s="21">
        <v>0.0</v>
      </c>
      <c r="CJ619" s="19" t="s">
        <v>17</v>
      </c>
      <c r="CK619" s="19"/>
      <c r="CL619" s="19"/>
      <c r="CM619" s="19" t="s">
        <v>2138</v>
      </c>
      <c r="CN619" s="19" t="s">
        <v>3835</v>
      </c>
      <c r="CO619" s="19"/>
      <c r="CP619" s="19" t="s">
        <v>2246</v>
      </c>
      <c r="CQ619" s="19"/>
      <c r="CR619" s="19"/>
      <c r="CS619" s="19"/>
      <c r="CT619" s="19" t="s">
        <v>2113</v>
      </c>
      <c r="CU619" s="19" t="s">
        <v>2113</v>
      </c>
      <c r="CV619" s="19" t="s">
        <v>2179</v>
      </c>
      <c r="CW619" s="19" t="s">
        <v>2113</v>
      </c>
      <c r="CX619" s="19" t="s">
        <v>2113</v>
      </c>
      <c r="CY619" s="19"/>
      <c r="CZ619" s="19"/>
      <c r="DA619" s="19" t="s">
        <v>16</v>
      </c>
      <c r="DB619" s="19" t="s">
        <v>17</v>
      </c>
      <c r="DC619" s="19" t="s">
        <v>9436</v>
      </c>
      <c r="DD619" s="19" t="s">
        <v>2113</v>
      </c>
      <c r="DE619" s="19" t="s">
        <v>2113</v>
      </c>
      <c r="DF619" s="19" t="s">
        <v>3836</v>
      </c>
      <c r="DG619" s="19" t="s">
        <v>2433</v>
      </c>
      <c r="DH619" s="19" t="s">
        <v>2144</v>
      </c>
      <c r="DI619" s="24">
        <v>45519.0</v>
      </c>
      <c r="DJ619" s="19" t="s">
        <v>3257</v>
      </c>
      <c r="DK619" s="19" t="s">
        <v>2145</v>
      </c>
      <c r="DL619" s="19" t="s">
        <v>2207</v>
      </c>
      <c r="DM619" s="19" t="s">
        <v>4085</v>
      </c>
      <c r="DN619" s="19">
        <v>2.0</v>
      </c>
      <c r="DO619" s="19">
        <v>2.0</v>
      </c>
      <c r="DP619" s="19"/>
      <c r="DQ619" s="19"/>
      <c r="DR619" s="19"/>
      <c r="DS619" s="19" t="s">
        <v>2185</v>
      </c>
      <c r="DT619" s="19" t="s">
        <v>2301</v>
      </c>
      <c r="DU619" s="19" t="s">
        <v>12376</v>
      </c>
      <c r="DV619" s="19"/>
      <c r="DW619" s="19" t="s">
        <v>2153</v>
      </c>
      <c r="DX619" s="19">
        <v>2.0</v>
      </c>
      <c r="DY619" s="19">
        <v>0.0</v>
      </c>
      <c r="DZ619" s="19">
        <v>0.0</v>
      </c>
      <c r="EA619" s="19">
        <v>0.0</v>
      </c>
      <c r="EB619" s="19">
        <v>0.0</v>
      </c>
      <c r="EC619" s="19">
        <v>0.0</v>
      </c>
      <c r="ED619" s="19" t="s">
        <v>3257</v>
      </c>
      <c r="EE619" s="24">
        <v>45519.0</v>
      </c>
      <c r="EF619" s="19" t="s">
        <v>3257</v>
      </c>
      <c r="EG619" s="19" t="s">
        <v>2145</v>
      </c>
      <c r="EH619" s="19" t="s">
        <v>2207</v>
      </c>
      <c r="EI619" s="22">
        <v>9.28125</v>
      </c>
      <c r="EJ619" s="19">
        <v>45.0</v>
      </c>
      <c r="EK619" s="19" t="s">
        <v>2113</v>
      </c>
      <c r="EL619" s="19" t="s">
        <v>2117</v>
      </c>
      <c r="EM619" s="19" t="s">
        <v>5592</v>
      </c>
      <c r="EN619" s="19" t="s">
        <v>1821</v>
      </c>
      <c r="EO619" s="19" t="s">
        <v>3826</v>
      </c>
      <c r="EP619" s="19" t="s">
        <v>2122</v>
      </c>
      <c r="EQ619" s="19" t="s">
        <v>3835</v>
      </c>
      <c r="ER619" s="19"/>
      <c r="ES619" s="19" t="s">
        <v>1821</v>
      </c>
      <c r="ET619" s="19" t="s">
        <v>1821</v>
      </c>
      <c r="EU619" s="19" t="s">
        <v>12369</v>
      </c>
      <c r="EV619" s="19">
        <v>8439.0</v>
      </c>
      <c r="EW619" s="19" t="s">
        <v>16</v>
      </c>
      <c r="EX619" s="19">
        <v>3.0</v>
      </c>
      <c r="EY619" s="25" t="s">
        <v>1820</v>
      </c>
      <c r="EZ619" s="19" t="s">
        <v>2154</v>
      </c>
      <c r="FA619" s="5" t="s">
        <v>12377</v>
      </c>
      <c r="FB619" s="26" t="s">
        <v>2156</v>
      </c>
      <c r="FC619" s="26"/>
    </row>
    <row r="620">
      <c r="A620" s="19" t="s">
        <v>2156</v>
      </c>
      <c r="B620" s="19"/>
      <c r="C620" s="19" t="s">
        <v>2113</v>
      </c>
      <c r="D620" s="19" t="s">
        <v>1822</v>
      </c>
      <c r="E620" s="19" t="s">
        <v>12378</v>
      </c>
      <c r="F620" s="19" t="s">
        <v>1822</v>
      </c>
      <c r="G620" s="19"/>
      <c r="H620" s="19" t="s">
        <v>1822</v>
      </c>
      <c r="I620" s="19" t="s">
        <v>1824</v>
      </c>
      <c r="J620" s="19" t="s">
        <v>12379</v>
      </c>
      <c r="K620" s="19" t="s">
        <v>12380</v>
      </c>
      <c r="L620" s="20">
        <v>45431.0</v>
      </c>
      <c r="M620" s="20">
        <v>45432.0</v>
      </c>
      <c r="N620" s="20">
        <v>45432.0</v>
      </c>
      <c r="O620" s="19" t="s">
        <v>1823</v>
      </c>
      <c r="P620" s="19">
        <v>0.0</v>
      </c>
      <c r="Q620" s="19">
        <v>28.0</v>
      </c>
      <c r="R620" s="19">
        <v>10515.0</v>
      </c>
      <c r="S620" s="20" t="s">
        <v>12381</v>
      </c>
      <c r="T620" s="20">
        <v>45461.0</v>
      </c>
      <c r="U620" s="19" t="s">
        <v>1822</v>
      </c>
      <c r="V620" s="19"/>
      <c r="W620" s="19"/>
      <c r="X620" s="21">
        <v>0.0</v>
      </c>
      <c r="Y620" s="21">
        <v>0.0</v>
      </c>
      <c r="Z620" s="21">
        <v>4.0</v>
      </c>
      <c r="AA620" s="21">
        <v>0.0</v>
      </c>
      <c r="AB620" s="5">
        <v>4.0</v>
      </c>
      <c r="AC620" s="19">
        <v>4.5</v>
      </c>
      <c r="AD620" s="19">
        <v>4.5</v>
      </c>
      <c r="AE620" s="19">
        <v>5.0</v>
      </c>
      <c r="AF620" s="19">
        <v>4.5</v>
      </c>
      <c r="AG620" s="19">
        <v>4.5</v>
      </c>
      <c r="AH620" s="19">
        <v>5.0</v>
      </c>
      <c r="AI620" s="22">
        <v>14.0625</v>
      </c>
      <c r="AJ620" s="19">
        <v>13.0</v>
      </c>
      <c r="AK620" s="19">
        <v>13.0</v>
      </c>
      <c r="AL620" s="19">
        <v>13.0</v>
      </c>
      <c r="AM620" s="19">
        <v>39.0</v>
      </c>
      <c r="AN620" s="19">
        <v>53.1</v>
      </c>
      <c r="AO620" s="19">
        <v>57.1</v>
      </c>
      <c r="AP620" s="19">
        <v>1158.0</v>
      </c>
      <c r="AQ620" s="23">
        <v>609.0</v>
      </c>
      <c r="AR620" s="23">
        <v>47.0</v>
      </c>
      <c r="AS620" s="22"/>
      <c r="AT620" s="19" t="s">
        <v>2117</v>
      </c>
      <c r="AU620" s="19" t="s">
        <v>12382</v>
      </c>
      <c r="AV620" s="19" t="s">
        <v>12383</v>
      </c>
      <c r="AW620" s="19"/>
      <c r="AX620" s="20">
        <v>34946.0</v>
      </c>
      <c r="AY620" s="19" t="s">
        <v>3232</v>
      </c>
      <c r="AZ620" s="19" t="s">
        <v>2122</v>
      </c>
      <c r="BA620" s="19" t="s">
        <v>12384</v>
      </c>
      <c r="BB620" s="19" t="s">
        <v>3139</v>
      </c>
      <c r="BC620" s="19" t="s">
        <v>12385</v>
      </c>
      <c r="BD620" s="19" t="s">
        <v>12386</v>
      </c>
      <c r="BE620" s="19"/>
      <c r="BF620" s="19"/>
      <c r="BG620" s="19" t="s">
        <v>4038</v>
      </c>
      <c r="BH620" s="19" t="s">
        <v>2128</v>
      </c>
      <c r="BI620" s="19"/>
      <c r="BJ620" s="19" t="s">
        <v>2128</v>
      </c>
      <c r="BK620" s="19" t="s">
        <v>17</v>
      </c>
      <c r="BL620" s="19"/>
      <c r="BM620" s="19" t="s">
        <v>5796</v>
      </c>
      <c r="BN620" s="19" t="s">
        <v>17</v>
      </c>
      <c r="BO620" s="19" t="s">
        <v>2317</v>
      </c>
      <c r="BP620" s="19"/>
      <c r="BQ620" s="19" t="s">
        <v>2325</v>
      </c>
      <c r="BR620" s="19" t="s">
        <v>2325</v>
      </c>
      <c r="BS620" s="19" t="s">
        <v>2134</v>
      </c>
      <c r="BT620" s="19" t="s">
        <v>118</v>
      </c>
      <c r="BU620" s="19" t="s">
        <v>12387</v>
      </c>
      <c r="BV620" s="19"/>
      <c r="BW620" s="19" t="s">
        <v>2113</v>
      </c>
      <c r="BX620" s="19"/>
      <c r="BY620" s="19"/>
      <c r="BZ620" s="19"/>
      <c r="CA620" s="19"/>
      <c r="CB620" s="19" t="s">
        <v>2113</v>
      </c>
      <c r="CC620" s="19"/>
      <c r="CD620" s="19" t="s">
        <v>2137</v>
      </c>
      <c r="CE620" s="19" t="s">
        <v>16</v>
      </c>
      <c r="CF620" s="19"/>
      <c r="CG620" s="19"/>
      <c r="CH620" s="19" t="s">
        <v>16</v>
      </c>
      <c r="CI620" s="21">
        <v>0.0</v>
      </c>
      <c r="CJ620" s="19" t="s">
        <v>17</v>
      </c>
      <c r="CK620" s="19"/>
      <c r="CL620" s="19"/>
      <c r="CM620" s="19" t="s">
        <v>2138</v>
      </c>
      <c r="CN620" s="19" t="s">
        <v>2868</v>
      </c>
      <c r="CO620" s="19"/>
      <c r="CP620" s="19" t="s">
        <v>2246</v>
      </c>
      <c r="CQ620" s="19"/>
      <c r="CR620" s="19" t="s">
        <v>2113</v>
      </c>
      <c r="CS620" s="19" t="s">
        <v>2113</v>
      </c>
      <c r="CT620" s="19"/>
      <c r="CU620" s="19"/>
      <c r="CV620" s="19" t="s">
        <v>2141</v>
      </c>
      <c r="CW620" s="19" t="s">
        <v>2113</v>
      </c>
      <c r="CX620" s="19" t="s">
        <v>2113</v>
      </c>
      <c r="CY620" s="19" t="s">
        <v>2113</v>
      </c>
      <c r="CZ620" s="19" t="s">
        <v>2113</v>
      </c>
      <c r="DA620" s="19" t="s">
        <v>16</v>
      </c>
      <c r="DB620" s="19" t="s">
        <v>17</v>
      </c>
      <c r="DC620" s="19" t="s">
        <v>4652</v>
      </c>
      <c r="DD620" s="19" t="s">
        <v>2113</v>
      </c>
      <c r="DE620" s="19" t="s">
        <v>2113</v>
      </c>
      <c r="DF620" s="19" t="s">
        <v>2433</v>
      </c>
      <c r="DG620" s="19" t="s">
        <v>3163</v>
      </c>
      <c r="DH620" s="19" t="s">
        <v>2144</v>
      </c>
      <c r="DI620" s="24">
        <v>45517.0</v>
      </c>
      <c r="DJ620" s="19" t="s">
        <v>2325</v>
      </c>
      <c r="DK620" s="19" t="s">
        <v>2271</v>
      </c>
      <c r="DL620" s="19" t="s">
        <v>2326</v>
      </c>
      <c r="DM620" s="19"/>
      <c r="DN620" s="19">
        <v>2.0</v>
      </c>
      <c r="DO620" s="19">
        <v>2.0</v>
      </c>
      <c r="DP620" s="19" t="s">
        <v>12388</v>
      </c>
      <c r="DQ620" s="19" t="s">
        <v>12389</v>
      </c>
      <c r="DR620" s="19" t="s">
        <v>12390</v>
      </c>
      <c r="DS620" s="19" t="s">
        <v>2185</v>
      </c>
      <c r="DT620" s="19" t="s">
        <v>2229</v>
      </c>
      <c r="DU620" s="19"/>
      <c r="DV620" s="19"/>
      <c r="DW620" s="19" t="s">
        <v>2153</v>
      </c>
      <c r="DX620" s="19">
        <v>3.0</v>
      </c>
      <c r="DY620" s="19">
        <v>0.0</v>
      </c>
      <c r="DZ620" s="19">
        <v>0.0</v>
      </c>
      <c r="EA620" s="19">
        <v>0.0</v>
      </c>
      <c r="EB620" s="19">
        <v>0.0</v>
      </c>
      <c r="EC620" s="19">
        <v>0.0</v>
      </c>
      <c r="ED620" s="19" t="s">
        <v>2325</v>
      </c>
      <c r="EE620" s="24">
        <v>45517.0</v>
      </c>
      <c r="EF620" s="19" t="s">
        <v>2325</v>
      </c>
      <c r="EG620" s="19" t="s">
        <v>2271</v>
      </c>
      <c r="EH620" s="19" t="s">
        <v>2326</v>
      </c>
      <c r="EI620" s="22">
        <v>14.0625</v>
      </c>
      <c r="EJ620" s="19">
        <v>39.0</v>
      </c>
      <c r="EK620" s="19" t="s">
        <v>2113</v>
      </c>
      <c r="EL620" s="19" t="s">
        <v>2117</v>
      </c>
      <c r="EM620" s="19" t="s">
        <v>12382</v>
      </c>
      <c r="EN620" s="19" t="s">
        <v>1824</v>
      </c>
      <c r="EO620" s="19" t="s">
        <v>3232</v>
      </c>
      <c r="EP620" s="19" t="s">
        <v>2122</v>
      </c>
      <c r="EQ620" s="19" t="s">
        <v>2868</v>
      </c>
      <c r="ER620" s="19"/>
      <c r="ES620" s="19" t="s">
        <v>1824</v>
      </c>
      <c r="ET620" s="19" t="s">
        <v>1824</v>
      </c>
      <c r="EU620" s="19" t="s">
        <v>12380</v>
      </c>
      <c r="EV620" s="19">
        <v>10515.0</v>
      </c>
      <c r="EW620" s="19" t="s">
        <v>16</v>
      </c>
      <c r="EX620" s="19">
        <v>4.0</v>
      </c>
      <c r="EY620" s="25" t="s">
        <v>1823</v>
      </c>
      <c r="EZ620" s="19" t="s">
        <v>2154</v>
      </c>
      <c r="FA620" s="5" t="s">
        <v>12391</v>
      </c>
      <c r="FB620" s="26" t="s">
        <v>2156</v>
      </c>
      <c r="FC620" s="26"/>
    </row>
    <row r="621">
      <c r="A621" s="19" t="s">
        <v>2156</v>
      </c>
      <c r="B621" s="19"/>
      <c r="C621" s="19" t="s">
        <v>2113</v>
      </c>
      <c r="D621" s="19" t="s">
        <v>12392</v>
      </c>
      <c r="E621" s="19" t="s">
        <v>12393</v>
      </c>
      <c r="F621" s="19" t="s">
        <v>1825</v>
      </c>
      <c r="G621" s="19" t="s">
        <v>12394</v>
      </c>
      <c r="H621" s="19" t="s">
        <v>1825</v>
      </c>
      <c r="I621" s="19" t="s">
        <v>1827</v>
      </c>
      <c r="J621" s="19" t="s">
        <v>12395</v>
      </c>
      <c r="K621" s="19" t="s">
        <v>12396</v>
      </c>
      <c r="L621" s="20">
        <v>45400.0</v>
      </c>
      <c r="M621" s="20">
        <v>45411.0</v>
      </c>
      <c r="N621" s="20">
        <v>45411.0</v>
      </c>
      <c r="O621" s="19" t="s">
        <v>1826</v>
      </c>
      <c r="P621" s="19">
        <v>0.0</v>
      </c>
      <c r="Q621" s="19">
        <v>27.0</v>
      </c>
      <c r="R621" s="19">
        <v>9958.0</v>
      </c>
      <c r="S621" s="20" t="s">
        <v>12397</v>
      </c>
      <c r="T621" s="20">
        <v>45461.0</v>
      </c>
      <c r="U621" s="19" t="s">
        <v>1825</v>
      </c>
      <c r="V621" s="19"/>
      <c r="W621" s="19"/>
      <c r="X621" s="21">
        <v>0.0</v>
      </c>
      <c r="Y621" s="21">
        <v>10.0</v>
      </c>
      <c r="Z621" s="21">
        <v>1.0</v>
      </c>
      <c r="AA621" s="21">
        <v>2.0</v>
      </c>
      <c r="AB621" s="5">
        <v>13.0</v>
      </c>
      <c r="AC621" s="19">
        <v>5.0</v>
      </c>
      <c r="AD621" s="19">
        <v>5.0</v>
      </c>
      <c r="AE621" s="19">
        <v>5.0</v>
      </c>
      <c r="AF621" s="19">
        <v>5.0</v>
      </c>
      <c r="AG621" s="19">
        <v>5.0</v>
      </c>
      <c r="AH621" s="19">
        <v>5.0</v>
      </c>
      <c r="AI621" s="22">
        <v>15.0</v>
      </c>
      <c r="AJ621" s="19">
        <v>8.0</v>
      </c>
      <c r="AK621" s="19">
        <v>11.0</v>
      </c>
      <c r="AL621" s="19">
        <v>10.0</v>
      </c>
      <c r="AM621" s="19">
        <v>29.0</v>
      </c>
      <c r="AN621" s="19">
        <v>44.0</v>
      </c>
      <c r="AO621" s="19">
        <v>57.0</v>
      </c>
      <c r="AP621" s="19">
        <v>824.0</v>
      </c>
      <c r="AQ621" s="23">
        <v>610.0</v>
      </c>
      <c r="AR621" s="23">
        <v>48.0</v>
      </c>
      <c r="AS621" s="22"/>
      <c r="AT621" s="19" t="s">
        <v>2163</v>
      </c>
      <c r="AU621" s="19" t="s">
        <v>12398</v>
      </c>
      <c r="AV621" s="19" t="s">
        <v>12399</v>
      </c>
      <c r="AW621" s="19"/>
      <c r="AX621" s="20">
        <v>35503.0</v>
      </c>
      <c r="AY621" s="19" t="s">
        <v>9021</v>
      </c>
      <c r="AZ621" s="19" t="s">
        <v>2554</v>
      </c>
      <c r="BA621" s="19" t="s">
        <v>12400</v>
      </c>
      <c r="BB621" s="19" t="s">
        <v>10968</v>
      </c>
      <c r="BC621" s="19" t="s">
        <v>12401</v>
      </c>
      <c r="BD621" s="19" t="s">
        <v>12402</v>
      </c>
      <c r="BE621" s="19" t="s">
        <v>12403</v>
      </c>
      <c r="BF621" s="19" t="s">
        <v>12404</v>
      </c>
      <c r="BG621" s="19" t="s">
        <v>2127</v>
      </c>
      <c r="BH621" s="19" t="s">
        <v>2128</v>
      </c>
      <c r="BI621" s="19"/>
      <c r="BJ621" s="19" t="s">
        <v>2128</v>
      </c>
      <c r="BK621" s="19" t="s">
        <v>16</v>
      </c>
      <c r="BL621" s="19"/>
      <c r="BM621" s="19" t="s">
        <v>5411</v>
      </c>
      <c r="BN621" s="19" t="s">
        <v>3060</v>
      </c>
      <c r="BO621" s="19" t="s">
        <v>3082</v>
      </c>
      <c r="BP621" s="19" t="s">
        <v>12405</v>
      </c>
      <c r="BQ621" s="19" t="s">
        <v>2325</v>
      </c>
      <c r="BR621" s="19" t="s">
        <v>2325</v>
      </c>
      <c r="BS621" s="19" t="s">
        <v>2134</v>
      </c>
      <c r="BT621" s="19" t="s">
        <v>118</v>
      </c>
      <c r="BU621" s="19" t="s">
        <v>12406</v>
      </c>
      <c r="BV621" s="19"/>
      <c r="BW621" s="19" t="s">
        <v>2113</v>
      </c>
      <c r="BX621" s="19"/>
      <c r="BY621" s="19"/>
      <c r="BZ621" s="19"/>
      <c r="CA621" s="19"/>
      <c r="CB621" s="19" t="s">
        <v>2113</v>
      </c>
      <c r="CC621" s="19"/>
      <c r="CD621" s="19" t="s">
        <v>2137</v>
      </c>
      <c r="CE621" s="19" t="s">
        <v>16</v>
      </c>
      <c r="CF621" s="19"/>
      <c r="CG621" s="19"/>
      <c r="CH621" s="19" t="s">
        <v>16</v>
      </c>
      <c r="CI621" s="21">
        <v>0.0</v>
      </c>
      <c r="CJ621" s="19" t="s">
        <v>17</v>
      </c>
      <c r="CK621" s="19"/>
      <c r="CL621" s="19"/>
      <c r="CM621" s="19" t="s">
        <v>2344</v>
      </c>
      <c r="CN621" s="19" t="s">
        <v>3503</v>
      </c>
      <c r="CO621" s="19"/>
      <c r="CP621" s="19" t="s">
        <v>2134</v>
      </c>
      <c r="CQ621" s="19"/>
      <c r="CR621" s="19"/>
      <c r="CS621" s="19"/>
      <c r="CT621" s="19" t="s">
        <v>2113</v>
      </c>
      <c r="CU621" s="19" t="s">
        <v>2113</v>
      </c>
      <c r="CV621" s="19" t="s">
        <v>2141</v>
      </c>
      <c r="CW621" s="19"/>
      <c r="CX621" s="19"/>
      <c r="CY621" s="19"/>
      <c r="CZ621" s="19"/>
      <c r="DA621" s="19" t="s">
        <v>16</v>
      </c>
      <c r="DB621" s="19" t="s">
        <v>17</v>
      </c>
      <c r="DC621" s="19" t="s">
        <v>2455</v>
      </c>
      <c r="DD621" s="19" t="s">
        <v>2113</v>
      </c>
      <c r="DE621" s="19" t="s">
        <v>2113</v>
      </c>
      <c r="DF621" s="19" t="s">
        <v>3222</v>
      </c>
      <c r="DG621" s="19" t="s">
        <v>3223</v>
      </c>
      <c r="DH621" s="19" t="s">
        <v>2144</v>
      </c>
      <c r="DI621" s="24">
        <v>45518.0</v>
      </c>
      <c r="DJ621" s="19" t="s">
        <v>2325</v>
      </c>
      <c r="DK621" s="19" t="s">
        <v>2145</v>
      </c>
      <c r="DL621" s="19" t="s">
        <v>2326</v>
      </c>
      <c r="DM621" s="19"/>
      <c r="DN621" s="19">
        <v>3.0</v>
      </c>
      <c r="DO621" s="19">
        <v>3.0</v>
      </c>
      <c r="DP621" s="19" t="s">
        <v>12407</v>
      </c>
      <c r="DQ621" s="19" t="s">
        <v>12408</v>
      </c>
      <c r="DR621" s="19" t="s">
        <v>12409</v>
      </c>
      <c r="DS621" s="19" t="s">
        <v>2185</v>
      </c>
      <c r="DT621" s="19" t="s">
        <v>2301</v>
      </c>
      <c r="DU621" s="19"/>
      <c r="DV621" s="19"/>
      <c r="DW621" s="19" t="s">
        <v>2153</v>
      </c>
      <c r="DX621" s="19">
        <v>3.0</v>
      </c>
      <c r="DY621" s="19">
        <v>10.0</v>
      </c>
      <c r="DZ621" s="19">
        <v>2.0</v>
      </c>
      <c r="EA621" s="19">
        <v>10.0</v>
      </c>
      <c r="EB621" s="19">
        <v>0.0</v>
      </c>
      <c r="EC621" s="19">
        <v>0.0</v>
      </c>
      <c r="ED621" s="19" t="s">
        <v>2325</v>
      </c>
      <c r="EE621" s="24">
        <v>45518.0</v>
      </c>
      <c r="EF621" s="19" t="s">
        <v>2325</v>
      </c>
      <c r="EG621" s="19" t="s">
        <v>2145</v>
      </c>
      <c r="EH621" s="19" t="s">
        <v>2326</v>
      </c>
      <c r="EI621" s="22">
        <v>15.0</v>
      </c>
      <c r="EJ621" s="19">
        <v>29.0</v>
      </c>
      <c r="EK621" s="19" t="s">
        <v>2113</v>
      </c>
      <c r="EL621" s="19" t="s">
        <v>2163</v>
      </c>
      <c r="EM621" s="19" t="s">
        <v>12398</v>
      </c>
      <c r="EN621" s="19" t="s">
        <v>1827</v>
      </c>
      <c r="EO621" s="19" t="s">
        <v>9021</v>
      </c>
      <c r="EP621" s="19" t="s">
        <v>2554</v>
      </c>
      <c r="EQ621" s="19" t="s">
        <v>3503</v>
      </c>
      <c r="ER621" s="19"/>
      <c r="ES621" s="19" t="s">
        <v>1827</v>
      </c>
      <c r="ET621" s="19" t="s">
        <v>1827</v>
      </c>
      <c r="EU621" s="19" t="s">
        <v>12396</v>
      </c>
      <c r="EV621" s="19">
        <v>9958.0</v>
      </c>
      <c r="EW621" s="19" t="s">
        <v>16</v>
      </c>
      <c r="EX621" s="19">
        <v>1.0</v>
      </c>
      <c r="EY621" s="25" t="s">
        <v>1826</v>
      </c>
      <c r="EZ621" s="19" t="s">
        <v>2154</v>
      </c>
      <c r="FA621" s="5" t="s">
        <v>12410</v>
      </c>
      <c r="FB621" s="26" t="s">
        <v>2156</v>
      </c>
      <c r="FC621" s="26"/>
    </row>
    <row r="622">
      <c r="A622" s="19" t="s">
        <v>2112</v>
      </c>
      <c r="B622" s="19"/>
      <c r="C622" s="19" t="s">
        <v>2113</v>
      </c>
      <c r="D622" s="19" t="s">
        <v>1828</v>
      </c>
      <c r="E622" s="19" t="s">
        <v>12411</v>
      </c>
      <c r="F622" s="19" t="s">
        <v>1828</v>
      </c>
      <c r="G622" s="19" t="s">
        <v>12411</v>
      </c>
      <c r="H622" s="19" t="s">
        <v>1828</v>
      </c>
      <c r="I622" s="19" t="s">
        <v>1830</v>
      </c>
      <c r="J622" s="19" t="s">
        <v>12412</v>
      </c>
      <c r="K622" s="19" t="s">
        <v>12413</v>
      </c>
      <c r="L622" s="20">
        <v>45395.0</v>
      </c>
      <c r="M622" s="20">
        <v>45411.0</v>
      </c>
      <c r="N622" s="20">
        <v>45411.0</v>
      </c>
      <c r="O622" s="19" t="s">
        <v>1829</v>
      </c>
      <c r="P622" s="19">
        <v>0.0</v>
      </c>
      <c r="Q622" s="19">
        <v>19.0</v>
      </c>
      <c r="R622" s="19">
        <v>7246.0</v>
      </c>
      <c r="S622" s="20" t="s">
        <v>12414</v>
      </c>
      <c r="T622" s="20">
        <v>45461.0</v>
      </c>
      <c r="U622" s="19" t="s">
        <v>1828</v>
      </c>
      <c r="V622" s="19"/>
      <c r="W622" s="19"/>
      <c r="X622" s="21">
        <v>0.0</v>
      </c>
      <c r="Y622" s="21">
        <v>5.0</v>
      </c>
      <c r="Z622" s="21">
        <v>2.0</v>
      </c>
      <c r="AA622" s="21">
        <v>0.0</v>
      </c>
      <c r="AB622" s="5">
        <v>7.0</v>
      </c>
      <c r="AC622" s="19">
        <v>5.0</v>
      </c>
      <c r="AD622" s="19">
        <v>5.0</v>
      </c>
      <c r="AE622" s="19">
        <v>5.0</v>
      </c>
      <c r="AF622" s="19">
        <v>5.0</v>
      </c>
      <c r="AG622" s="19">
        <v>5.0</v>
      </c>
      <c r="AH622" s="19">
        <v>5.0</v>
      </c>
      <c r="AI622" s="22">
        <v>15.0</v>
      </c>
      <c r="AJ622" s="19">
        <v>13.0</v>
      </c>
      <c r="AK622" s="19">
        <v>12.0</v>
      </c>
      <c r="AL622" s="19">
        <v>10.0</v>
      </c>
      <c r="AM622" s="19">
        <v>35.0</v>
      </c>
      <c r="AN622" s="19">
        <v>50.0</v>
      </c>
      <c r="AO622" s="19">
        <v>57.0</v>
      </c>
      <c r="AP622" s="19">
        <v>1006.0</v>
      </c>
      <c r="AQ622" s="23">
        <v>611.0</v>
      </c>
      <c r="AR622" s="23">
        <v>57.0</v>
      </c>
      <c r="AS622" s="22"/>
      <c r="AT622" s="19" t="s">
        <v>2163</v>
      </c>
      <c r="AU622" s="19" t="s">
        <v>12415</v>
      </c>
      <c r="AV622" s="19" t="s">
        <v>12416</v>
      </c>
      <c r="AW622" s="19" t="s">
        <v>3923</v>
      </c>
      <c r="AX622" s="20">
        <v>38215.0</v>
      </c>
      <c r="AY622" s="19" t="s">
        <v>3612</v>
      </c>
      <c r="AZ622" s="19" t="s">
        <v>2310</v>
      </c>
      <c r="BA622" s="19" t="s">
        <v>12417</v>
      </c>
      <c r="BB622" s="19" t="s">
        <v>6950</v>
      </c>
      <c r="BC622" s="19" t="s">
        <v>12418</v>
      </c>
      <c r="BD622" s="19" t="s">
        <v>12419</v>
      </c>
      <c r="BE622" s="19" t="s">
        <v>12420</v>
      </c>
      <c r="BF622" s="19">
        <v>1.1984484279E10</v>
      </c>
      <c r="BG622" s="19" t="s">
        <v>3518</v>
      </c>
      <c r="BH622" s="19" t="s">
        <v>2128</v>
      </c>
      <c r="BI622" s="19"/>
      <c r="BJ622" s="19" t="s">
        <v>2128</v>
      </c>
      <c r="BK622" s="19" t="s">
        <v>17</v>
      </c>
      <c r="BL622" s="19" t="s">
        <v>2113</v>
      </c>
      <c r="BM622" s="19" t="s">
        <v>5563</v>
      </c>
      <c r="BN622" s="19" t="s">
        <v>12421</v>
      </c>
      <c r="BO622" s="19" t="s">
        <v>3199</v>
      </c>
      <c r="BP622" s="19" t="s">
        <v>12422</v>
      </c>
      <c r="BQ622" s="19" t="s">
        <v>2133</v>
      </c>
      <c r="BR622" s="19" t="s">
        <v>2133</v>
      </c>
      <c r="BS622" s="19" t="s">
        <v>2243</v>
      </c>
      <c r="BT622" s="19" t="s">
        <v>15</v>
      </c>
      <c r="BU622" s="19" t="s">
        <v>12423</v>
      </c>
      <c r="BV622" s="19"/>
      <c r="BW622" s="19"/>
      <c r="BX622" s="19" t="s">
        <v>2113</v>
      </c>
      <c r="BY622" s="19"/>
      <c r="BZ622" s="19"/>
      <c r="CA622" s="19"/>
      <c r="CB622" s="19" t="s">
        <v>2113</v>
      </c>
      <c r="CC622" s="19" t="s">
        <v>2113</v>
      </c>
      <c r="CD622" s="19" t="s">
        <v>2137</v>
      </c>
      <c r="CE622" s="19" t="s">
        <v>16</v>
      </c>
      <c r="CF622" s="19"/>
      <c r="CG622" s="19"/>
      <c r="CH622" s="19" t="s">
        <v>16</v>
      </c>
      <c r="CI622" s="21">
        <v>0.0</v>
      </c>
      <c r="CJ622" s="19" t="s">
        <v>17</v>
      </c>
      <c r="CK622" s="19"/>
      <c r="CL622" s="19"/>
      <c r="CM622" s="19" t="s">
        <v>2344</v>
      </c>
      <c r="CN622" s="19" t="s">
        <v>3202</v>
      </c>
      <c r="CO622" s="19"/>
      <c r="CP622" s="19" t="s">
        <v>2246</v>
      </c>
      <c r="CQ622" s="19"/>
      <c r="CR622" s="19" t="s">
        <v>2113</v>
      </c>
      <c r="CS622" s="19" t="s">
        <v>2113</v>
      </c>
      <c r="CT622" s="19"/>
      <c r="CU622" s="19"/>
      <c r="CV622" s="19" t="s">
        <v>2141</v>
      </c>
      <c r="CW622" s="19"/>
      <c r="CX622" s="19"/>
      <c r="CY622" s="19"/>
      <c r="CZ622" s="19"/>
      <c r="DA622" s="19" t="s">
        <v>16</v>
      </c>
      <c r="DB622" s="19" t="s">
        <v>17</v>
      </c>
      <c r="DC622" s="19" t="s">
        <v>11745</v>
      </c>
      <c r="DD622" s="19" t="s">
        <v>2113</v>
      </c>
      <c r="DE622" s="19" t="s">
        <v>2113</v>
      </c>
      <c r="DF622" s="19" t="s">
        <v>3337</v>
      </c>
      <c r="DG622" s="19" t="s">
        <v>2406</v>
      </c>
      <c r="DH622" s="19" t="s">
        <v>2144</v>
      </c>
      <c r="DI622" s="24">
        <v>45533.0</v>
      </c>
      <c r="DJ622" s="19" t="s">
        <v>2133</v>
      </c>
      <c r="DK622" s="19" t="s">
        <v>2145</v>
      </c>
      <c r="DL622" s="19" t="s">
        <v>2146</v>
      </c>
      <c r="DM622" s="19" t="s">
        <v>2147</v>
      </c>
      <c r="DN622" s="19">
        <v>17.0</v>
      </c>
      <c r="DO622" s="19">
        <v>17.0</v>
      </c>
      <c r="DP622" s="19" t="s">
        <v>12424</v>
      </c>
      <c r="DQ622" s="19" t="s">
        <v>12425</v>
      </c>
      <c r="DR622" s="19" t="s">
        <v>12426</v>
      </c>
      <c r="DS622" s="19" t="s">
        <v>2151</v>
      </c>
      <c r="DT622" s="19" t="s">
        <v>2152</v>
      </c>
      <c r="DU622" s="19"/>
      <c r="DV622" s="19"/>
      <c r="DW622" s="19" t="s">
        <v>2153</v>
      </c>
      <c r="DX622" s="19">
        <v>12.0</v>
      </c>
      <c r="DY622" s="19">
        <v>5.0</v>
      </c>
      <c r="DZ622" s="19">
        <v>0.0</v>
      </c>
      <c r="EA622" s="19">
        <v>5.0</v>
      </c>
      <c r="EB622" s="19">
        <v>0.0</v>
      </c>
      <c r="EC622" s="19">
        <v>0.0</v>
      </c>
      <c r="ED622" s="19" t="s">
        <v>2133</v>
      </c>
      <c r="EE622" s="24">
        <v>45533.0</v>
      </c>
      <c r="EF622" s="19" t="s">
        <v>2133</v>
      </c>
      <c r="EG622" s="19" t="s">
        <v>2145</v>
      </c>
      <c r="EH622" s="19" t="s">
        <v>2146</v>
      </c>
      <c r="EI622" s="22">
        <v>15.0</v>
      </c>
      <c r="EJ622" s="19">
        <v>35.0</v>
      </c>
      <c r="EK622" s="19" t="s">
        <v>2113</v>
      </c>
      <c r="EL622" s="19" t="s">
        <v>2163</v>
      </c>
      <c r="EM622" s="19" t="s">
        <v>12415</v>
      </c>
      <c r="EN622" s="19" t="s">
        <v>1830</v>
      </c>
      <c r="EO622" s="19" t="s">
        <v>3612</v>
      </c>
      <c r="EP622" s="19" t="s">
        <v>2310</v>
      </c>
      <c r="EQ622" s="19" t="s">
        <v>3202</v>
      </c>
      <c r="ER622" s="19"/>
      <c r="ES622" s="19" t="s">
        <v>1830</v>
      </c>
      <c r="ET622" s="19" t="s">
        <v>1830</v>
      </c>
      <c r="EU622" s="19" t="s">
        <v>12413</v>
      </c>
      <c r="EV622" s="19">
        <v>7246.0</v>
      </c>
      <c r="EW622" s="19" t="s">
        <v>16</v>
      </c>
      <c r="EX622" s="19">
        <v>2.0</v>
      </c>
      <c r="EY622" s="25" t="s">
        <v>1829</v>
      </c>
      <c r="EZ622" s="19" t="s">
        <v>2154</v>
      </c>
      <c r="FA622" s="5" t="s">
        <v>12427</v>
      </c>
      <c r="FB622" s="26" t="s">
        <v>2156</v>
      </c>
      <c r="FC622" s="26"/>
    </row>
    <row r="623">
      <c r="A623" s="19" t="s">
        <v>2112</v>
      </c>
      <c r="B623" s="19"/>
      <c r="C623" s="19" t="s">
        <v>2113</v>
      </c>
      <c r="D623" s="19" t="s">
        <v>1831</v>
      </c>
      <c r="E623" s="19" t="s">
        <v>12428</v>
      </c>
      <c r="F623" s="19" t="s">
        <v>1831</v>
      </c>
      <c r="G623" s="19"/>
      <c r="H623" s="19" t="s">
        <v>1831</v>
      </c>
      <c r="I623" s="19" t="s">
        <v>1833</v>
      </c>
      <c r="J623" s="19" t="s">
        <v>12429</v>
      </c>
      <c r="K623" s="19" t="s">
        <v>12430</v>
      </c>
      <c r="L623" s="20">
        <v>45401.0</v>
      </c>
      <c r="M623" s="20">
        <v>45411.0</v>
      </c>
      <c r="N623" s="20">
        <v>45411.0</v>
      </c>
      <c r="O623" s="19" t="s">
        <v>1832</v>
      </c>
      <c r="P623" s="19">
        <v>0.0</v>
      </c>
      <c r="Q623" s="19">
        <v>22.0</v>
      </c>
      <c r="R623" s="19">
        <v>8060.0</v>
      </c>
      <c r="S623" s="20" t="s">
        <v>12431</v>
      </c>
      <c r="T623" s="20">
        <v>45461.0</v>
      </c>
      <c r="U623" s="19" t="s">
        <v>1831</v>
      </c>
      <c r="V623" s="19"/>
      <c r="W623" s="19"/>
      <c r="X623" s="21">
        <v>0.0</v>
      </c>
      <c r="Y623" s="21">
        <v>0.0</v>
      </c>
      <c r="Z623" s="21">
        <v>5.0</v>
      </c>
      <c r="AA623" s="21">
        <v>0.0</v>
      </c>
      <c r="AB623" s="5">
        <v>5.0</v>
      </c>
      <c r="AC623" s="19">
        <v>3.0</v>
      </c>
      <c r="AD623" s="19">
        <v>3.0</v>
      </c>
      <c r="AE623" s="19">
        <v>3.0</v>
      </c>
      <c r="AF623" s="19">
        <v>3.0</v>
      </c>
      <c r="AG623" s="19">
        <v>3.0</v>
      </c>
      <c r="AH623" s="19">
        <v>3.0</v>
      </c>
      <c r="AI623" s="22">
        <v>9.0</v>
      </c>
      <c r="AJ623" s="19">
        <v>13.0</v>
      </c>
      <c r="AK623" s="19">
        <v>15.0</v>
      </c>
      <c r="AL623" s="19">
        <v>15.0</v>
      </c>
      <c r="AM623" s="19">
        <v>43.0</v>
      </c>
      <c r="AN623" s="19">
        <v>52.0</v>
      </c>
      <c r="AO623" s="19">
        <v>57.0</v>
      </c>
      <c r="AP623" s="19">
        <v>1098.0</v>
      </c>
      <c r="AQ623" s="23">
        <v>612.0</v>
      </c>
      <c r="AR623" s="23">
        <v>89.0</v>
      </c>
      <c r="AS623" s="22"/>
      <c r="AT623" s="19" t="s">
        <v>2282</v>
      </c>
      <c r="AU623" s="19" t="s">
        <v>2592</v>
      </c>
      <c r="AV623" s="19" t="s">
        <v>12432</v>
      </c>
      <c r="AW623" s="19" t="s">
        <v>12433</v>
      </c>
      <c r="AX623" s="20">
        <v>37401.0</v>
      </c>
      <c r="AY623" s="19" t="s">
        <v>2286</v>
      </c>
      <c r="AZ623" s="19" t="s">
        <v>2122</v>
      </c>
      <c r="BA623" s="19" t="s">
        <v>12434</v>
      </c>
      <c r="BB623" s="19" t="s">
        <v>7271</v>
      </c>
      <c r="BC623" s="19" t="s">
        <v>12435</v>
      </c>
      <c r="BD623" s="19" t="s">
        <v>12436</v>
      </c>
      <c r="BE623" s="19" t="s">
        <v>12437</v>
      </c>
      <c r="BF623" s="19">
        <v>1.1976473971E10</v>
      </c>
      <c r="BG623" s="19" t="s">
        <v>4038</v>
      </c>
      <c r="BH623" s="19" t="s">
        <v>2128</v>
      </c>
      <c r="BI623" s="19"/>
      <c r="BJ623" s="19" t="s">
        <v>2128</v>
      </c>
      <c r="BK623" s="19" t="s">
        <v>17</v>
      </c>
      <c r="BL623" s="19"/>
      <c r="BM623" s="19" t="s">
        <v>5411</v>
      </c>
      <c r="BN623" s="19" t="s">
        <v>17</v>
      </c>
      <c r="BO623" s="19" t="s">
        <v>2132</v>
      </c>
      <c r="BP623" s="19" t="s">
        <v>12438</v>
      </c>
      <c r="BQ623" s="19" t="s">
        <v>2133</v>
      </c>
      <c r="BR623" s="19" t="s">
        <v>2133</v>
      </c>
      <c r="BS623" s="19" t="s">
        <v>3521</v>
      </c>
      <c r="BT623" s="19" t="s">
        <v>38</v>
      </c>
      <c r="BU623" s="19" t="s">
        <v>12439</v>
      </c>
      <c r="BV623" s="19"/>
      <c r="BW623" s="19" t="s">
        <v>2113</v>
      </c>
      <c r="BX623" s="19"/>
      <c r="BY623" s="19"/>
      <c r="BZ623" s="19"/>
      <c r="CA623" s="19"/>
      <c r="CB623" s="19"/>
      <c r="CC623" s="19"/>
      <c r="CD623" s="19" t="s">
        <v>2137</v>
      </c>
      <c r="CE623" s="19" t="s">
        <v>16</v>
      </c>
      <c r="CF623" s="19"/>
      <c r="CG623" s="19"/>
      <c r="CH623" s="19" t="s">
        <v>16</v>
      </c>
      <c r="CI623" s="21">
        <v>0.0</v>
      </c>
      <c r="CJ623" s="19" t="s">
        <v>16</v>
      </c>
      <c r="CK623" s="19"/>
      <c r="CL623" s="19"/>
      <c r="CM623" s="19" t="s">
        <v>2344</v>
      </c>
      <c r="CN623" s="19" t="s">
        <v>2294</v>
      </c>
      <c r="CO623" s="19"/>
      <c r="CP623" s="19" t="s">
        <v>2246</v>
      </c>
      <c r="CQ623" s="19"/>
      <c r="CR623" s="19" t="s">
        <v>2113</v>
      </c>
      <c r="CS623" s="19" t="s">
        <v>2113</v>
      </c>
      <c r="CT623" s="19"/>
      <c r="CU623" s="19"/>
      <c r="CV623" s="19" t="s">
        <v>2141</v>
      </c>
      <c r="CW623" s="19" t="s">
        <v>2113</v>
      </c>
      <c r="CX623" s="19" t="s">
        <v>2113</v>
      </c>
      <c r="CY623" s="19"/>
      <c r="CZ623" s="19"/>
      <c r="DA623" s="19" t="s">
        <v>16</v>
      </c>
      <c r="DB623" s="19" t="s">
        <v>16</v>
      </c>
      <c r="DC623" s="19" t="s">
        <v>2296</v>
      </c>
      <c r="DD623" s="19"/>
      <c r="DE623" s="19"/>
      <c r="DF623" s="19" t="s">
        <v>2146</v>
      </c>
      <c r="DG623" s="19" t="s">
        <v>2602</v>
      </c>
      <c r="DH623" s="19" t="s">
        <v>2144</v>
      </c>
      <c r="DI623" s="24">
        <v>45526.0</v>
      </c>
      <c r="DJ623" s="19" t="s">
        <v>2133</v>
      </c>
      <c r="DK623" s="19" t="s">
        <v>2145</v>
      </c>
      <c r="DL623" s="19" t="s">
        <v>2146</v>
      </c>
      <c r="DM623" s="19" t="s">
        <v>3338</v>
      </c>
      <c r="DN623" s="19">
        <v>11.0</v>
      </c>
      <c r="DO623" s="19">
        <v>11.0</v>
      </c>
      <c r="DP623" s="19" t="s">
        <v>12440</v>
      </c>
      <c r="DQ623" s="19" t="s">
        <v>12441</v>
      </c>
      <c r="DR623" s="19" t="s">
        <v>12442</v>
      </c>
      <c r="DS623" s="19" t="s">
        <v>2185</v>
      </c>
      <c r="DT623" s="19" t="s">
        <v>2152</v>
      </c>
      <c r="DU623" s="19"/>
      <c r="DV623" s="19"/>
      <c r="DW623" s="19" t="s">
        <v>2479</v>
      </c>
      <c r="DX623" s="19">
        <v>6.0</v>
      </c>
      <c r="DY623" s="19">
        <v>0.0</v>
      </c>
      <c r="DZ623" s="19">
        <v>0.0</v>
      </c>
      <c r="EA623" s="19">
        <v>0.0</v>
      </c>
      <c r="EB623" s="19">
        <v>0.0</v>
      </c>
      <c r="EC623" s="19">
        <v>0.0</v>
      </c>
      <c r="ED623" s="19" t="s">
        <v>2133</v>
      </c>
      <c r="EE623" s="24">
        <v>45526.0</v>
      </c>
      <c r="EF623" s="19" t="s">
        <v>2133</v>
      </c>
      <c r="EG623" s="19" t="s">
        <v>2145</v>
      </c>
      <c r="EH623" s="19" t="s">
        <v>2146</v>
      </c>
      <c r="EI623" s="22">
        <v>9.0</v>
      </c>
      <c r="EJ623" s="19">
        <v>43.0</v>
      </c>
      <c r="EK623" s="19"/>
      <c r="EL623" s="19" t="s">
        <v>2282</v>
      </c>
      <c r="EM623" s="19" t="s">
        <v>2592</v>
      </c>
      <c r="EN623" s="19" t="s">
        <v>1833</v>
      </c>
      <c r="EO623" s="19" t="s">
        <v>2286</v>
      </c>
      <c r="EP623" s="19" t="s">
        <v>2122</v>
      </c>
      <c r="EQ623" s="19" t="s">
        <v>2294</v>
      </c>
      <c r="ER623" s="19"/>
      <c r="ES623" s="19" t="s">
        <v>1833</v>
      </c>
      <c r="ET623" s="19" t="s">
        <v>1833</v>
      </c>
      <c r="EU623" s="19" t="s">
        <v>12430</v>
      </c>
      <c r="EV623" s="19">
        <v>8060.0</v>
      </c>
      <c r="EW623" s="19" t="s">
        <v>16</v>
      </c>
      <c r="EX623" s="19">
        <v>5.0</v>
      </c>
      <c r="EY623" s="25" t="s">
        <v>1832</v>
      </c>
      <c r="EZ623" s="19" t="s">
        <v>2154</v>
      </c>
      <c r="FA623" s="5" t="s">
        <v>12443</v>
      </c>
      <c r="FB623" s="26" t="s">
        <v>2156</v>
      </c>
      <c r="FC623" s="26"/>
    </row>
    <row r="624">
      <c r="A624" s="19" t="s">
        <v>2112</v>
      </c>
      <c r="B624" s="19"/>
      <c r="C624" s="19" t="s">
        <v>2113</v>
      </c>
      <c r="D624" s="19" t="s">
        <v>12444</v>
      </c>
      <c r="E624" s="19" t="s">
        <v>12445</v>
      </c>
      <c r="F624" s="19" t="s">
        <v>12444</v>
      </c>
      <c r="G624" s="19"/>
      <c r="H624" s="19" t="s">
        <v>1834</v>
      </c>
      <c r="I624" s="19" t="s">
        <v>1836</v>
      </c>
      <c r="J624" s="19" t="s">
        <v>12446</v>
      </c>
      <c r="K624" s="19" t="s">
        <v>12447</v>
      </c>
      <c r="L624" s="20">
        <v>45395.0</v>
      </c>
      <c r="M624" s="20">
        <v>45411.0</v>
      </c>
      <c r="N624" s="20">
        <v>45411.0</v>
      </c>
      <c r="O624" s="19" t="s">
        <v>1835</v>
      </c>
      <c r="P624" s="19">
        <v>0.0</v>
      </c>
      <c r="Q624" s="19">
        <v>22.0</v>
      </c>
      <c r="R624" s="19">
        <v>8310.0</v>
      </c>
      <c r="S624" s="20" t="s">
        <v>12448</v>
      </c>
      <c r="T624" s="20">
        <v>45461.0</v>
      </c>
      <c r="U624" s="19" t="s">
        <v>12444</v>
      </c>
      <c r="V624" s="19"/>
      <c r="W624" s="19"/>
      <c r="X624" s="21">
        <v>0.0</v>
      </c>
      <c r="Y624" s="21">
        <v>0.0</v>
      </c>
      <c r="Z624" s="21">
        <v>4.0</v>
      </c>
      <c r="AA624" s="21">
        <v>0.0</v>
      </c>
      <c r="AB624" s="5">
        <v>4.0</v>
      </c>
      <c r="AC624" s="19">
        <v>4.5</v>
      </c>
      <c r="AD624" s="19">
        <v>4.0</v>
      </c>
      <c r="AE624" s="19">
        <v>4.5</v>
      </c>
      <c r="AF624" s="19">
        <v>4.0</v>
      </c>
      <c r="AG624" s="19">
        <v>4.0</v>
      </c>
      <c r="AH624" s="19">
        <v>5.0</v>
      </c>
      <c r="AI624" s="22">
        <v>12.984375</v>
      </c>
      <c r="AJ624" s="19">
        <v>15.0</v>
      </c>
      <c r="AK624" s="19">
        <v>15.0</v>
      </c>
      <c r="AL624" s="19">
        <v>10.0</v>
      </c>
      <c r="AM624" s="19">
        <v>40.0</v>
      </c>
      <c r="AN624" s="19">
        <v>53.0</v>
      </c>
      <c r="AO624" s="19">
        <v>57.0</v>
      </c>
      <c r="AP624" s="19">
        <v>1186.0</v>
      </c>
      <c r="AQ624" s="23">
        <v>613.0</v>
      </c>
      <c r="AR624" s="23">
        <v>44.0</v>
      </c>
      <c r="AS624" s="22"/>
      <c r="AT624" s="19" t="s">
        <v>2117</v>
      </c>
      <c r="AU624" s="19" t="s">
        <v>12449</v>
      </c>
      <c r="AV624" s="19" t="s">
        <v>12450</v>
      </c>
      <c r="AW624" s="19" t="s">
        <v>12451</v>
      </c>
      <c r="AX624" s="20">
        <v>37151.0</v>
      </c>
      <c r="AY624" s="19" t="s">
        <v>2309</v>
      </c>
      <c r="AZ624" s="19" t="s">
        <v>2122</v>
      </c>
      <c r="BA624" s="19" t="s">
        <v>12452</v>
      </c>
      <c r="BB624" s="19" t="s">
        <v>12453</v>
      </c>
      <c r="BC624" s="19" t="s">
        <v>12454</v>
      </c>
      <c r="BD624" s="19" t="s">
        <v>12455</v>
      </c>
      <c r="BE624" s="19" t="s">
        <v>12456</v>
      </c>
      <c r="BF624" s="19">
        <v>1.1966110252E10</v>
      </c>
      <c r="BG624" s="19" t="s">
        <v>4038</v>
      </c>
      <c r="BH624" s="19" t="s">
        <v>2649</v>
      </c>
      <c r="BI624" s="19"/>
      <c r="BJ624" s="19" t="s">
        <v>2128</v>
      </c>
      <c r="BK624" s="19" t="s">
        <v>17</v>
      </c>
      <c r="BL624" s="19"/>
      <c r="BM624" s="19" t="s">
        <v>5411</v>
      </c>
      <c r="BN624" s="19" t="s">
        <v>6070</v>
      </c>
      <c r="BO624" s="19" t="s">
        <v>2317</v>
      </c>
      <c r="BP624" s="19"/>
      <c r="BQ624" s="19" t="s">
        <v>2318</v>
      </c>
      <c r="BR624" s="19" t="s">
        <v>2318</v>
      </c>
      <c r="BS624" s="19" t="s">
        <v>2134</v>
      </c>
      <c r="BT624" s="19" t="s">
        <v>42</v>
      </c>
      <c r="BU624" s="19" t="s">
        <v>12457</v>
      </c>
      <c r="BV624" s="19"/>
      <c r="BW624" s="19" t="s">
        <v>2113</v>
      </c>
      <c r="BX624" s="19"/>
      <c r="BY624" s="19"/>
      <c r="BZ624" s="19"/>
      <c r="CA624" s="19"/>
      <c r="CB624" s="19"/>
      <c r="CC624" s="19"/>
      <c r="CD624" s="19" t="s">
        <v>2137</v>
      </c>
      <c r="CE624" s="19" t="s">
        <v>16</v>
      </c>
      <c r="CF624" s="19"/>
      <c r="CG624" s="19"/>
      <c r="CH624" s="19" t="s">
        <v>16</v>
      </c>
      <c r="CI624" s="21">
        <v>0.0</v>
      </c>
      <c r="CJ624" s="19" t="s">
        <v>17</v>
      </c>
      <c r="CK624" s="19"/>
      <c r="CL624" s="19"/>
      <c r="CM624" s="19" t="s">
        <v>2344</v>
      </c>
      <c r="CN624" s="19" t="s">
        <v>2321</v>
      </c>
      <c r="CO624" s="19"/>
      <c r="CP624" s="19" t="s">
        <v>2246</v>
      </c>
      <c r="CQ624" s="19"/>
      <c r="CR624" s="19"/>
      <c r="CS624" s="19"/>
      <c r="CT624" s="19" t="s">
        <v>2113</v>
      </c>
      <c r="CU624" s="19" t="s">
        <v>2113</v>
      </c>
      <c r="CV624" s="19" t="s">
        <v>2141</v>
      </c>
      <c r="CW624" s="19"/>
      <c r="CX624" s="19"/>
      <c r="CY624" s="19"/>
      <c r="CZ624" s="19"/>
      <c r="DA624" s="19" t="s">
        <v>16</v>
      </c>
      <c r="DB624" s="19" t="s">
        <v>17</v>
      </c>
      <c r="DC624" s="19" t="s">
        <v>2324</v>
      </c>
      <c r="DD624" s="19" t="s">
        <v>2113</v>
      </c>
      <c r="DE624" s="19" t="s">
        <v>2113</v>
      </c>
      <c r="DF624" s="19" t="s">
        <v>3255</v>
      </c>
      <c r="DG624" s="19" t="s">
        <v>3914</v>
      </c>
      <c r="DH624" s="19" t="s">
        <v>2144</v>
      </c>
      <c r="DI624" s="24">
        <v>45524.0</v>
      </c>
      <c r="DJ624" s="19" t="s">
        <v>2325</v>
      </c>
      <c r="DK624" s="19" t="s">
        <v>2145</v>
      </c>
      <c r="DL624" s="19" t="s">
        <v>2326</v>
      </c>
      <c r="DM624" s="19"/>
      <c r="DN624" s="19">
        <v>7.0</v>
      </c>
      <c r="DO624" s="19">
        <v>7.0</v>
      </c>
      <c r="DP624" s="19" t="s">
        <v>12458</v>
      </c>
      <c r="DQ624" s="19" t="s">
        <v>12459</v>
      </c>
      <c r="DR624" s="19" t="s">
        <v>12460</v>
      </c>
      <c r="DS624" s="19" t="s">
        <v>2185</v>
      </c>
      <c r="DT624" s="19" t="s">
        <v>2186</v>
      </c>
      <c r="DU624" s="19"/>
      <c r="DV624" s="19"/>
      <c r="DW624" s="19" t="s">
        <v>2479</v>
      </c>
      <c r="DX624" s="19">
        <v>6.0</v>
      </c>
      <c r="DY624" s="19">
        <v>0.0</v>
      </c>
      <c r="DZ624" s="19">
        <v>0.0</v>
      </c>
      <c r="EA624" s="19">
        <v>0.0</v>
      </c>
      <c r="EB624" s="19">
        <v>0.0</v>
      </c>
      <c r="EC624" s="19">
        <v>0.0</v>
      </c>
      <c r="ED624" s="19" t="s">
        <v>2325</v>
      </c>
      <c r="EE624" s="24">
        <v>45524.0</v>
      </c>
      <c r="EF624" s="19" t="s">
        <v>2325</v>
      </c>
      <c r="EG624" s="19" t="s">
        <v>2145</v>
      </c>
      <c r="EH624" s="19" t="s">
        <v>2326</v>
      </c>
      <c r="EI624" s="22">
        <v>12.984375</v>
      </c>
      <c r="EJ624" s="19">
        <v>40.0</v>
      </c>
      <c r="EK624" s="19" t="s">
        <v>2113</v>
      </c>
      <c r="EL624" s="19" t="s">
        <v>2117</v>
      </c>
      <c r="EM624" s="19" t="s">
        <v>12449</v>
      </c>
      <c r="EN624" s="19" t="s">
        <v>1836</v>
      </c>
      <c r="EO624" s="19" t="s">
        <v>2309</v>
      </c>
      <c r="EP624" s="19" t="s">
        <v>2122</v>
      </c>
      <c r="EQ624" s="19" t="s">
        <v>2321</v>
      </c>
      <c r="ER624" s="19"/>
      <c r="ES624" s="19" t="s">
        <v>1836</v>
      </c>
      <c r="ET624" s="19" t="s">
        <v>1836</v>
      </c>
      <c r="EU624" s="19" t="s">
        <v>12447</v>
      </c>
      <c r="EV624" s="19">
        <v>8310.0</v>
      </c>
      <c r="EW624" s="19" t="s">
        <v>16</v>
      </c>
      <c r="EX624" s="19">
        <v>4.0</v>
      </c>
      <c r="EY624" s="25" t="s">
        <v>1835</v>
      </c>
      <c r="EZ624" s="19" t="s">
        <v>2154</v>
      </c>
      <c r="FA624" s="5" t="s">
        <v>12461</v>
      </c>
      <c r="FB624" s="26" t="s">
        <v>2156</v>
      </c>
      <c r="FC624" s="26"/>
    </row>
    <row r="625">
      <c r="A625" s="19" t="s">
        <v>2112</v>
      </c>
      <c r="B625" s="19"/>
      <c r="C625" s="19" t="s">
        <v>2113</v>
      </c>
      <c r="D625" s="19" t="s">
        <v>12462</v>
      </c>
      <c r="E625" s="19" t="s">
        <v>12463</v>
      </c>
      <c r="F625" s="19" t="s">
        <v>1837</v>
      </c>
      <c r="G625" s="19"/>
      <c r="H625" s="19" t="s">
        <v>1837</v>
      </c>
      <c r="I625" s="19" t="s">
        <v>1839</v>
      </c>
      <c r="J625" s="19" t="s">
        <v>12464</v>
      </c>
      <c r="K625" s="19" t="s">
        <v>12465</v>
      </c>
      <c r="L625" s="20">
        <v>45460.0</v>
      </c>
      <c r="M625" s="20">
        <v>45462.0</v>
      </c>
      <c r="N625" s="20">
        <v>45462.0</v>
      </c>
      <c r="O625" s="19" t="s">
        <v>1838</v>
      </c>
      <c r="P625" s="19">
        <v>0.0</v>
      </c>
      <c r="Q625" s="19">
        <v>24.0</v>
      </c>
      <c r="R625" s="19">
        <v>9096.0</v>
      </c>
      <c r="S625" s="20" t="s">
        <v>12466</v>
      </c>
      <c r="T625" s="20">
        <v>45461.0</v>
      </c>
      <c r="U625" s="19" t="s">
        <v>1837</v>
      </c>
      <c r="V625" s="19"/>
      <c r="W625" s="19" t="s">
        <v>6349</v>
      </c>
      <c r="X625" s="21">
        <v>0.0</v>
      </c>
      <c r="Y625" s="21">
        <v>0.0</v>
      </c>
      <c r="Z625" s="21">
        <v>3.0</v>
      </c>
      <c r="AA625" s="21">
        <v>0.0</v>
      </c>
      <c r="AB625" s="5">
        <v>3.0</v>
      </c>
      <c r="AC625" s="19">
        <v>4.0</v>
      </c>
      <c r="AD625" s="19">
        <v>4.0</v>
      </c>
      <c r="AE625" s="19">
        <v>4.0</v>
      </c>
      <c r="AF625" s="19">
        <v>4.0</v>
      </c>
      <c r="AG625" s="19">
        <v>4.0</v>
      </c>
      <c r="AH625" s="19">
        <v>4.0</v>
      </c>
      <c r="AI625" s="22">
        <v>12.0</v>
      </c>
      <c r="AJ625" s="19">
        <v>13.0</v>
      </c>
      <c r="AK625" s="19">
        <v>15.0</v>
      </c>
      <c r="AL625" s="19">
        <v>14.0</v>
      </c>
      <c r="AM625" s="19">
        <v>42.0</v>
      </c>
      <c r="AN625" s="19">
        <v>54.0</v>
      </c>
      <c r="AO625" s="19">
        <v>57.0</v>
      </c>
      <c r="AP625" s="19">
        <v>1244.0</v>
      </c>
      <c r="AQ625" s="23">
        <v>614.0</v>
      </c>
      <c r="AR625" s="23">
        <v>57.0</v>
      </c>
      <c r="AS625" s="22"/>
      <c r="AT625" s="19" t="s">
        <v>2163</v>
      </c>
      <c r="AU625" s="19" t="s">
        <v>12467</v>
      </c>
      <c r="AV625" s="19" t="s">
        <v>12468</v>
      </c>
      <c r="AW625" s="19"/>
      <c r="AX625" s="20">
        <v>36365.0</v>
      </c>
      <c r="AY625" s="19" t="s">
        <v>3905</v>
      </c>
      <c r="AZ625" s="19" t="s">
        <v>2445</v>
      </c>
      <c r="BA625" s="19" t="s">
        <v>12469</v>
      </c>
      <c r="BB625" s="19" t="s">
        <v>4167</v>
      </c>
      <c r="BC625" s="19" t="s">
        <v>12470</v>
      </c>
      <c r="BD625" s="19" t="s">
        <v>12471</v>
      </c>
      <c r="BE625" s="19" t="s">
        <v>12472</v>
      </c>
      <c r="BF625" s="19">
        <v>1.1967360666E10</v>
      </c>
      <c r="BG625" s="19" t="s">
        <v>4038</v>
      </c>
      <c r="BH625" s="19" t="s">
        <v>2128</v>
      </c>
      <c r="BI625" s="19"/>
      <c r="BJ625" s="19" t="s">
        <v>2128</v>
      </c>
      <c r="BK625" s="19" t="s">
        <v>17</v>
      </c>
      <c r="BL625" s="19" t="s">
        <v>2113</v>
      </c>
      <c r="BM625" s="19" t="s">
        <v>5411</v>
      </c>
      <c r="BN625" s="19" t="s">
        <v>2131</v>
      </c>
      <c r="BO625" s="19" t="s">
        <v>2473</v>
      </c>
      <c r="BP625" s="19" t="s">
        <v>12473</v>
      </c>
      <c r="BQ625" s="19" t="s">
        <v>2133</v>
      </c>
      <c r="BR625" s="19" t="s">
        <v>2133</v>
      </c>
      <c r="BS625" s="19" t="s">
        <v>2134</v>
      </c>
      <c r="BT625" s="19" t="s">
        <v>52</v>
      </c>
      <c r="BU625" s="19" t="s">
        <v>12474</v>
      </c>
      <c r="BV625" s="19"/>
      <c r="BW625" s="19"/>
      <c r="BX625" s="19"/>
      <c r="BY625" s="19"/>
      <c r="BZ625" s="19"/>
      <c r="CA625" s="19"/>
      <c r="CB625" s="19" t="s">
        <v>2113</v>
      </c>
      <c r="CC625" s="19"/>
      <c r="CD625" s="19" t="s">
        <v>2137</v>
      </c>
      <c r="CE625" s="19" t="s">
        <v>16</v>
      </c>
      <c r="CF625" s="19"/>
      <c r="CG625" s="19"/>
      <c r="CH625" s="19" t="s">
        <v>16</v>
      </c>
      <c r="CI625" s="21">
        <v>0.0</v>
      </c>
      <c r="CJ625" s="19" t="s">
        <v>17</v>
      </c>
      <c r="CK625" s="19"/>
      <c r="CL625" s="19"/>
      <c r="CM625" s="19" t="s">
        <v>2138</v>
      </c>
      <c r="CN625" s="19" t="s">
        <v>3544</v>
      </c>
      <c r="CO625" s="19"/>
      <c r="CP625" s="19" t="s">
        <v>2246</v>
      </c>
      <c r="CQ625" s="19"/>
      <c r="CR625" s="19"/>
      <c r="CS625" s="19"/>
      <c r="CT625" s="19" t="s">
        <v>2113</v>
      </c>
      <c r="CU625" s="19" t="s">
        <v>2113</v>
      </c>
      <c r="CV625" s="19" t="s">
        <v>2179</v>
      </c>
      <c r="CW625" s="19"/>
      <c r="CX625" s="19"/>
      <c r="CY625" s="19"/>
      <c r="CZ625" s="19"/>
      <c r="DA625" s="19" t="s">
        <v>16</v>
      </c>
      <c r="DB625" s="19" t="s">
        <v>17</v>
      </c>
      <c r="DC625" s="19" t="s">
        <v>2579</v>
      </c>
      <c r="DD625" s="19" t="s">
        <v>2113</v>
      </c>
      <c r="DE625" s="19" t="s">
        <v>2113</v>
      </c>
      <c r="DF625" s="19" t="s">
        <v>3255</v>
      </c>
      <c r="DG625" s="19" t="s">
        <v>2750</v>
      </c>
      <c r="DH625" s="19" t="s">
        <v>2144</v>
      </c>
      <c r="DI625" s="24">
        <v>45525.0</v>
      </c>
      <c r="DJ625" s="19" t="s">
        <v>2133</v>
      </c>
      <c r="DK625" s="19" t="s">
        <v>2145</v>
      </c>
      <c r="DL625" s="19" t="s">
        <v>2146</v>
      </c>
      <c r="DM625" s="19" t="s">
        <v>3003</v>
      </c>
      <c r="DN625" s="19">
        <v>9.0</v>
      </c>
      <c r="DO625" s="19">
        <v>9.0</v>
      </c>
      <c r="DP625" s="19"/>
      <c r="DQ625" s="19"/>
      <c r="DR625" s="19"/>
      <c r="DS625" s="19" t="s">
        <v>2365</v>
      </c>
      <c r="DT625" s="19" t="s">
        <v>2350</v>
      </c>
      <c r="DU625" s="19" t="s">
        <v>12475</v>
      </c>
      <c r="DV625" s="19"/>
      <c r="DW625" s="19" t="s">
        <v>2153</v>
      </c>
      <c r="DX625" s="19">
        <v>9.0</v>
      </c>
      <c r="DY625" s="19">
        <v>0.0</v>
      </c>
      <c r="DZ625" s="19">
        <v>0.0</v>
      </c>
      <c r="EA625" s="19">
        <v>0.0</v>
      </c>
      <c r="EB625" s="19">
        <v>0.0</v>
      </c>
      <c r="EC625" s="19">
        <v>0.0</v>
      </c>
      <c r="ED625" s="19" t="s">
        <v>2133</v>
      </c>
      <c r="EE625" s="24">
        <v>45525.0</v>
      </c>
      <c r="EF625" s="19" t="s">
        <v>2133</v>
      </c>
      <c r="EG625" s="19" t="s">
        <v>2145</v>
      </c>
      <c r="EH625" s="19" t="s">
        <v>2146</v>
      </c>
      <c r="EI625" s="22">
        <v>12.0</v>
      </c>
      <c r="EJ625" s="19">
        <v>42.0</v>
      </c>
      <c r="EK625" s="19" t="s">
        <v>2113</v>
      </c>
      <c r="EL625" s="19" t="s">
        <v>2163</v>
      </c>
      <c r="EM625" s="19" t="s">
        <v>12467</v>
      </c>
      <c r="EN625" s="19" t="s">
        <v>1839</v>
      </c>
      <c r="EO625" s="19" t="s">
        <v>3905</v>
      </c>
      <c r="EP625" s="19" t="s">
        <v>2445</v>
      </c>
      <c r="EQ625" s="19" t="s">
        <v>3544</v>
      </c>
      <c r="ER625" s="19"/>
      <c r="ES625" s="19" t="s">
        <v>1839</v>
      </c>
      <c r="ET625" s="19" t="s">
        <v>1839</v>
      </c>
      <c r="EU625" s="19" t="s">
        <v>12465</v>
      </c>
      <c r="EV625" s="19">
        <v>9096.0</v>
      </c>
      <c r="EW625" s="19" t="s">
        <v>16</v>
      </c>
      <c r="EX625" s="19">
        <v>3.0</v>
      </c>
      <c r="EY625" s="25" t="s">
        <v>1838</v>
      </c>
      <c r="EZ625" s="19" t="s">
        <v>2154</v>
      </c>
      <c r="FA625" s="5" t="s">
        <v>12476</v>
      </c>
      <c r="FB625" s="26" t="s">
        <v>2156</v>
      </c>
      <c r="FC625" s="26"/>
    </row>
    <row r="626">
      <c r="A626" s="19" t="s">
        <v>2112</v>
      </c>
      <c r="B626" s="19"/>
      <c r="C626" s="19" t="s">
        <v>2113</v>
      </c>
      <c r="D626" s="19" t="s">
        <v>1840</v>
      </c>
      <c r="E626" s="19" t="s">
        <v>12477</v>
      </c>
      <c r="F626" s="19" t="s">
        <v>1840</v>
      </c>
      <c r="G626" s="19"/>
      <c r="H626" s="19" t="s">
        <v>1840</v>
      </c>
      <c r="I626" s="19" t="s">
        <v>1842</v>
      </c>
      <c r="J626" s="19" t="s">
        <v>12478</v>
      </c>
      <c r="K626" s="19" t="s">
        <v>12479</v>
      </c>
      <c r="L626" s="20">
        <v>45427.0</v>
      </c>
      <c r="M626" s="20">
        <v>45428.0</v>
      </c>
      <c r="N626" s="20">
        <v>45428.0</v>
      </c>
      <c r="O626" s="19" t="s">
        <v>1841</v>
      </c>
      <c r="P626" s="19">
        <v>0.0</v>
      </c>
      <c r="Q626" s="19">
        <v>20.0</v>
      </c>
      <c r="R626" s="19">
        <v>7510.0</v>
      </c>
      <c r="S626" s="20" t="s">
        <v>12480</v>
      </c>
      <c r="T626" s="20">
        <v>45461.0</v>
      </c>
      <c r="U626" s="19" t="s">
        <v>1840</v>
      </c>
      <c r="V626" s="19"/>
      <c r="W626" s="19"/>
      <c r="X626" s="21">
        <v>0.0</v>
      </c>
      <c r="Y626" s="21">
        <v>0.0</v>
      </c>
      <c r="Z626" s="21">
        <v>5.0</v>
      </c>
      <c r="AA626" s="21">
        <v>0.0</v>
      </c>
      <c r="AB626" s="5">
        <v>5.0</v>
      </c>
      <c r="AC626" s="19">
        <v>4.0</v>
      </c>
      <c r="AD626" s="19">
        <v>3.8</v>
      </c>
      <c r="AE626" s="19">
        <v>4.4</v>
      </c>
      <c r="AF626" s="19">
        <v>4.2</v>
      </c>
      <c r="AG626" s="19">
        <v>3.2</v>
      </c>
      <c r="AH626" s="19">
        <v>4.6</v>
      </c>
      <c r="AI626" s="22">
        <v>12.16875</v>
      </c>
      <c r="AJ626" s="19">
        <v>13.5</v>
      </c>
      <c r="AK626" s="19">
        <v>13.3</v>
      </c>
      <c r="AL626" s="19">
        <v>13.0</v>
      </c>
      <c r="AM626" s="19">
        <v>39.8</v>
      </c>
      <c r="AN626" s="19">
        <v>52.0</v>
      </c>
      <c r="AO626" s="19">
        <v>56.9</v>
      </c>
      <c r="AP626" s="19">
        <v>1116.0</v>
      </c>
      <c r="AQ626" s="23">
        <v>615.0</v>
      </c>
      <c r="AR626" s="23">
        <v>74.0</v>
      </c>
      <c r="AS626" s="22"/>
      <c r="AT626" s="19" t="s">
        <v>2117</v>
      </c>
      <c r="AU626" s="19" t="s">
        <v>12481</v>
      </c>
      <c r="AV626" s="19" t="s">
        <v>12482</v>
      </c>
      <c r="AW626" s="19" t="s">
        <v>2166</v>
      </c>
      <c r="AX626" s="20">
        <v>37951.0</v>
      </c>
      <c r="AY626" s="19" t="s">
        <v>2338</v>
      </c>
      <c r="AZ626" s="19" t="s">
        <v>2310</v>
      </c>
      <c r="BA626" s="19" t="s">
        <v>12483</v>
      </c>
      <c r="BB626" s="19" t="s">
        <v>5171</v>
      </c>
      <c r="BC626" s="19" t="s">
        <v>12484</v>
      </c>
      <c r="BD626" s="19" t="s">
        <v>12485</v>
      </c>
      <c r="BE626" s="19" t="s">
        <v>12478</v>
      </c>
      <c r="BF626" s="19">
        <v>1.1999552382E10</v>
      </c>
      <c r="BG626" s="19" t="s">
        <v>4038</v>
      </c>
      <c r="BH626" s="19" t="s">
        <v>2128</v>
      </c>
      <c r="BI626" s="19"/>
      <c r="BJ626" s="19" t="s">
        <v>2128</v>
      </c>
      <c r="BK626" s="19" t="s">
        <v>16</v>
      </c>
      <c r="BL626" s="19" t="s">
        <v>2113</v>
      </c>
      <c r="BM626" s="19" t="s">
        <v>5563</v>
      </c>
      <c r="BN626" s="19" t="s">
        <v>17</v>
      </c>
      <c r="BO626" s="19" t="s">
        <v>2132</v>
      </c>
      <c r="BP626" s="19" t="s">
        <v>12486</v>
      </c>
      <c r="BQ626" s="19" t="s">
        <v>2174</v>
      </c>
      <c r="BR626" s="19" t="s">
        <v>2174</v>
      </c>
      <c r="BS626" s="19" t="s">
        <v>3521</v>
      </c>
      <c r="BT626" s="19" t="s">
        <v>21</v>
      </c>
      <c r="BU626" s="19" t="s">
        <v>12487</v>
      </c>
      <c r="BV626" s="19"/>
      <c r="BW626" s="19"/>
      <c r="BX626" s="19"/>
      <c r="BY626" s="19"/>
      <c r="BZ626" s="19"/>
      <c r="CA626" s="19"/>
      <c r="CB626" s="19" t="s">
        <v>2113</v>
      </c>
      <c r="CC626" s="19" t="s">
        <v>2113</v>
      </c>
      <c r="CD626" s="19" t="s">
        <v>2137</v>
      </c>
      <c r="CE626" s="19" t="s">
        <v>16</v>
      </c>
      <c r="CF626" s="19"/>
      <c r="CG626" s="19"/>
      <c r="CH626" s="19" t="s">
        <v>16</v>
      </c>
      <c r="CI626" s="21">
        <v>0.0</v>
      </c>
      <c r="CJ626" s="19" t="s">
        <v>16</v>
      </c>
      <c r="CK626" s="19"/>
      <c r="CL626" s="19"/>
      <c r="CM626" s="19" t="s">
        <v>2926</v>
      </c>
      <c r="CN626" s="19" t="s">
        <v>2204</v>
      </c>
      <c r="CO626" s="19"/>
      <c r="CP626" s="19" t="s">
        <v>2140</v>
      </c>
      <c r="CQ626" s="19"/>
      <c r="CR626" s="19" t="s">
        <v>2113</v>
      </c>
      <c r="CS626" s="19" t="s">
        <v>2113</v>
      </c>
      <c r="CT626" s="19"/>
      <c r="CU626" s="19"/>
      <c r="CV626" s="19" t="s">
        <v>2141</v>
      </c>
      <c r="CW626" s="19"/>
      <c r="CX626" s="19"/>
      <c r="CY626" s="19" t="s">
        <v>2113</v>
      </c>
      <c r="CZ626" s="19" t="s">
        <v>2113</v>
      </c>
      <c r="DA626" s="19" t="s">
        <v>16</v>
      </c>
      <c r="DB626" s="19" t="s">
        <v>16</v>
      </c>
      <c r="DC626" s="19" t="s">
        <v>7359</v>
      </c>
      <c r="DD626" s="19" t="s">
        <v>2113</v>
      </c>
      <c r="DE626" s="19" t="s">
        <v>2113</v>
      </c>
      <c r="DF626" s="19" t="s">
        <v>2181</v>
      </c>
      <c r="DG626" s="19" t="s">
        <v>2345</v>
      </c>
      <c r="DH626" s="19" t="s">
        <v>2144</v>
      </c>
      <c r="DI626" s="24">
        <v>45518.0</v>
      </c>
      <c r="DJ626" s="19" t="s">
        <v>2174</v>
      </c>
      <c r="DK626" s="19" t="s">
        <v>2145</v>
      </c>
      <c r="DL626" s="19" t="s">
        <v>2183</v>
      </c>
      <c r="DM626" s="19" t="s">
        <v>2228</v>
      </c>
      <c r="DN626" s="19">
        <v>3.0</v>
      </c>
      <c r="DO626" s="19">
        <v>3.0</v>
      </c>
      <c r="DP626" s="19" t="s">
        <v>12488</v>
      </c>
      <c r="DQ626" s="19" t="s">
        <v>12489</v>
      </c>
      <c r="DR626" s="19" t="s">
        <v>12490</v>
      </c>
      <c r="DS626" s="19" t="s">
        <v>2151</v>
      </c>
      <c r="DT626" s="19" t="s">
        <v>2229</v>
      </c>
      <c r="DU626" s="19"/>
      <c r="DV626" s="19"/>
      <c r="DW626" s="19" t="s">
        <v>2153</v>
      </c>
      <c r="DX626" s="19">
        <v>13.0</v>
      </c>
      <c r="DY626" s="19">
        <v>0.0</v>
      </c>
      <c r="DZ626" s="19">
        <v>0.0</v>
      </c>
      <c r="EA626" s="19">
        <v>0.0</v>
      </c>
      <c r="EB626" s="19">
        <v>0.0</v>
      </c>
      <c r="EC626" s="19">
        <v>0.0</v>
      </c>
      <c r="ED626" s="19" t="s">
        <v>2174</v>
      </c>
      <c r="EE626" s="24">
        <v>45518.0</v>
      </c>
      <c r="EF626" s="19" t="s">
        <v>2174</v>
      </c>
      <c r="EG626" s="19" t="s">
        <v>2145</v>
      </c>
      <c r="EH626" s="19" t="s">
        <v>2183</v>
      </c>
      <c r="EI626" s="22">
        <v>12.16875</v>
      </c>
      <c r="EJ626" s="19">
        <v>39.75</v>
      </c>
      <c r="EK626" s="19"/>
      <c r="EL626" s="19" t="s">
        <v>2117</v>
      </c>
      <c r="EM626" s="19" t="s">
        <v>12481</v>
      </c>
      <c r="EN626" s="19" t="s">
        <v>1842</v>
      </c>
      <c r="EO626" s="19" t="s">
        <v>2338</v>
      </c>
      <c r="EP626" s="19" t="s">
        <v>2310</v>
      </c>
      <c r="EQ626" s="19" t="s">
        <v>2204</v>
      </c>
      <c r="ER626" s="19"/>
      <c r="ES626" s="19" t="s">
        <v>1842</v>
      </c>
      <c r="ET626" s="19" t="s">
        <v>1842</v>
      </c>
      <c r="EU626" s="19" t="s">
        <v>12479</v>
      </c>
      <c r="EV626" s="19">
        <v>7510.0</v>
      </c>
      <c r="EW626" s="19" t="s">
        <v>16</v>
      </c>
      <c r="EX626" s="19">
        <v>5.0</v>
      </c>
      <c r="EY626" s="25" t="s">
        <v>1841</v>
      </c>
      <c r="EZ626" s="19" t="s">
        <v>2154</v>
      </c>
      <c r="FA626" s="5" t="s">
        <v>12491</v>
      </c>
      <c r="FB626" s="26" t="s">
        <v>2156</v>
      </c>
      <c r="FC626" s="26"/>
    </row>
    <row r="627">
      <c r="A627" s="19" t="s">
        <v>2112</v>
      </c>
      <c r="B627" s="19"/>
      <c r="C627" s="19" t="s">
        <v>2113</v>
      </c>
      <c r="D627" s="19" t="s">
        <v>1843</v>
      </c>
      <c r="E627" s="19" t="s">
        <v>12492</v>
      </c>
      <c r="F627" s="19" t="s">
        <v>1843</v>
      </c>
      <c r="G627" s="19"/>
      <c r="H627" s="19" t="s">
        <v>1843</v>
      </c>
      <c r="I627" s="19" t="s">
        <v>1845</v>
      </c>
      <c r="J627" s="19" t="s">
        <v>12493</v>
      </c>
      <c r="K627" s="19" t="s">
        <v>12494</v>
      </c>
      <c r="L627" s="20">
        <v>45446.0</v>
      </c>
      <c r="M627" s="20">
        <v>45446.0</v>
      </c>
      <c r="N627" s="20">
        <v>45446.0</v>
      </c>
      <c r="O627" s="19" t="s">
        <v>1844</v>
      </c>
      <c r="P627" s="19">
        <v>0.0</v>
      </c>
      <c r="Q627" s="19">
        <v>24.0</v>
      </c>
      <c r="R627" s="19">
        <v>9016.0</v>
      </c>
      <c r="S627" s="20" t="s">
        <v>12495</v>
      </c>
      <c r="T627" s="20">
        <v>45461.0</v>
      </c>
      <c r="U627" s="19" t="s">
        <v>1843</v>
      </c>
      <c r="V627" s="19"/>
      <c r="W627" s="19"/>
      <c r="X627" s="21">
        <v>0.0</v>
      </c>
      <c r="Y627" s="21">
        <v>0.0</v>
      </c>
      <c r="Z627" s="21">
        <v>5.0</v>
      </c>
      <c r="AA627" s="21">
        <v>0.0</v>
      </c>
      <c r="AB627" s="5">
        <v>5.0</v>
      </c>
      <c r="AC627" s="19">
        <v>4.4</v>
      </c>
      <c r="AD627" s="19">
        <v>5.0</v>
      </c>
      <c r="AE627" s="19">
        <v>4.0</v>
      </c>
      <c r="AF627" s="19">
        <v>4.4</v>
      </c>
      <c r="AG627" s="19">
        <v>4.0</v>
      </c>
      <c r="AH627" s="19">
        <v>5.0</v>
      </c>
      <c r="AI627" s="22">
        <v>13.36875</v>
      </c>
      <c r="AJ627" s="19">
        <v>12.5</v>
      </c>
      <c r="AK627" s="19">
        <v>13.0</v>
      </c>
      <c r="AL627" s="19">
        <v>13.0</v>
      </c>
      <c r="AM627" s="19">
        <v>38.5</v>
      </c>
      <c r="AN627" s="19">
        <v>51.9</v>
      </c>
      <c r="AO627" s="19">
        <v>56.9</v>
      </c>
      <c r="AP627" s="19">
        <v>1051.0</v>
      </c>
      <c r="AQ627" s="23">
        <v>616.0</v>
      </c>
      <c r="AR627" s="23">
        <v>75.0</v>
      </c>
      <c r="AS627" s="22"/>
      <c r="AT627" s="19" t="s">
        <v>2282</v>
      </c>
      <c r="AU627" s="19" t="s">
        <v>12496</v>
      </c>
      <c r="AV627" s="19" t="s">
        <v>12497</v>
      </c>
      <c r="AW627" s="19"/>
      <c r="AX627" s="20">
        <v>36445.0</v>
      </c>
      <c r="AY627" s="19" t="s">
        <v>2196</v>
      </c>
      <c r="AZ627" s="19" t="s">
        <v>2122</v>
      </c>
      <c r="BA627" s="19" t="s">
        <v>12498</v>
      </c>
      <c r="BB627" s="19" t="s">
        <v>12499</v>
      </c>
      <c r="BC627" s="19" t="s">
        <v>12500</v>
      </c>
      <c r="BD627" s="19" t="s">
        <v>12501</v>
      </c>
      <c r="BE627" s="19" t="s">
        <v>12493</v>
      </c>
      <c r="BF627" s="19">
        <v>1.1958940823E10</v>
      </c>
      <c r="BG627" s="19" t="s">
        <v>4038</v>
      </c>
      <c r="BH627" s="19" t="s">
        <v>2128</v>
      </c>
      <c r="BI627" s="19"/>
      <c r="BJ627" s="19" t="s">
        <v>2129</v>
      </c>
      <c r="BK627" s="19" t="s">
        <v>17</v>
      </c>
      <c r="BL627" s="19" t="s">
        <v>2113</v>
      </c>
      <c r="BM627" s="19" t="s">
        <v>5411</v>
      </c>
      <c r="BN627" s="19" t="s">
        <v>17</v>
      </c>
      <c r="BO627" s="19" t="s">
        <v>2132</v>
      </c>
      <c r="BP627" s="19"/>
      <c r="BQ627" s="19" t="s">
        <v>2174</v>
      </c>
      <c r="BR627" s="19" t="s">
        <v>2174</v>
      </c>
      <c r="BS627" s="19" t="s">
        <v>2134</v>
      </c>
      <c r="BT627" s="19" t="s">
        <v>21</v>
      </c>
      <c r="BU627" s="19" t="s">
        <v>4244</v>
      </c>
      <c r="BV627" s="19"/>
      <c r="BW627" s="19"/>
      <c r="BX627" s="19"/>
      <c r="BY627" s="19" t="s">
        <v>2113</v>
      </c>
      <c r="BZ627" s="19" t="s">
        <v>2113</v>
      </c>
      <c r="CA627" s="19" t="s">
        <v>2113</v>
      </c>
      <c r="CB627" s="19"/>
      <c r="CC627" s="19"/>
      <c r="CD627" s="19" t="s">
        <v>2137</v>
      </c>
      <c r="CE627" s="19" t="s">
        <v>16</v>
      </c>
      <c r="CF627" s="19"/>
      <c r="CG627" s="19"/>
      <c r="CH627" s="19" t="s">
        <v>16</v>
      </c>
      <c r="CI627" s="21">
        <v>0.0</v>
      </c>
      <c r="CJ627" s="19" t="s">
        <v>16</v>
      </c>
      <c r="CK627" s="19"/>
      <c r="CL627" s="19"/>
      <c r="CM627" s="19" t="s">
        <v>2344</v>
      </c>
      <c r="CN627" s="19" t="s">
        <v>2204</v>
      </c>
      <c r="CO627" s="19"/>
      <c r="CP627" s="19" t="s">
        <v>2246</v>
      </c>
      <c r="CQ627" s="19"/>
      <c r="CR627" s="19" t="s">
        <v>2113</v>
      </c>
      <c r="CS627" s="19" t="s">
        <v>2113</v>
      </c>
      <c r="CT627" s="19"/>
      <c r="CU627" s="19"/>
      <c r="CV627" s="19" t="s">
        <v>2179</v>
      </c>
      <c r="CW627" s="19"/>
      <c r="CX627" s="19"/>
      <c r="CY627" s="19" t="s">
        <v>2113</v>
      </c>
      <c r="CZ627" s="19" t="s">
        <v>2113</v>
      </c>
      <c r="DA627" s="19" t="s">
        <v>16</v>
      </c>
      <c r="DB627" s="19" t="s">
        <v>16</v>
      </c>
      <c r="DC627" s="19" t="s">
        <v>2539</v>
      </c>
      <c r="DD627" s="19" t="s">
        <v>2113</v>
      </c>
      <c r="DE627" s="19" t="s">
        <v>2113</v>
      </c>
      <c r="DF627" s="19" t="s">
        <v>3223</v>
      </c>
      <c r="DG627" s="19" t="s">
        <v>2433</v>
      </c>
      <c r="DH627" s="19" t="s">
        <v>2144</v>
      </c>
      <c r="DI627" s="24">
        <v>45519.0</v>
      </c>
      <c r="DJ627" s="19" t="s">
        <v>2174</v>
      </c>
      <c r="DK627" s="19" t="s">
        <v>2271</v>
      </c>
      <c r="DL627" s="19" t="s">
        <v>2183</v>
      </c>
      <c r="DM627" s="19" t="s">
        <v>2272</v>
      </c>
      <c r="DN627" s="19">
        <v>6.0</v>
      </c>
      <c r="DO627" s="19">
        <v>6.0</v>
      </c>
      <c r="DP627" s="19"/>
      <c r="DQ627" s="19"/>
      <c r="DR627" s="19"/>
      <c r="DS627" s="19" t="s">
        <v>2151</v>
      </c>
      <c r="DT627" s="19" t="s">
        <v>2229</v>
      </c>
      <c r="DU627" s="19" t="s">
        <v>12502</v>
      </c>
      <c r="DV627" s="19"/>
      <c r="DW627" s="19" t="s">
        <v>2153</v>
      </c>
      <c r="DX627" s="19">
        <v>14.0</v>
      </c>
      <c r="DY627" s="19">
        <v>0.0</v>
      </c>
      <c r="DZ627" s="19">
        <v>0.0</v>
      </c>
      <c r="EA627" s="19">
        <v>0.0</v>
      </c>
      <c r="EB627" s="19">
        <v>0.0</v>
      </c>
      <c r="EC627" s="19">
        <v>0.0</v>
      </c>
      <c r="ED627" s="19" t="s">
        <v>2174</v>
      </c>
      <c r="EE627" s="24">
        <v>45519.0</v>
      </c>
      <c r="EF627" s="19" t="s">
        <v>2174</v>
      </c>
      <c r="EG627" s="19" t="s">
        <v>2271</v>
      </c>
      <c r="EH627" s="19" t="s">
        <v>2183</v>
      </c>
      <c r="EI627" s="22">
        <v>13.36875</v>
      </c>
      <c r="EJ627" s="19">
        <v>38.5</v>
      </c>
      <c r="EK627" s="19"/>
      <c r="EL627" s="19" t="s">
        <v>2282</v>
      </c>
      <c r="EM627" s="19" t="s">
        <v>12496</v>
      </c>
      <c r="EN627" s="19" t="s">
        <v>1845</v>
      </c>
      <c r="EO627" s="19" t="s">
        <v>2196</v>
      </c>
      <c r="EP627" s="19" t="s">
        <v>2122</v>
      </c>
      <c r="EQ627" s="19" t="s">
        <v>2204</v>
      </c>
      <c r="ER627" s="19"/>
      <c r="ES627" s="19" t="s">
        <v>1845</v>
      </c>
      <c r="ET627" s="19" t="s">
        <v>1845</v>
      </c>
      <c r="EU627" s="19" t="s">
        <v>12494</v>
      </c>
      <c r="EV627" s="19">
        <v>9016.0</v>
      </c>
      <c r="EW627" s="19" t="s">
        <v>16</v>
      </c>
      <c r="EX627" s="19">
        <v>5.0</v>
      </c>
      <c r="EY627" s="25" t="s">
        <v>1844</v>
      </c>
      <c r="EZ627" s="19" t="s">
        <v>2154</v>
      </c>
      <c r="FA627" s="5" t="s">
        <v>12503</v>
      </c>
      <c r="FB627" s="26" t="s">
        <v>2156</v>
      </c>
      <c r="FC627" s="26"/>
    </row>
    <row r="628">
      <c r="A628" s="19" t="s">
        <v>2112</v>
      </c>
      <c r="B628" s="19"/>
      <c r="C628" s="19" t="s">
        <v>2113</v>
      </c>
      <c r="D628" s="19" t="s">
        <v>1846</v>
      </c>
      <c r="E628" s="19" t="s">
        <v>12504</v>
      </c>
      <c r="F628" s="19" t="s">
        <v>12505</v>
      </c>
      <c r="G628" s="19" t="s">
        <v>12506</v>
      </c>
      <c r="H628" s="19" t="s">
        <v>1846</v>
      </c>
      <c r="I628" s="19" t="s">
        <v>1848</v>
      </c>
      <c r="J628" s="19" t="s">
        <v>12507</v>
      </c>
      <c r="K628" s="19" t="s">
        <v>12508</v>
      </c>
      <c r="L628" s="20">
        <v>45446.0</v>
      </c>
      <c r="M628" s="20">
        <v>45447.0</v>
      </c>
      <c r="N628" s="20">
        <v>45447.0</v>
      </c>
      <c r="O628" s="19" t="s">
        <v>1847</v>
      </c>
      <c r="P628" s="19">
        <v>0.0</v>
      </c>
      <c r="Q628" s="19">
        <v>27.0</v>
      </c>
      <c r="R628" s="19">
        <v>10087.0</v>
      </c>
      <c r="S628" s="20" t="s">
        <v>12509</v>
      </c>
      <c r="T628" s="20">
        <v>45461.0</v>
      </c>
      <c r="U628" s="19" t="s">
        <v>12505</v>
      </c>
      <c r="V628" s="19"/>
      <c r="W628" s="19"/>
      <c r="X628" s="21">
        <v>0.0</v>
      </c>
      <c r="Y628" s="21">
        <v>0.0</v>
      </c>
      <c r="Z628" s="21">
        <v>3.0</v>
      </c>
      <c r="AA628" s="21">
        <v>0.0</v>
      </c>
      <c r="AB628" s="5">
        <v>3.0</v>
      </c>
      <c r="AC628" s="19">
        <v>4.5</v>
      </c>
      <c r="AD628" s="19">
        <v>4.75</v>
      </c>
      <c r="AE628" s="19">
        <v>4.75</v>
      </c>
      <c r="AF628" s="19">
        <v>4.5</v>
      </c>
      <c r="AG628" s="19">
        <v>4.25</v>
      </c>
      <c r="AH628" s="19">
        <v>5.0</v>
      </c>
      <c r="AI628" s="22">
        <v>13.9453125</v>
      </c>
      <c r="AJ628" s="19">
        <v>10.0</v>
      </c>
      <c r="AK628" s="19">
        <v>15.0</v>
      </c>
      <c r="AL628" s="19">
        <v>15.0</v>
      </c>
      <c r="AM628" s="19">
        <v>40.0</v>
      </c>
      <c r="AN628" s="19">
        <v>53.9</v>
      </c>
      <c r="AO628" s="19">
        <v>56.9</v>
      </c>
      <c r="AP628" s="19">
        <v>1221.0</v>
      </c>
      <c r="AQ628" s="23">
        <v>617.0</v>
      </c>
      <c r="AR628" s="23">
        <v>45.0</v>
      </c>
      <c r="AS628" s="22"/>
      <c r="AT628" s="19" t="s">
        <v>2117</v>
      </c>
      <c r="AU628" s="19" t="s">
        <v>12510</v>
      </c>
      <c r="AV628" s="19" t="s">
        <v>12511</v>
      </c>
      <c r="AW628" s="19" t="s">
        <v>12512</v>
      </c>
      <c r="AX628" s="20">
        <v>35374.0</v>
      </c>
      <c r="AY628" s="19" t="s">
        <v>3034</v>
      </c>
      <c r="AZ628" s="19" t="s">
        <v>2122</v>
      </c>
      <c r="BA628" s="19" t="s">
        <v>12513</v>
      </c>
      <c r="BB628" s="19" t="s">
        <v>12512</v>
      </c>
      <c r="BC628" s="19" t="s">
        <v>12514</v>
      </c>
      <c r="BD628" s="19" t="s">
        <v>12515</v>
      </c>
      <c r="BE628" s="19"/>
      <c r="BF628" s="19"/>
      <c r="BG628" s="19" t="s">
        <v>4038</v>
      </c>
      <c r="BH628" s="19" t="s">
        <v>2128</v>
      </c>
      <c r="BI628" s="19"/>
      <c r="BJ628" s="19" t="s">
        <v>2129</v>
      </c>
      <c r="BK628" s="19" t="s">
        <v>17</v>
      </c>
      <c r="BL628" s="19"/>
      <c r="BM628" s="19" t="s">
        <v>5411</v>
      </c>
      <c r="BN628" s="19" t="s">
        <v>17</v>
      </c>
      <c r="BO628" s="19" t="s">
        <v>2473</v>
      </c>
      <c r="BP628" s="19"/>
      <c r="BQ628" s="19" t="s">
        <v>2174</v>
      </c>
      <c r="BR628" s="19" t="s">
        <v>2174</v>
      </c>
      <c r="BS628" s="19" t="s">
        <v>2134</v>
      </c>
      <c r="BT628" s="19" t="s">
        <v>34</v>
      </c>
      <c r="BU628" s="19" t="s">
        <v>10151</v>
      </c>
      <c r="BV628" s="19"/>
      <c r="BW628" s="19"/>
      <c r="BX628" s="19"/>
      <c r="BY628" s="19" t="s">
        <v>2113</v>
      </c>
      <c r="BZ628" s="19" t="s">
        <v>2113</v>
      </c>
      <c r="CA628" s="19" t="s">
        <v>2113</v>
      </c>
      <c r="CB628" s="19" t="s">
        <v>2113</v>
      </c>
      <c r="CC628" s="19"/>
      <c r="CD628" s="19" t="s">
        <v>2137</v>
      </c>
      <c r="CE628" s="19" t="s">
        <v>16</v>
      </c>
      <c r="CF628" s="19"/>
      <c r="CG628" s="19"/>
      <c r="CH628" s="19" t="s">
        <v>16</v>
      </c>
      <c r="CI628" s="21">
        <v>0.0</v>
      </c>
      <c r="CJ628" s="19" t="s">
        <v>16</v>
      </c>
      <c r="CK628" s="19"/>
      <c r="CL628" s="19" t="s">
        <v>2113</v>
      </c>
      <c r="CM628" s="19" t="s">
        <v>2138</v>
      </c>
      <c r="CN628" s="19" t="s">
        <v>3041</v>
      </c>
      <c r="CO628" s="19" t="s">
        <v>2177</v>
      </c>
      <c r="CP628" s="19" t="s">
        <v>2246</v>
      </c>
      <c r="CQ628" s="19"/>
      <c r="CR628" s="19"/>
      <c r="CS628" s="19"/>
      <c r="CT628" s="19" t="s">
        <v>2113</v>
      </c>
      <c r="CU628" s="19" t="s">
        <v>2113</v>
      </c>
      <c r="CV628" s="19" t="s">
        <v>2141</v>
      </c>
      <c r="CW628" s="19"/>
      <c r="CX628" s="19"/>
      <c r="CY628" s="19"/>
      <c r="CZ628" s="19"/>
      <c r="DA628" s="19" t="s">
        <v>16</v>
      </c>
      <c r="DB628" s="19" t="s">
        <v>16</v>
      </c>
      <c r="DC628" s="19" t="s">
        <v>3042</v>
      </c>
      <c r="DD628" s="19" t="s">
        <v>2113</v>
      </c>
      <c r="DE628" s="19" t="s">
        <v>2113</v>
      </c>
      <c r="DF628" s="19" t="s">
        <v>2433</v>
      </c>
      <c r="DG628" s="19" t="s">
        <v>4466</v>
      </c>
      <c r="DH628" s="19" t="s">
        <v>2144</v>
      </c>
      <c r="DI628" s="24">
        <v>45517.0</v>
      </c>
      <c r="DJ628" s="19" t="s">
        <v>2174</v>
      </c>
      <c r="DK628" s="19" t="s">
        <v>2271</v>
      </c>
      <c r="DL628" s="19" t="s">
        <v>2183</v>
      </c>
      <c r="DM628" s="19" t="s">
        <v>2515</v>
      </c>
      <c r="DN628" s="19">
        <v>2.0</v>
      </c>
      <c r="DO628" s="19">
        <v>2.0</v>
      </c>
      <c r="DP628" s="19" t="s">
        <v>12516</v>
      </c>
      <c r="DQ628" s="19" t="s">
        <v>12517</v>
      </c>
      <c r="DR628" s="19" t="s">
        <v>12518</v>
      </c>
      <c r="DS628" s="19" t="s">
        <v>2185</v>
      </c>
      <c r="DT628" s="19" t="s">
        <v>2366</v>
      </c>
      <c r="DU628" s="19"/>
      <c r="DV628" s="19"/>
      <c r="DW628" s="19" t="s">
        <v>3306</v>
      </c>
      <c r="DX628" s="19">
        <v>4.0</v>
      </c>
      <c r="DY628" s="19">
        <v>0.0</v>
      </c>
      <c r="DZ628" s="19">
        <v>0.0</v>
      </c>
      <c r="EA628" s="19">
        <v>0.0</v>
      </c>
      <c r="EB628" s="19">
        <v>0.0</v>
      </c>
      <c r="EC628" s="19">
        <v>0.0</v>
      </c>
      <c r="ED628" s="19" t="s">
        <v>2174</v>
      </c>
      <c r="EE628" s="24">
        <v>45517.0</v>
      </c>
      <c r="EF628" s="19" t="s">
        <v>2174</v>
      </c>
      <c r="EG628" s="19" t="s">
        <v>2271</v>
      </c>
      <c r="EH628" s="19" t="s">
        <v>2183</v>
      </c>
      <c r="EI628" s="22">
        <v>13.9453125</v>
      </c>
      <c r="EJ628" s="19">
        <v>40.0</v>
      </c>
      <c r="EK628" s="19"/>
      <c r="EL628" s="19" t="s">
        <v>2117</v>
      </c>
      <c r="EM628" s="19" t="s">
        <v>12510</v>
      </c>
      <c r="EN628" s="19" t="s">
        <v>1848</v>
      </c>
      <c r="EO628" s="19" t="s">
        <v>3034</v>
      </c>
      <c r="EP628" s="19" t="s">
        <v>2122</v>
      </c>
      <c r="EQ628" s="19" t="s">
        <v>3041</v>
      </c>
      <c r="ER628" s="19" t="s">
        <v>2177</v>
      </c>
      <c r="ES628" s="19" t="s">
        <v>1848</v>
      </c>
      <c r="ET628" s="19" t="s">
        <v>1848</v>
      </c>
      <c r="EU628" s="19" t="s">
        <v>12508</v>
      </c>
      <c r="EV628" s="19">
        <v>10087.0</v>
      </c>
      <c r="EW628" s="19" t="s">
        <v>16</v>
      </c>
      <c r="EX628" s="19">
        <v>3.0</v>
      </c>
      <c r="EY628" s="25" t="s">
        <v>1847</v>
      </c>
      <c r="EZ628" s="19" t="s">
        <v>2154</v>
      </c>
      <c r="FA628" s="5" t="s">
        <v>12519</v>
      </c>
      <c r="FB628" s="26" t="s">
        <v>2156</v>
      </c>
      <c r="FC628" s="26"/>
    </row>
    <row r="629">
      <c r="A629" s="19" t="s">
        <v>2112</v>
      </c>
      <c r="B629" s="19"/>
      <c r="C629" s="19" t="s">
        <v>2113</v>
      </c>
      <c r="D629" s="19" t="s">
        <v>12520</v>
      </c>
      <c r="E629" s="19" t="s">
        <v>12521</v>
      </c>
      <c r="F629" s="19" t="s">
        <v>4952</v>
      </c>
      <c r="G629" s="19" t="s">
        <v>4953</v>
      </c>
      <c r="H629" s="19" t="s">
        <v>1849</v>
      </c>
      <c r="I629" s="19" t="s">
        <v>1851</v>
      </c>
      <c r="J629" s="19" t="s">
        <v>12522</v>
      </c>
      <c r="K629" s="19" t="s">
        <v>12523</v>
      </c>
      <c r="L629" s="20">
        <v>45460.0</v>
      </c>
      <c r="M629" s="20">
        <v>45462.0</v>
      </c>
      <c r="N629" s="20">
        <v>45462.0</v>
      </c>
      <c r="O629" s="19" t="s">
        <v>1850</v>
      </c>
      <c r="P629" s="19">
        <v>0.0</v>
      </c>
      <c r="Q629" s="19">
        <v>27.0</v>
      </c>
      <c r="R629" s="19">
        <v>10067.0</v>
      </c>
      <c r="S629" s="20" t="s">
        <v>12524</v>
      </c>
      <c r="T629" s="20">
        <v>45461.0</v>
      </c>
      <c r="U629" s="19" t="s">
        <v>4952</v>
      </c>
      <c r="V629" s="19"/>
      <c r="W629" s="19"/>
      <c r="X629" s="21">
        <v>0.0</v>
      </c>
      <c r="Y629" s="21">
        <v>10.0</v>
      </c>
      <c r="Z629" s="21">
        <v>2.0</v>
      </c>
      <c r="AA629" s="21">
        <v>0.0</v>
      </c>
      <c r="AB629" s="5">
        <v>12.0</v>
      </c>
      <c r="AC629" s="19">
        <v>1.5</v>
      </c>
      <c r="AD629" s="19">
        <v>2.0</v>
      </c>
      <c r="AE629" s="19">
        <v>1.5</v>
      </c>
      <c r="AF629" s="19">
        <v>3.5</v>
      </c>
      <c r="AG629" s="19">
        <v>1.0</v>
      </c>
      <c r="AH629" s="19">
        <v>2.5</v>
      </c>
      <c r="AI629" s="22">
        <v>5.765625</v>
      </c>
      <c r="AJ629" s="19">
        <v>15.0</v>
      </c>
      <c r="AK629" s="19">
        <v>13.0</v>
      </c>
      <c r="AL629" s="19">
        <v>11.0</v>
      </c>
      <c r="AM629" s="19">
        <v>39.0</v>
      </c>
      <c r="AN629" s="19">
        <v>44.8</v>
      </c>
      <c r="AO629" s="19">
        <v>56.8</v>
      </c>
      <c r="AP629" s="19">
        <v>840.0</v>
      </c>
      <c r="AQ629" s="23">
        <v>618.0</v>
      </c>
      <c r="AR629" s="23">
        <v>19.0</v>
      </c>
      <c r="AS629" s="22" t="s">
        <v>4071</v>
      </c>
      <c r="AT629" s="19" t="s">
        <v>2163</v>
      </c>
      <c r="AU629" s="19" t="s">
        <v>12525</v>
      </c>
      <c r="AV629" s="19" t="s">
        <v>12526</v>
      </c>
      <c r="AW629" s="19" t="s">
        <v>12527</v>
      </c>
      <c r="AX629" s="20">
        <v>35394.0</v>
      </c>
      <c r="AY629" s="19" t="s">
        <v>3593</v>
      </c>
      <c r="AZ629" s="19" t="s">
        <v>2310</v>
      </c>
      <c r="BA629" s="19" t="s">
        <v>12528</v>
      </c>
      <c r="BB629" s="19" t="s">
        <v>12529</v>
      </c>
      <c r="BC629" s="19" t="s">
        <v>12530</v>
      </c>
      <c r="BD629" s="19" t="s">
        <v>12531</v>
      </c>
      <c r="BE629" s="19" t="s">
        <v>12532</v>
      </c>
      <c r="BF629" s="19">
        <v>1.1967591456E10</v>
      </c>
      <c r="BG629" s="19" t="s">
        <v>2127</v>
      </c>
      <c r="BH629" s="19" t="s">
        <v>2128</v>
      </c>
      <c r="BI629" s="19"/>
      <c r="BJ629" s="19"/>
      <c r="BK629" s="19" t="s">
        <v>16</v>
      </c>
      <c r="BL629" s="19"/>
      <c r="BM629" s="19" t="s">
        <v>5411</v>
      </c>
      <c r="BN629" s="19" t="s">
        <v>2172</v>
      </c>
      <c r="BO629" s="19" t="s">
        <v>3199</v>
      </c>
      <c r="BP629" s="19" t="s">
        <v>12533</v>
      </c>
      <c r="BQ629" s="19" t="s">
        <v>3251</v>
      </c>
      <c r="BR629" s="19" t="s">
        <v>3251</v>
      </c>
      <c r="BS629" s="19" t="s">
        <v>2134</v>
      </c>
      <c r="BT629" s="19" t="s">
        <v>177</v>
      </c>
      <c r="BU629" s="19" t="s">
        <v>2177</v>
      </c>
      <c r="BV629" s="19"/>
      <c r="BW629" s="19" t="s">
        <v>2113</v>
      </c>
      <c r="BX629" s="19"/>
      <c r="BY629" s="19"/>
      <c r="BZ629" s="19"/>
      <c r="CA629" s="19"/>
      <c r="CB629" s="19" t="s">
        <v>2113</v>
      </c>
      <c r="CC629" s="19"/>
      <c r="CD629" s="19" t="s">
        <v>2137</v>
      </c>
      <c r="CE629" s="19" t="s">
        <v>16</v>
      </c>
      <c r="CF629" s="19"/>
      <c r="CG629" s="19"/>
      <c r="CH629" s="19" t="s">
        <v>16</v>
      </c>
      <c r="CI629" s="21">
        <v>0.0</v>
      </c>
      <c r="CJ629" s="19" t="s">
        <v>17</v>
      </c>
      <c r="CK629" s="19"/>
      <c r="CL629" s="19"/>
      <c r="CM629" s="19" t="s">
        <v>2138</v>
      </c>
      <c r="CN629" s="19" t="s">
        <v>3253</v>
      </c>
      <c r="CO629" s="19"/>
      <c r="CP629" s="19"/>
      <c r="CQ629" s="19"/>
      <c r="CR629" s="19"/>
      <c r="CS629" s="19"/>
      <c r="CT629" s="19"/>
      <c r="CU629" s="19"/>
      <c r="CV629" s="19" t="s">
        <v>2141</v>
      </c>
      <c r="CW629" s="19"/>
      <c r="CX629" s="19"/>
      <c r="CY629" s="19" t="s">
        <v>2113</v>
      </c>
      <c r="CZ629" s="19" t="s">
        <v>2113</v>
      </c>
      <c r="DA629" s="19" t="s">
        <v>16</v>
      </c>
      <c r="DB629" s="19" t="s">
        <v>17</v>
      </c>
      <c r="DC629" s="19" t="s">
        <v>2433</v>
      </c>
      <c r="DD629" s="19" t="s">
        <v>2113</v>
      </c>
      <c r="DE629" s="19" t="s">
        <v>2113</v>
      </c>
      <c r="DF629" s="19" t="s">
        <v>2207</v>
      </c>
      <c r="DG629" s="19" t="s">
        <v>4966</v>
      </c>
      <c r="DH629" s="19" t="s">
        <v>2144</v>
      </c>
      <c r="DI629" s="24">
        <v>45519.0</v>
      </c>
      <c r="DJ629" s="19" t="s">
        <v>3257</v>
      </c>
      <c r="DK629" s="19" t="s">
        <v>2145</v>
      </c>
      <c r="DL629" s="19" t="s">
        <v>2207</v>
      </c>
      <c r="DM629" s="19" t="s">
        <v>9317</v>
      </c>
      <c r="DN629" s="19">
        <v>2.0</v>
      </c>
      <c r="DO629" s="19">
        <v>2.0</v>
      </c>
      <c r="DP629" s="19" t="s">
        <v>12534</v>
      </c>
      <c r="DQ629" s="19" t="s">
        <v>12535</v>
      </c>
      <c r="DR629" s="19" t="s">
        <v>12536</v>
      </c>
      <c r="DS629" s="19" t="s">
        <v>2365</v>
      </c>
      <c r="DT629" s="19" t="s">
        <v>2209</v>
      </c>
      <c r="DU629" s="19"/>
      <c r="DV629" s="19"/>
      <c r="DW629" s="19" t="s">
        <v>2188</v>
      </c>
      <c r="DX629" s="19">
        <v>10.0</v>
      </c>
      <c r="DY629" s="19">
        <v>10.0</v>
      </c>
      <c r="DZ629" s="19">
        <v>0.0</v>
      </c>
      <c r="EA629" s="19">
        <v>10.0</v>
      </c>
      <c r="EB629" s="19">
        <v>0.0</v>
      </c>
      <c r="EC629" s="19">
        <v>0.0</v>
      </c>
      <c r="ED629" s="19" t="s">
        <v>3257</v>
      </c>
      <c r="EE629" s="24">
        <v>45519.0</v>
      </c>
      <c r="EF629" s="19" t="s">
        <v>3257</v>
      </c>
      <c r="EG629" s="19" t="s">
        <v>2145</v>
      </c>
      <c r="EH629" s="19" t="s">
        <v>2207</v>
      </c>
      <c r="EI629" s="22">
        <v>5.765625</v>
      </c>
      <c r="EJ629" s="19">
        <v>39.0</v>
      </c>
      <c r="EK629" s="19" t="s">
        <v>2113</v>
      </c>
      <c r="EL629" s="19" t="s">
        <v>2163</v>
      </c>
      <c r="EM629" s="19" t="s">
        <v>12525</v>
      </c>
      <c r="EN629" s="19" t="s">
        <v>1851</v>
      </c>
      <c r="EO629" s="19" t="s">
        <v>3593</v>
      </c>
      <c r="EP629" s="19" t="s">
        <v>2310</v>
      </c>
      <c r="EQ629" s="19" t="s">
        <v>3253</v>
      </c>
      <c r="ER629" s="19"/>
      <c r="ES629" s="19" t="s">
        <v>1851</v>
      </c>
      <c r="ET629" s="19" t="s">
        <v>1851</v>
      </c>
      <c r="EU629" s="19" t="s">
        <v>12523</v>
      </c>
      <c r="EV629" s="19">
        <v>10067.0</v>
      </c>
      <c r="EW629" s="19" t="s">
        <v>16</v>
      </c>
      <c r="EX629" s="19">
        <v>2.0</v>
      </c>
      <c r="EY629" s="25" t="s">
        <v>1850</v>
      </c>
      <c r="EZ629" s="19" t="s">
        <v>2154</v>
      </c>
      <c r="FA629" s="5" t="s">
        <v>12537</v>
      </c>
      <c r="FB629" s="26" t="s">
        <v>2156</v>
      </c>
      <c r="FC629" s="26"/>
    </row>
    <row r="630">
      <c r="A630" s="19" t="s">
        <v>2112</v>
      </c>
      <c r="B630" s="19"/>
      <c r="C630" s="19" t="s">
        <v>2113</v>
      </c>
      <c r="D630" s="19" t="s">
        <v>12538</v>
      </c>
      <c r="E630" s="19" t="s">
        <v>12539</v>
      </c>
      <c r="F630" s="19" t="s">
        <v>12540</v>
      </c>
      <c r="G630" s="19" t="s">
        <v>12541</v>
      </c>
      <c r="H630" s="19" t="s">
        <v>1852</v>
      </c>
      <c r="I630" s="19" t="s">
        <v>1854</v>
      </c>
      <c r="J630" s="19" t="s">
        <v>12542</v>
      </c>
      <c r="K630" s="19" t="s">
        <v>12543</v>
      </c>
      <c r="L630" s="20">
        <v>45446.0</v>
      </c>
      <c r="M630" s="20">
        <v>45446.0</v>
      </c>
      <c r="N630" s="20">
        <v>45446.0</v>
      </c>
      <c r="O630" s="19" t="s">
        <v>1853</v>
      </c>
      <c r="P630" s="19">
        <v>0.0</v>
      </c>
      <c r="Q630" s="19">
        <v>24.0</v>
      </c>
      <c r="R630" s="19">
        <v>8789.0</v>
      </c>
      <c r="S630" s="20" t="s">
        <v>12544</v>
      </c>
      <c r="T630" s="20">
        <v>45461.0</v>
      </c>
      <c r="U630" s="19" t="s">
        <v>12540</v>
      </c>
      <c r="V630" s="19"/>
      <c r="W630" s="19"/>
      <c r="X630" s="21">
        <v>0.0</v>
      </c>
      <c r="Y630" s="21">
        <v>0.0</v>
      </c>
      <c r="Z630" s="21">
        <v>3.0</v>
      </c>
      <c r="AA630" s="21">
        <v>0.0</v>
      </c>
      <c r="AB630" s="5">
        <v>3.0</v>
      </c>
      <c r="AC630" s="19">
        <v>4.0</v>
      </c>
      <c r="AD630" s="19">
        <v>4.8</v>
      </c>
      <c r="AE630" s="19">
        <v>4.6</v>
      </c>
      <c r="AF630" s="19">
        <v>4.6</v>
      </c>
      <c r="AG630" s="19">
        <v>4.0</v>
      </c>
      <c r="AH630" s="19">
        <v>4.6</v>
      </c>
      <c r="AI630" s="22">
        <v>13.424999999999999</v>
      </c>
      <c r="AJ630" s="19">
        <v>15.0</v>
      </c>
      <c r="AK630" s="19">
        <v>15.0</v>
      </c>
      <c r="AL630" s="19">
        <v>10.0</v>
      </c>
      <c r="AM630" s="19">
        <v>40.0</v>
      </c>
      <c r="AN630" s="19">
        <v>53.4</v>
      </c>
      <c r="AO630" s="19">
        <v>56.4</v>
      </c>
      <c r="AP630" s="19">
        <v>1253.0</v>
      </c>
      <c r="AQ630" s="23">
        <v>619.0</v>
      </c>
      <c r="AR630" s="23">
        <v>46.0</v>
      </c>
      <c r="AS630" s="22"/>
      <c r="AT630" s="19" t="s">
        <v>2117</v>
      </c>
      <c r="AU630" s="19" t="s">
        <v>12545</v>
      </c>
      <c r="AV630" s="19" t="s">
        <v>12546</v>
      </c>
      <c r="AW630" s="19" t="s">
        <v>3199</v>
      </c>
      <c r="AX630" s="20">
        <v>36672.0</v>
      </c>
      <c r="AY630" s="19" t="s">
        <v>3034</v>
      </c>
      <c r="AZ630" s="19" t="s">
        <v>2995</v>
      </c>
      <c r="BA630" s="19" t="s">
        <v>12547</v>
      </c>
      <c r="BB630" s="19" t="s">
        <v>5793</v>
      </c>
      <c r="BC630" s="19" t="s">
        <v>12548</v>
      </c>
      <c r="BD630" s="19" t="s">
        <v>12549</v>
      </c>
      <c r="BE630" s="19"/>
      <c r="BF630" s="19"/>
      <c r="BG630" s="19" t="s">
        <v>2127</v>
      </c>
      <c r="BH630" s="19" t="s">
        <v>2649</v>
      </c>
      <c r="BI630" s="19"/>
      <c r="BJ630" s="19" t="s">
        <v>2128</v>
      </c>
      <c r="BK630" s="19" t="s">
        <v>17</v>
      </c>
      <c r="BL630" s="19" t="s">
        <v>2113</v>
      </c>
      <c r="BM630" s="19" t="s">
        <v>5411</v>
      </c>
      <c r="BN630" s="19" t="s">
        <v>17</v>
      </c>
      <c r="BO630" s="19" t="s">
        <v>2473</v>
      </c>
      <c r="BP630" s="19" t="s">
        <v>12550</v>
      </c>
      <c r="BQ630" s="19" t="s">
        <v>2174</v>
      </c>
      <c r="BR630" s="19" t="s">
        <v>2174</v>
      </c>
      <c r="BS630" s="19" t="s">
        <v>3521</v>
      </c>
      <c r="BT630" s="19" t="s">
        <v>34</v>
      </c>
      <c r="BU630" s="19" t="s">
        <v>12551</v>
      </c>
      <c r="BV630" s="19"/>
      <c r="BW630" s="19"/>
      <c r="BX630" s="19"/>
      <c r="BY630" s="19"/>
      <c r="BZ630" s="19" t="s">
        <v>2113</v>
      </c>
      <c r="CA630" s="19" t="s">
        <v>2113</v>
      </c>
      <c r="CB630" s="19" t="s">
        <v>2113</v>
      </c>
      <c r="CC630" s="19"/>
      <c r="CD630" s="19" t="s">
        <v>2137</v>
      </c>
      <c r="CE630" s="19" t="s">
        <v>17</v>
      </c>
      <c r="CF630" s="19"/>
      <c r="CG630" s="19"/>
      <c r="CH630" s="19" t="s">
        <v>16</v>
      </c>
      <c r="CI630" s="21">
        <v>0.0</v>
      </c>
      <c r="CJ630" s="19" t="s">
        <v>17</v>
      </c>
      <c r="CK630" s="19" t="s">
        <v>2113</v>
      </c>
      <c r="CL630" s="19"/>
      <c r="CM630" s="19" t="s">
        <v>2926</v>
      </c>
      <c r="CN630" s="19" t="s">
        <v>3041</v>
      </c>
      <c r="CO630" s="19" t="s">
        <v>3932</v>
      </c>
      <c r="CP630" s="19" t="s">
        <v>2267</v>
      </c>
      <c r="CQ630" s="19"/>
      <c r="CR630" s="19" t="s">
        <v>2113</v>
      </c>
      <c r="CS630" s="19" t="s">
        <v>2113</v>
      </c>
      <c r="CT630" s="19"/>
      <c r="CU630" s="19"/>
      <c r="CV630" s="19" t="s">
        <v>2141</v>
      </c>
      <c r="CW630" s="19"/>
      <c r="CX630" s="19"/>
      <c r="CY630" s="19" t="s">
        <v>2113</v>
      </c>
      <c r="CZ630" s="19" t="s">
        <v>2113</v>
      </c>
      <c r="DA630" s="19" t="s">
        <v>17</v>
      </c>
      <c r="DB630" s="19" t="s">
        <v>17</v>
      </c>
      <c r="DC630" s="19" t="s">
        <v>3146</v>
      </c>
      <c r="DD630" s="19" t="s">
        <v>2113</v>
      </c>
      <c r="DE630" s="19" t="s">
        <v>2113</v>
      </c>
      <c r="DF630" s="19" t="s">
        <v>3163</v>
      </c>
      <c r="DG630" s="19" t="s">
        <v>2323</v>
      </c>
      <c r="DH630" s="19" t="s">
        <v>2144</v>
      </c>
      <c r="DI630" s="24">
        <v>45517.0</v>
      </c>
      <c r="DJ630" s="19" t="s">
        <v>2174</v>
      </c>
      <c r="DK630" s="19" t="s">
        <v>2145</v>
      </c>
      <c r="DL630" s="19" t="s">
        <v>2183</v>
      </c>
      <c r="DM630" s="19" t="s">
        <v>2184</v>
      </c>
      <c r="DN630" s="19">
        <v>1.0</v>
      </c>
      <c r="DO630" s="19">
        <v>1.0</v>
      </c>
      <c r="DP630" s="19" t="s">
        <v>12552</v>
      </c>
      <c r="DQ630" s="19" t="s">
        <v>12553</v>
      </c>
      <c r="DR630" s="19" t="s">
        <v>12554</v>
      </c>
      <c r="DS630" s="19" t="s">
        <v>2185</v>
      </c>
      <c r="DT630" s="19" t="s">
        <v>2186</v>
      </c>
      <c r="DU630" s="19"/>
      <c r="DV630" s="19"/>
      <c r="DW630" s="19" t="s">
        <v>2153</v>
      </c>
      <c r="DX630" s="19">
        <v>2.0</v>
      </c>
      <c r="DY630" s="19">
        <v>0.0</v>
      </c>
      <c r="DZ630" s="19">
        <v>0.0</v>
      </c>
      <c r="EA630" s="19">
        <v>0.0</v>
      </c>
      <c r="EB630" s="19">
        <v>0.0</v>
      </c>
      <c r="EC630" s="19">
        <v>0.0</v>
      </c>
      <c r="ED630" s="19" t="s">
        <v>2174</v>
      </c>
      <c r="EE630" s="24">
        <v>45517.0</v>
      </c>
      <c r="EF630" s="19" t="s">
        <v>2174</v>
      </c>
      <c r="EG630" s="19" t="s">
        <v>2145</v>
      </c>
      <c r="EH630" s="19" t="s">
        <v>2183</v>
      </c>
      <c r="EI630" s="22">
        <v>13.424999999999999</v>
      </c>
      <c r="EJ630" s="19">
        <v>40.0</v>
      </c>
      <c r="EK630" s="19" t="s">
        <v>2113</v>
      </c>
      <c r="EL630" s="19" t="s">
        <v>2117</v>
      </c>
      <c r="EM630" s="19" t="s">
        <v>12545</v>
      </c>
      <c r="EN630" s="19" t="s">
        <v>1854</v>
      </c>
      <c r="EO630" s="19" t="s">
        <v>3034</v>
      </c>
      <c r="EP630" s="19" t="s">
        <v>2995</v>
      </c>
      <c r="EQ630" s="19" t="s">
        <v>3041</v>
      </c>
      <c r="ER630" s="19" t="s">
        <v>3932</v>
      </c>
      <c r="ES630" s="19" t="s">
        <v>1854</v>
      </c>
      <c r="ET630" s="19" t="s">
        <v>1854</v>
      </c>
      <c r="EU630" s="19" t="s">
        <v>12543</v>
      </c>
      <c r="EV630" s="19">
        <v>8789.0</v>
      </c>
      <c r="EW630" s="19" t="s">
        <v>17</v>
      </c>
      <c r="EX630" s="19">
        <v>3.0</v>
      </c>
      <c r="EY630" s="25" t="s">
        <v>1853</v>
      </c>
      <c r="EZ630" s="19" t="s">
        <v>12555</v>
      </c>
      <c r="FA630" s="5" t="s">
        <v>12556</v>
      </c>
      <c r="FB630" s="26" t="s">
        <v>2156</v>
      </c>
      <c r="FC630" s="26"/>
    </row>
    <row r="631">
      <c r="A631" s="19" t="s">
        <v>2112</v>
      </c>
      <c r="B631" s="19"/>
      <c r="C631" s="19" t="s">
        <v>2113</v>
      </c>
      <c r="D631" s="19" t="s">
        <v>1855</v>
      </c>
      <c r="E631" s="19" t="s">
        <v>12557</v>
      </c>
      <c r="F631" s="19" t="s">
        <v>1855</v>
      </c>
      <c r="G631" s="19"/>
      <c r="H631" s="19" t="s">
        <v>1855</v>
      </c>
      <c r="I631" s="19" t="s">
        <v>1857</v>
      </c>
      <c r="J631" s="19" t="s">
        <v>12558</v>
      </c>
      <c r="K631" s="19" t="s">
        <v>12559</v>
      </c>
      <c r="L631" s="20">
        <v>45460.0</v>
      </c>
      <c r="M631" s="20">
        <v>45462.0</v>
      </c>
      <c r="N631" s="20">
        <v>45462.0</v>
      </c>
      <c r="O631" s="19" t="s">
        <v>1856</v>
      </c>
      <c r="P631" s="19">
        <v>0.0</v>
      </c>
      <c r="Q631" s="19">
        <v>22.0</v>
      </c>
      <c r="R631" s="19">
        <v>8297.0</v>
      </c>
      <c r="S631" s="20" t="s">
        <v>12560</v>
      </c>
      <c r="T631" s="20">
        <v>45461.0</v>
      </c>
      <c r="U631" s="19" t="s">
        <v>1855</v>
      </c>
      <c r="V631" s="19"/>
      <c r="W631" s="19" t="s">
        <v>2131</v>
      </c>
      <c r="X631" s="21">
        <v>0.0</v>
      </c>
      <c r="Y631" s="21">
        <v>0.0</v>
      </c>
      <c r="Z631" s="21">
        <v>5.0</v>
      </c>
      <c r="AA631" s="21">
        <v>0.0</v>
      </c>
      <c r="AB631" s="5">
        <v>5.0</v>
      </c>
      <c r="AC631" s="19">
        <v>3.8</v>
      </c>
      <c r="AD631" s="19">
        <v>3.8</v>
      </c>
      <c r="AE631" s="19">
        <v>4.0</v>
      </c>
      <c r="AF631" s="19">
        <v>3.6</v>
      </c>
      <c r="AG631" s="19">
        <v>3.0</v>
      </c>
      <c r="AH631" s="19">
        <v>3.8</v>
      </c>
      <c r="AI631" s="22">
        <v>11.175</v>
      </c>
      <c r="AJ631" s="19">
        <v>14.0</v>
      </c>
      <c r="AK631" s="19">
        <v>13.0</v>
      </c>
      <c r="AL631" s="19">
        <v>13.0</v>
      </c>
      <c r="AM631" s="19">
        <v>40.0</v>
      </c>
      <c r="AN631" s="19">
        <v>51.2</v>
      </c>
      <c r="AO631" s="19">
        <v>56.2</v>
      </c>
      <c r="AP631" s="19">
        <v>1085.0</v>
      </c>
      <c r="AQ631" s="23">
        <v>620.0</v>
      </c>
      <c r="AR631" s="23">
        <v>76.0</v>
      </c>
      <c r="AS631" s="22"/>
      <c r="AT631" s="19" t="s">
        <v>2282</v>
      </c>
      <c r="AU631" s="19" t="s">
        <v>12561</v>
      </c>
      <c r="AV631" s="19" t="s">
        <v>12562</v>
      </c>
      <c r="AW631" s="19"/>
      <c r="AX631" s="20">
        <v>37164.0</v>
      </c>
      <c r="AY631" s="19" t="s">
        <v>2338</v>
      </c>
      <c r="AZ631" s="19" t="s">
        <v>2122</v>
      </c>
      <c r="BA631" s="19" t="s">
        <v>12563</v>
      </c>
      <c r="BB631" s="19" t="s">
        <v>7494</v>
      </c>
      <c r="BC631" s="19" t="s">
        <v>12564</v>
      </c>
      <c r="BD631" s="19" t="s">
        <v>12565</v>
      </c>
      <c r="BE631" s="19" t="s">
        <v>12558</v>
      </c>
      <c r="BF631" s="19">
        <v>1.1981295442E10</v>
      </c>
      <c r="BG631" s="19" t="s">
        <v>4038</v>
      </c>
      <c r="BH631" s="19" t="s">
        <v>2128</v>
      </c>
      <c r="BI631" s="19"/>
      <c r="BJ631" s="19" t="s">
        <v>2427</v>
      </c>
      <c r="BK631" s="19" t="s">
        <v>17</v>
      </c>
      <c r="BL631" s="19" t="s">
        <v>2113</v>
      </c>
      <c r="BM631" s="19" t="s">
        <v>5411</v>
      </c>
      <c r="BN631" s="19" t="s">
        <v>17</v>
      </c>
      <c r="BO631" s="19" t="s">
        <v>2132</v>
      </c>
      <c r="BP631" s="19"/>
      <c r="BQ631" s="19" t="s">
        <v>2174</v>
      </c>
      <c r="BR631" s="19" t="s">
        <v>2174</v>
      </c>
      <c r="BS631" s="19" t="s">
        <v>2134</v>
      </c>
      <c r="BT631" s="19" t="s">
        <v>21</v>
      </c>
      <c r="BU631" s="19" t="s">
        <v>12566</v>
      </c>
      <c r="BV631" s="19"/>
      <c r="BW631" s="19"/>
      <c r="BX631" s="19"/>
      <c r="BY631" s="19"/>
      <c r="BZ631" s="19" t="s">
        <v>2113</v>
      </c>
      <c r="CA631" s="19"/>
      <c r="CB631" s="19" t="s">
        <v>2113</v>
      </c>
      <c r="CC631" s="19"/>
      <c r="CD631" s="19" t="s">
        <v>2137</v>
      </c>
      <c r="CE631" s="19" t="s">
        <v>16</v>
      </c>
      <c r="CF631" s="19"/>
      <c r="CG631" s="19"/>
      <c r="CH631" s="19" t="s">
        <v>16</v>
      </c>
      <c r="CI631" s="21">
        <v>0.0</v>
      </c>
      <c r="CJ631" s="19" t="s">
        <v>16</v>
      </c>
      <c r="CK631" s="19"/>
      <c r="CL631" s="19"/>
      <c r="CM631" s="19" t="s">
        <v>2344</v>
      </c>
      <c r="CN631" s="19" t="s">
        <v>2204</v>
      </c>
      <c r="CO631" s="19"/>
      <c r="CP631" s="19" t="s">
        <v>2246</v>
      </c>
      <c r="CQ631" s="19"/>
      <c r="CR631" s="19"/>
      <c r="CS631" s="19"/>
      <c r="CT631" s="19"/>
      <c r="CU631" s="19"/>
      <c r="CV631" s="19" t="s">
        <v>2179</v>
      </c>
      <c r="CW631" s="19" t="s">
        <v>2113</v>
      </c>
      <c r="CX631" s="19" t="s">
        <v>2113</v>
      </c>
      <c r="CY631" s="19"/>
      <c r="CZ631" s="19"/>
      <c r="DA631" s="19" t="s">
        <v>16</v>
      </c>
      <c r="DB631" s="19" t="s">
        <v>16</v>
      </c>
      <c r="DC631" s="19" t="s">
        <v>5213</v>
      </c>
      <c r="DD631" s="19" t="s">
        <v>2113</v>
      </c>
      <c r="DE631" s="19" t="s">
        <v>2113</v>
      </c>
      <c r="DF631" s="19" t="s">
        <v>2247</v>
      </c>
      <c r="DG631" s="19" t="s">
        <v>3256</v>
      </c>
      <c r="DH631" s="19" t="s">
        <v>2144</v>
      </c>
      <c r="DI631" s="24">
        <v>45531.0</v>
      </c>
      <c r="DJ631" s="19" t="s">
        <v>2174</v>
      </c>
      <c r="DK631" s="19" t="s">
        <v>2271</v>
      </c>
      <c r="DL631" s="19" t="s">
        <v>2183</v>
      </c>
      <c r="DM631" s="19"/>
      <c r="DN631" s="19">
        <v>8.0</v>
      </c>
      <c r="DO631" s="19">
        <v>8.0</v>
      </c>
      <c r="DP631" s="19"/>
      <c r="DQ631" s="19"/>
      <c r="DR631" s="19"/>
      <c r="DS631" s="19" t="s">
        <v>2151</v>
      </c>
      <c r="DT631" s="19" t="s">
        <v>2186</v>
      </c>
      <c r="DU631" s="19" t="s">
        <v>12567</v>
      </c>
      <c r="DV631" s="19"/>
      <c r="DW631" s="19" t="s">
        <v>2153</v>
      </c>
      <c r="DX631" s="19">
        <v>14.0</v>
      </c>
      <c r="DY631" s="19">
        <v>0.0</v>
      </c>
      <c r="DZ631" s="19">
        <v>0.0</v>
      </c>
      <c r="EA631" s="19">
        <v>0.0</v>
      </c>
      <c r="EB631" s="19">
        <v>0.0</v>
      </c>
      <c r="EC631" s="19">
        <v>0.0</v>
      </c>
      <c r="ED631" s="19" t="s">
        <v>2174</v>
      </c>
      <c r="EE631" s="24">
        <v>45531.0</v>
      </c>
      <c r="EF631" s="19" t="s">
        <v>2174</v>
      </c>
      <c r="EG631" s="19" t="s">
        <v>2271</v>
      </c>
      <c r="EH631" s="19" t="s">
        <v>2183</v>
      </c>
      <c r="EI631" s="22">
        <v>11.175</v>
      </c>
      <c r="EJ631" s="19">
        <v>40.0</v>
      </c>
      <c r="EK631" s="19"/>
      <c r="EL631" s="19" t="s">
        <v>2282</v>
      </c>
      <c r="EM631" s="19" t="s">
        <v>12561</v>
      </c>
      <c r="EN631" s="19" t="s">
        <v>1857</v>
      </c>
      <c r="EO631" s="19" t="s">
        <v>2338</v>
      </c>
      <c r="EP631" s="19" t="s">
        <v>2122</v>
      </c>
      <c r="EQ631" s="19" t="s">
        <v>2204</v>
      </c>
      <c r="ER631" s="19"/>
      <c r="ES631" s="19" t="s">
        <v>1857</v>
      </c>
      <c r="ET631" s="19" t="s">
        <v>1857</v>
      </c>
      <c r="EU631" s="19" t="s">
        <v>12559</v>
      </c>
      <c r="EV631" s="19">
        <v>8297.0</v>
      </c>
      <c r="EW631" s="19" t="s">
        <v>16</v>
      </c>
      <c r="EX631" s="19">
        <v>5.0</v>
      </c>
      <c r="EY631" s="25" t="s">
        <v>1856</v>
      </c>
      <c r="EZ631" s="19" t="s">
        <v>2154</v>
      </c>
      <c r="FA631" s="5" t="s">
        <v>12568</v>
      </c>
      <c r="FB631" s="26" t="s">
        <v>2156</v>
      </c>
      <c r="FC631" s="26"/>
    </row>
    <row r="632" hidden="1">
      <c r="A632" s="27" t="s">
        <v>2156</v>
      </c>
      <c r="B632" s="27"/>
      <c r="C632" s="27" t="s">
        <v>2113</v>
      </c>
      <c r="D632" s="27" t="s">
        <v>12569</v>
      </c>
      <c r="E632" s="27" t="s">
        <v>12570</v>
      </c>
      <c r="F632" s="27" t="s">
        <v>12571</v>
      </c>
      <c r="G632" s="27" t="s">
        <v>12572</v>
      </c>
      <c r="H632" s="27" t="s">
        <v>12571</v>
      </c>
      <c r="I632" s="27" t="s">
        <v>12573</v>
      </c>
      <c r="J632" s="27" t="s">
        <v>12574</v>
      </c>
      <c r="K632" s="27" t="s">
        <v>12575</v>
      </c>
      <c r="L632" s="28">
        <v>45445.0</v>
      </c>
      <c r="M632" s="28">
        <v>45446.0</v>
      </c>
      <c r="N632" s="28">
        <v>45446.0</v>
      </c>
      <c r="O632" s="27" t="s">
        <v>12576</v>
      </c>
      <c r="P632" s="27">
        <v>0.0</v>
      </c>
      <c r="Q632" s="27">
        <v>29.0</v>
      </c>
      <c r="R632" s="27">
        <v>10870.0</v>
      </c>
      <c r="S632" s="28" t="s">
        <v>12577</v>
      </c>
      <c r="T632" s="28">
        <v>45461.0</v>
      </c>
      <c r="U632" s="27" t="s">
        <v>12571</v>
      </c>
      <c r="V632" s="27" t="s">
        <v>4639</v>
      </c>
      <c r="W632" s="27"/>
      <c r="X632" s="29">
        <v>0.0</v>
      </c>
      <c r="Y632" s="29">
        <v>10.0</v>
      </c>
      <c r="Z632" s="29">
        <v>1.0</v>
      </c>
      <c r="AA632" s="29">
        <v>2.0</v>
      </c>
      <c r="AB632" s="30">
        <v>13.0</v>
      </c>
      <c r="AC632" s="27">
        <v>3.0</v>
      </c>
      <c r="AD632" s="27">
        <v>2.5</v>
      </c>
      <c r="AE632" s="27">
        <v>2.5</v>
      </c>
      <c r="AF632" s="27">
        <v>2.5</v>
      </c>
      <c r="AG632" s="27">
        <v>2.0</v>
      </c>
      <c r="AH632" s="27">
        <v>4.0</v>
      </c>
      <c r="AI632" s="31">
        <v>8.109375</v>
      </c>
      <c r="AJ632" s="27">
        <v>15.0</v>
      </c>
      <c r="AK632" s="27">
        <v>10.0</v>
      </c>
      <c r="AL632" s="27">
        <v>10.0</v>
      </c>
      <c r="AM632" s="27">
        <v>35.0</v>
      </c>
      <c r="AN632" s="27">
        <v>43.1</v>
      </c>
      <c r="AO632" s="27">
        <v>56.1</v>
      </c>
      <c r="AP632" s="27">
        <v>823.0</v>
      </c>
      <c r="AQ632" s="19">
        <v>631.0</v>
      </c>
      <c r="AR632" s="27">
        <v>45.0</v>
      </c>
      <c r="AS632" s="31" t="s">
        <v>2642</v>
      </c>
      <c r="AT632" s="27" t="s">
        <v>2163</v>
      </c>
      <c r="AU632" s="27" t="s">
        <v>12578</v>
      </c>
      <c r="AV632" s="27" t="s">
        <v>12579</v>
      </c>
      <c r="AW632" s="27"/>
      <c r="AX632" s="28">
        <v>34591.0</v>
      </c>
      <c r="AY632" s="27" t="s">
        <v>7473</v>
      </c>
      <c r="AZ632" s="27" t="s">
        <v>2422</v>
      </c>
      <c r="BA632" s="27" t="s">
        <v>12580</v>
      </c>
      <c r="BB632" s="27" t="s">
        <v>12581</v>
      </c>
      <c r="BC632" s="27" t="s">
        <v>12582</v>
      </c>
      <c r="BD632" s="27" t="s">
        <v>12583</v>
      </c>
      <c r="BE632" s="27"/>
      <c r="BF632" s="27"/>
      <c r="BG632" s="27" t="s">
        <v>2127</v>
      </c>
      <c r="BH632" s="27" t="s">
        <v>2128</v>
      </c>
      <c r="BI632" s="27"/>
      <c r="BJ632" s="27"/>
      <c r="BK632" s="27" t="s">
        <v>16</v>
      </c>
      <c r="BL632" s="27"/>
      <c r="BM632" s="27" t="s">
        <v>5411</v>
      </c>
      <c r="BN632" s="27" t="s">
        <v>2172</v>
      </c>
      <c r="BO632" s="27" t="s">
        <v>3082</v>
      </c>
      <c r="BP632" s="27" t="s">
        <v>12584</v>
      </c>
      <c r="BQ632" s="27" t="s">
        <v>2318</v>
      </c>
      <c r="BR632" s="27" t="s">
        <v>2318</v>
      </c>
      <c r="BS632" s="27" t="s">
        <v>2134</v>
      </c>
      <c r="BT632" s="27" t="s">
        <v>42</v>
      </c>
      <c r="BU632" s="27" t="s">
        <v>2651</v>
      </c>
      <c r="BV632" s="27"/>
      <c r="BW632" s="27" t="s">
        <v>2113</v>
      </c>
      <c r="BX632" s="27"/>
      <c r="BY632" s="27"/>
      <c r="BZ632" s="27"/>
      <c r="CA632" s="27"/>
      <c r="CB632" s="27" t="s">
        <v>2113</v>
      </c>
      <c r="CC632" s="27"/>
      <c r="CD632" s="27" t="s">
        <v>2137</v>
      </c>
      <c r="CE632" s="27" t="s">
        <v>16</v>
      </c>
      <c r="CF632" s="27"/>
      <c r="CG632" s="27"/>
      <c r="CH632" s="27" t="s">
        <v>16</v>
      </c>
      <c r="CI632" s="29">
        <v>0.0</v>
      </c>
      <c r="CJ632" s="27" t="s">
        <v>17</v>
      </c>
      <c r="CK632" s="27"/>
      <c r="CL632" s="27"/>
      <c r="CM632" s="27" t="s">
        <v>2138</v>
      </c>
      <c r="CN632" s="27" t="s">
        <v>3279</v>
      </c>
      <c r="CO632" s="27"/>
      <c r="CP632" s="27" t="s">
        <v>2134</v>
      </c>
      <c r="CQ632" s="27"/>
      <c r="CR632" s="27" t="s">
        <v>2113</v>
      </c>
      <c r="CS632" s="27" t="s">
        <v>2113</v>
      </c>
      <c r="CT632" s="27"/>
      <c r="CU632" s="27"/>
      <c r="CV632" s="27" t="s">
        <v>2179</v>
      </c>
      <c r="CW632" s="27"/>
      <c r="CX632" s="27"/>
      <c r="CY632" s="27"/>
      <c r="CZ632" s="27"/>
      <c r="DA632" s="27" t="s">
        <v>16</v>
      </c>
      <c r="DB632" s="27" t="s">
        <v>17</v>
      </c>
      <c r="DC632" s="27" t="s">
        <v>12585</v>
      </c>
      <c r="DD632" s="27"/>
      <c r="DE632" s="27"/>
      <c r="DF632" s="27" t="s">
        <v>2804</v>
      </c>
      <c r="DG632" s="27" t="s">
        <v>4707</v>
      </c>
      <c r="DH632" s="27" t="s">
        <v>2144</v>
      </c>
      <c r="DI632" s="36">
        <v>45517.0</v>
      </c>
      <c r="DJ632" s="27" t="s">
        <v>2325</v>
      </c>
      <c r="DK632" s="27" t="s">
        <v>2145</v>
      </c>
      <c r="DL632" s="27" t="s">
        <v>2326</v>
      </c>
      <c r="DM632" s="27"/>
      <c r="DN632" s="27">
        <v>1.0</v>
      </c>
      <c r="DO632" s="27">
        <v>1.0</v>
      </c>
      <c r="DP632" s="27"/>
      <c r="DQ632" s="27"/>
      <c r="DR632" s="27"/>
      <c r="DS632" s="27" t="s">
        <v>2185</v>
      </c>
      <c r="DT632" s="27" t="s">
        <v>2229</v>
      </c>
      <c r="DU632" s="27" t="s">
        <v>12584</v>
      </c>
      <c r="DV632" s="27"/>
      <c r="DW632" s="27" t="s">
        <v>3306</v>
      </c>
      <c r="DX632" s="27">
        <v>4.0</v>
      </c>
      <c r="DY632" s="27">
        <v>10.0</v>
      </c>
      <c r="DZ632" s="27">
        <v>2.0</v>
      </c>
      <c r="EA632" s="27">
        <v>10.0</v>
      </c>
      <c r="EB632" s="27">
        <v>0.0</v>
      </c>
      <c r="EC632" s="27">
        <v>0.0</v>
      </c>
      <c r="ED632" s="27" t="s">
        <v>2325</v>
      </c>
      <c r="EE632" s="36">
        <v>45517.0</v>
      </c>
      <c r="EF632" s="27" t="s">
        <v>2325</v>
      </c>
      <c r="EG632" s="27" t="s">
        <v>2145</v>
      </c>
      <c r="EH632" s="27" t="s">
        <v>2326</v>
      </c>
      <c r="EI632" s="31">
        <v>8.109375</v>
      </c>
      <c r="EJ632" s="27">
        <v>35.0</v>
      </c>
      <c r="EK632" s="27" t="s">
        <v>2113</v>
      </c>
      <c r="EL632" s="27" t="s">
        <v>2163</v>
      </c>
      <c r="EM632" s="27" t="s">
        <v>12578</v>
      </c>
      <c r="EN632" s="27" t="s">
        <v>12573</v>
      </c>
      <c r="EO632" s="27" t="s">
        <v>7473</v>
      </c>
      <c r="EP632" s="27" t="s">
        <v>2422</v>
      </c>
      <c r="EQ632" s="27" t="s">
        <v>3279</v>
      </c>
      <c r="ER632" s="27"/>
      <c r="ES632" s="27" t="s">
        <v>12573</v>
      </c>
      <c r="ET632" s="27" t="s">
        <v>12573</v>
      </c>
      <c r="EU632" s="27" t="s">
        <v>12575</v>
      </c>
      <c r="EV632" s="27">
        <v>10870.0</v>
      </c>
      <c r="EW632" s="27" t="s">
        <v>16</v>
      </c>
      <c r="EX632" s="27">
        <v>1.0</v>
      </c>
      <c r="EY632" s="37" t="s">
        <v>12576</v>
      </c>
      <c r="EZ632" s="27" t="s">
        <v>2154</v>
      </c>
      <c r="FA632" s="30" t="s">
        <v>12586</v>
      </c>
      <c r="FB632" s="26" t="s">
        <v>2633</v>
      </c>
      <c r="FC632" s="26" t="s">
        <v>2634</v>
      </c>
    </row>
    <row r="633">
      <c r="A633" s="19" t="s">
        <v>2112</v>
      </c>
      <c r="B633" s="19"/>
      <c r="C633" s="19" t="s">
        <v>2113</v>
      </c>
      <c r="D633" s="19" t="s">
        <v>1858</v>
      </c>
      <c r="E633" s="19" t="s">
        <v>12587</v>
      </c>
      <c r="F633" s="19" t="s">
        <v>1858</v>
      </c>
      <c r="G633" s="19"/>
      <c r="H633" s="19" t="s">
        <v>1858</v>
      </c>
      <c r="I633" s="19" t="s">
        <v>1860</v>
      </c>
      <c r="J633" s="19" t="s">
        <v>12588</v>
      </c>
      <c r="K633" s="19" t="s">
        <v>12589</v>
      </c>
      <c r="L633" s="20">
        <v>45455.0</v>
      </c>
      <c r="M633" s="20">
        <v>45455.0</v>
      </c>
      <c r="N633" s="20">
        <v>45455.0</v>
      </c>
      <c r="O633" s="19" t="s">
        <v>1859</v>
      </c>
      <c r="P633" s="19">
        <v>0.0</v>
      </c>
      <c r="Q633" s="19">
        <v>27.0</v>
      </c>
      <c r="R633" s="19">
        <v>10139.0</v>
      </c>
      <c r="S633" s="20" t="s">
        <v>12590</v>
      </c>
      <c r="T633" s="20">
        <v>45461.0</v>
      </c>
      <c r="U633" s="19" t="s">
        <v>1858</v>
      </c>
      <c r="V633" s="19"/>
      <c r="W633" s="19"/>
      <c r="X633" s="21">
        <v>0.0</v>
      </c>
      <c r="Y633" s="21">
        <v>0.0</v>
      </c>
      <c r="Z633" s="21">
        <v>4.0</v>
      </c>
      <c r="AA633" s="21">
        <v>0.0</v>
      </c>
      <c r="AB633" s="5">
        <v>4.0</v>
      </c>
      <c r="AC633" s="19">
        <v>5.0</v>
      </c>
      <c r="AD633" s="19">
        <v>5.0</v>
      </c>
      <c r="AE633" s="19">
        <v>5.0</v>
      </c>
      <c r="AF633" s="19">
        <v>5.0</v>
      </c>
      <c r="AG633" s="19">
        <v>5.0</v>
      </c>
      <c r="AH633" s="19">
        <v>5.0</v>
      </c>
      <c r="AI633" s="22">
        <v>15.0</v>
      </c>
      <c r="AJ633" s="19">
        <v>10.0</v>
      </c>
      <c r="AK633" s="19">
        <v>13.0</v>
      </c>
      <c r="AL633" s="19">
        <v>14.0</v>
      </c>
      <c r="AM633" s="19">
        <v>37.0</v>
      </c>
      <c r="AN633" s="19">
        <v>52.0</v>
      </c>
      <c r="AO633" s="19">
        <v>56.0</v>
      </c>
      <c r="AP633" s="19">
        <v>1163.0</v>
      </c>
      <c r="AQ633" s="23">
        <v>621.0</v>
      </c>
      <c r="AR633" s="23">
        <v>58.0</v>
      </c>
      <c r="AS633" s="22"/>
      <c r="AT633" s="19" t="s">
        <v>2163</v>
      </c>
      <c r="AU633" s="19" t="s">
        <v>12591</v>
      </c>
      <c r="AV633" s="19" t="s">
        <v>12592</v>
      </c>
      <c r="AW633" s="19"/>
      <c r="AX633" s="20">
        <v>35322.0</v>
      </c>
      <c r="AY633" s="19" t="s">
        <v>2619</v>
      </c>
      <c r="AZ633" s="19" t="s">
        <v>2310</v>
      </c>
      <c r="BA633" s="19" t="s">
        <v>12593</v>
      </c>
      <c r="BB633" s="19" t="s">
        <v>12594</v>
      </c>
      <c r="BC633" s="19" t="s">
        <v>12595</v>
      </c>
      <c r="BD633" s="19" t="s">
        <v>12596</v>
      </c>
      <c r="BE633" s="19" t="s">
        <v>12597</v>
      </c>
      <c r="BF633" s="19">
        <v>1.1943048666E10</v>
      </c>
      <c r="BG633" s="19" t="s">
        <v>2127</v>
      </c>
      <c r="BH633" s="19" t="s">
        <v>2128</v>
      </c>
      <c r="BI633" s="19"/>
      <c r="BJ633" s="19" t="s">
        <v>2128</v>
      </c>
      <c r="BK633" s="19" t="s">
        <v>17</v>
      </c>
      <c r="BL633" s="19"/>
      <c r="BM633" s="19" t="s">
        <v>5563</v>
      </c>
      <c r="BN633" s="19" t="s">
        <v>2112</v>
      </c>
      <c r="BO633" s="19" t="s">
        <v>2317</v>
      </c>
      <c r="BP633" s="19" t="s">
        <v>12598</v>
      </c>
      <c r="BQ633" s="19" t="s">
        <v>2133</v>
      </c>
      <c r="BR633" s="19" t="s">
        <v>2133</v>
      </c>
      <c r="BS633" s="19" t="s">
        <v>3521</v>
      </c>
      <c r="BT633" s="19" t="s">
        <v>52</v>
      </c>
      <c r="BU633" s="19" t="s">
        <v>10305</v>
      </c>
      <c r="BV633" s="19"/>
      <c r="BW633" s="19" t="s">
        <v>2113</v>
      </c>
      <c r="BX633" s="19"/>
      <c r="BY633" s="19"/>
      <c r="BZ633" s="19"/>
      <c r="CA633" s="19"/>
      <c r="CB633" s="19" t="s">
        <v>2113</v>
      </c>
      <c r="CC633" s="19"/>
      <c r="CD633" s="19" t="s">
        <v>2137</v>
      </c>
      <c r="CE633" s="19" t="s">
        <v>16</v>
      </c>
      <c r="CF633" s="19"/>
      <c r="CG633" s="19"/>
      <c r="CH633" s="19" t="s">
        <v>16</v>
      </c>
      <c r="CI633" s="21">
        <v>0.0</v>
      </c>
      <c r="CJ633" s="19" t="s">
        <v>17</v>
      </c>
      <c r="CK633" s="19"/>
      <c r="CL633" s="19"/>
      <c r="CM633" s="19" t="s">
        <v>2138</v>
      </c>
      <c r="CN633" s="19" t="s">
        <v>2626</v>
      </c>
      <c r="CO633" s="19"/>
      <c r="CP633" s="19" t="s">
        <v>2140</v>
      </c>
      <c r="CQ633" s="19"/>
      <c r="CR633" s="19" t="s">
        <v>2113</v>
      </c>
      <c r="CS633" s="19" t="s">
        <v>2113</v>
      </c>
      <c r="CT633" s="19" t="s">
        <v>2113</v>
      </c>
      <c r="CU633" s="19" t="s">
        <v>2113</v>
      </c>
      <c r="CV633" s="19" t="s">
        <v>2141</v>
      </c>
      <c r="CW633" s="19" t="s">
        <v>2113</v>
      </c>
      <c r="CX633" s="19" t="s">
        <v>2113</v>
      </c>
      <c r="CY633" s="19" t="s">
        <v>2113</v>
      </c>
      <c r="CZ633" s="19" t="s">
        <v>2113</v>
      </c>
      <c r="DA633" s="19" t="s">
        <v>16</v>
      </c>
      <c r="DB633" s="19" t="s">
        <v>17</v>
      </c>
      <c r="DC633" s="19" t="s">
        <v>2601</v>
      </c>
      <c r="DD633" s="19" t="s">
        <v>2113</v>
      </c>
      <c r="DE633" s="19" t="s">
        <v>2113</v>
      </c>
      <c r="DF633" s="19" t="s">
        <v>2433</v>
      </c>
      <c r="DG633" s="19" t="s">
        <v>2207</v>
      </c>
      <c r="DH633" s="19" t="s">
        <v>2144</v>
      </c>
      <c r="DI633" s="24">
        <v>45532.0</v>
      </c>
      <c r="DJ633" s="19" t="s">
        <v>2133</v>
      </c>
      <c r="DK633" s="19" t="s">
        <v>2145</v>
      </c>
      <c r="DL633" s="19" t="s">
        <v>2146</v>
      </c>
      <c r="DM633" s="19" t="s">
        <v>4101</v>
      </c>
      <c r="DN633" s="19">
        <v>15.0</v>
      </c>
      <c r="DO633" s="19">
        <v>15.0</v>
      </c>
      <c r="DP633" s="19" t="s">
        <v>12599</v>
      </c>
      <c r="DQ633" s="19" t="s">
        <v>12600</v>
      </c>
      <c r="DR633" s="19" t="s">
        <v>12601</v>
      </c>
      <c r="DS633" s="19" t="s">
        <v>2151</v>
      </c>
      <c r="DT633" s="19" t="s">
        <v>2229</v>
      </c>
      <c r="DU633" s="19"/>
      <c r="DV633" s="19"/>
      <c r="DW633" s="19" t="s">
        <v>2153</v>
      </c>
      <c r="DX633" s="19">
        <v>12.0</v>
      </c>
      <c r="DY633" s="19">
        <v>0.0</v>
      </c>
      <c r="DZ633" s="19">
        <v>0.0</v>
      </c>
      <c r="EA633" s="19">
        <v>0.0</v>
      </c>
      <c r="EB633" s="19">
        <v>0.0</v>
      </c>
      <c r="EC633" s="19">
        <v>0.0</v>
      </c>
      <c r="ED633" s="19" t="s">
        <v>2133</v>
      </c>
      <c r="EE633" s="24">
        <v>45532.0</v>
      </c>
      <c r="EF633" s="19" t="s">
        <v>2133</v>
      </c>
      <c r="EG633" s="19" t="s">
        <v>2145</v>
      </c>
      <c r="EH633" s="19" t="s">
        <v>2146</v>
      </c>
      <c r="EI633" s="22">
        <v>15.0</v>
      </c>
      <c r="EJ633" s="19">
        <v>37.0</v>
      </c>
      <c r="EK633" s="19" t="s">
        <v>2113</v>
      </c>
      <c r="EL633" s="19" t="s">
        <v>2163</v>
      </c>
      <c r="EM633" s="19" t="s">
        <v>12591</v>
      </c>
      <c r="EN633" s="19" t="s">
        <v>1860</v>
      </c>
      <c r="EO633" s="19" t="s">
        <v>2619</v>
      </c>
      <c r="EP633" s="19" t="s">
        <v>2310</v>
      </c>
      <c r="EQ633" s="19" t="s">
        <v>2626</v>
      </c>
      <c r="ER633" s="19"/>
      <c r="ES633" s="19" t="s">
        <v>1860</v>
      </c>
      <c r="ET633" s="19" t="s">
        <v>1860</v>
      </c>
      <c r="EU633" s="19" t="s">
        <v>12589</v>
      </c>
      <c r="EV633" s="19">
        <v>10139.0</v>
      </c>
      <c r="EW633" s="19" t="s">
        <v>16</v>
      </c>
      <c r="EX633" s="19">
        <v>4.0</v>
      </c>
      <c r="EY633" s="25" t="s">
        <v>1859</v>
      </c>
      <c r="EZ633" s="19" t="s">
        <v>2154</v>
      </c>
      <c r="FA633" s="5" t="s">
        <v>12602</v>
      </c>
      <c r="FB633" s="26" t="s">
        <v>2156</v>
      </c>
      <c r="FC633" s="26"/>
    </row>
    <row r="634">
      <c r="A634" s="19" t="s">
        <v>2112</v>
      </c>
      <c r="B634" s="19"/>
      <c r="C634" s="19" t="s">
        <v>2113</v>
      </c>
      <c r="D634" s="19" t="s">
        <v>12603</v>
      </c>
      <c r="E634" s="19" t="s">
        <v>12604</v>
      </c>
      <c r="F634" s="19" t="s">
        <v>12603</v>
      </c>
      <c r="G634" s="19"/>
      <c r="H634" s="19" t="s">
        <v>1861</v>
      </c>
      <c r="I634" s="19" t="s">
        <v>1863</v>
      </c>
      <c r="J634" s="19" t="s">
        <v>12605</v>
      </c>
      <c r="K634" s="19" t="s">
        <v>12606</v>
      </c>
      <c r="L634" s="20">
        <v>45447.0</v>
      </c>
      <c r="M634" s="20">
        <v>45448.0</v>
      </c>
      <c r="N634" s="20">
        <v>45448.0</v>
      </c>
      <c r="O634" s="19" t="s">
        <v>1862</v>
      </c>
      <c r="P634" s="19">
        <v>0.0</v>
      </c>
      <c r="Q634" s="19">
        <v>19.0</v>
      </c>
      <c r="R634" s="19">
        <v>7166.0</v>
      </c>
      <c r="S634" s="20" t="s">
        <v>12607</v>
      </c>
      <c r="T634" s="20">
        <v>45461.0</v>
      </c>
      <c r="U634" s="19" t="s">
        <v>12603</v>
      </c>
      <c r="V634" s="19"/>
      <c r="W634" s="19" t="s">
        <v>12608</v>
      </c>
      <c r="X634" s="21">
        <v>0.0</v>
      </c>
      <c r="Y634" s="21">
        <v>10.0</v>
      </c>
      <c r="Z634" s="21">
        <v>5.0</v>
      </c>
      <c r="AA634" s="21">
        <v>0.0</v>
      </c>
      <c r="AB634" s="5">
        <v>15.0</v>
      </c>
      <c r="AC634" s="19">
        <v>3.8</v>
      </c>
      <c r="AD634" s="19">
        <v>3.2</v>
      </c>
      <c r="AE634" s="19">
        <v>3.2</v>
      </c>
      <c r="AF634" s="19">
        <v>4.2</v>
      </c>
      <c r="AG634" s="19">
        <v>3.6</v>
      </c>
      <c r="AH634" s="19">
        <v>4.4</v>
      </c>
      <c r="AI634" s="22">
        <v>10.856250000000001</v>
      </c>
      <c r="AJ634" s="19">
        <v>10.0</v>
      </c>
      <c r="AK634" s="19">
        <v>10.0</v>
      </c>
      <c r="AL634" s="19">
        <v>10.0</v>
      </c>
      <c r="AM634" s="19">
        <v>30.0</v>
      </c>
      <c r="AN634" s="19">
        <v>40.9</v>
      </c>
      <c r="AO634" s="19">
        <v>55.9</v>
      </c>
      <c r="AP634" s="19">
        <v>526.0</v>
      </c>
      <c r="AQ634" s="23">
        <v>622.0</v>
      </c>
      <c r="AR634" s="23">
        <v>47.0</v>
      </c>
      <c r="AS634" s="22"/>
      <c r="AT634" s="19" t="s">
        <v>2163</v>
      </c>
      <c r="AU634" s="19" t="s">
        <v>12609</v>
      </c>
      <c r="AV634" s="19" t="s">
        <v>12610</v>
      </c>
      <c r="AW634" s="19" t="s">
        <v>12611</v>
      </c>
      <c r="AX634" s="20">
        <v>38295.0</v>
      </c>
      <c r="AY634" s="19" t="s">
        <v>2258</v>
      </c>
      <c r="AZ634" s="19" t="s">
        <v>2995</v>
      </c>
      <c r="BA634" s="19" t="s">
        <v>12612</v>
      </c>
      <c r="BB634" s="19" t="s">
        <v>7494</v>
      </c>
      <c r="BC634" s="19" t="s">
        <v>12613</v>
      </c>
      <c r="BD634" s="19" t="s">
        <v>12614</v>
      </c>
      <c r="BE634" s="19" t="s">
        <v>12615</v>
      </c>
      <c r="BF634" s="19">
        <v>1.1910211242E10</v>
      </c>
      <c r="BG634" s="19" t="s">
        <v>2127</v>
      </c>
      <c r="BH634" s="19" t="s">
        <v>2128</v>
      </c>
      <c r="BI634" s="19"/>
      <c r="BJ634" s="19" t="s">
        <v>2128</v>
      </c>
      <c r="BK634" s="19" t="s">
        <v>17</v>
      </c>
      <c r="BL634" s="19"/>
      <c r="BM634" s="19" t="s">
        <v>5563</v>
      </c>
      <c r="BN634" s="19" t="s">
        <v>17</v>
      </c>
      <c r="BO634" s="19" t="s">
        <v>2132</v>
      </c>
      <c r="BP634" s="19" t="s">
        <v>12616</v>
      </c>
      <c r="BQ634" s="19" t="s">
        <v>2174</v>
      </c>
      <c r="BR634" s="19" t="s">
        <v>2174</v>
      </c>
      <c r="BS634" s="19" t="s">
        <v>2134</v>
      </c>
      <c r="BT634" s="19" t="s">
        <v>34</v>
      </c>
      <c r="BU634" s="19" t="s">
        <v>3409</v>
      </c>
      <c r="BV634" s="19"/>
      <c r="BW634" s="19" t="s">
        <v>2113</v>
      </c>
      <c r="BX634" s="19"/>
      <c r="BY634" s="19"/>
      <c r="BZ634" s="19"/>
      <c r="CA634" s="19"/>
      <c r="CB634" s="19"/>
      <c r="CC634" s="19"/>
      <c r="CD634" s="19" t="s">
        <v>2137</v>
      </c>
      <c r="CE634" s="19" t="s">
        <v>16</v>
      </c>
      <c r="CF634" s="19"/>
      <c r="CG634" s="19"/>
      <c r="CH634" s="19" t="s">
        <v>16</v>
      </c>
      <c r="CI634" s="21">
        <v>0.0</v>
      </c>
      <c r="CJ634" s="19" t="s">
        <v>17</v>
      </c>
      <c r="CK634" s="19"/>
      <c r="CL634" s="19"/>
      <c r="CM634" s="19" t="s">
        <v>2344</v>
      </c>
      <c r="CN634" s="19" t="s">
        <v>2266</v>
      </c>
      <c r="CO634" s="19"/>
      <c r="CP634" s="19" t="s">
        <v>2140</v>
      </c>
      <c r="CQ634" s="19"/>
      <c r="CR634" s="19"/>
      <c r="CS634" s="19"/>
      <c r="CT634" s="19" t="s">
        <v>2113</v>
      </c>
      <c r="CU634" s="19" t="s">
        <v>2113</v>
      </c>
      <c r="CV634" s="19" t="s">
        <v>2141</v>
      </c>
      <c r="CW634" s="19"/>
      <c r="CX634" s="19"/>
      <c r="CY634" s="19" t="s">
        <v>2113</v>
      </c>
      <c r="CZ634" s="19" t="s">
        <v>2113</v>
      </c>
      <c r="DA634" s="19" t="s">
        <v>16</v>
      </c>
      <c r="DB634" s="19" t="s">
        <v>17</v>
      </c>
      <c r="DC634" s="19" t="s">
        <v>2270</v>
      </c>
      <c r="DD634" s="19" t="s">
        <v>2113</v>
      </c>
      <c r="DE634" s="19" t="s">
        <v>2113</v>
      </c>
      <c r="DF634" s="19" t="s">
        <v>2269</v>
      </c>
      <c r="DG634" s="19" t="s">
        <v>2268</v>
      </c>
      <c r="DH634" s="19" t="s">
        <v>2144</v>
      </c>
      <c r="DI634" s="24">
        <v>45518.0</v>
      </c>
      <c r="DJ634" s="19" t="s">
        <v>2174</v>
      </c>
      <c r="DK634" s="19" t="s">
        <v>2271</v>
      </c>
      <c r="DL634" s="19" t="s">
        <v>2183</v>
      </c>
      <c r="DM634" s="19" t="s">
        <v>2346</v>
      </c>
      <c r="DN634" s="19">
        <v>4.0</v>
      </c>
      <c r="DO634" s="19">
        <v>4.0</v>
      </c>
      <c r="DP634" s="19" t="s">
        <v>12617</v>
      </c>
      <c r="DQ634" s="19" t="s">
        <v>12618</v>
      </c>
      <c r="DR634" s="19" t="s">
        <v>12619</v>
      </c>
      <c r="DS634" s="19" t="s">
        <v>2185</v>
      </c>
      <c r="DT634" s="19" t="s">
        <v>2366</v>
      </c>
      <c r="DU634" s="19"/>
      <c r="DV634" s="19"/>
      <c r="DW634" s="19" t="s">
        <v>3306</v>
      </c>
      <c r="DX634" s="19">
        <v>4.0</v>
      </c>
      <c r="DY634" s="19">
        <v>10.0</v>
      </c>
      <c r="DZ634" s="19">
        <v>0.0</v>
      </c>
      <c r="EA634" s="19">
        <v>10.0</v>
      </c>
      <c r="EB634" s="19">
        <v>0.0</v>
      </c>
      <c r="EC634" s="19">
        <v>0.0</v>
      </c>
      <c r="ED634" s="19" t="s">
        <v>2174</v>
      </c>
      <c r="EE634" s="24">
        <v>45518.0</v>
      </c>
      <c r="EF634" s="19" t="s">
        <v>2174</v>
      </c>
      <c r="EG634" s="19" t="s">
        <v>2271</v>
      </c>
      <c r="EH634" s="19" t="s">
        <v>2183</v>
      </c>
      <c r="EI634" s="22">
        <v>10.856250000000001</v>
      </c>
      <c r="EJ634" s="19">
        <v>30.0</v>
      </c>
      <c r="EK634" s="19" t="s">
        <v>2113</v>
      </c>
      <c r="EL634" s="19" t="s">
        <v>2163</v>
      </c>
      <c r="EM634" s="19" t="s">
        <v>12609</v>
      </c>
      <c r="EN634" s="19" t="s">
        <v>1863</v>
      </c>
      <c r="EO634" s="19" t="s">
        <v>2258</v>
      </c>
      <c r="EP634" s="19" t="s">
        <v>2995</v>
      </c>
      <c r="EQ634" s="19" t="s">
        <v>2266</v>
      </c>
      <c r="ER634" s="19"/>
      <c r="ES634" s="19" t="s">
        <v>1863</v>
      </c>
      <c r="ET634" s="19" t="s">
        <v>1863</v>
      </c>
      <c r="EU634" s="19" t="s">
        <v>12606</v>
      </c>
      <c r="EV634" s="19">
        <v>7166.0</v>
      </c>
      <c r="EW634" s="19" t="s">
        <v>16</v>
      </c>
      <c r="EX634" s="19">
        <v>5.0</v>
      </c>
      <c r="EY634" s="25" t="s">
        <v>1862</v>
      </c>
      <c r="EZ634" s="19" t="s">
        <v>2154</v>
      </c>
      <c r="FA634" s="5" t="s">
        <v>12620</v>
      </c>
      <c r="FB634" s="26" t="s">
        <v>2156</v>
      </c>
      <c r="FC634" s="26"/>
    </row>
    <row r="635">
      <c r="A635" s="19" t="s">
        <v>2112</v>
      </c>
      <c r="B635" s="19"/>
      <c r="C635" s="19" t="s">
        <v>2113</v>
      </c>
      <c r="D635" s="19" t="s">
        <v>1864</v>
      </c>
      <c r="E635" s="19" t="s">
        <v>12621</v>
      </c>
      <c r="F635" s="19" t="s">
        <v>12622</v>
      </c>
      <c r="G635" s="19" t="s">
        <v>12623</v>
      </c>
      <c r="H635" s="19" t="s">
        <v>1864</v>
      </c>
      <c r="I635" s="19" t="s">
        <v>1866</v>
      </c>
      <c r="J635" s="19" t="s">
        <v>12624</v>
      </c>
      <c r="K635" s="19" t="s">
        <v>12625</v>
      </c>
      <c r="L635" s="20">
        <v>45421.0</v>
      </c>
      <c r="M635" s="20">
        <v>45428.0</v>
      </c>
      <c r="N635" s="20">
        <v>45428.0</v>
      </c>
      <c r="O635" s="19" t="s">
        <v>1865</v>
      </c>
      <c r="P635" s="19">
        <v>0.0</v>
      </c>
      <c r="Q635" s="19">
        <v>20.0</v>
      </c>
      <c r="R635" s="19">
        <v>7347.0</v>
      </c>
      <c r="S635" s="20" t="s">
        <v>12626</v>
      </c>
      <c r="T635" s="20">
        <v>45461.0</v>
      </c>
      <c r="U635" s="19" t="s">
        <v>12622</v>
      </c>
      <c r="V635" s="19"/>
      <c r="W635" s="19"/>
      <c r="X635" s="21">
        <v>0.0</v>
      </c>
      <c r="Y635" s="21">
        <v>10.0</v>
      </c>
      <c r="Z635" s="21">
        <v>2.0</v>
      </c>
      <c r="AA635" s="21">
        <v>0.0</v>
      </c>
      <c r="AB635" s="5">
        <v>12.0</v>
      </c>
      <c r="AC635" s="19">
        <v>3.0</v>
      </c>
      <c r="AD635" s="19">
        <v>3.0</v>
      </c>
      <c r="AE635" s="19">
        <v>3.0</v>
      </c>
      <c r="AF635" s="19">
        <v>3.0</v>
      </c>
      <c r="AG635" s="19">
        <v>3.0</v>
      </c>
      <c r="AH635" s="19">
        <v>4.0</v>
      </c>
      <c r="AI635" s="22">
        <v>9.375</v>
      </c>
      <c r="AJ635" s="19">
        <v>12.0</v>
      </c>
      <c r="AK635" s="19">
        <v>11.0</v>
      </c>
      <c r="AL635" s="19">
        <v>11.0</v>
      </c>
      <c r="AM635" s="19">
        <v>34.0</v>
      </c>
      <c r="AN635" s="19">
        <v>43.4</v>
      </c>
      <c r="AO635" s="19">
        <v>55.4</v>
      </c>
      <c r="AP635" s="19">
        <v>882.0</v>
      </c>
      <c r="AQ635" s="23">
        <v>623.0</v>
      </c>
      <c r="AR635" s="23">
        <v>58.0</v>
      </c>
      <c r="AS635" s="22"/>
      <c r="AT635" s="19" t="s">
        <v>2117</v>
      </c>
      <c r="AU635" s="19" t="s">
        <v>12627</v>
      </c>
      <c r="AV635" s="19" t="s">
        <v>12628</v>
      </c>
      <c r="AW635" s="19" t="s">
        <v>12629</v>
      </c>
      <c r="AX635" s="20">
        <v>38114.0</v>
      </c>
      <c r="AY635" s="19" t="s">
        <v>9214</v>
      </c>
      <c r="AZ635" s="19" t="s">
        <v>2122</v>
      </c>
      <c r="BA635" s="19" t="s">
        <v>12630</v>
      </c>
      <c r="BB635" s="19" t="s">
        <v>10715</v>
      </c>
      <c r="BC635" s="19" t="s">
        <v>12631</v>
      </c>
      <c r="BD635" s="19" t="s">
        <v>12632</v>
      </c>
      <c r="BE635" s="19" t="s">
        <v>12633</v>
      </c>
      <c r="BF635" s="19">
        <v>1.1948113651E10</v>
      </c>
      <c r="BG635" s="19" t="s">
        <v>2127</v>
      </c>
      <c r="BH635" s="19" t="s">
        <v>2128</v>
      </c>
      <c r="BI635" s="19"/>
      <c r="BJ635" s="19"/>
      <c r="BK635" s="19" t="s">
        <v>16</v>
      </c>
      <c r="BL635" s="19"/>
      <c r="BM635" s="19" t="s">
        <v>5411</v>
      </c>
      <c r="BN635" s="19" t="s">
        <v>2401</v>
      </c>
      <c r="BO635" s="19" t="s">
        <v>3199</v>
      </c>
      <c r="BP635" s="19" t="s">
        <v>12634</v>
      </c>
      <c r="BQ635" s="19" t="s">
        <v>2133</v>
      </c>
      <c r="BR635" s="19" t="s">
        <v>2133</v>
      </c>
      <c r="BS635" s="19" t="s">
        <v>2134</v>
      </c>
      <c r="BT635" s="19" t="s">
        <v>15</v>
      </c>
      <c r="BU635" s="19" t="s">
        <v>9698</v>
      </c>
      <c r="BV635" s="19"/>
      <c r="BW635" s="19" t="s">
        <v>2113</v>
      </c>
      <c r="BX635" s="19"/>
      <c r="BY635" s="19"/>
      <c r="BZ635" s="19"/>
      <c r="CA635" s="19"/>
      <c r="CB635" s="19"/>
      <c r="CC635" s="19"/>
      <c r="CD635" s="19" t="s">
        <v>2137</v>
      </c>
      <c r="CE635" s="19" t="s">
        <v>16</v>
      </c>
      <c r="CF635" s="19"/>
      <c r="CG635" s="19"/>
      <c r="CH635" s="19" t="s">
        <v>16</v>
      </c>
      <c r="CI635" s="21">
        <v>0.0</v>
      </c>
      <c r="CJ635" s="19" t="s">
        <v>16</v>
      </c>
      <c r="CK635" s="19"/>
      <c r="CL635" s="19"/>
      <c r="CM635" s="19" t="s">
        <v>2138</v>
      </c>
      <c r="CN635" s="19" t="s">
        <v>5128</v>
      </c>
      <c r="CO635" s="19"/>
      <c r="CP635" s="19"/>
      <c r="CQ635" s="19"/>
      <c r="CR635" s="19" t="s">
        <v>2113</v>
      </c>
      <c r="CS635" s="19" t="s">
        <v>2113</v>
      </c>
      <c r="CT635" s="19"/>
      <c r="CU635" s="19"/>
      <c r="CV635" s="19" t="s">
        <v>2141</v>
      </c>
      <c r="CW635" s="19" t="s">
        <v>2113</v>
      </c>
      <c r="CX635" s="19" t="s">
        <v>2113</v>
      </c>
      <c r="CY635" s="19"/>
      <c r="CZ635" s="19"/>
      <c r="DA635" s="19" t="s">
        <v>16</v>
      </c>
      <c r="DB635" s="19" t="s">
        <v>16</v>
      </c>
      <c r="DC635" s="19" t="s">
        <v>5270</v>
      </c>
      <c r="DD635" s="19" t="s">
        <v>2113</v>
      </c>
      <c r="DE635" s="19" t="s">
        <v>2113</v>
      </c>
      <c r="DF635" s="19" t="s">
        <v>4120</v>
      </c>
      <c r="DG635" s="19" t="s">
        <v>6592</v>
      </c>
      <c r="DH635" s="19" t="s">
        <v>2144</v>
      </c>
      <c r="DI635" s="24">
        <v>45531.0</v>
      </c>
      <c r="DJ635" s="19" t="s">
        <v>2133</v>
      </c>
      <c r="DK635" s="19" t="s">
        <v>2145</v>
      </c>
      <c r="DL635" s="19" t="s">
        <v>2146</v>
      </c>
      <c r="DM635" s="19" t="s">
        <v>3183</v>
      </c>
      <c r="DN635" s="19">
        <v>13.0</v>
      </c>
      <c r="DO635" s="19">
        <v>13.0</v>
      </c>
      <c r="DP635" s="19" t="s">
        <v>12635</v>
      </c>
      <c r="DQ635" s="19" t="s">
        <v>12636</v>
      </c>
      <c r="DR635" s="19" t="s">
        <v>12637</v>
      </c>
      <c r="DS635" s="19" t="s">
        <v>2365</v>
      </c>
      <c r="DT635" s="19" t="s">
        <v>2209</v>
      </c>
      <c r="DU635" s="19"/>
      <c r="DV635" s="19"/>
      <c r="DW635" s="19" t="s">
        <v>2479</v>
      </c>
      <c r="DX635" s="19">
        <v>11.0</v>
      </c>
      <c r="DY635" s="19">
        <v>10.0</v>
      </c>
      <c r="DZ635" s="19">
        <v>0.0</v>
      </c>
      <c r="EA635" s="19">
        <v>10.0</v>
      </c>
      <c r="EB635" s="19">
        <v>0.0</v>
      </c>
      <c r="EC635" s="19">
        <v>0.0</v>
      </c>
      <c r="ED635" s="19" t="s">
        <v>2133</v>
      </c>
      <c r="EE635" s="24">
        <v>45531.0</v>
      </c>
      <c r="EF635" s="19" t="s">
        <v>2133</v>
      </c>
      <c r="EG635" s="19" t="s">
        <v>2145</v>
      </c>
      <c r="EH635" s="19" t="s">
        <v>2146</v>
      </c>
      <c r="EI635" s="22">
        <v>9.375</v>
      </c>
      <c r="EJ635" s="19">
        <v>34.0</v>
      </c>
      <c r="EK635" s="19"/>
      <c r="EL635" s="19" t="s">
        <v>2117</v>
      </c>
      <c r="EM635" s="19" t="s">
        <v>12627</v>
      </c>
      <c r="EN635" s="19" t="s">
        <v>1866</v>
      </c>
      <c r="EO635" s="19" t="s">
        <v>9214</v>
      </c>
      <c r="EP635" s="19" t="s">
        <v>2122</v>
      </c>
      <c r="EQ635" s="19" t="s">
        <v>5128</v>
      </c>
      <c r="ER635" s="19"/>
      <c r="ES635" s="19" t="s">
        <v>1866</v>
      </c>
      <c r="ET635" s="19" t="s">
        <v>1866</v>
      </c>
      <c r="EU635" s="19" t="s">
        <v>12625</v>
      </c>
      <c r="EV635" s="19">
        <v>7347.0</v>
      </c>
      <c r="EW635" s="19" t="s">
        <v>16</v>
      </c>
      <c r="EX635" s="19">
        <v>2.0</v>
      </c>
      <c r="EY635" s="25" t="s">
        <v>1865</v>
      </c>
      <c r="EZ635" s="19" t="s">
        <v>2154</v>
      </c>
      <c r="FA635" s="5" t="s">
        <v>12638</v>
      </c>
      <c r="FB635" s="26" t="s">
        <v>2156</v>
      </c>
      <c r="FC635" s="26"/>
    </row>
    <row r="636">
      <c r="A636" s="19" t="s">
        <v>3501</v>
      </c>
      <c r="B636" s="19"/>
      <c r="C636" s="19" t="s">
        <v>2113</v>
      </c>
      <c r="D636" s="19" t="s">
        <v>12639</v>
      </c>
      <c r="E636" s="19" t="s">
        <v>12640</v>
      </c>
      <c r="F636" s="19" t="s">
        <v>12641</v>
      </c>
      <c r="G636" s="19" t="s">
        <v>12642</v>
      </c>
      <c r="H636" s="19" t="s">
        <v>1867</v>
      </c>
      <c r="I636" s="19" t="s">
        <v>1869</v>
      </c>
      <c r="J636" s="19" t="s">
        <v>12643</v>
      </c>
      <c r="K636" s="19" t="s">
        <v>12644</v>
      </c>
      <c r="L636" s="20">
        <v>45403.0</v>
      </c>
      <c r="M636" s="20">
        <v>45411.0</v>
      </c>
      <c r="N636" s="20">
        <v>45411.0</v>
      </c>
      <c r="O636" s="19" t="s">
        <v>1868</v>
      </c>
      <c r="P636" s="19">
        <v>0.0</v>
      </c>
      <c r="Q636" s="19">
        <v>23.0</v>
      </c>
      <c r="R636" s="19">
        <v>8612.0</v>
      </c>
      <c r="S636" s="20" t="s">
        <v>12645</v>
      </c>
      <c r="T636" s="20">
        <v>45461.0</v>
      </c>
      <c r="U636" s="19" t="s">
        <v>12641</v>
      </c>
      <c r="V636" s="19"/>
      <c r="W636" s="19"/>
      <c r="X636" s="21">
        <v>0.0</v>
      </c>
      <c r="Y636" s="21">
        <v>0.0</v>
      </c>
      <c r="Z636" s="21">
        <v>3.0</v>
      </c>
      <c r="AA636" s="21">
        <v>2.0</v>
      </c>
      <c r="AB636" s="5">
        <v>5.0</v>
      </c>
      <c r="AC636" s="19">
        <v>3.0</v>
      </c>
      <c r="AD636" s="19">
        <v>3.5</v>
      </c>
      <c r="AE636" s="19">
        <v>3.0</v>
      </c>
      <c r="AF636" s="19">
        <v>2.5</v>
      </c>
      <c r="AG636" s="19">
        <v>3.0</v>
      </c>
      <c r="AH636" s="19">
        <v>3.5</v>
      </c>
      <c r="AI636" s="22">
        <v>9.328125</v>
      </c>
      <c r="AJ636" s="19">
        <v>15.0</v>
      </c>
      <c r="AK636" s="19">
        <v>13.0</v>
      </c>
      <c r="AL636" s="19">
        <v>13.0</v>
      </c>
      <c r="AM636" s="19">
        <v>41.0</v>
      </c>
      <c r="AN636" s="19">
        <v>50.3</v>
      </c>
      <c r="AO636" s="19">
        <v>55.3</v>
      </c>
      <c r="AP636" s="19">
        <v>1153.0</v>
      </c>
      <c r="AQ636" s="23">
        <v>624.0</v>
      </c>
      <c r="AR636" s="23">
        <v>41.0</v>
      </c>
      <c r="AS636" s="22"/>
      <c r="AT636" s="19" t="s">
        <v>2282</v>
      </c>
      <c r="AU636" s="19" t="s">
        <v>12646</v>
      </c>
      <c r="AV636" s="19" t="s">
        <v>12647</v>
      </c>
      <c r="AW636" s="19"/>
      <c r="AX636" s="20">
        <v>36849.0</v>
      </c>
      <c r="AY636" s="19" t="s">
        <v>5105</v>
      </c>
      <c r="AZ636" s="19" t="s">
        <v>2554</v>
      </c>
      <c r="BA636" s="19" t="s">
        <v>12648</v>
      </c>
      <c r="BB636" s="19" t="s">
        <v>12649</v>
      </c>
      <c r="BC636" s="19" t="s">
        <v>12650</v>
      </c>
      <c r="BD636" s="19" t="s">
        <v>12651</v>
      </c>
      <c r="BE636" s="19" t="s">
        <v>12643</v>
      </c>
      <c r="BF636" s="19">
        <v>1.1991643149E10</v>
      </c>
      <c r="BG636" s="19" t="s">
        <v>2127</v>
      </c>
      <c r="BH636" s="19" t="s">
        <v>2649</v>
      </c>
      <c r="BI636" s="19"/>
      <c r="BJ636" s="19"/>
      <c r="BK636" s="19" t="s">
        <v>16</v>
      </c>
      <c r="BL636" s="19"/>
      <c r="BM636" s="19" t="s">
        <v>5563</v>
      </c>
      <c r="BN636" s="19" t="s">
        <v>17</v>
      </c>
      <c r="BO636" s="19" t="s">
        <v>2473</v>
      </c>
      <c r="BP636" s="19"/>
      <c r="BQ636" s="19" t="s">
        <v>3832</v>
      </c>
      <c r="BR636" s="19" t="s">
        <v>3832</v>
      </c>
      <c r="BS636" s="19" t="s">
        <v>3521</v>
      </c>
      <c r="BT636" s="19" t="s">
        <v>268</v>
      </c>
      <c r="BU636" s="19" t="s">
        <v>4629</v>
      </c>
      <c r="BV636" s="19"/>
      <c r="BW636" s="19" t="s">
        <v>2113</v>
      </c>
      <c r="BX636" s="19"/>
      <c r="BY636" s="19"/>
      <c r="BZ636" s="19"/>
      <c r="CA636" s="19"/>
      <c r="CB636" s="19"/>
      <c r="CC636" s="19"/>
      <c r="CD636" s="19" t="s">
        <v>2137</v>
      </c>
      <c r="CE636" s="19" t="s">
        <v>16</v>
      </c>
      <c r="CF636" s="19"/>
      <c r="CG636" s="19"/>
      <c r="CH636" s="19" t="s">
        <v>16</v>
      </c>
      <c r="CI636" s="21">
        <v>0.0</v>
      </c>
      <c r="CJ636" s="19" t="s">
        <v>16</v>
      </c>
      <c r="CK636" s="19"/>
      <c r="CL636" s="19"/>
      <c r="CM636" s="19" t="s">
        <v>2344</v>
      </c>
      <c r="CN636" s="19" t="s">
        <v>3835</v>
      </c>
      <c r="CO636" s="19"/>
      <c r="CP636" s="19"/>
      <c r="CQ636" s="19"/>
      <c r="CR636" s="19" t="s">
        <v>2113</v>
      </c>
      <c r="CS636" s="19" t="s">
        <v>2113</v>
      </c>
      <c r="CT636" s="19"/>
      <c r="CU636" s="19"/>
      <c r="CV636" s="19" t="s">
        <v>2141</v>
      </c>
      <c r="CW636" s="19" t="s">
        <v>2113</v>
      </c>
      <c r="CX636" s="19" t="s">
        <v>2113</v>
      </c>
      <c r="CY636" s="19" t="s">
        <v>2113</v>
      </c>
      <c r="CZ636" s="19" t="s">
        <v>2113</v>
      </c>
      <c r="DA636" s="19" t="s">
        <v>16</v>
      </c>
      <c r="DB636" s="19" t="s">
        <v>16</v>
      </c>
      <c r="DC636" s="19" t="s">
        <v>3836</v>
      </c>
      <c r="DD636" s="19" t="s">
        <v>2113</v>
      </c>
      <c r="DE636" s="19" t="s">
        <v>2113</v>
      </c>
      <c r="DF636" s="19" t="s">
        <v>2804</v>
      </c>
      <c r="DG636" s="19" t="s">
        <v>2248</v>
      </c>
      <c r="DH636" s="19" t="s">
        <v>2144</v>
      </c>
      <c r="DI636" s="24">
        <v>45518.0</v>
      </c>
      <c r="DJ636" s="19" t="s">
        <v>3257</v>
      </c>
      <c r="DK636" s="19" t="s">
        <v>2271</v>
      </c>
      <c r="DL636" s="19" t="s">
        <v>2207</v>
      </c>
      <c r="DM636" s="22" t="s">
        <v>8588</v>
      </c>
      <c r="DN636" s="19">
        <v>1.0</v>
      </c>
      <c r="DO636" s="19">
        <v>1.0</v>
      </c>
      <c r="DP636" s="19" t="s">
        <v>12652</v>
      </c>
      <c r="DQ636" s="19" t="s">
        <v>12653</v>
      </c>
      <c r="DR636" s="19" t="s">
        <v>12654</v>
      </c>
      <c r="DS636" s="19" t="s">
        <v>2185</v>
      </c>
      <c r="DT636" s="19" t="s">
        <v>2186</v>
      </c>
      <c r="DU636" s="19"/>
      <c r="DV636" s="19"/>
      <c r="DW636" s="19" t="s">
        <v>2153</v>
      </c>
      <c r="DX636" s="19">
        <v>1.0</v>
      </c>
      <c r="DY636" s="19">
        <v>0.0</v>
      </c>
      <c r="DZ636" s="19">
        <v>2.0</v>
      </c>
      <c r="EA636" s="19">
        <v>0.0</v>
      </c>
      <c r="EB636" s="19">
        <v>0.0</v>
      </c>
      <c r="EC636" s="19">
        <v>0.0</v>
      </c>
      <c r="ED636" s="19" t="s">
        <v>3257</v>
      </c>
      <c r="EE636" s="24">
        <v>45518.0</v>
      </c>
      <c r="EF636" s="19" t="s">
        <v>3257</v>
      </c>
      <c r="EG636" s="19" t="s">
        <v>2271</v>
      </c>
      <c r="EH636" s="19" t="s">
        <v>2207</v>
      </c>
      <c r="EI636" s="22">
        <v>9.328125</v>
      </c>
      <c r="EJ636" s="19">
        <v>41.0</v>
      </c>
      <c r="EK636" s="19"/>
      <c r="EL636" s="19" t="s">
        <v>2282</v>
      </c>
      <c r="EM636" s="19" t="s">
        <v>12646</v>
      </c>
      <c r="EN636" s="19" t="s">
        <v>1869</v>
      </c>
      <c r="EO636" s="19" t="s">
        <v>5105</v>
      </c>
      <c r="EP636" s="19" t="s">
        <v>2554</v>
      </c>
      <c r="EQ636" s="19" t="s">
        <v>3835</v>
      </c>
      <c r="ER636" s="19"/>
      <c r="ES636" s="19" t="s">
        <v>1869</v>
      </c>
      <c r="ET636" s="19" t="s">
        <v>1869</v>
      </c>
      <c r="EU636" s="19" t="s">
        <v>12644</v>
      </c>
      <c r="EV636" s="19">
        <v>8612.0</v>
      </c>
      <c r="EW636" s="19" t="s">
        <v>16</v>
      </c>
      <c r="EX636" s="19">
        <v>3.0</v>
      </c>
      <c r="EY636" s="25" t="s">
        <v>1868</v>
      </c>
      <c r="EZ636" s="19" t="s">
        <v>2154</v>
      </c>
      <c r="FA636" s="5" t="s">
        <v>12655</v>
      </c>
      <c r="FB636" s="26" t="s">
        <v>2156</v>
      </c>
      <c r="FC636" s="26"/>
    </row>
    <row r="637">
      <c r="A637" s="27" t="s">
        <v>2112</v>
      </c>
      <c r="B637" s="27"/>
      <c r="C637" s="27" t="s">
        <v>2113</v>
      </c>
      <c r="D637" s="45" t="s">
        <v>1870</v>
      </c>
      <c r="E637" s="45" t="s">
        <v>12656</v>
      </c>
      <c r="F637" s="27" t="s">
        <v>1870</v>
      </c>
      <c r="G637" s="27"/>
      <c r="H637" s="27" t="s">
        <v>1870</v>
      </c>
      <c r="I637" s="46" t="s">
        <v>1872</v>
      </c>
      <c r="J637" s="47" t="s">
        <v>12657</v>
      </c>
      <c r="K637" s="47" t="s">
        <v>12658</v>
      </c>
      <c r="L637" s="48">
        <v>45460.0</v>
      </c>
      <c r="M637" s="48">
        <v>45462.0</v>
      </c>
      <c r="N637" s="48">
        <v>45462.0</v>
      </c>
      <c r="O637" s="49" t="s">
        <v>1871</v>
      </c>
      <c r="P637" s="27">
        <v>0.0</v>
      </c>
      <c r="Q637" s="47">
        <v>23.0</v>
      </c>
      <c r="R637" s="47">
        <v>8706.0</v>
      </c>
      <c r="S637" s="50" t="s">
        <v>12659</v>
      </c>
      <c r="T637" s="28">
        <v>45461.0</v>
      </c>
      <c r="U637" s="47" t="s">
        <v>1870</v>
      </c>
      <c r="V637" s="27"/>
      <c r="W637" s="27"/>
      <c r="X637" s="51" t="s">
        <v>6339</v>
      </c>
      <c r="Y637" s="51">
        <v>0.0</v>
      </c>
      <c r="Z637" s="51" t="s">
        <v>2473</v>
      </c>
      <c r="AA637" s="51">
        <v>0.0</v>
      </c>
      <c r="AB637" s="52">
        <v>3.0</v>
      </c>
      <c r="AC637" s="27">
        <v>4.0</v>
      </c>
      <c r="AD637" s="27">
        <v>4.0</v>
      </c>
      <c r="AE637" s="27">
        <v>4.0</v>
      </c>
      <c r="AF637" s="27">
        <v>4.0</v>
      </c>
      <c r="AG637" s="27">
        <v>4.0</v>
      </c>
      <c r="AH637" s="27">
        <v>4.0</v>
      </c>
      <c r="AI637" s="34">
        <v>12.0</v>
      </c>
      <c r="AJ637" s="27">
        <v>13.0</v>
      </c>
      <c r="AK637" s="27">
        <v>15.0</v>
      </c>
      <c r="AL637" s="27">
        <v>12.0</v>
      </c>
      <c r="AM637" s="35">
        <v>40.0</v>
      </c>
      <c r="AN637" s="27">
        <v>52.0</v>
      </c>
      <c r="AO637" s="32">
        <v>55.0</v>
      </c>
      <c r="AP637" s="49">
        <v>1257.0</v>
      </c>
      <c r="AQ637" s="23">
        <v>625.0</v>
      </c>
      <c r="AR637" s="23">
        <v>90.0</v>
      </c>
      <c r="AS637" s="31"/>
      <c r="AT637" s="47" t="s">
        <v>2117</v>
      </c>
      <c r="AU637" s="47" t="s">
        <v>3711</v>
      </c>
      <c r="AV637" s="47" t="s">
        <v>12660</v>
      </c>
      <c r="AW637" s="27"/>
      <c r="AX637" s="50">
        <v>36755.0</v>
      </c>
      <c r="AY637" s="47" t="s">
        <v>2467</v>
      </c>
      <c r="AZ637" s="27" t="s">
        <v>2310</v>
      </c>
      <c r="BA637" s="47" t="s">
        <v>12661</v>
      </c>
      <c r="BB637" s="47" t="s">
        <v>3055</v>
      </c>
      <c r="BC637" s="47" t="s">
        <v>12662</v>
      </c>
      <c r="BD637" s="47" t="s">
        <v>12663</v>
      </c>
      <c r="BE637" s="27" t="s">
        <v>12664</v>
      </c>
      <c r="BF637" s="27">
        <v>1.196707802E10</v>
      </c>
      <c r="BG637" s="47" t="s">
        <v>4038</v>
      </c>
      <c r="BH637" s="27" t="s">
        <v>2128</v>
      </c>
      <c r="BI637" s="27"/>
      <c r="BJ637" s="27" t="s">
        <v>2129</v>
      </c>
      <c r="BK637" s="27" t="s">
        <v>17</v>
      </c>
      <c r="BL637" s="27"/>
      <c r="BM637" s="27" t="s">
        <v>5411</v>
      </c>
      <c r="BN637" s="32" t="s">
        <v>12665</v>
      </c>
      <c r="BO637" s="47" t="s">
        <v>2473</v>
      </c>
      <c r="BP637" s="27"/>
      <c r="BQ637" s="27" t="s">
        <v>2133</v>
      </c>
      <c r="BR637" s="27" t="s">
        <v>2133</v>
      </c>
      <c r="BS637" s="27" t="s">
        <v>2134</v>
      </c>
      <c r="BT637" s="47" t="s">
        <v>38</v>
      </c>
      <c r="BU637" s="27"/>
      <c r="BV637" s="27"/>
      <c r="BW637" s="27"/>
      <c r="BX637" s="27"/>
      <c r="BY637" s="27"/>
      <c r="BZ637" s="27"/>
      <c r="CA637" s="27"/>
      <c r="CB637" s="27" t="s">
        <v>2113</v>
      </c>
      <c r="CC637" s="27" t="s">
        <v>2113</v>
      </c>
      <c r="CD637" s="27" t="s">
        <v>2137</v>
      </c>
      <c r="CE637" s="27" t="s">
        <v>16</v>
      </c>
      <c r="CF637" s="27"/>
      <c r="CG637" s="27"/>
      <c r="CH637" s="27" t="s">
        <v>16</v>
      </c>
      <c r="CI637" s="29">
        <v>0.0</v>
      </c>
      <c r="CJ637" s="27" t="s">
        <v>16</v>
      </c>
      <c r="CK637" s="27"/>
      <c r="CL637" s="27"/>
      <c r="CM637" s="27" t="s">
        <v>2344</v>
      </c>
      <c r="CN637" s="47" t="s">
        <v>2475</v>
      </c>
      <c r="CO637" s="27"/>
      <c r="CP637" s="27" t="s">
        <v>2140</v>
      </c>
      <c r="CQ637" s="27"/>
      <c r="CR637" s="27"/>
      <c r="CS637" s="27" t="s">
        <v>2113</v>
      </c>
      <c r="CT637" s="27" t="s">
        <v>2113</v>
      </c>
      <c r="CU637" s="27" t="s">
        <v>2113</v>
      </c>
      <c r="CV637" s="47" t="s">
        <v>2141</v>
      </c>
      <c r="CW637" s="27" t="s">
        <v>2113</v>
      </c>
      <c r="CX637" s="27" t="s">
        <v>2113</v>
      </c>
      <c r="CY637" s="27"/>
      <c r="CZ637" s="27"/>
      <c r="DA637" s="27" t="s">
        <v>16</v>
      </c>
      <c r="DB637" s="27" t="s">
        <v>16</v>
      </c>
      <c r="DC637" s="47" t="s">
        <v>2578</v>
      </c>
      <c r="DD637" s="27" t="s">
        <v>2113</v>
      </c>
      <c r="DE637" s="27" t="s">
        <v>2113</v>
      </c>
      <c r="DF637" s="47" t="s">
        <v>2406</v>
      </c>
      <c r="DG637" s="47" t="s">
        <v>3255</v>
      </c>
      <c r="DH637" s="27" t="s">
        <v>2144</v>
      </c>
      <c r="DI637" s="32" t="s">
        <v>12666</v>
      </c>
      <c r="DJ637" s="32" t="s">
        <v>12666</v>
      </c>
      <c r="DK637" s="32" t="s">
        <v>12666</v>
      </c>
      <c r="DL637" s="32" t="s">
        <v>12666</v>
      </c>
      <c r="DM637" s="32" t="s">
        <v>12666</v>
      </c>
      <c r="DN637" s="32" t="s">
        <v>12666</v>
      </c>
      <c r="DO637" s="32" t="s">
        <v>12666</v>
      </c>
      <c r="DP637" s="45" t="s">
        <v>12667</v>
      </c>
      <c r="DQ637" s="45" t="s">
        <v>12668</v>
      </c>
      <c r="DR637" s="45" t="s">
        <v>12669</v>
      </c>
      <c r="DS637" s="32" t="s">
        <v>12666</v>
      </c>
      <c r="DT637" s="32" t="s">
        <v>12666</v>
      </c>
      <c r="DU637" s="32" t="s">
        <v>12666</v>
      </c>
      <c r="DV637" s="27"/>
      <c r="DW637" s="32" t="s">
        <v>12666</v>
      </c>
      <c r="DX637" s="32" t="s">
        <v>12666</v>
      </c>
      <c r="DY637" s="27"/>
      <c r="DZ637" s="32">
        <v>0.0</v>
      </c>
      <c r="EA637" s="27"/>
      <c r="EB637" s="32">
        <v>0.0</v>
      </c>
      <c r="EC637" s="27"/>
      <c r="ED637" s="27"/>
      <c r="EE637" s="36"/>
      <c r="EF637" s="27"/>
      <c r="EG637" s="27"/>
      <c r="EH637" s="27"/>
      <c r="EI637" s="31"/>
      <c r="EJ637" s="27"/>
      <c r="EK637" s="27"/>
      <c r="EL637" s="27"/>
      <c r="EM637" s="27"/>
      <c r="EN637" s="27"/>
      <c r="EO637" s="27"/>
      <c r="EP637" s="27"/>
      <c r="EQ637" s="27"/>
      <c r="ER637" s="27"/>
      <c r="ES637" s="27"/>
      <c r="ET637" s="27"/>
      <c r="EU637" s="27"/>
      <c r="EV637" s="27"/>
      <c r="EW637" s="27"/>
      <c r="EX637" s="27"/>
      <c r="EY637" s="53" t="s">
        <v>1871</v>
      </c>
      <c r="EZ637" s="27" t="s">
        <v>2154</v>
      </c>
      <c r="FA637" s="47" t="s">
        <v>12670</v>
      </c>
      <c r="FB637" s="38" t="s">
        <v>2156</v>
      </c>
      <c r="FC637" s="38" t="s">
        <v>12671</v>
      </c>
    </row>
    <row r="638">
      <c r="A638" s="19" t="s">
        <v>2112</v>
      </c>
      <c r="B638" s="19"/>
      <c r="C638" s="19" t="s">
        <v>2113</v>
      </c>
      <c r="D638" s="19" t="s">
        <v>1873</v>
      </c>
      <c r="E638" s="19" t="s">
        <v>12672</v>
      </c>
      <c r="F638" s="19" t="s">
        <v>12673</v>
      </c>
      <c r="G638" s="19" t="s">
        <v>12674</v>
      </c>
      <c r="H638" s="19" t="s">
        <v>1873</v>
      </c>
      <c r="I638" s="19" t="s">
        <v>1875</v>
      </c>
      <c r="J638" s="19" t="s">
        <v>12675</v>
      </c>
      <c r="K638" s="19" t="s">
        <v>12676</v>
      </c>
      <c r="L638" s="20">
        <v>45446.0</v>
      </c>
      <c r="M638" s="20">
        <v>45447.0</v>
      </c>
      <c r="N638" s="20">
        <v>45447.0</v>
      </c>
      <c r="O638" s="19" t="s">
        <v>1874</v>
      </c>
      <c r="P638" s="19">
        <v>0.0</v>
      </c>
      <c r="Q638" s="19">
        <v>18.0</v>
      </c>
      <c r="R638" s="19">
        <v>6738.0</v>
      </c>
      <c r="S638" s="20" t="s">
        <v>12677</v>
      </c>
      <c r="T638" s="20">
        <v>45461.0</v>
      </c>
      <c r="U638" s="19" t="s">
        <v>12673</v>
      </c>
      <c r="V638" s="19"/>
      <c r="W638" s="19"/>
      <c r="X638" s="21">
        <v>0.0</v>
      </c>
      <c r="Y638" s="21">
        <v>0.0</v>
      </c>
      <c r="Z638" s="21">
        <v>5.0</v>
      </c>
      <c r="AA638" s="21">
        <v>0.0</v>
      </c>
      <c r="AB638" s="5">
        <v>5.0</v>
      </c>
      <c r="AC638" s="19">
        <v>4.0</v>
      </c>
      <c r="AD638" s="19">
        <v>4.0</v>
      </c>
      <c r="AE638" s="19">
        <v>4.0</v>
      </c>
      <c r="AF638" s="19">
        <v>4.0</v>
      </c>
      <c r="AG638" s="19">
        <v>4.0</v>
      </c>
      <c r="AH638" s="19">
        <v>4.0</v>
      </c>
      <c r="AI638" s="22">
        <v>12.0</v>
      </c>
      <c r="AJ638" s="19">
        <v>13.0</v>
      </c>
      <c r="AK638" s="19">
        <v>12.0</v>
      </c>
      <c r="AL638" s="19">
        <v>13.0</v>
      </c>
      <c r="AM638" s="19">
        <v>38.0</v>
      </c>
      <c r="AN638" s="19">
        <v>50.0</v>
      </c>
      <c r="AO638" s="19">
        <v>55.0</v>
      </c>
      <c r="AP638" s="19">
        <v>1145.0</v>
      </c>
      <c r="AQ638" s="23">
        <v>626.0</v>
      </c>
      <c r="AR638" s="23">
        <v>91.0</v>
      </c>
      <c r="AS638" s="22"/>
      <c r="AT638" s="19" t="s">
        <v>2163</v>
      </c>
      <c r="AU638" s="19" t="s">
        <v>2283</v>
      </c>
      <c r="AV638" s="19" t="s">
        <v>12678</v>
      </c>
      <c r="AW638" s="19" t="s">
        <v>10193</v>
      </c>
      <c r="AX638" s="20">
        <v>38723.0</v>
      </c>
      <c r="AY638" s="19" t="s">
        <v>2286</v>
      </c>
      <c r="AZ638" s="19" t="s">
        <v>2122</v>
      </c>
      <c r="BA638" s="19" t="s">
        <v>12679</v>
      </c>
      <c r="BB638" s="19" t="s">
        <v>12680</v>
      </c>
      <c r="BC638" s="19" t="s">
        <v>12681</v>
      </c>
      <c r="BD638" s="19" t="s">
        <v>12682</v>
      </c>
      <c r="BE638" s="19" t="s">
        <v>12683</v>
      </c>
      <c r="BF638" s="19">
        <v>1.1975404822E10</v>
      </c>
      <c r="BG638" s="19" t="s">
        <v>4038</v>
      </c>
      <c r="BH638" s="19" t="s">
        <v>2128</v>
      </c>
      <c r="BI638" s="19"/>
      <c r="BJ638" s="19" t="s">
        <v>2128</v>
      </c>
      <c r="BK638" s="19" t="s">
        <v>17</v>
      </c>
      <c r="BL638" s="19"/>
      <c r="BM638" s="19" t="s">
        <v>5411</v>
      </c>
      <c r="BN638" s="19" t="s">
        <v>2401</v>
      </c>
      <c r="BO638" s="19" t="s">
        <v>2132</v>
      </c>
      <c r="BP638" s="19"/>
      <c r="BQ638" s="19" t="s">
        <v>2133</v>
      </c>
      <c r="BR638" s="19" t="s">
        <v>2133</v>
      </c>
      <c r="BS638" s="19" t="s">
        <v>2243</v>
      </c>
      <c r="BT638" s="19" t="s">
        <v>38</v>
      </c>
      <c r="BU638" s="19" t="s">
        <v>9698</v>
      </c>
      <c r="BV638" s="19"/>
      <c r="BW638" s="19" t="s">
        <v>2113</v>
      </c>
      <c r="BX638" s="19"/>
      <c r="BY638" s="19"/>
      <c r="BZ638" s="19"/>
      <c r="CA638" s="19"/>
      <c r="CB638" s="19" t="s">
        <v>2113</v>
      </c>
      <c r="CC638" s="19"/>
      <c r="CD638" s="19" t="s">
        <v>2137</v>
      </c>
      <c r="CE638" s="19" t="s">
        <v>16</v>
      </c>
      <c r="CF638" s="19"/>
      <c r="CG638" s="19"/>
      <c r="CH638" s="19" t="s">
        <v>16</v>
      </c>
      <c r="CI638" s="21">
        <v>0.0</v>
      </c>
      <c r="CJ638" s="19" t="s">
        <v>17</v>
      </c>
      <c r="CK638" s="19"/>
      <c r="CL638" s="19"/>
      <c r="CM638" s="19" t="s">
        <v>2344</v>
      </c>
      <c r="CN638" s="19" t="s">
        <v>2294</v>
      </c>
      <c r="CO638" s="19"/>
      <c r="CP638" s="19" t="s">
        <v>2246</v>
      </c>
      <c r="CQ638" s="19"/>
      <c r="CR638" s="19" t="s">
        <v>2113</v>
      </c>
      <c r="CS638" s="19" t="s">
        <v>2113</v>
      </c>
      <c r="CT638" s="19"/>
      <c r="CU638" s="19"/>
      <c r="CV638" s="19" t="s">
        <v>2141</v>
      </c>
      <c r="CW638" s="19" t="s">
        <v>2113</v>
      </c>
      <c r="CX638" s="19" t="s">
        <v>2113</v>
      </c>
      <c r="CY638" s="19"/>
      <c r="CZ638" s="19"/>
      <c r="DA638" s="19" t="s">
        <v>16</v>
      </c>
      <c r="DB638" s="19" t="s">
        <v>17</v>
      </c>
      <c r="DC638" s="19" t="s">
        <v>2296</v>
      </c>
      <c r="DD638" s="19"/>
      <c r="DE638" s="19"/>
      <c r="DF638" s="19" t="s">
        <v>3524</v>
      </c>
      <c r="DG638" s="19" t="s">
        <v>2248</v>
      </c>
      <c r="DH638" s="19" t="s">
        <v>2144</v>
      </c>
      <c r="DI638" s="24">
        <v>45531.0</v>
      </c>
      <c r="DJ638" s="19" t="s">
        <v>2133</v>
      </c>
      <c r="DK638" s="19" t="s">
        <v>2145</v>
      </c>
      <c r="DL638" s="19" t="s">
        <v>2146</v>
      </c>
      <c r="DM638" s="19" t="s">
        <v>3183</v>
      </c>
      <c r="DN638" s="19">
        <v>13.0</v>
      </c>
      <c r="DO638" s="19">
        <v>13.0</v>
      </c>
      <c r="DP638" s="19" t="s">
        <v>12684</v>
      </c>
      <c r="DQ638" s="19" t="s">
        <v>12685</v>
      </c>
      <c r="DR638" s="19" t="s">
        <v>12686</v>
      </c>
      <c r="DS638" s="19" t="s">
        <v>2151</v>
      </c>
      <c r="DT638" s="19" t="s">
        <v>2366</v>
      </c>
      <c r="DU638" s="19"/>
      <c r="DV638" s="19"/>
      <c r="DW638" s="19" t="s">
        <v>2153</v>
      </c>
      <c r="DX638" s="19">
        <v>12.0</v>
      </c>
      <c r="DY638" s="19">
        <v>0.0</v>
      </c>
      <c r="DZ638" s="19">
        <v>0.0</v>
      </c>
      <c r="EA638" s="19">
        <v>0.0</v>
      </c>
      <c r="EB638" s="19">
        <v>0.0</v>
      </c>
      <c r="EC638" s="19">
        <v>0.0</v>
      </c>
      <c r="ED638" s="19" t="s">
        <v>2133</v>
      </c>
      <c r="EE638" s="24">
        <v>45531.0</v>
      </c>
      <c r="EF638" s="19" t="s">
        <v>2133</v>
      </c>
      <c r="EG638" s="19" t="s">
        <v>2145</v>
      </c>
      <c r="EH638" s="19" t="s">
        <v>2146</v>
      </c>
      <c r="EI638" s="22">
        <v>12.0</v>
      </c>
      <c r="EJ638" s="19">
        <v>38.0</v>
      </c>
      <c r="EK638" s="19" t="s">
        <v>2113</v>
      </c>
      <c r="EL638" s="19" t="s">
        <v>2163</v>
      </c>
      <c r="EM638" s="19" t="s">
        <v>2283</v>
      </c>
      <c r="EN638" s="19" t="s">
        <v>1875</v>
      </c>
      <c r="EO638" s="19" t="s">
        <v>2286</v>
      </c>
      <c r="EP638" s="19" t="s">
        <v>2122</v>
      </c>
      <c r="EQ638" s="19" t="s">
        <v>2294</v>
      </c>
      <c r="ER638" s="19"/>
      <c r="ES638" s="19" t="s">
        <v>1875</v>
      </c>
      <c r="ET638" s="19" t="s">
        <v>1875</v>
      </c>
      <c r="EU638" s="19" t="s">
        <v>12676</v>
      </c>
      <c r="EV638" s="19">
        <v>6738.0</v>
      </c>
      <c r="EW638" s="19" t="s">
        <v>16</v>
      </c>
      <c r="EX638" s="19">
        <v>5.0</v>
      </c>
      <c r="EY638" s="25" t="s">
        <v>1874</v>
      </c>
      <c r="EZ638" s="19" t="s">
        <v>2154</v>
      </c>
      <c r="FA638" s="5" t="s">
        <v>12687</v>
      </c>
      <c r="FB638" s="26" t="s">
        <v>2156</v>
      </c>
      <c r="FC638" s="26"/>
    </row>
    <row r="639">
      <c r="A639" s="19" t="s">
        <v>2112</v>
      </c>
      <c r="B639" s="19"/>
      <c r="C639" s="19" t="s">
        <v>2113</v>
      </c>
      <c r="D639" s="19" t="s">
        <v>1876</v>
      </c>
      <c r="E639" s="19" t="s">
        <v>1876</v>
      </c>
      <c r="F639" s="19" t="s">
        <v>1876</v>
      </c>
      <c r="G639" s="19"/>
      <c r="H639" s="19" t="s">
        <v>1876</v>
      </c>
      <c r="I639" s="19" t="s">
        <v>1878</v>
      </c>
      <c r="J639" s="19" t="s">
        <v>12688</v>
      </c>
      <c r="K639" s="19" t="s">
        <v>12689</v>
      </c>
      <c r="L639" s="20">
        <v>45411.0</v>
      </c>
      <c r="M639" s="20">
        <v>45414.0</v>
      </c>
      <c r="N639" s="20">
        <v>45414.0</v>
      </c>
      <c r="O639" s="19" t="s">
        <v>1877</v>
      </c>
      <c r="P639" s="19">
        <v>0.0</v>
      </c>
      <c r="Q639" s="19">
        <v>28.0</v>
      </c>
      <c r="R639" s="19">
        <v>10280.0</v>
      </c>
      <c r="S639" s="20" t="s">
        <v>12690</v>
      </c>
      <c r="T639" s="20">
        <v>45461.0</v>
      </c>
      <c r="U639" s="19" t="s">
        <v>1876</v>
      </c>
      <c r="V639" s="19"/>
      <c r="W639" s="19"/>
      <c r="X639" s="21">
        <v>0.0</v>
      </c>
      <c r="Y639" s="21">
        <v>10.0</v>
      </c>
      <c r="Z639" s="21">
        <v>3.0</v>
      </c>
      <c r="AA639" s="21">
        <v>0.0</v>
      </c>
      <c r="AB639" s="5">
        <v>13.0</v>
      </c>
      <c r="AC639" s="19">
        <v>4.5</v>
      </c>
      <c r="AD639" s="19">
        <v>3.25</v>
      </c>
      <c r="AE639" s="19">
        <v>3.75</v>
      </c>
      <c r="AF639" s="19">
        <v>4.25</v>
      </c>
      <c r="AG639" s="19">
        <v>3.75</v>
      </c>
      <c r="AH639" s="19">
        <v>4.5</v>
      </c>
      <c r="AI639" s="22">
        <v>11.7421875</v>
      </c>
      <c r="AJ639" s="19">
        <v>10.0</v>
      </c>
      <c r="AK639" s="19">
        <v>10.0</v>
      </c>
      <c r="AL639" s="19">
        <v>10.0</v>
      </c>
      <c r="AM639" s="19">
        <v>30.0</v>
      </c>
      <c r="AN639" s="19">
        <v>41.7</v>
      </c>
      <c r="AO639" s="19">
        <v>54.7</v>
      </c>
      <c r="AP639" s="19">
        <v>672.0</v>
      </c>
      <c r="AQ639" s="23">
        <v>627.0</v>
      </c>
      <c r="AR639" s="23">
        <v>48.0</v>
      </c>
      <c r="AS639" s="22"/>
      <c r="AT639" s="19" t="s">
        <v>2117</v>
      </c>
      <c r="AU639" s="19" t="s">
        <v>12510</v>
      </c>
      <c r="AV639" s="19" t="s">
        <v>12691</v>
      </c>
      <c r="AW639" s="19"/>
      <c r="AX639" s="20">
        <v>35181.0</v>
      </c>
      <c r="AY639" s="19" t="s">
        <v>3034</v>
      </c>
      <c r="AZ639" s="19" t="s">
        <v>2122</v>
      </c>
      <c r="BA639" s="19" t="s">
        <v>12692</v>
      </c>
      <c r="BB639" s="19" t="s">
        <v>5922</v>
      </c>
      <c r="BC639" s="19" t="s">
        <v>12693</v>
      </c>
      <c r="BD639" s="19" t="s">
        <v>12694</v>
      </c>
      <c r="BE639" s="19"/>
      <c r="BF639" s="19"/>
      <c r="BG639" s="19" t="s">
        <v>2127</v>
      </c>
      <c r="BH639" s="19" t="s">
        <v>2128</v>
      </c>
      <c r="BI639" s="19"/>
      <c r="BJ639" s="19" t="s">
        <v>2128</v>
      </c>
      <c r="BK639" s="19" t="s">
        <v>16</v>
      </c>
      <c r="BL639" s="19"/>
      <c r="BM639" s="19" t="s">
        <v>5411</v>
      </c>
      <c r="BN639" s="19" t="s">
        <v>2172</v>
      </c>
      <c r="BO639" s="19" t="s">
        <v>2473</v>
      </c>
      <c r="BP639" s="19"/>
      <c r="BQ639" s="19" t="s">
        <v>2174</v>
      </c>
      <c r="BR639" s="19" t="s">
        <v>2174</v>
      </c>
      <c r="BS639" s="19" t="s">
        <v>2134</v>
      </c>
      <c r="BT639" s="19" t="s">
        <v>34</v>
      </c>
      <c r="BU639" s="19"/>
      <c r="BV639" s="19"/>
      <c r="BW639" s="19" t="s">
        <v>2113</v>
      </c>
      <c r="BX639" s="19"/>
      <c r="BY639" s="19"/>
      <c r="BZ639" s="19"/>
      <c r="CA639" s="19"/>
      <c r="CB639" s="19"/>
      <c r="CC639" s="19"/>
      <c r="CD639" s="19" t="s">
        <v>2137</v>
      </c>
      <c r="CE639" s="19" t="s">
        <v>16</v>
      </c>
      <c r="CF639" s="19"/>
      <c r="CG639" s="19"/>
      <c r="CH639" s="19" t="s">
        <v>16</v>
      </c>
      <c r="CI639" s="21">
        <v>0.0</v>
      </c>
      <c r="CJ639" s="19" t="s">
        <v>17</v>
      </c>
      <c r="CK639" s="19"/>
      <c r="CL639" s="19"/>
      <c r="CM639" s="19" t="s">
        <v>2138</v>
      </c>
      <c r="CN639" s="19" t="s">
        <v>3041</v>
      </c>
      <c r="CO639" s="19" t="s">
        <v>2177</v>
      </c>
      <c r="CP639" s="19" t="s">
        <v>2134</v>
      </c>
      <c r="CQ639" s="19"/>
      <c r="CR639" s="19"/>
      <c r="CS639" s="19"/>
      <c r="CT639" s="19" t="s">
        <v>2113</v>
      </c>
      <c r="CU639" s="19" t="s">
        <v>2113</v>
      </c>
      <c r="CV639" s="19" t="s">
        <v>2141</v>
      </c>
      <c r="CW639" s="19" t="s">
        <v>2113</v>
      </c>
      <c r="CX639" s="19" t="s">
        <v>2113</v>
      </c>
      <c r="CY639" s="19"/>
      <c r="CZ639" s="19"/>
      <c r="DA639" s="19" t="s">
        <v>16</v>
      </c>
      <c r="DB639" s="19" t="s">
        <v>17</v>
      </c>
      <c r="DC639" s="19" t="s">
        <v>3042</v>
      </c>
      <c r="DD639" s="19" t="s">
        <v>2113</v>
      </c>
      <c r="DE639" s="19" t="s">
        <v>2113</v>
      </c>
      <c r="DF639" s="19" t="s">
        <v>2433</v>
      </c>
      <c r="DG639" s="19" t="s">
        <v>7621</v>
      </c>
      <c r="DH639" s="19" t="s">
        <v>2144</v>
      </c>
      <c r="DI639" s="24">
        <v>45517.0</v>
      </c>
      <c r="DJ639" s="19" t="s">
        <v>2174</v>
      </c>
      <c r="DK639" s="19" t="s">
        <v>2271</v>
      </c>
      <c r="DL639" s="19" t="s">
        <v>2183</v>
      </c>
      <c r="DM639" s="19" t="s">
        <v>2515</v>
      </c>
      <c r="DN639" s="19">
        <v>2.0</v>
      </c>
      <c r="DO639" s="19">
        <v>2.0</v>
      </c>
      <c r="DP639" s="19" t="s">
        <v>12695</v>
      </c>
      <c r="DQ639" s="19" t="s">
        <v>12696</v>
      </c>
      <c r="DR639" s="19" t="s">
        <v>12697</v>
      </c>
      <c r="DS639" s="19" t="s">
        <v>2185</v>
      </c>
      <c r="DT639" s="19" t="s">
        <v>2366</v>
      </c>
      <c r="DU639" s="19"/>
      <c r="DV639" s="19"/>
      <c r="DW639" s="19" t="s">
        <v>3306</v>
      </c>
      <c r="DX639" s="19">
        <v>4.0</v>
      </c>
      <c r="DY639" s="19">
        <v>10.0</v>
      </c>
      <c r="DZ639" s="19">
        <v>0.0</v>
      </c>
      <c r="EA639" s="19">
        <v>10.0</v>
      </c>
      <c r="EB639" s="19">
        <v>0.0</v>
      </c>
      <c r="EC639" s="19">
        <v>0.0</v>
      </c>
      <c r="ED639" s="19" t="s">
        <v>2174</v>
      </c>
      <c r="EE639" s="24">
        <v>45517.0</v>
      </c>
      <c r="EF639" s="19" t="s">
        <v>2174</v>
      </c>
      <c r="EG639" s="19" t="s">
        <v>2271</v>
      </c>
      <c r="EH639" s="19" t="s">
        <v>2183</v>
      </c>
      <c r="EI639" s="22">
        <v>11.7421875</v>
      </c>
      <c r="EJ639" s="19">
        <v>30.0</v>
      </c>
      <c r="EK639" s="19" t="s">
        <v>2113</v>
      </c>
      <c r="EL639" s="19" t="s">
        <v>2117</v>
      </c>
      <c r="EM639" s="19" t="s">
        <v>12510</v>
      </c>
      <c r="EN639" s="19" t="s">
        <v>1878</v>
      </c>
      <c r="EO639" s="19" t="s">
        <v>3034</v>
      </c>
      <c r="EP639" s="19" t="s">
        <v>2122</v>
      </c>
      <c r="EQ639" s="19" t="s">
        <v>3041</v>
      </c>
      <c r="ER639" s="19" t="s">
        <v>2177</v>
      </c>
      <c r="ES639" s="19" t="s">
        <v>1878</v>
      </c>
      <c r="ET639" s="19" t="s">
        <v>1878</v>
      </c>
      <c r="EU639" s="19" t="s">
        <v>12689</v>
      </c>
      <c r="EV639" s="19">
        <v>10280.0</v>
      </c>
      <c r="EW639" s="19" t="s">
        <v>16</v>
      </c>
      <c r="EX639" s="19">
        <v>3.0</v>
      </c>
      <c r="EY639" s="25" t="s">
        <v>1877</v>
      </c>
      <c r="EZ639" s="19" t="s">
        <v>2154</v>
      </c>
      <c r="FA639" s="5" t="s">
        <v>12698</v>
      </c>
      <c r="FB639" s="26" t="s">
        <v>2156</v>
      </c>
      <c r="FC639" s="26"/>
    </row>
    <row r="640">
      <c r="A640" s="19" t="s">
        <v>2112</v>
      </c>
      <c r="B640" s="19"/>
      <c r="C640" s="19" t="s">
        <v>2113</v>
      </c>
      <c r="D640" s="19" t="s">
        <v>1879</v>
      </c>
      <c r="E640" s="19" t="s">
        <v>12699</v>
      </c>
      <c r="F640" s="19" t="s">
        <v>1879</v>
      </c>
      <c r="G640" s="19"/>
      <c r="H640" s="19" t="s">
        <v>1879</v>
      </c>
      <c r="I640" s="19" t="s">
        <v>1881</v>
      </c>
      <c r="J640" s="19" t="s">
        <v>12700</v>
      </c>
      <c r="K640" s="19" t="s">
        <v>12701</v>
      </c>
      <c r="L640" s="20">
        <v>45420.0</v>
      </c>
      <c r="M640" s="20">
        <v>45428.0</v>
      </c>
      <c r="N640" s="20">
        <v>45428.0</v>
      </c>
      <c r="O640" s="19" t="s">
        <v>1880</v>
      </c>
      <c r="P640" s="19">
        <v>0.0</v>
      </c>
      <c r="Q640" s="19">
        <v>19.0</v>
      </c>
      <c r="R640" s="19">
        <v>6974.0</v>
      </c>
      <c r="S640" s="20" t="s">
        <v>12702</v>
      </c>
      <c r="T640" s="20">
        <v>45461.0</v>
      </c>
      <c r="U640" s="19" t="s">
        <v>1879</v>
      </c>
      <c r="V640" s="19"/>
      <c r="W640" s="19"/>
      <c r="X640" s="21">
        <v>0.0</v>
      </c>
      <c r="Y640" s="21">
        <v>5.0</v>
      </c>
      <c r="Z640" s="21">
        <v>1.0</v>
      </c>
      <c r="AA640" s="21">
        <v>0.0</v>
      </c>
      <c r="AB640" s="5">
        <v>6.0</v>
      </c>
      <c r="AC640" s="19">
        <v>3.8</v>
      </c>
      <c r="AD640" s="19">
        <v>4.4</v>
      </c>
      <c r="AE640" s="19">
        <v>3.8</v>
      </c>
      <c r="AF640" s="19">
        <v>3.2</v>
      </c>
      <c r="AG640" s="19">
        <v>3.8</v>
      </c>
      <c r="AH640" s="19">
        <v>4.0</v>
      </c>
      <c r="AI640" s="22">
        <v>11.64375</v>
      </c>
      <c r="AJ640" s="19">
        <v>10.0</v>
      </c>
      <c r="AK640" s="19">
        <v>15.0</v>
      </c>
      <c r="AL640" s="19">
        <v>12.0</v>
      </c>
      <c r="AM640" s="19">
        <v>37.0</v>
      </c>
      <c r="AN640" s="19">
        <v>48.6</v>
      </c>
      <c r="AO640" s="19">
        <v>54.6</v>
      </c>
      <c r="AP640" s="19">
        <v>1022.0</v>
      </c>
      <c r="AQ640" s="23">
        <v>628.0</v>
      </c>
      <c r="AR640" s="23">
        <v>49.0</v>
      </c>
      <c r="AS640" s="22"/>
      <c r="AT640" s="19" t="s">
        <v>2282</v>
      </c>
      <c r="AU640" s="19" t="s">
        <v>5442</v>
      </c>
      <c r="AV640" s="19" t="s">
        <v>12703</v>
      </c>
      <c r="AW640" s="19"/>
      <c r="AX640" s="20">
        <v>38487.0</v>
      </c>
      <c r="AY640" s="19" t="s">
        <v>4917</v>
      </c>
      <c r="AZ640" s="19" t="s">
        <v>2445</v>
      </c>
      <c r="BA640" s="19" t="s">
        <v>12704</v>
      </c>
      <c r="BB640" s="19" t="s">
        <v>12705</v>
      </c>
      <c r="BC640" s="19" t="s">
        <v>12706</v>
      </c>
      <c r="BD640" s="19" t="s">
        <v>12707</v>
      </c>
      <c r="BE640" s="19" t="s">
        <v>12700</v>
      </c>
      <c r="BF640" s="19">
        <v>1.1993174058E10</v>
      </c>
      <c r="BG640" s="19" t="s">
        <v>3518</v>
      </c>
      <c r="BH640" s="19" t="s">
        <v>2128</v>
      </c>
      <c r="BI640" s="19"/>
      <c r="BJ640" s="19" t="s">
        <v>2427</v>
      </c>
      <c r="BK640" s="19" t="s">
        <v>17</v>
      </c>
      <c r="BL640" s="19"/>
      <c r="BM640" s="19" t="s">
        <v>5411</v>
      </c>
      <c r="BN640" s="19" t="s">
        <v>17</v>
      </c>
      <c r="BO640" s="19" t="s">
        <v>3082</v>
      </c>
      <c r="BP640" s="19"/>
      <c r="BQ640" s="19" t="s">
        <v>2174</v>
      </c>
      <c r="BR640" s="19" t="s">
        <v>2174</v>
      </c>
      <c r="BS640" s="19" t="s">
        <v>2243</v>
      </c>
      <c r="BT640" s="19" t="s">
        <v>34</v>
      </c>
      <c r="BU640" s="19" t="s">
        <v>12708</v>
      </c>
      <c r="BV640" s="19"/>
      <c r="BW640" s="19" t="s">
        <v>2113</v>
      </c>
      <c r="BX640" s="19"/>
      <c r="BY640" s="19"/>
      <c r="BZ640" s="19"/>
      <c r="CA640" s="19"/>
      <c r="CB640" s="19" t="s">
        <v>2113</v>
      </c>
      <c r="CC640" s="19"/>
      <c r="CD640" s="19" t="s">
        <v>2137</v>
      </c>
      <c r="CE640" s="19" t="s">
        <v>16</v>
      </c>
      <c r="CF640" s="19"/>
      <c r="CG640" s="19"/>
      <c r="CH640" s="19" t="s">
        <v>16</v>
      </c>
      <c r="CI640" s="21">
        <v>0.0</v>
      </c>
      <c r="CJ640" s="19" t="s">
        <v>16</v>
      </c>
      <c r="CK640" s="19"/>
      <c r="CL640" s="19"/>
      <c r="CM640" s="19" t="s">
        <v>2138</v>
      </c>
      <c r="CN640" s="19" t="s">
        <v>4925</v>
      </c>
      <c r="CO640" s="19"/>
      <c r="CP640" s="19" t="s">
        <v>2246</v>
      </c>
      <c r="CQ640" s="19"/>
      <c r="CR640" s="19" t="s">
        <v>2113</v>
      </c>
      <c r="CS640" s="19" t="s">
        <v>2113</v>
      </c>
      <c r="CT640" s="19"/>
      <c r="CU640" s="19"/>
      <c r="CV640" s="19" t="s">
        <v>2179</v>
      </c>
      <c r="CW640" s="19" t="s">
        <v>2113</v>
      </c>
      <c r="CX640" s="19" t="s">
        <v>2113</v>
      </c>
      <c r="CY640" s="19" t="s">
        <v>2113</v>
      </c>
      <c r="CZ640" s="19" t="s">
        <v>2113</v>
      </c>
      <c r="DA640" s="19" t="s">
        <v>16</v>
      </c>
      <c r="DB640" s="19" t="s">
        <v>16</v>
      </c>
      <c r="DC640" s="19" t="s">
        <v>3370</v>
      </c>
      <c r="DD640" s="19" t="s">
        <v>2113</v>
      </c>
      <c r="DE640" s="19" t="s">
        <v>2113</v>
      </c>
      <c r="DF640" s="19" t="s">
        <v>2247</v>
      </c>
      <c r="DG640" s="19" t="s">
        <v>2248</v>
      </c>
      <c r="DH640" s="19" t="s">
        <v>2144</v>
      </c>
      <c r="DI640" s="24">
        <v>45526.0</v>
      </c>
      <c r="DJ640" s="19" t="s">
        <v>2174</v>
      </c>
      <c r="DK640" s="19" t="s">
        <v>2271</v>
      </c>
      <c r="DL640" s="19" t="s">
        <v>2183</v>
      </c>
      <c r="DM640" s="19"/>
      <c r="DN640" s="19">
        <v>12.0</v>
      </c>
      <c r="DO640" s="19">
        <v>12.0</v>
      </c>
      <c r="DP640" s="19"/>
      <c r="DQ640" s="19"/>
      <c r="DR640" s="19"/>
      <c r="DS640" s="19" t="s">
        <v>2151</v>
      </c>
      <c r="DT640" s="19" t="s">
        <v>2209</v>
      </c>
      <c r="DU640" s="19" t="s">
        <v>12709</v>
      </c>
      <c r="DV640" s="19"/>
      <c r="DW640" s="19" t="s">
        <v>2479</v>
      </c>
      <c r="DX640" s="19">
        <v>16.0</v>
      </c>
      <c r="DY640" s="19">
        <v>5.0</v>
      </c>
      <c r="DZ640" s="19">
        <v>0.0</v>
      </c>
      <c r="EA640" s="19">
        <v>5.0</v>
      </c>
      <c r="EB640" s="19">
        <v>0.0</v>
      </c>
      <c r="EC640" s="19">
        <v>0.0</v>
      </c>
      <c r="ED640" s="19" t="s">
        <v>2174</v>
      </c>
      <c r="EE640" s="24">
        <v>45526.0</v>
      </c>
      <c r="EF640" s="19" t="s">
        <v>2174</v>
      </c>
      <c r="EG640" s="19" t="s">
        <v>2271</v>
      </c>
      <c r="EH640" s="19" t="s">
        <v>2183</v>
      </c>
      <c r="EI640" s="22">
        <v>11.64375</v>
      </c>
      <c r="EJ640" s="19">
        <v>37.0</v>
      </c>
      <c r="EK640" s="19"/>
      <c r="EL640" s="19" t="s">
        <v>2282</v>
      </c>
      <c r="EM640" s="19" t="s">
        <v>5442</v>
      </c>
      <c r="EN640" s="19" t="s">
        <v>1881</v>
      </c>
      <c r="EO640" s="19" t="s">
        <v>4917</v>
      </c>
      <c r="EP640" s="19" t="s">
        <v>2445</v>
      </c>
      <c r="EQ640" s="19" t="s">
        <v>4925</v>
      </c>
      <c r="ER640" s="19"/>
      <c r="ES640" s="19" t="s">
        <v>1881</v>
      </c>
      <c r="ET640" s="19" t="s">
        <v>1881</v>
      </c>
      <c r="EU640" s="19" t="s">
        <v>12701</v>
      </c>
      <c r="EV640" s="19">
        <v>6974.0</v>
      </c>
      <c r="EW640" s="19" t="s">
        <v>16</v>
      </c>
      <c r="EX640" s="19">
        <v>1.0</v>
      </c>
      <c r="EY640" s="25" t="s">
        <v>1880</v>
      </c>
      <c r="EZ640" s="19" t="s">
        <v>2154</v>
      </c>
      <c r="FA640" s="5" t="s">
        <v>12710</v>
      </c>
      <c r="FB640" s="26" t="s">
        <v>2156</v>
      </c>
      <c r="FC640" s="26"/>
    </row>
    <row r="641">
      <c r="A641" s="19" t="s">
        <v>2112</v>
      </c>
      <c r="B641" s="19"/>
      <c r="C641" s="19" t="s">
        <v>2113</v>
      </c>
      <c r="D641" s="19" t="s">
        <v>1882</v>
      </c>
      <c r="E641" s="19" t="s">
        <v>12711</v>
      </c>
      <c r="F641" s="19" t="s">
        <v>1882</v>
      </c>
      <c r="G641" s="19"/>
      <c r="H641" s="19" t="s">
        <v>1882</v>
      </c>
      <c r="I641" s="19" t="s">
        <v>1860</v>
      </c>
      <c r="J641" s="19" t="s">
        <v>12712</v>
      </c>
      <c r="K641" s="19" t="s">
        <v>12713</v>
      </c>
      <c r="L641" s="20">
        <v>45446.0</v>
      </c>
      <c r="M641" s="20">
        <v>45447.0</v>
      </c>
      <c r="N641" s="20">
        <v>45447.0</v>
      </c>
      <c r="O641" s="19" t="s">
        <v>1883</v>
      </c>
      <c r="P641" s="19">
        <v>0.0</v>
      </c>
      <c r="Q641" s="19">
        <v>27.0</v>
      </c>
      <c r="R641" s="19">
        <v>10031.0</v>
      </c>
      <c r="S641" s="20" t="s">
        <v>12714</v>
      </c>
      <c r="T641" s="20">
        <v>45461.0</v>
      </c>
      <c r="U641" s="19" t="s">
        <v>1882</v>
      </c>
      <c r="V641" s="19"/>
      <c r="W641" s="19"/>
      <c r="X641" s="21">
        <v>0.0</v>
      </c>
      <c r="Y641" s="21">
        <v>5.0</v>
      </c>
      <c r="Z641" s="21">
        <v>1.0</v>
      </c>
      <c r="AA641" s="21">
        <v>0.0</v>
      </c>
      <c r="AB641" s="5">
        <v>6.0</v>
      </c>
      <c r="AC641" s="19">
        <v>4.4</v>
      </c>
      <c r="AD641" s="19">
        <v>4.8</v>
      </c>
      <c r="AE641" s="19">
        <v>4.6</v>
      </c>
      <c r="AF641" s="19">
        <v>4.6</v>
      </c>
      <c r="AG641" s="19">
        <v>4.0</v>
      </c>
      <c r="AH641" s="19">
        <v>4.2</v>
      </c>
      <c r="AI641" s="22">
        <v>13.462499999999999</v>
      </c>
      <c r="AJ641" s="19">
        <v>15.0</v>
      </c>
      <c r="AK641" s="19">
        <v>15.0</v>
      </c>
      <c r="AL641" s="19">
        <v>5.0</v>
      </c>
      <c r="AM641" s="19">
        <v>35.0</v>
      </c>
      <c r="AN641" s="19">
        <v>48.5</v>
      </c>
      <c r="AO641" s="19">
        <v>54.5</v>
      </c>
      <c r="AP641" s="19">
        <v>1020.0</v>
      </c>
      <c r="AQ641" s="23">
        <v>629.0</v>
      </c>
      <c r="AR641" s="23">
        <v>45.0</v>
      </c>
      <c r="AS641" s="22"/>
      <c r="AT641" s="19" t="s">
        <v>2282</v>
      </c>
      <c r="AU641" s="19" t="s">
        <v>12715</v>
      </c>
      <c r="AV641" s="19" t="s">
        <v>12716</v>
      </c>
      <c r="AW641" s="19" t="s">
        <v>3923</v>
      </c>
      <c r="AX641" s="20">
        <v>35430.0</v>
      </c>
      <c r="AY641" s="19" t="s">
        <v>12717</v>
      </c>
      <c r="AZ641" s="19" t="s">
        <v>2122</v>
      </c>
      <c r="BA641" s="19" t="s">
        <v>12718</v>
      </c>
      <c r="BB641" s="19" t="s">
        <v>12719</v>
      </c>
      <c r="BC641" s="19" t="s">
        <v>12720</v>
      </c>
      <c r="BD641" s="19" t="s">
        <v>12721</v>
      </c>
      <c r="BE641" s="19" t="s">
        <v>12722</v>
      </c>
      <c r="BF641" s="19">
        <v>1.1940313887E10</v>
      </c>
      <c r="BG641" s="19" t="s">
        <v>3518</v>
      </c>
      <c r="BH641" s="19" t="s">
        <v>2128</v>
      </c>
      <c r="BI641" s="19"/>
      <c r="BJ641" s="19" t="s">
        <v>2427</v>
      </c>
      <c r="BK641" s="19" t="s">
        <v>17</v>
      </c>
      <c r="BL641" s="19"/>
      <c r="BM641" s="19" t="s">
        <v>5411</v>
      </c>
      <c r="BN641" s="19" t="s">
        <v>3888</v>
      </c>
      <c r="BO641" s="19" t="s">
        <v>3082</v>
      </c>
      <c r="BP641" s="19" t="s">
        <v>12723</v>
      </c>
      <c r="BQ641" s="19" t="s">
        <v>2318</v>
      </c>
      <c r="BR641" s="19" t="s">
        <v>2318</v>
      </c>
      <c r="BS641" s="19" t="s">
        <v>2134</v>
      </c>
      <c r="BT641" s="19" t="s">
        <v>42</v>
      </c>
      <c r="BU641" s="19" t="s">
        <v>12724</v>
      </c>
      <c r="BV641" s="19"/>
      <c r="BW641" s="19"/>
      <c r="BX641" s="19"/>
      <c r="BY641" s="19"/>
      <c r="BZ641" s="19" t="s">
        <v>2113</v>
      </c>
      <c r="CA641" s="19"/>
      <c r="CB641" s="19" t="s">
        <v>2113</v>
      </c>
      <c r="CC641" s="19"/>
      <c r="CD641" s="19" t="s">
        <v>2137</v>
      </c>
      <c r="CE641" s="19" t="s">
        <v>17</v>
      </c>
      <c r="CF641" s="19"/>
      <c r="CG641" s="19"/>
      <c r="CH641" s="19" t="s">
        <v>16</v>
      </c>
      <c r="CI641" s="21">
        <v>0.0</v>
      </c>
      <c r="CJ641" s="19" t="s">
        <v>16</v>
      </c>
      <c r="CK641" s="19" t="s">
        <v>2113</v>
      </c>
      <c r="CL641" s="19"/>
      <c r="CM641" s="19" t="s">
        <v>2138</v>
      </c>
      <c r="CN641" s="19" t="s">
        <v>3279</v>
      </c>
      <c r="CO641" s="19" t="s">
        <v>3932</v>
      </c>
      <c r="CP641" s="19" t="s">
        <v>2246</v>
      </c>
      <c r="CQ641" s="19" t="s">
        <v>2113</v>
      </c>
      <c r="CR641" s="19" t="s">
        <v>2113</v>
      </c>
      <c r="CS641" s="19" t="s">
        <v>2113</v>
      </c>
      <c r="CT641" s="19"/>
      <c r="CU641" s="19"/>
      <c r="CV641" s="19" t="s">
        <v>2141</v>
      </c>
      <c r="CW641" s="19"/>
      <c r="CX641" s="19"/>
      <c r="CY641" s="19" t="s">
        <v>2113</v>
      </c>
      <c r="CZ641" s="19" t="s">
        <v>2113</v>
      </c>
      <c r="DA641" s="19" t="s">
        <v>17</v>
      </c>
      <c r="DB641" s="19" t="s">
        <v>16</v>
      </c>
      <c r="DC641" s="19" t="s">
        <v>3280</v>
      </c>
      <c r="DD641" s="19" t="s">
        <v>2113</v>
      </c>
      <c r="DE641" s="19" t="s">
        <v>2113</v>
      </c>
      <c r="DF641" s="19" t="s">
        <v>2207</v>
      </c>
      <c r="DG641" s="19" t="s">
        <v>2433</v>
      </c>
      <c r="DH641" s="19" t="s">
        <v>2144</v>
      </c>
      <c r="DI641" s="24">
        <v>45525.0</v>
      </c>
      <c r="DJ641" s="19" t="s">
        <v>2325</v>
      </c>
      <c r="DK641" s="19" t="s">
        <v>2145</v>
      </c>
      <c r="DL641" s="19" t="s">
        <v>2326</v>
      </c>
      <c r="DM641" s="19"/>
      <c r="DN641" s="19">
        <v>9.0</v>
      </c>
      <c r="DO641" s="19">
        <v>9.0</v>
      </c>
      <c r="DP641" s="19" t="s">
        <v>12725</v>
      </c>
      <c r="DQ641" s="19" t="s">
        <v>12726</v>
      </c>
      <c r="DR641" s="19" t="s">
        <v>12727</v>
      </c>
      <c r="DS641" s="19" t="s">
        <v>2185</v>
      </c>
      <c r="DT641" s="19" t="s">
        <v>2350</v>
      </c>
      <c r="DU641" s="19"/>
      <c r="DV641" s="19"/>
      <c r="DW641" s="19" t="s">
        <v>2479</v>
      </c>
      <c r="DX641" s="19">
        <v>6.0</v>
      </c>
      <c r="DY641" s="19">
        <v>5.0</v>
      </c>
      <c r="DZ641" s="19">
        <v>0.0</v>
      </c>
      <c r="EA641" s="19">
        <v>5.0</v>
      </c>
      <c r="EB641" s="19">
        <v>0.0</v>
      </c>
      <c r="EC641" s="19">
        <v>0.0</v>
      </c>
      <c r="ED641" s="19" t="s">
        <v>2325</v>
      </c>
      <c r="EE641" s="24">
        <v>45525.0</v>
      </c>
      <c r="EF641" s="19" t="s">
        <v>2325</v>
      </c>
      <c r="EG641" s="19" t="s">
        <v>2145</v>
      </c>
      <c r="EH641" s="19" t="s">
        <v>2326</v>
      </c>
      <c r="EI641" s="22">
        <v>13.462499999999999</v>
      </c>
      <c r="EJ641" s="19">
        <v>35.0</v>
      </c>
      <c r="EK641" s="19"/>
      <c r="EL641" s="19" t="s">
        <v>2282</v>
      </c>
      <c r="EM641" s="19" t="s">
        <v>12715</v>
      </c>
      <c r="EN641" s="19" t="s">
        <v>1860</v>
      </c>
      <c r="EO641" s="19" t="s">
        <v>12717</v>
      </c>
      <c r="EP641" s="19" t="s">
        <v>2122</v>
      </c>
      <c r="EQ641" s="19" t="s">
        <v>3279</v>
      </c>
      <c r="ER641" s="19" t="s">
        <v>3932</v>
      </c>
      <c r="ES641" s="19" t="s">
        <v>1860</v>
      </c>
      <c r="ET641" s="19" t="s">
        <v>1860</v>
      </c>
      <c r="EU641" s="19" t="s">
        <v>12713</v>
      </c>
      <c r="EV641" s="19">
        <v>10031.0</v>
      </c>
      <c r="EW641" s="19" t="s">
        <v>17</v>
      </c>
      <c r="EX641" s="19">
        <v>1.0</v>
      </c>
      <c r="EY641" s="25" t="s">
        <v>1883</v>
      </c>
      <c r="EZ641" s="19" t="s">
        <v>448</v>
      </c>
      <c r="FA641" s="5" t="s">
        <v>12728</v>
      </c>
      <c r="FB641" s="26" t="s">
        <v>2156</v>
      </c>
      <c r="FC641" s="26"/>
    </row>
    <row r="642">
      <c r="A642" s="19" t="s">
        <v>2112</v>
      </c>
      <c r="B642" s="19"/>
      <c r="C642" s="19" t="s">
        <v>2113</v>
      </c>
      <c r="D642" s="19" t="s">
        <v>1884</v>
      </c>
      <c r="E642" s="19" t="s">
        <v>12729</v>
      </c>
      <c r="F642" s="19" t="s">
        <v>1884</v>
      </c>
      <c r="G642" s="19"/>
      <c r="H642" s="19" t="s">
        <v>1884</v>
      </c>
      <c r="I642" s="19" t="s">
        <v>1886</v>
      </c>
      <c r="J642" s="19" t="s">
        <v>12730</v>
      </c>
      <c r="K642" s="19" t="s">
        <v>12731</v>
      </c>
      <c r="L642" s="20">
        <v>45460.0</v>
      </c>
      <c r="M642" s="20">
        <v>45462.0</v>
      </c>
      <c r="N642" s="20">
        <v>45462.0</v>
      </c>
      <c r="O642" s="19" t="s">
        <v>1885</v>
      </c>
      <c r="P642" s="19">
        <v>0.0</v>
      </c>
      <c r="Q642" s="19">
        <v>24.0</v>
      </c>
      <c r="R642" s="19">
        <v>8917.0</v>
      </c>
      <c r="S642" s="20" t="s">
        <v>12732</v>
      </c>
      <c r="T642" s="20">
        <v>45461.0</v>
      </c>
      <c r="U642" s="19" t="s">
        <v>1884</v>
      </c>
      <c r="V642" s="19"/>
      <c r="W642" s="19"/>
      <c r="X642" s="21">
        <v>0.0</v>
      </c>
      <c r="Y642" s="21">
        <v>0.0</v>
      </c>
      <c r="Z642" s="21">
        <v>5.0</v>
      </c>
      <c r="AA642" s="21">
        <v>0.0</v>
      </c>
      <c r="AB642" s="5">
        <v>5.0</v>
      </c>
      <c r="AC642" s="19">
        <v>4.0</v>
      </c>
      <c r="AD642" s="19">
        <v>4.2</v>
      </c>
      <c r="AE642" s="19">
        <v>4.0</v>
      </c>
      <c r="AF642" s="19">
        <v>4.4</v>
      </c>
      <c r="AG642" s="19">
        <v>3.6</v>
      </c>
      <c r="AH642" s="19">
        <v>5.0</v>
      </c>
      <c r="AI642" s="22">
        <v>12.50625</v>
      </c>
      <c r="AJ642" s="19">
        <v>15.0</v>
      </c>
      <c r="AK642" s="19">
        <v>11.0</v>
      </c>
      <c r="AL642" s="19">
        <v>11.0</v>
      </c>
      <c r="AM642" s="19">
        <v>37.0</v>
      </c>
      <c r="AN642" s="19">
        <v>49.5</v>
      </c>
      <c r="AO642" s="19">
        <v>54.5</v>
      </c>
      <c r="AP642" s="19">
        <v>1055.0</v>
      </c>
      <c r="AQ642" s="23">
        <v>630.0</v>
      </c>
      <c r="AR642" s="23">
        <v>50.0</v>
      </c>
      <c r="AS642" s="22"/>
      <c r="AT642" s="19" t="s">
        <v>2163</v>
      </c>
      <c r="AU642" s="19" t="s">
        <v>12609</v>
      </c>
      <c r="AV642" s="19" t="s">
        <v>12733</v>
      </c>
      <c r="AW642" s="19"/>
      <c r="AX642" s="20">
        <v>36544.0</v>
      </c>
      <c r="AY642" s="19" t="s">
        <v>2258</v>
      </c>
      <c r="AZ642" s="19" t="s">
        <v>2122</v>
      </c>
      <c r="BA642" s="19" t="s">
        <v>12734</v>
      </c>
      <c r="BB642" s="19" t="s">
        <v>2764</v>
      </c>
      <c r="BC642" s="19" t="s">
        <v>12735</v>
      </c>
      <c r="BD642" s="19" t="s">
        <v>12736</v>
      </c>
      <c r="BE642" s="19" t="s">
        <v>12730</v>
      </c>
      <c r="BF642" s="19">
        <v>1.1958108437E10</v>
      </c>
      <c r="BG642" s="19" t="s">
        <v>2127</v>
      </c>
      <c r="BH642" s="19" t="s">
        <v>2649</v>
      </c>
      <c r="BI642" s="19"/>
      <c r="BJ642" s="19"/>
      <c r="BK642" s="19" t="s">
        <v>16</v>
      </c>
      <c r="BL642" s="19" t="s">
        <v>2113</v>
      </c>
      <c r="BM642" s="19" t="s">
        <v>5411</v>
      </c>
      <c r="BN642" s="19" t="s">
        <v>17</v>
      </c>
      <c r="BO642" s="19" t="s">
        <v>2132</v>
      </c>
      <c r="BP642" s="19" t="s">
        <v>12737</v>
      </c>
      <c r="BQ642" s="19" t="s">
        <v>2174</v>
      </c>
      <c r="BR642" s="19" t="s">
        <v>2174</v>
      </c>
      <c r="BS642" s="19" t="s">
        <v>3521</v>
      </c>
      <c r="BT642" s="19" t="s">
        <v>34</v>
      </c>
      <c r="BU642" s="19" t="s">
        <v>12738</v>
      </c>
      <c r="BV642" s="19"/>
      <c r="BW642" s="19"/>
      <c r="BX642" s="19"/>
      <c r="BY642" s="19" t="s">
        <v>2113</v>
      </c>
      <c r="BZ642" s="19"/>
      <c r="CA642" s="19"/>
      <c r="CB642" s="19" t="s">
        <v>2113</v>
      </c>
      <c r="CC642" s="19"/>
      <c r="CD642" s="19" t="s">
        <v>2137</v>
      </c>
      <c r="CE642" s="19" t="s">
        <v>16</v>
      </c>
      <c r="CF642" s="19"/>
      <c r="CG642" s="19"/>
      <c r="CH642" s="19" t="s">
        <v>16</v>
      </c>
      <c r="CI642" s="21">
        <v>0.0</v>
      </c>
      <c r="CJ642" s="19" t="s">
        <v>17</v>
      </c>
      <c r="CK642" s="19"/>
      <c r="CL642" s="19"/>
      <c r="CM642" s="19" t="s">
        <v>2138</v>
      </c>
      <c r="CN642" s="19" t="s">
        <v>2266</v>
      </c>
      <c r="CO642" s="19"/>
      <c r="CP642" s="19"/>
      <c r="CQ642" s="19"/>
      <c r="CR642" s="19" t="s">
        <v>2113</v>
      </c>
      <c r="CS642" s="19" t="s">
        <v>2113</v>
      </c>
      <c r="CT642" s="19" t="s">
        <v>2113</v>
      </c>
      <c r="CU642" s="19" t="s">
        <v>2113</v>
      </c>
      <c r="CV642" s="19" t="s">
        <v>2141</v>
      </c>
      <c r="CW642" s="19" t="s">
        <v>2113</v>
      </c>
      <c r="CX642" s="19" t="s">
        <v>2113</v>
      </c>
      <c r="CY642" s="19" t="s">
        <v>2113</v>
      </c>
      <c r="CZ642" s="19" t="s">
        <v>2113</v>
      </c>
      <c r="DA642" s="19" t="s">
        <v>16</v>
      </c>
      <c r="DB642" s="19" t="s">
        <v>17</v>
      </c>
      <c r="DC642" s="19" t="s">
        <v>5450</v>
      </c>
      <c r="DD642" s="19" t="s">
        <v>2113</v>
      </c>
      <c r="DE642" s="19" t="s">
        <v>2113</v>
      </c>
      <c r="DF642" s="19" t="s">
        <v>2268</v>
      </c>
      <c r="DG642" s="19" t="s">
        <v>2270</v>
      </c>
      <c r="DH642" s="19" t="s">
        <v>2144</v>
      </c>
      <c r="DI642" s="24">
        <v>45518.0</v>
      </c>
      <c r="DJ642" s="19" t="s">
        <v>2174</v>
      </c>
      <c r="DK642" s="19" t="s">
        <v>2271</v>
      </c>
      <c r="DL642" s="19" t="s">
        <v>2183</v>
      </c>
      <c r="DM642" s="19" t="s">
        <v>2346</v>
      </c>
      <c r="DN642" s="19">
        <v>4.0</v>
      </c>
      <c r="DO642" s="19">
        <v>4.0</v>
      </c>
      <c r="DP642" s="19" t="s">
        <v>12739</v>
      </c>
      <c r="DQ642" s="19" t="s">
        <v>12740</v>
      </c>
      <c r="DR642" s="19" t="s">
        <v>12741</v>
      </c>
      <c r="DS642" s="19" t="s">
        <v>2365</v>
      </c>
      <c r="DT642" s="19" t="s">
        <v>2152</v>
      </c>
      <c r="DU642" s="19"/>
      <c r="DV642" s="19"/>
      <c r="DW642" s="19" t="s">
        <v>2188</v>
      </c>
      <c r="DX642" s="19">
        <v>10.0</v>
      </c>
      <c r="DY642" s="19">
        <v>0.0</v>
      </c>
      <c r="DZ642" s="19">
        <v>0.0</v>
      </c>
      <c r="EA642" s="19">
        <v>0.0</v>
      </c>
      <c r="EB642" s="19">
        <v>0.0</v>
      </c>
      <c r="EC642" s="19">
        <v>0.0</v>
      </c>
      <c r="ED642" s="19" t="s">
        <v>2174</v>
      </c>
      <c r="EE642" s="24">
        <v>45518.0</v>
      </c>
      <c r="EF642" s="19" t="s">
        <v>2174</v>
      </c>
      <c r="EG642" s="19" t="s">
        <v>2271</v>
      </c>
      <c r="EH642" s="19" t="s">
        <v>2183</v>
      </c>
      <c r="EI642" s="22">
        <v>12.50625</v>
      </c>
      <c r="EJ642" s="19">
        <v>37.0</v>
      </c>
      <c r="EK642" s="19" t="s">
        <v>2113</v>
      </c>
      <c r="EL642" s="19" t="s">
        <v>2163</v>
      </c>
      <c r="EM642" s="19" t="s">
        <v>12609</v>
      </c>
      <c r="EN642" s="19" t="s">
        <v>1886</v>
      </c>
      <c r="EO642" s="19" t="s">
        <v>2258</v>
      </c>
      <c r="EP642" s="19" t="s">
        <v>2122</v>
      </c>
      <c r="EQ642" s="19" t="s">
        <v>2266</v>
      </c>
      <c r="ER642" s="19"/>
      <c r="ES642" s="19" t="s">
        <v>1886</v>
      </c>
      <c r="ET642" s="19" t="s">
        <v>1886</v>
      </c>
      <c r="EU642" s="19" t="s">
        <v>12731</v>
      </c>
      <c r="EV642" s="19">
        <v>8917.0</v>
      </c>
      <c r="EW642" s="19" t="s">
        <v>16</v>
      </c>
      <c r="EX642" s="19">
        <v>5.0</v>
      </c>
      <c r="EY642" s="25" t="s">
        <v>1885</v>
      </c>
      <c r="EZ642" s="19" t="s">
        <v>2154</v>
      </c>
      <c r="FA642" s="5" t="s">
        <v>12742</v>
      </c>
      <c r="FB642" s="26" t="s">
        <v>2156</v>
      </c>
      <c r="FC642" s="26"/>
    </row>
    <row r="643">
      <c r="A643" s="19" t="s">
        <v>2112</v>
      </c>
      <c r="B643" s="19"/>
      <c r="C643" s="19" t="s">
        <v>2113</v>
      </c>
      <c r="D643" s="19" t="s">
        <v>12743</v>
      </c>
      <c r="E643" s="19" t="s">
        <v>12744</v>
      </c>
      <c r="F643" s="19" t="s">
        <v>1887</v>
      </c>
      <c r="G643" s="19" t="s">
        <v>12745</v>
      </c>
      <c r="H643" s="19" t="s">
        <v>1887</v>
      </c>
      <c r="I643" s="19" t="s">
        <v>1889</v>
      </c>
      <c r="J643" s="19" t="s">
        <v>12746</v>
      </c>
      <c r="K643" s="19" t="s">
        <v>12747</v>
      </c>
      <c r="L643" s="20">
        <v>45448.0</v>
      </c>
      <c r="M643" s="20">
        <v>45448.0</v>
      </c>
      <c r="N643" s="20">
        <v>45448.0</v>
      </c>
      <c r="O643" s="19" t="s">
        <v>1888</v>
      </c>
      <c r="P643" s="19">
        <v>0.0</v>
      </c>
      <c r="Q643" s="19">
        <v>28.0</v>
      </c>
      <c r="R643" s="19">
        <v>10272.0</v>
      </c>
      <c r="S643" s="20" t="s">
        <v>12748</v>
      </c>
      <c r="T643" s="20">
        <v>45461.0</v>
      </c>
      <c r="U643" s="19" t="s">
        <v>1887</v>
      </c>
      <c r="V643" s="19"/>
      <c r="W643" s="19"/>
      <c r="X643" s="21">
        <v>0.0</v>
      </c>
      <c r="Y643" s="21">
        <v>10.0</v>
      </c>
      <c r="Z643" s="21">
        <v>2.0</v>
      </c>
      <c r="AA643" s="21">
        <v>0.0</v>
      </c>
      <c r="AB643" s="5">
        <v>12.0</v>
      </c>
      <c r="AC643" s="19">
        <v>3.5</v>
      </c>
      <c r="AD643" s="19">
        <v>3.0</v>
      </c>
      <c r="AE643" s="19">
        <v>3.5</v>
      </c>
      <c r="AF643" s="19">
        <v>4.0</v>
      </c>
      <c r="AG643" s="19">
        <v>2.0</v>
      </c>
      <c r="AH643" s="19">
        <v>2.5</v>
      </c>
      <c r="AI643" s="22">
        <v>9.421875</v>
      </c>
      <c r="AJ643" s="19">
        <v>11.0</v>
      </c>
      <c r="AK643" s="19">
        <v>10.0</v>
      </c>
      <c r="AL643" s="19">
        <v>12.0</v>
      </c>
      <c r="AM643" s="19">
        <v>33.0</v>
      </c>
      <c r="AN643" s="19">
        <v>42.4</v>
      </c>
      <c r="AO643" s="19">
        <v>54.4</v>
      </c>
      <c r="AP643" s="19">
        <v>836.0</v>
      </c>
      <c r="AQ643" s="23">
        <v>631.0</v>
      </c>
      <c r="AR643" s="23">
        <v>20.0</v>
      </c>
      <c r="AS643" s="22" t="s">
        <v>4071</v>
      </c>
      <c r="AT643" s="19" t="s">
        <v>2282</v>
      </c>
      <c r="AU643" s="19" t="s">
        <v>3998</v>
      </c>
      <c r="AV643" s="19" t="s">
        <v>12749</v>
      </c>
      <c r="AW643" s="19" t="s">
        <v>4480</v>
      </c>
      <c r="AX643" s="20">
        <v>35189.0</v>
      </c>
      <c r="AY643" s="19" t="s">
        <v>4000</v>
      </c>
      <c r="AZ643" s="19" t="s">
        <v>2445</v>
      </c>
      <c r="BA643" s="19" t="s">
        <v>12750</v>
      </c>
      <c r="BB643" s="19" t="s">
        <v>7409</v>
      </c>
      <c r="BC643" s="19" t="s">
        <v>12751</v>
      </c>
      <c r="BD643" s="19" t="s">
        <v>12752</v>
      </c>
      <c r="BE643" s="19" t="s">
        <v>12746</v>
      </c>
      <c r="BF643" s="19">
        <v>1.1962105067E10</v>
      </c>
      <c r="BG643" s="19" t="s">
        <v>2127</v>
      </c>
      <c r="BH643" s="19" t="s">
        <v>2128</v>
      </c>
      <c r="BI643" s="19"/>
      <c r="BJ643" s="19" t="s">
        <v>2128</v>
      </c>
      <c r="BK643" s="19" t="s">
        <v>16</v>
      </c>
      <c r="BL643" s="19"/>
      <c r="BM643" s="19" t="s">
        <v>5411</v>
      </c>
      <c r="BN643" s="19" t="s">
        <v>17</v>
      </c>
      <c r="BO643" s="19" t="s">
        <v>3199</v>
      </c>
      <c r="BP643" s="19" t="s">
        <v>12753</v>
      </c>
      <c r="BQ643" s="19" t="s">
        <v>3251</v>
      </c>
      <c r="BR643" s="19" t="s">
        <v>3251</v>
      </c>
      <c r="BS643" s="19" t="s">
        <v>2134</v>
      </c>
      <c r="BT643" s="19" t="s">
        <v>177</v>
      </c>
      <c r="BU643" s="19" t="s">
        <v>12754</v>
      </c>
      <c r="BV643" s="19"/>
      <c r="BW643" s="19" t="s">
        <v>2113</v>
      </c>
      <c r="BX643" s="19"/>
      <c r="BY643" s="19"/>
      <c r="BZ643" s="19"/>
      <c r="CA643" s="19"/>
      <c r="CB643" s="19" t="s">
        <v>2113</v>
      </c>
      <c r="CC643" s="19"/>
      <c r="CD643" s="19" t="s">
        <v>2137</v>
      </c>
      <c r="CE643" s="19" t="s">
        <v>16</v>
      </c>
      <c r="CF643" s="19"/>
      <c r="CG643" s="19"/>
      <c r="CH643" s="19" t="s">
        <v>16</v>
      </c>
      <c r="CI643" s="21">
        <v>0.0</v>
      </c>
      <c r="CJ643" s="19" t="s">
        <v>16</v>
      </c>
      <c r="CK643" s="19"/>
      <c r="CL643" s="19"/>
      <c r="CM643" s="19" t="s">
        <v>2138</v>
      </c>
      <c r="CN643" s="19" t="s">
        <v>3253</v>
      </c>
      <c r="CO643" s="19"/>
      <c r="CP643" s="19" t="s">
        <v>2178</v>
      </c>
      <c r="CQ643" s="19"/>
      <c r="CR643" s="19"/>
      <c r="CS643" s="19"/>
      <c r="CT643" s="19"/>
      <c r="CU643" s="19"/>
      <c r="CV643" s="19" t="s">
        <v>2141</v>
      </c>
      <c r="CW643" s="19" t="s">
        <v>2113</v>
      </c>
      <c r="CX643" s="19" t="s">
        <v>2113</v>
      </c>
      <c r="CY643" s="19" t="s">
        <v>2113</v>
      </c>
      <c r="CZ643" s="19" t="s">
        <v>2113</v>
      </c>
      <c r="DA643" s="19" t="s">
        <v>16</v>
      </c>
      <c r="DB643" s="19" t="s">
        <v>16</v>
      </c>
      <c r="DC643" s="19" t="s">
        <v>2433</v>
      </c>
      <c r="DD643" s="19" t="s">
        <v>2113</v>
      </c>
      <c r="DE643" s="19" t="s">
        <v>2113</v>
      </c>
      <c r="DF643" s="19" t="s">
        <v>2207</v>
      </c>
      <c r="DG643" s="19" t="s">
        <v>2323</v>
      </c>
      <c r="DH643" s="19" t="s">
        <v>2144</v>
      </c>
      <c r="DI643" s="24">
        <v>45519.0</v>
      </c>
      <c r="DJ643" s="19" t="s">
        <v>3257</v>
      </c>
      <c r="DK643" s="19" t="s">
        <v>2145</v>
      </c>
      <c r="DL643" s="19" t="s">
        <v>2207</v>
      </c>
      <c r="DM643" s="19" t="s">
        <v>4085</v>
      </c>
      <c r="DN643" s="19">
        <v>2.0</v>
      </c>
      <c r="DO643" s="19">
        <v>2.0</v>
      </c>
      <c r="DP643" s="19" t="s">
        <v>12755</v>
      </c>
      <c r="DQ643" s="19" t="s">
        <v>12756</v>
      </c>
      <c r="DR643" s="19" t="s">
        <v>12757</v>
      </c>
      <c r="DS643" s="19" t="s">
        <v>2365</v>
      </c>
      <c r="DT643" s="19" t="s">
        <v>2209</v>
      </c>
      <c r="DU643" s="19"/>
      <c r="DV643" s="19"/>
      <c r="DW643" s="19" t="s">
        <v>2188</v>
      </c>
      <c r="DX643" s="19">
        <v>10.0</v>
      </c>
      <c r="DY643" s="19">
        <v>10.0</v>
      </c>
      <c r="DZ643" s="19">
        <v>0.0</v>
      </c>
      <c r="EA643" s="19">
        <v>10.0</v>
      </c>
      <c r="EB643" s="19">
        <v>0.0</v>
      </c>
      <c r="EC643" s="19">
        <v>0.0</v>
      </c>
      <c r="ED643" s="19" t="s">
        <v>3257</v>
      </c>
      <c r="EE643" s="24">
        <v>45519.0</v>
      </c>
      <c r="EF643" s="19" t="s">
        <v>3257</v>
      </c>
      <c r="EG643" s="19" t="s">
        <v>2145</v>
      </c>
      <c r="EH643" s="19" t="s">
        <v>2207</v>
      </c>
      <c r="EI643" s="22">
        <v>9.421875</v>
      </c>
      <c r="EJ643" s="19">
        <v>33.0</v>
      </c>
      <c r="EK643" s="19"/>
      <c r="EL643" s="19" t="s">
        <v>2282</v>
      </c>
      <c r="EM643" s="19" t="s">
        <v>3998</v>
      </c>
      <c r="EN643" s="19" t="s">
        <v>1889</v>
      </c>
      <c r="EO643" s="19" t="s">
        <v>4000</v>
      </c>
      <c r="EP643" s="19" t="s">
        <v>2445</v>
      </c>
      <c r="EQ643" s="19" t="s">
        <v>3253</v>
      </c>
      <c r="ER643" s="19"/>
      <c r="ES643" s="19" t="s">
        <v>1889</v>
      </c>
      <c r="ET643" s="19" t="s">
        <v>1889</v>
      </c>
      <c r="EU643" s="19" t="s">
        <v>12747</v>
      </c>
      <c r="EV643" s="19">
        <v>10272.0</v>
      </c>
      <c r="EW643" s="19" t="s">
        <v>16</v>
      </c>
      <c r="EX643" s="19">
        <v>2.0</v>
      </c>
      <c r="EY643" s="25" t="s">
        <v>1888</v>
      </c>
      <c r="EZ643" s="19" t="s">
        <v>2154</v>
      </c>
      <c r="FA643" s="5" t="s">
        <v>12758</v>
      </c>
      <c r="FB643" s="26" t="s">
        <v>2156</v>
      </c>
      <c r="FC643" s="26"/>
    </row>
    <row r="644">
      <c r="A644" s="19" t="s">
        <v>2112</v>
      </c>
      <c r="B644" s="19"/>
      <c r="C644" s="19" t="s">
        <v>2113</v>
      </c>
      <c r="D644" s="19" t="s">
        <v>1890</v>
      </c>
      <c r="E644" s="19" t="s">
        <v>12759</v>
      </c>
      <c r="F644" s="19" t="s">
        <v>1890</v>
      </c>
      <c r="G644" s="19" t="s">
        <v>12759</v>
      </c>
      <c r="H644" s="19" t="s">
        <v>1890</v>
      </c>
      <c r="I644" s="19" t="s">
        <v>1892</v>
      </c>
      <c r="J644" s="19" t="s">
        <v>12760</v>
      </c>
      <c r="K644" s="19" t="s">
        <v>12761</v>
      </c>
      <c r="L644" s="20">
        <v>45460.0</v>
      </c>
      <c r="M644" s="20">
        <v>45462.0</v>
      </c>
      <c r="N644" s="20">
        <v>45462.0</v>
      </c>
      <c r="O644" s="19" t="s">
        <v>1891</v>
      </c>
      <c r="P644" s="19">
        <v>0.0</v>
      </c>
      <c r="Q644" s="19">
        <v>21.0</v>
      </c>
      <c r="R644" s="19">
        <v>7770.0</v>
      </c>
      <c r="S644" s="20" t="s">
        <v>12762</v>
      </c>
      <c r="T644" s="20">
        <v>45461.0</v>
      </c>
      <c r="U644" s="19" t="s">
        <v>1890</v>
      </c>
      <c r="V644" s="19"/>
      <c r="W644" s="19"/>
      <c r="X644" s="21">
        <v>0.0</v>
      </c>
      <c r="Y644" s="21">
        <v>10.0</v>
      </c>
      <c r="Z644" s="21">
        <v>2.0</v>
      </c>
      <c r="AA644" s="21">
        <v>0.0</v>
      </c>
      <c r="AB644" s="5">
        <v>12.0</v>
      </c>
      <c r="AC644" s="19">
        <v>3.6</v>
      </c>
      <c r="AD644" s="19">
        <v>4.2</v>
      </c>
      <c r="AE644" s="19">
        <v>4.2</v>
      </c>
      <c r="AF644" s="19">
        <v>4.6</v>
      </c>
      <c r="AG644" s="19">
        <v>3.2</v>
      </c>
      <c r="AH644" s="19">
        <v>4.8</v>
      </c>
      <c r="AI644" s="22">
        <v>12.318750000000001</v>
      </c>
      <c r="AJ644" s="19">
        <v>15.0</v>
      </c>
      <c r="AK644" s="19">
        <v>5.0</v>
      </c>
      <c r="AL644" s="19">
        <v>10.0</v>
      </c>
      <c r="AM644" s="19">
        <v>30.0</v>
      </c>
      <c r="AN644" s="19">
        <v>42.3</v>
      </c>
      <c r="AO644" s="19">
        <v>54.3</v>
      </c>
      <c r="AP644" s="19">
        <v>868.0</v>
      </c>
      <c r="AQ644" s="23">
        <v>632.0</v>
      </c>
      <c r="AR644" s="23">
        <v>51.0</v>
      </c>
      <c r="AS644" s="22"/>
      <c r="AT644" s="19" t="s">
        <v>2282</v>
      </c>
      <c r="AU644" s="19" t="s">
        <v>12763</v>
      </c>
      <c r="AV644" s="19" t="s">
        <v>12764</v>
      </c>
      <c r="AW644" s="19" t="s">
        <v>12765</v>
      </c>
      <c r="AX644" s="20">
        <v>37691.0</v>
      </c>
      <c r="AY644" s="19" t="s">
        <v>4165</v>
      </c>
      <c r="AZ644" s="19" t="s">
        <v>2310</v>
      </c>
      <c r="BA644" s="19" t="s">
        <v>12766</v>
      </c>
      <c r="BB644" s="19" t="s">
        <v>7225</v>
      </c>
      <c r="BC644" s="19" t="s">
        <v>12767</v>
      </c>
      <c r="BD644" s="19" t="s">
        <v>12768</v>
      </c>
      <c r="BE644" s="19"/>
      <c r="BF644" s="19"/>
      <c r="BG644" s="19" t="s">
        <v>2127</v>
      </c>
      <c r="BH644" s="19" t="s">
        <v>4080</v>
      </c>
      <c r="BI644" s="19"/>
      <c r="BJ644" s="19"/>
      <c r="BK644" s="19" t="s">
        <v>16</v>
      </c>
      <c r="BL644" s="19"/>
      <c r="BM644" s="19" t="s">
        <v>5411</v>
      </c>
      <c r="BN644" s="19" t="s">
        <v>2172</v>
      </c>
      <c r="BO644" s="19" t="s">
        <v>3199</v>
      </c>
      <c r="BP644" s="19" t="s">
        <v>12769</v>
      </c>
      <c r="BQ644" s="19" t="s">
        <v>2174</v>
      </c>
      <c r="BR644" s="19" t="s">
        <v>2174</v>
      </c>
      <c r="BS644" s="19" t="s">
        <v>2134</v>
      </c>
      <c r="BT644" s="19" t="s">
        <v>34</v>
      </c>
      <c r="BU644" s="19"/>
      <c r="BV644" s="19"/>
      <c r="BW644" s="19" t="s">
        <v>2113</v>
      </c>
      <c r="BX644" s="19"/>
      <c r="BY644" s="19"/>
      <c r="BZ644" s="19"/>
      <c r="CA644" s="19"/>
      <c r="CB644" s="19"/>
      <c r="CC644" s="19"/>
      <c r="CD644" s="19" t="s">
        <v>2137</v>
      </c>
      <c r="CE644" s="19" t="s">
        <v>16</v>
      </c>
      <c r="CF644" s="19"/>
      <c r="CG644" s="19"/>
      <c r="CH644" s="19" t="s">
        <v>16</v>
      </c>
      <c r="CI644" s="21">
        <v>0.0</v>
      </c>
      <c r="CJ644" s="19" t="s">
        <v>16</v>
      </c>
      <c r="CK644" s="19"/>
      <c r="CL644" s="19"/>
      <c r="CM644" s="19" t="s">
        <v>2138</v>
      </c>
      <c r="CN644" s="19" t="s">
        <v>4172</v>
      </c>
      <c r="CO644" s="19" t="s">
        <v>2177</v>
      </c>
      <c r="CP644" s="19"/>
      <c r="CQ644" s="19"/>
      <c r="CR644" s="19" t="s">
        <v>2113</v>
      </c>
      <c r="CS644" s="19" t="s">
        <v>2113</v>
      </c>
      <c r="CT644" s="19"/>
      <c r="CU644" s="19"/>
      <c r="CV644" s="19" t="s">
        <v>2179</v>
      </c>
      <c r="CW644" s="19"/>
      <c r="CX644" s="19"/>
      <c r="CY644" s="19" t="s">
        <v>2113</v>
      </c>
      <c r="CZ644" s="19" t="s">
        <v>2113</v>
      </c>
      <c r="DA644" s="19" t="s">
        <v>16</v>
      </c>
      <c r="DB644" s="19" t="s">
        <v>16</v>
      </c>
      <c r="DC644" s="19" t="s">
        <v>2364</v>
      </c>
      <c r="DD644" s="19" t="s">
        <v>2113</v>
      </c>
      <c r="DE644" s="19" t="s">
        <v>2113</v>
      </c>
      <c r="DF644" s="19" t="s">
        <v>2269</v>
      </c>
      <c r="DG644" s="19" t="s">
        <v>2602</v>
      </c>
      <c r="DH644" s="19" t="s">
        <v>2144</v>
      </c>
      <c r="DI644" s="24">
        <v>45517.0</v>
      </c>
      <c r="DJ644" s="19" t="s">
        <v>2174</v>
      </c>
      <c r="DK644" s="19" t="s">
        <v>2145</v>
      </c>
      <c r="DL644" s="19" t="s">
        <v>2183</v>
      </c>
      <c r="DM644" s="19" t="s">
        <v>2184</v>
      </c>
      <c r="DN644" s="19">
        <v>1.0</v>
      </c>
      <c r="DO644" s="19">
        <v>1.0</v>
      </c>
      <c r="DP644" s="19"/>
      <c r="DQ644" s="19"/>
      <c r="DR644" s="19"/>
      <c r="DS644" s="19" t="s">
        <v>2185</v>
      </c>
      <c r="DT644" s="19" t="s">
        <v>2366</v>
      </c>
      <c r="DU644" s="19" t="s">
        <v>12770</v>
      </c>
      <c r="DV644" s="19"/>
      <c r="DW644" s="19" t="s">
        <v>3306</v>
      </c>
      <c r="DX644" s="19">
        <v>4.0</v>
      </c>
      <c r="DY644" s="19">
        <v>10.0</v>
      </c>
      <c r="DZ644" s="19">
        <v>0.0</v>
      </c>
      <c r="EA644" s="19">
        <v>10.0</v>
      </c>
      <c r="EB644" s="19">
        <v>0.0</v>
      </c>
      <c r="EC644" s="19">
        <v>0.0</v>
      </c>
      <c r="ED644" s="19" t="s">
        <v>2174</v>
      </c>
      <c r="EE644" s="24">
        <v>45517.0</v>
      </c>
      <c r="EF644" s="19" t="s">
        <v>2174</v>
      </c>
      <c r="EG644" s="19" t="s">
        <v>2145</v>
      </c>
      <c r="EH644" s="19" t="s">
        <v>2183</v>
      </c>
      <c r="EI644" s="22">
        <v>12.318750000000001</v>
      </c>
      <c r="EJ644" s="19">
        <v>30.0</v>
      </c>
      <c r="EK644" s="19"/>
      <c r="EL644" s="19" t="s">
        <v>2282</v>
      </c>
      <c r="EM644" s="19" t="s">
        <v>12763</v>
      </c>
      <c r="EN644" s="19" t="s">
        <v>1892</v>
      </c>
      <c r="EO644" s="19" t="s">
        <v>4165</v>
      </c>
      <c r="EP644" s="19" t="s">
        <v>2310</v>
      </c>
      <c r="EQ644" s="19" t="s">
        <v>4172</v>
      </c>
      <c r="ER644" s="19" t="s">
        <v>2177</v>
      </c>
      <c r="ES644" s="19" t="s">
        <v>1892</v>
      </c>
      <c r="ET644" s="19" t="s">
        <v>1892</v>
      </c>
      <c r="EU644" s="19" t="s">
        <v>12761</v>
      </c>
      <c r="EV644" s="19">
        <v>7770.0</v>
      </c>
      <c r="EW644" s="19" t="s">
        <v>16</v>
      </c>
      <c r="EX644" s="19">
        <v>2.0</v>
      </c>
      <c r="EY644" s="25" t="s">
        <v>1891</v>
      </c>
      <c r="EZ644" s="19" t="s">
        <v>2154</v>
      </c>
      <c r="FA644" s="5" t="s">
        <v>12771</v>
      </c>
      <c r="FB644" s="26" t="s">
        <v>2156</v>
      </c>
      <c r="FC644" s="26"/>
    </row>
    <row r="645">
      <c r="A645" s="19" t="s">
        <v>2112</v>
      </c>
      <c r="B645" s="19"/>
      <c r="C645" s="19" t="s">
        <v>2113</v>
      </c>
      <c r="D645" s="19" t="s">
        <v>1893</v>
      </c>
      <c r="E645" s="19" t="s">
        <v>12772</v>
      </c>
      <c r="F645" s="19" t="s">
        <v>1893</v>
      </c>
      <c r="G645" s="19"/>
      <c r="H645" s="19" t="s">
        <v>1893</v>
      </c>
      <c r="I645" s="19" t="s">
        <v>1895</v>
      </c>
      <c r="J645" s="19" t="s">
        <v>12773</v>
      </c>
      <c r="K645" s="19" t="s">
        <v>12774</v>
      </c>
      <c r="L645" s="20">
        <v>45422.0</v>
      </c>
      <c r="M645" s="20">
        <v>45428.0</v>
      </c>
      <c r="N645" s="20">
        <v>45428.0</v>
      </c>
      <c r="O645" s="19" t="s">
        <v>1894</v>
      </c>
      <c r="P645" s="19">
        <v>0.0</v>
      </c>
      <c r="Q645" s="19">
        <v>22.0</v>
      </c>
      <c r="R645" s="19">
        <v>8078.0</v>
      </c>
      <c r="S645" s="20" t="s">
        <v>12775</v>
      </c>
      <c r="T645" s="20">
        <v>45461.0</v>
      </c>
      <c r="U645" s="19" t="s">
        <v>1893</v>
      </c>
      <c r="V645" s="19"/>
      <c r="W645" s="19"/>
      <c r="X645" s="21">
        <v>0.0</v>
      </c>
      <c r="Y645" s="21">
        <v>0.0</v>
      </c>
      <c r="Z645" s="21">
        <v>3.0</v>
      </c>
      <c r="AA645" s="21">
        <v>0.0</v>
      </c>
      <c r="AB645" s="5">
        <v>3.0</v>
      </c>
      <c r="AC645" s="19">
        <v>4.0</v>
      </c>
      <c r="AD645" s="19">
        <v>3.5</v>
      </c>
      <c r="AE645" s="19">
        <v>4.0</v>
      </c>
      <c r="AF645" s="19">
        <v>4.0</v>
      </c>
      <c r="AG645" s="19">
        <v>3.0</v>
      </c>
      <c r="AH645" s="19">
        <v>4.0</v>
      </c>
      <c r="AI645" s="22">
        <v>11.296875</v>
      </c>
      <c r="AJ645" s="19">
        <v>15.0</v>
      </c>
      <c r="AK645" s="19">
        <v>15.0</v>
      </c>
      <c r="AL645" s="19">
        <v>10.0</v>
      </c>
      <c r="AM645" s="19">
        <v>40.0</v>
      </c>
      <c r="AN645" s="19">
        <v>51.3</v>
      </c>
      <c r="AO645" s="19">
        <v>54.3</v>
      </c>
      <c r="AP645" s="19">
        <v>1282.0</v>
      </c>
      <c r="AQ645" s="23">
        <v>633.0</v>
      </c>
      <c r="AR645" s="23">
        <v>42.0</v>
      </c>
      <c r="AS645" s="19"/>
      <c r="AT645" s="19" t="s">
        <v>2282</v>
      </c>
      <c r="AU645" s="19" t="s">
        <v>12776</v>
      </c>
      <c r="AV645" s="19" t="s">
        <v>12777</v>
      </c>
      <c r="AW645" s="19"/>
      <c r="AX645" s="20">
        <v>37383.0</v>
      </c>
      <c r="AY645" s="19" t="s">
        <v>3537</v>
      </c>
      <c r="AZ645" s="19" t="s">
        <v>2122</v>
      </c>
      <c r="BA645" s="19" t="s">
        <v>12778</v>
      </c>
      <c r="BB645" s="19" t="s">
        <v>5387</v>
      </c>
      <c r="BC645" s="19" t="s">
        <v>12779</v>
      </c>
      <c r="BD645" s="19" t="s">
        <v>12780</v>
      </c>
      <c r="BE645" s="19" t="s">
        <v>12781</v>
      </c>
      <c r="BF645" s="19">
        <v>4.1991512002E10</v>
      </c>
      <c r="BG645" s="19" t="s">
        <v>4038</v>
      </c>
      <c r="BH645" s="19" t="s">
        <v>2128</v>
      </c>
      <c r="BI645" s="19"/>
      <c r="BJ645" s="19" t="s">
        <v>2128</v>
      </c>
      <c r="BK645" s="19" t="s">
        <v>17</v>
      </c>
      <c r="BL645" s="19"/>
      <c r="BM645" s="19" t="s">
        <v>5796</v>
      </c>
      <c r="BN645" s="19" t="s">
        <v>17</v>
      </c>
      <c r="BO645" s="19" t="s">
        <v>2473</v>
      </c>
      <c r="BP645" s="19" t="s">
        <v>12782</v>
      </c>
      <c r="BQ645" s="19" t="s">
        <v>2133</v>
      </c>
      <c r="BR645" s="19" t="s">
        <v>2133</v>
      </c>
      <c r="BS645" s="19" t="s">
        <v>2243</v>
      </c>
      <c r="BT645" s="19" t="s">
        <v>222</v>
      </c>
      <c r="BU645" s="19" t="s">
        <v>5988</v>
      </c>
      <c r="BV645" s="19"/>
      <c r="BW645" s="19"/>
      <c r="BX645" s="19"/>
      <c r="BY645" s="19"/>
      <c r="BZ645" s="19" t="s">
        <v>2113</v>
      </c>
      <c r="CA645" s="19"/>
      <c r="CB645" s="19" t="s">
        <v>2113</v>
      </c>
      <c r="CC645" s="19"/>
      <c r="CD645" s="19" t="s">
        <v>2137</v>
      </c>
      <c r="CE645" s="19" t="s">
        <v>16</v>
      </c>
      <c r="CF645" s="19"/>
      <c r="CG645" s="19"/>
      <c r="CH645" s="19" t="s">
        <v>16</v>
      </c>
      <c r="CI645" s="21">
        <v>0.0</v>
      </c>
      <c r="CJ645" s="19" t="s">
        <v>16</v>
      </c>
      <c r="CK645" s="19"/>
      <c r="CL645" s="19"/>
      <c r="CM645" s="19" t="s">
        <v>2138</v>
      </c>
      <c r="CN645" s="19" t="s">
        <v>3544</v>
      </c>
      <c r="CO645" s="19"/>
      <c r="CP645" s="19" t="s">
        <v>2246</v>
      </c>
      <c r="CQ645" s="19"/>
      <c r="CR645" s="19" t="s">
        <v>2113</v>
      </c>
      <c r="CS645" s="19" t="s">
        <v>2113</v>
      </c>
      <c r="CT645" s="19"/>
      <c r="CU645" s="19"/>
      <c r="CV645" s="19" t="s">
        <v>2141</v>
      </c>
      <c r="CW645" s="19" t="s">
        <v>2113</v>
      </c>
      <c r="CX645" s="19" t="s">
        <v>2113</v>
      </c>
      <c r="CY645" s="19"/>
      <c r="CZ645" s="19"/>
      <c r="DA645" s="19" t="s">
        <v>16</v>
      </c>
      <c r="DB645" s="19" t="s">
        <v>16</v>
      </c>
      <c r="DC645" s="19" t="s">
        <v>2146</v>
      </c>
      <c r="DD645" s="19" t="s">
        <v>2113</v>
      </c>
      <c r="DE645" s="19" t="s">
        <v>2113</v>
      </c>
      <c r="DF645" s="19" t="s">
        <v>5270</v>
      </c>
      <c r="DG645" s="19" t="s">
        <v>6591</v>
      </c>
      <c r="DH645" s="19" t="s">
        <v>2144</v>
      </c>
      <c r="DI645" s="24">
        <v>45533.0</v>
      </c>
      <c r="DJ645" s="19" t="s">
        <v>2133</v>
      </c>
      <c r="DK645" s="19" t="s">
        <v>2145</v>
      </c>
      <c r="DL645" s="19" t="s">
        <v>2207</v>
      </c>
      <c r="DM645" s="19" t="s">
        <v>3353</v>
      </c>
      <c r="DN645" s="19">
        <v>2.0</v>
      </c>
      <c r="DO645" s="19">
        <v>2.0</v>
      </c>
      <c r="DP645" s="19" t="s">
        <v>12783</v>
      </c>
      <c r="DQ645" s="19" t="s">
        <v>12784</v>
      </c>
      <c r="DR645" s="19" t="s">
        <v>12785</v>
      </c>
      <c r="DS645" s="19" t="s">
        <v>2185</v>
      </c>
      <c r="DT645" s="19" t="s">
        <v>2301</v>
      </c>
      <c r="DU645" s="19"/>
      <c r="DV645" s="19" t="s">
        <v>12786</v>
      </c>
      <c r="DW645" s="19" t="s">
        <v>3306</v>
      </c>
      <c r="DX645" s="19">
        <v>4.0</v>
      </c>
      <c r="DY645" s="19">
        <v>0.0</v>
      </c>
      <c r="DZ645" s="19">
        <v>0.0</v>
      </c>
      <c r="EA645" s="19">
        <v>0.0</v>
      </c>
      <c r="EB645" s="19">
        <v>0.0</v>
      </c>
      <c r="EC645" s="19">
        <v>0.0</v>
      </c>
      <c r="ED645" s="19" t="s">
        <v>2133</v>
      </c>
      <c r="EE645" s="24">
        <v>45533.0</v>
      </c>
      <c r="EF645" s="19" t="s">
        <v>2133</v>
      </c>
      <c r="EG645" s="19" t="s">
        <v>2145</v>
      </c>
      <c r="EH645" s="19" t="s">
        <v>2207</v>
      </c>
      <c r="EI645" s="22">
        <v>11.296875</v>
      </c>
      <c r="EJ645" s="19">
        <v>40.0</v>
      </c>
      <c r="EK645" s="19"/>
      <c r="EL645" s="19" t="s">
        <v>2282</v>
      </c>
      <c r="EM645" s="19" t="s">
        <v>12776</v>
      </c>
      <c r="EN645" s="19" t="s">
        <v>1895</v>
      </c>
      <c r="EO645" s="19" t="s">
        <v>3537</v>
      </c>
      <c r="EP645" s="19" t="s">
        <v>2122</v>
      </c>
      <c r="EQ645" s="19" t="s">
        <v>3544</v>
      </c>
      <c r="ER645" s="19"/>
      <c r="ES645" s="19" t="s">
        <v>1895</v>
      </c>
      <c r="ET645" s="19" t="s">
        <v>1895</v>
      </c>
      <c r="EU645" s="19" t="s">
        <v>12774</v>
      </c>
      <c r="EV645" s="19">
        <v>8078.0</v>
      </c>
      <c r="EW645" s="19" t="s">
        <v>16</v>
      </c>
      <c r="EX645" s="19">
        <v>3.0</v>
      </c>
      <c r="EY645" s="25" t="s">
        <v>1894</v>
      </c>
      <c r="EZ645" s="19" t="s">
        <v>2154</v>
      </c>
      <c r="FA645" s="5" t="s">
        <v>12787</v>
      </c>
      <c r="FB645" s="26" t="s">
        <v>2156</v>
      </c>
      <c r="FC645" s="26"/>
    </row>
    <row r="646">
      <c r="A646" s="19" t="s">
        <v>2156</v>
      </c>
      <c r="B646" s="19"/>
      <c r="C646" s="19" t="s">
        <v>2113</v>
      </c>
      <c r="D646" s="19" t="s">
        <v>1896</v>
      </c>
      <c r="E646" s="19" t="s">
        <v>12788</v>
      </c>
      <c r="F646" s="19" t="s">
        <v>1896</v>
      </c>
      <c r="G646" s="19"/>
      <c r="H646" s="19" t="s">
        <v>1896</v>
      </c>
      <c r="I646" s="19" t="s">
        <v>1898</v>
      </c>
      <c r="J646" s="19" t="s">
        <v>12789</v>
      </c>
      <c r="K646" s="19" t="s">
        <v>12790</v>
      </c>
      <c r="L646" s="20">
        <v>45459.0</v>
      </c>
      <c r="M646" s="20">
        <v>45460.0</v>
      </c>
      <c r="N646" s="20">
        <v>45460.0</v>
      </c>
      <c r="O646" s="19" t="s">
        <v>1897</v>
      </c>
      <c r="P646" s="19">
        <v>0.0</v>
      </c>
      <c r="Q646" s="19">
        <v>23.0</v>
      </c>
      <c r="R646" s="19">
        <v>8557.0</v>
      </c>
      <c r="S646" s="20" t="s">
        <v>12791</v>
      </c>
      <c r="T646" s="20">
        <v>45461.0</v>
      </c>
      <c r="U646" s="19" t="s">
        <v>1896</v>
      </c>
      <c r="V646" s="19"/>
      <c r="W646" s="19" t="s">
        <v>12792</v>
      </c>
      <c r="X646" s="21">
        <v>0.0</v>
      </c>
      <c r="Y646" s="21">
        <v>0.0</v>
      </c>
      <c r="Z646" s="21">
        <v>3.0</v>
      </c>
      <c r="AA646" s="21">
        <v>0.0</v>
      </c>
      <c r="AB646" s="5">
        <v>3.0</v>
      </c>
      <c r="AC646" s="19">
        <v>5.0</v>
      </c>
      <c r="AD646" s="19">
        <v>5.0</v>
      </c>
      <c r="AE646" s="19">
        <v>4.0</v>
      </c>
      <c r="AF646" s="19">
        <v>4.0</v>
      </c>
      <c r="AG646" s="19">
        <v>4.0</v>
      </c>
      <c r="AH646" s="19">
        <v>5.0</v>
      </c>
      <c r="AI646" s="22">
        <v>13.5</v>
      </c>
      <c r="AJ646" s="19">
        <v>13.6</v>
      </c>
      <c r="AK646" s="19">
        <v>10.8</v>
      </c>
      <c r="AL646" s="19">
        <v>12.2</v>
      </c>
      <c r="AM646" s="19">
        <v>36.6</v>
      </c>
      <c r="AN646" s="19">
        <v>50.1</v>
      </c>
      <c r="AO646" s="19">
        <v>53.1</v>
      </c>
      <c r="AP646" s="19">
        <v>1263.0</v>
      </c>
      <c r="AQ646" s="23">
        <v>634.0</v>
      </c>
      <c r="AR646" s="23">
        <v>43.0</v>
      </c>
      <c r="AS646" s="22"/>
      <c r="AT646" s="19" t="s">
        <v>2163</v>
      </c>
      <c r="AU646" s="19" t="s">
        <v>6581</v>
      </c>
      <c r="AV646" s="19" t="s">
        <v>12793</v>
      </c>
      <c r="AW646" s="19" t="s">
        <v>3383</v>
      </c>
      <c r="AX646" s="20">
        <v>36904.0</v>
      </c>
      <c r="AY646" s="19" t="s">
        <v>3537</v>
      </c>
      <c r="AZ646" s="19" t="s">
        <v>2310</v>
      </c>
      <c r="BA646" s="19" t="s">
        <v>12794</v>
      </c>
      <c r="BB646" s="19" t="s">
        <v>12795</v>
      </c>
      <c r="BC646" s="19" t="s">
        <v>12796</v>
      </c>
      <c r="BD646" s="19" t="s">
        <v>12797</v>
      </c>
      <c r="BE646" s="19" t="s">
        <v>12789</v>
      </c>
      <c r="BF646" s="19">
        <v>1.1949988682E10</v>
      </c>
      <c r="BG646" s="19" t="s">
        <v>4038</v>
      </c>
      <c r="BH646" s="19" t="s">
        <v>2128</v>
      </c>
      <c r="BI646" s="19"/>
      <c r="BJ646" s="19" t="s">
        <v>2129</v>
      </c>
      <c r="BK646" s="19" t="s">
        <v>17</v>
      </c>
      <c r="BL646" s="19"/>
      <c r="BM646" s="19" t="s">
        <v>5411</v>
      </c>
      <c r="BN646" s="19" t="s">
        <v>2291</v>
      </c>
      <c r="BO646" s="19" t="s">
        <v>2473</v>
      </c>
      <c r="BP646" s="19" t="s">
        <v>12798</v>
      </c>
      <c r="BQ646" s="19" t="s">
        <v>2133</v>
      </c>
      <c r="BR646" s="19" t="s">
        <v>2133</v>
      </c>
      <c r="BS646" s="19" t="s">
        <v>2134</v>
      </c>
      <c r="BT646" s="19" t="s">
        <v>222</v>
      </c>
      <c r="BU646" s="19" t="s">
        <v>12799</v>
      </c>
      <c r="BV646" s="19"/>
      <c r="BW646" s="19"/>
      <c r="BX646" s="19"/>
      <c r="BY646" s="19"/>
      <c r="BZ646" s="19" t="s">
        <v>2113</v>
      </c>
      <c r="CA646" s="19"/>
      <c r="CB646" s="19" t="s">
        <v>2113</v>
      </c>
      <c r="CC646" s="19"/>
      <c r="CD646" s="19" t="s">
        <v>2137</v>
      </c>
      <c r="CE646" s="19" t="s">
        <v>16</v>
      </c>
      <c r="CF646" s="19"/>
      <c r="CG646" s="19"/>
      <c r="CH646" s="19" t="s">
        <v>16</v>
      </c>
      <c r="CI646" s="21">
        <v>0.0</v>
      </c>
      <c r="CJ646" s="19" t="s">
        <v>17</v>
      </c>
      <c r="CK646" s="19"/>
      <c r="CL646" s="19"/>
      <c r="CM646" s="19" t="s">
        <v>2926</v>
      </c>
      <c r="CN646" s="19" t="s">
        <v>3544</v>
      </c>
      <c r="CO646" s="19"/>
      <c r="CP646" s="19" t="s">
        <v>2246</v>
      </c>
      <c r="CQ646" s="19"/>
      <c r="CR646" s="19"/>
      <c r="CS646" s="19"/>
      <c r="CT646" s="19"/>
      <c r="CU646" s="19"/>
      <c r="CV646" s="19" t="s">
        <v>2141</v>
      </c>
      <c r="CW646" s="19"/>
      <c r="CX646" s="19"/>
      <c r="CY646" s="19" t="s">
        <v>2113</v>
      </c>
      <c r="CZ646" s="19" t="s">
        <v>2113</v>
      </c>
      <c r="DA646" s="19" t="s">
        <v>16</v>
      </c>
      <c r="DB646" s="19" t="s">
        <v>17</v>
      </c>
      <c r="DC646" s="19" t="s">
        <v>2671</v>
      </c>
      <c r="DD646" s="19" t="s">
        <v>2113</v>
      </c>
      <c r="DE646" s="19" t="s">
        <v>2113</v>
      </c>
      <c r="DF646" s="19" t="s">
        <v>2146</v>
      </c>
      <c r="DG646" s="19" t="s">
        <v>2433</v>
      </c>
      <c r="DH646" s="19" t="s">
        <v>2144</v>
      </c>
      <c r="DI646" s="24">
        <v>45518.0</v>
      </c>
      <c r="DJ646" s="19" t="s">
        <v>2133</v>
      </c>
      <c r="DK646" s="19" t="s">
        <v>2145</v>
      </c>
      <c r="DL646" s="19" t="s">
        <v>2146</v>
      </c>
      <c r="DM646" s="19" t="s">
        <v>2672</v>
      </c>
      <c r="DN646" s="19">
        <v>3.0</v>
      </c>
      <c r="DO646" s="19">
        <v>3.0</v>
      </c>
      <c r="DP646" s="19" t="s">
        <v>12800</v>
      </c>
      <c r="DQ646" s="19" t="s">
        <v>12801</v>
      </c>
      <c r="DR646" s="19" t="s">
        <v>12802</v>
      </c>
      <c r="DS646" s="19" t="s">
        <v>2185</v>
      </c>
      <c r="DT646" s="19" t="s">
        <v>2301</v>
      </c>
      <c r="DU646" s="19"/>
      <c r="DV646" s="19"/>
      <c r="DW646" s="19" t="s">
        <v>3306</v>
      </c>
      <c r="DX646" s="19">
        <v>4.0</v>
      </c>
      <c r="DY646" s="19">
        <v>0.0</v>
      </c>
      <c r="DZ646" s="19">
        <v>0.0</v>
      </c>
      <c r="EA646" s="19">
        <v>0.0</v>
      </c>
      <c r="EB646" s="19">
        <v>0.0</v>
      </c>
      <c r="EC646" s="19">
        <v>0.0</v>
      </c>
      <c r="ED646" s="19" t="s">
        <v>2133</v>
      </c>
      <c r="EE646" s="24">
        <v>45518.0</v>
      </c>
      <c r="EF646" s="19" t="s">
        <v>2133</v>
      </c>
      <c r="EG646" s="19" t="s">
        <v>2145</v>
      </c>
      <c r="EH646" s="19" t="s">
        <v>2146</v>
      </c>
      <c r="EI646" s="22">
        <v>13.5</v>
      </c>
      <c r="EJ646" s="19">
        <v>36.6</v>
      </c>
      <c r="EK646" s="19" t="s">
        <v>2113</v>
      </c>
      <c r="EL646" s="19" t="s">
        <v>2163</v>
      </c>
      <c r="EM646" s="19" t="s">
        <v>6581</v>
      </c>
      <c r="EN646" s="19" t="s">
        <v>1898</v>
      </c>
      <c r="EO646" s="19" t="s">
        <v>3537</v>
      </c>
      <c r="EP646" s="19" t="s">
        <v>2310</v>
      </c>
      <c r="EQ646" s="19" t="s">
        <v>3544</v>
      </c>
      <c r="ER646" s="19"/>
      <c r="ES646" s="19" t="s">
        <v>1898</v>
      </c>
      <c r="ET646" s="19" t="s">
        <v>1898</v>
      </c>
      <c r="EU646" s="19" t="s">
        <v>12790</v>
      </c>
      <c r="EV646" s="19">
        <v>8557.0</v>
      </c>
      <c r="EW646" s="19" t="s">
        <v>16</v>
      </c>
      <c r="EX646" s="19">
        <v>3.0</v>
      </c>
      <c r="EY646" s="25" t="s">
        <v>1897</v>
      </c>
      <c r="EZ646" s="19" t="s">
        <v>2154</v>
      </c>
      <c r="FA646" s="5" t="s">
        <v>12803</v>
      </c>
      <c r="FB646" s="26" t="s">
        <v>2156</v>
      </c>
      <c r="FC646" s="26"/>
    </row>
    <row r="647">
      <c r="A647" s="19" t="s">
        <v>17</v>
      </c>
      <c r="B647" s="19"/>
      <c r="C647" s="19" t="s">
        <v>2113</v>
      </c>
      <c r="D647" s="19" t="s">
        <v>1899</v>
      </c>
      <c r="E647" s="19" t="s">
        <v>1899</v>
      </c>
      <c r="F647" s="19" t="s">
        <v>1899</v>
      </c>
      <c r="G647" s="19"/>
      <c r="H647" s="19" t="s">
        <v>1899</v>
      </c>
      <c r="I647" s="19" t="s">
        <v>1901</v>
      </c>
      <c r="J647" s="19" t="s">
        <v>12804</v>
      </c>
      <c r="K647" s="19" t="s">
        <v>12805</v>
      </c>
      <c r="L647" s="20">
        <v>45460.0</v>
      </c>
      <c r="M647" s="20">
        <v>45462.0</v>
      </c>
      <c r="N647" s="20">
        <v>45462.0</v>
      </c>
      <c r="O647" s="19" t="s">
        <v>1900</v>
      </c>
      <c r="P647" s="19">
        <v>0.0</v>
      </c>
      <c r="Q647" s="19">
        <v>21.0</v>
      </c>
      <c r="R647" s="19">
        <v>7729.0</v>
      </c>
      <c r="S647" s="20" t="s">
        <v>12806</v>
      </c>
      <c r="T647" s="20">
        <v>45461.0</v>
      </c>
      <c r="U647" s="19" t="s">
        <v>1899</v>
      </c>
      <c r="V647" s="19"/>
      <c r="W647" s="19"/>
      <c r="X647" s="21">
        <v>0.0</v>
      </c>
      <c r="Y647" s="21">
        <v>0.0</v>
      </c>
      <c r="Z647" s="21">
        <v>3.0</v>
      </c>
      <c r="AA647" s="21">
        <v>0.0</v>
      </c>
      <c r="AB647" s="5">
        <v>3.0</v>
      </c>
      <c r="AC647" s="19">
        <v>3.6666666666666665</v>
      </c>
      <c r="AD647" s="19">
        <v>4.333333333333333</v>
      </c>
      <c r="AE647" s="19">
        <v>3.6666666666666665</v>
      </c>
      <c r="AF647" s="19">
        <v>4.0</v>
      </c>
      <c r="AG647" s="19">
        <v>3.3333333333333335</v>
      </c>
      <c r="AH647" s="19">
        <v>4.333333333333333</v>
      </c>
      <c r="AI647" s="22">
        <v>11.687499999999998</v>
      </c>
      <c r="AJ647" s="19">
        <v>11.0</v>
      </c>
      <c r="AK647" s="19">
        <v>14.0</v>
      </c>
      <c r="AL647" s="19">
        <v>13.0</v>
      </c>
      <c r="AM647" s="19">
        <v>38.0</v>
      </c>
      <c r="AN647" s="19">
        <v>49.7</v>
      </c>
      <c r="AO647" s="19">
        <v>52.7</v>
      </c>
      <c r="AP647" s="19">
        <v>1295.0</v>
      </c>
      <c r="AQ647" s="23">
        <v>635.0</v>
      </c>
      <c r="AR647" s="23">
        <v>42.0</v>
      </c>
      <c r="AS647" s="22"/>
      <c r="AT647" s="19" t="s">
        <v>2117</v>
      </c>
      <c r="AU647" s="19" t="s">
        <v>12807</v>
      </c>
      <c r="AV647" s="19" t="s">
        <v>12808</v>
      </c>
      <c r="AW647" s="19"/>
      <c r="AX647" s="20">
        <v>37732.0</v>
      </c>
      <c r="AY647" s="19" t="s">
        <v>3826</v>
      </c>
      <c r="AZ647" s="19" t="s">
        <v>2310</v>
      </c>
      <c r="BA647" s="19" t="s">
        <v>12809</v>
      </c>
      <c r="BB647" s="19" t="s">
        <v>12810</v>
      </c>
      <c r="BC647" s="19" t="s">
        <v>12811</v>
      </c>
      <c r="BD647" s="19" t="s">
        <v>12812</v>
      </c>
      <c r="BE647" s="19" t="s">
        <v>12804</v>
      </c>
      <c r="BF647" s="19">
        <v>1.199493579E9</v>
      </c>
      <c r="BG647" s="19" t="s">
        <v>4038</v>
      </c>
      <c r="BH647" s="19" t="s">
        <v>2128</v>
      </c>
      <c r="BI647" s="19"/>
      <c r="BJ647" s="19" t="s">
        <v>2128</v>
      </c>
      <c r="BK647" s="19" t="s">
        <v>17</v>
      </c>
      <c r="BL647" s="19"/>
      <c r="BM647" s="19" t="s">
        <v>5411</v>
      </c>
      <c r="BN647" s="19" t="s">
        <v>5055</v>
      </c>
      <c r="BO647" s="19" t="s">
        <v>2473</v>
      </c>
      <c r="BP647" s="19"/>
      <c r="BQ647" s="19" t="s">
        <v>3832</v>
      </c>
      <c r="BR647" s="19" t="s">
        <v>3832</v>
      </c>
      <c r="BS647" s="19" t="s">
        <v>2243</v>
      </c>
      <c r="BT647" s="19" t="s">
        <v>268</v>
      </c>
      <c r="BU647" s="19" t="s">
        <v>10904</v>
      </c>
      <c r="BV647" s="19"/>
      <c r="BW647" s="19"/>
      <c r="BX647" s="19"/>
      <c r="BY647" s="19" t="s">
        <v>2113</v>
      </c>
      <c r="BZ647" s="19"/>
      <c r="CA647" s="19"/>
      <c r="CB647" s="19"/>
      <c r="CC647" s="19"/>
      <c r="CD647" s="19" t="s">
        <v>2137</v>
      </c>
      <c r="CE647" s="19" t="s">
        <v>16</v>
      </c>
      <c r="CF647" s="19"/>
      <c r="CG647" s="19"/>
      <c r="CH647" s="19" t="s">
        <v>16</v>
      </c>
      <c r="CI647" s="21">
        <v>0.0</v>
      </c>
      <c r="CJ647" s="19" t="s">
        <v>16</v>
      </c>
      <c r="CK647" s="19"/>
      <c r="CL647" s="19"/>
      <c r="CM647" s="19" t="s">
        <v>2138</v>
      </c>
      <c r="CN647" s="19" t="s">
        <v>3835</v>
      </c>
      <c r="CO647" s="19"/>
      <c r="CP647" s="19" t="s">
        <v>2246</v>
      </c>
      <c r="CQ647" s="19"/>
      <c r="CR647" s="19" t="s">
        <v>2113</v>
      </c>
      <c r="CS647" s="19" t="s">
        <v>2113</v>
      </c>
      <c r="CT647" s="19" t="s">
        <v>2113</v>
      </c>
      <c r="CU647" s="19" t="s">
        <v>2113</v>
      </c>
      <c r="CV647" s="19" t="s">
        <v>2141</v>
      </c>
      <c r="CW647" s="19"/>
      <c r="CX647" s="19"/>
      <c r="CY647" s="19"/>
      <c r="CZ647" s="19"/>
      <c r="DA647" s="19" t="s">
        <v>16</v>
      </c>
      <c r="DB647" s="19" t="s">
        <v>16</v>
      </c>
      <c r="DC647" s="19" t="s">
        <v>3836</v>
      </c>
      <c r="DD647" s="19" t="s">
        <v>2113</v>
      </c>
      <c r="DE647" s="19" t="s">
        <v>2113</v>
      </c>
      <c r="DF647" s="19" t="s">
        <v>3163</v>
      </c>
      <c r="DG647" s="19" t="s">
        <v>2248</v>
      </c>
      <c r="DH647" s="19" t="s">
        <v>2144</v>
      </c>
      <c r="DI647" s="24">
        <v>45525.0</v>
      </c>
      <c r="DJ647" s="19" t="s">
        <v>3257</v>
      </c>
      <c r="DK647" s="19" t="s">
        <v>2271</v>
      </c>
      <c r="DL647" s="19" t="s">
        <v>2207</v>
      </c>
      <c r="DM647" s="22" t="s">
        <v>9043</v>
      </c>
      <c r="DN647" s="19">
        <v>4.0</v>
      </c>
      <c r="DO647" s="19">
        <v>4.0</v>
      </c>
      <c r="DP647" s="19" t="s">
        <v>12813</v>
      </c>
      <c r="DQ647" s="19" t="s">
        <v>12814</v>
      </c>
      <c r="DR647" s="19" t="s">
        <v>12815</v>
      </c>
      <c r="DS647" s="19" t="s">
        <v>2365</v>
      </c>
      <c r="DT647" s="19" t="s">
        <v>2301</v>
      </c>
      <c r="DU647" s="19"/>
      <c r="DV647" s="19"/>
      <c r="DW647" s="19" t="s">
        <v>2188</v>
      </c>
      <c r="DX647" s="19">
        <v>10.0</v>
      </c>
      <c r="DY647" s="19">
        <v>0.0</v>
      </c>
      <c r="DZ647" s="19">
        <v>0.0</v>
      </c>
      <c r="EA647" s="19">
        <v>0.0</v>
      </c>
      <c r="EB647" s="19">
        <v>0.0</v>
      </c>
      <c r="EC647" s="19">
        <v>0.0</v>
      </c>
      <c r="ED647" s="19" t="s">
        <v>3257</v>
      </c>
      <c r="EE647" s="24">
        <v>45525.0</v>
      </c>
      <c r="EF647" s="19" t="s">
        <v>3257</v>
      </c>
      <c r="EG647" s="19" t="s">
        <v>2271</v>
      </c>
      <c r="EH647" s="19" t="s">
        <v>2207</v>
      </c>
      <c r="EI647" s="22">
        <v>11.687499999999998</v>
      </c>
      <c r="EJ647" s="19">
        <v>38.0</v>
      </c>
      <c r="EK647" s="19"/>
      <c r="EL647" s="19" t="s">
        <v>2117</v>
      </c>
      <c r="EM647" s="19" t="s">
        <v>12807</v>
      </c>
      <c r="EN647" s="19" t="s">
        <v>1901</v>
      </c>
      <c r="EO647" s="19" t="s">
        <v>3826</v>
      </c>
      <c r="EP647" s="19" t="s">
        <v>2310</v>
      </c>
      <c r="EQ647" s="19" t="s">
        <v>3835</v>
      </c>
      <c r="ER647" s="19"/>
      <c r="ES647" s="19" t="s">
        <v>1901</v>
      </c>
      <c r="ET647" s="19" t="s">
        <v>1901</v>
      </c>
      <c r="EU647" s="19" t="s">
        <v>12805</v>
      </c>
      <c r="EV647" s="19">
        <v>7729.0</v>
      </c>
      <c r="EW647" s="19" t="s">
        <v>16</v>
      </c>
      <c r="EX647" s="19">
        <v>3.0</v>
      </c>
      <c r="EY647" s="25" t="s">
        <v>1900</v>
      </c>
      <c r="EZ647" s="19" t="s">
        <v>2154</v>
      </c>
      <c r="FA647" s="5" t="s">
        <v>12816</v>
      </c>
      <c r="FB647" s="26" t="s">
        <v>2156</v>
      </c>
      <c r="FC647" s="26"/>
    </row>
    <row r="648">
      <c r="A648" s="19" t="s">
        <v>17</v>
      </c>
      <c r="B648" s="19"/>
      <c r="C648" s="19" t="s">
        <v>2113</v>
      </c>
      <c r="D648" s="19" t="s">
        <v>1902</v>
      </c>
      <c r="E648" s="19" t="s">
        <v>1902</v>
      </c>
      <c r="F648" s="19" t="s">
        <v>1902</v>
      </c>
      <c r="G648" s="19"/>
      <c r="H648" s="19" t="s">
        <v>1902</v>
      </c>
      <c r="I648" s="19" t="s">
        <v>1904</v>
      </c>
      <c r="J648" s="19" t="s">
        <v>12817</v>
      </c>
      <c r="K648" s="19" t="s">
        <v>12818</v>
      </c>
      <c r="L648" s="20">
        <v>45411.0</v>
      </c>
      <c r="M648" s="20">
        <v>45414.0</v>
      </c>
      <c r="N648" s="20">
        <v>45414.0</v>
      </c>
      <c r="O648" s="19" t="s">
        <v>1903</v>
      </c>
      <c r="P648" s="19">
        <v>0.0</v>
      </c>
      <c r="Q648" s="19">
        <v>22.0</v>
      </c>
      <c r="R648" s="19">
        <v>8216.0</v>
      </c>
      <c r="S648" s="20" t="s">
        <v>5540</v>
      </c>
      <c r="T648" s="20">
        <v>45461.0</v>
      </c>
      <c r="U648" s="19" t="s">
        <v>1902</v>
      </c>
      <c r="V648" s="19"/>
      <c r="W648" s="19"/>
      <c r="X648" s="21">
        <v>0.0</v>
      </c>
      <c r="Y648" s="21">
        <v>10.0</v>
      </c>
      <c r="Z648" s="21">
        <v>2.0</v>
      </c>
      <c r="AA648" s="21">
        <v>0.0</v>
      </c>
      <c r="AB648" s="5">
        <v>12.0</v>
      </c>
      <c r="AC648" s="19">
        <v>4.0</v>
      </c>
      <c r="AD648" s="19">
        <v>4.0</v>
      </c>
      <c r="AE648" s="19">
        <v>4.0</v>
      </c>
      <c r="AF648" s="19">
        <v>4.0</v>
      </c>
      <c r="AG648" s="19">
        <v>4.0</v>
      </c>
      <c r="AH648" s="19">
        <v>4.0</v>
      </c>
      <c r="AI648" s="22">
        <v>12.0</v>
      </c>
      <c r="AJ648" s="19">
        <v>9.0</v>
      </c>
      <c r="AK648" s="19">
        <v>10.0</v>
      </c>
      <c r="AL648" s="19">
        <v>9.0</v>
      </c>
      <c r="AM648" s="19">
        <v>28.0</v>
      </c>
      <c r="AN648" s="19">
        <v>40.0</v>
      </c>
      <c r="AO648" s="19">
        <v>52.0</v>
      </c>
      <c r="AP648" s="19">
        <v>862.0</v>
      </c>
      <c r="AQ648" s="23">
        <v>636.0</v>
      </c>
      <c r="AR648" s="23">
        <v>59.0</v>
      </c>
      <c r="AS648" s="22"/>
      <c r="AT648" s="19" t="s">
        <v>2117</v>
      </c>
      <c r="AU648" s="19" t="s">
        <v>12819</v>
      </c>
      <c r="AV648" s="19" t="s">
        <v>12820</v>
      </c>
      <c r="AW648" s="19" t="s">
        <v>2166</v>
      </c>
      <c r="AX648" s="20">
        <v>37245.0</v>
      </c>
      <c r="AY648" s="19" t="s">
        <v>3612</v>
      </c>
      <c r="AZ648" s="19" t="s">
        <v>2122</v>
      </c>
      <c r="BA648" s="19" t="s">
        <v>12821</v>
      </c>
      <c r="BB648" s="19" t="s">
        <v>12822</v>
      </c>
      <c r="BC648" s="19" t="s">
        <v>12823</v>
      </c>
      <c r="BD648" s="19" t="s">
        <v>12824</v>
      </c>
      <c r="BE648" s="19"/>
      <c r="BF648" s="19"/>
      <c r="BG648" s="19" t="s">
        <v>2127</v>
      </c>
      <c r="BH648" s="19" t="s">
        <v>2128</v>
      </c>
      <c r="BI648" s="19"/>
      <c r="BJ648" s="19" t="s">
        <v>2128</v>
      </c>
      <c r="BK648" s="19" t="s">
        <v>16</v>
      </c>
      <c r="BL648" s="19"/>
      <c r="BM648" s="19" t="s">
        <v>5563</v>
      </c>
      <c r="BN648" s="19" t="s">
        <v>2172</v>
      </c>
      <c r="BO648" s="19" t="s">
        <v>3199</v>
      </c>
      <c r="BP648" s="19"/>
      <c r="BQ648" s="19" t="s">
        <v>2133</v>
      </c>
      <c r="BR648" s="19" t="s">
        <v>2133</v>
      </c>
      <c r="BS648" s="19" t="s">
        <v>2134</v>
      </c>
      <c r="BT648" s="19" t="s">
        <v>15</v>
      </c>
      <c r="BU648" s="19"/>
      <c r="BV648" s="19"/>
      <c r="BW648" s="19" t="s">
        <v>2113</v>
      </c>
      <c r="BX648" s="19"/>
      <c r="BY648" s="19"/>
      <c r="BZ648" s="19"/>
      <c r="CA648" s="19"/>
      <c r="CB648" s="19"/>
      <c r="CC648" s="19"/>
      <c r="CD648" s="19" t="s">
        <v>2137</v>
      </c>
      <c r="CE648" s="19" t="s">
        <v>16</v>
      </c>
      <c r="CF648" s="19"/>
      <c r="CG648" s="19"/>
      <c r="CH648" s="19" t="s">
        <v>16</v>
      </c>
      <c r="CI648" s="21">
        <v>0.0</v>
      </c>
      <c r="CJ648" s="19" t="s">
        <v>16</v>
      </c>
      <c r="CK648" s="19"/>
      <c r="CL648" s="19"/>
      <c r="CM648" s="19" t="s">
        <v>2749</v>
      </c>
      <c r="CN648" s="19" t="s">
        <v>3202</v>
      </c>
      <c r="CO648" s="19"/>
      <c r="CP648" s="19" t="s">
        <v>2134</v>
      </c>
      <c r="CQ648" s="19"/>
      <c r="CR648" s="19" t="s">
        <v>2113</v>
      </c>
      <c r="CS648" s="19" t="s">
        <v>2113</v>
      </c>
      <c r="CT648" s="19"/>
      <c r="CU648" s="19"/>
      <c r="CV648" s="19" t="s">
        <v>2141</v>
      </c>
      <c r="CW648" s="19" t="s">
        <v>2113</v>
      </c>
      <c r="CX648" s="19" t="s">
        <v>2113</v>
      </c>
      <c r="CY648" s="19"/>
      <c r="CZ648" s="19"/>
      <c r="DA648" s="19" t="s">
        <v>16</v>
      </c>
      <c r="DB648" s="19" t="s">
        <v>16</v>
      </c>
      <c r="DC648" s="19" t="s">
        <v>2142</v>
      </c>
      <c r="DD648" s="19"/>
      <c r="DE648" s="19"/>
      <c r="DF648" s="19" t="s">
        <v>3337</v>
      </c>
      <c r="DG648" s="19" t="s">
        <v>2804</v>
      </c>
      <c r="DH648" s="19" t="s">
        <v>2580</v>
      </c>
      <c r="DI648" s="24">
        <v>45517.0</v>
      </c>
      <c r="DJ648" s="19" t="s">
        <v>2133</v>
      </c>
      <c r="DK648" s="19" t="s">
        <v>2145</v>
      </c>
      <c r="DL648" s="19" t="s">
        <v>2146</v>
      </c>
      <c r="DM648" s="19" t="s">
        <v>3021</v>
      </c>
      <c r="DN648" s="19">
        <v>1.0</v>
      </c>
      <c r="DO648" s="19">
        <v>1.0</v>
      </c>
      <c r="DP648" s="19" t="s">
        <v>12825</v>
      </c>
      <c r="DQ648" s="19" t="s">
        <v>12826</v>
      </c>
      <c r="DR648" s="19" t="s">
        <v>12827</v>
      </c>
      <c r="DS648" s="19" t="s">
        <v>2365</v>
      </c>
      <c r="DT648" s="19" t="s">
        <v>2366</v>
      </c>
      <c r="DU648" s="19"/>
      <c r="DV648" s="19"/>
      <c r="DW648" s="19" t="s">
        <v>2153</v>
      </c>
      <c r="DX648" s="19">
        <v>7.0</v>
      </c>
      <c r="DY648" s="19">
        <v>10.0</v>
      </c>
      <c r="DZ648" s="19">
        <v>0.0</v>
      </c>
      <c r="EA648" s="19">
        <v>10.0</v>
      </c>
      <c r="EB648" s="19">
        <v>0.0</v>
      </c>
      <c r="EC648" s="19">
        <v>0.0</v>
      </c>
      <c r="ED648" s="19" t="s">
        <v>2133</v>
      </c>
      <c r="EE648" s="24">
        <v>45517.0</v>
      </c>
      <c r="EF648" s="19" t="s">
        <v>2133</v>
      </c>
      <c r="EG648" s="19" t="s">
        <v>2145</v>
      </c>
      <c r="EH648" s="19" t="s">
        <v>2146</v>
      </c>
      <c r="EI648" s="22">
        <v>12.0</v>
      </c>
      <c r="EJ648" s="19">
        <v>28.0</v>
      </c>
      <c r="EK648" s="19"/>
      <c r="EL648" s="19" t="s">
        <v>2117</v>
      </c>
      <c r="EM648" s="19" t="s">
        <v>12819</v>
      </c>
      <c r="EN648" s="19" t="s">
        <v>1904</v>
      </c>
      <c r="EO648" s="19" t="s">
        <v>3612</v>
      </c>
      <c r="EP648" s="19" t="s">
        <v>2122</v>
      </c>
      <c r="EQ648" s="19" t="s">
        <v>3202</v>
      </c>
      <c r="ER648" s="19"/>
      <c r="ES648" s="19" t="s">
        <v>1904</v>
      </c>
      <c r="ET648" s="19" t="s">
        <v>1904</v>
      </c>
      <c r="EU648" s="19" t="s">
        <v>12818</v>
      </c>
      <c r="EV648" s="19">
        <v>8216.0</v>
      </c>
      <c r="EW648" s="19" t="s">
        <v>16</v>
      </c>
      <c r="EX648" s="19">
        <v>2.0</v>
      </c>
      <c r="EY648" s="25" t="s">
        <v>1903</v>
      </c>
      <c r="EZ648" s="19" t="s">
        <v>2154</v>
      </c>
      <c r="FA648" s="5" t="s">
        <v>12828</v>
      </c>
      <c r="FB648" s="26" t="s">
        <v>2156</v>
      </c>
      <c r="FC648" s="26"/>
    </row>
    <row r="649">
      <c r="A649" s="19" t="s">
        <v>2112</v>
      </c>
      <c r="B649" s="19"/>
      <c r="C649" s="19" t="s">
        <v>2113</v>
      </c>
      <c r="D649" s="19" t="s">
        <v>1905</v>
      </c>
      <c r="E649" s="19" t="s">
        <v>12829</v>
      </c>
      <c r="F649" s="19" t="s">
        <v>1905</v>
      </c>
      <c r="G649" s="19"/>
      <c r="H649" s="19" t="s">
        <v>1905</v>
      </c>
      <c r="I649" s="19" t="s">
        <v>1907</v>
      </c>
      <c r="J649" s="19" t="s">
        <v>12830</v>
      </c>
      <c r="K649" s="19" t="s">
        <v>12831</v>
      </c>
      <c r="L649" s="20">
        <v>45435.0</v>
      </c>
      <c r="M649" s="20">
        <v>45436.0</v>
      </c>
      <c r="N649" s="20">
        <v>45436.0</v>
      </c>
      <c r="O649" s="19" t="s">
        <v>1906</v>
      </c>
      <c r="P649" s="19">
        <v>0.0</v>
      </c>
      <c r="Q649" s="19">
        <v>27.0</v>
      </c>
      <c r="R649" s="19">
        <v>9870.0</v>
      </c>
      <c r="S649" s="20" t="s">
        <v>12832</v>
      </c>
      <c r="T649" s="20">
        <v>45461.0</v>
      </c>
      <c r="U649" s="19" t="s">
        <v>1905</v>
      </c>
      <c r="V649" s="19"/>
      <c r="W649" s="19"/>
      <c r="X649" s="21">
        <v>0.0</v>
      </c>
      <c r="Y649" s="21">
        <v>0.0</v>
      </c>
      <c r="Z649" s="21">
        <v>5.0</v>
      </c>
      <c r="AA649" s="21">
        <v>0.0</v>
      </c>
      <c r="AB649" s="5">
        <v>5.0</v>
      </c>
      <c r="AC649" s="19">
        <v>2.3</v>
      </c>
      <c r="AD649" s="19">
        <v>2.6</v>
      </c>
      <c r="AE649" s="19">
        <v>3.0</v>
      </c>
      <c r="AF649" s="19">
        <v>3.0</v>
      </c>
      <c r="AG649" s="19">
        <v>2.3</v>
      </c>
      <c r="AH649" s="19">
        <v>2.6</v>
      </c>
      <c r="AI649" s="22">
        <v>7.996875000000001</v>
      </c>
      <c r="AJ649" s="19">
        <v>13.0</v>
      </c>
      <c r="AK649" s="19">
        <v>13.0</v>
      </c>
      <c r="AL649" s="19">
        <v>13.0</v>
      </c>
      <c r="AM649" s="19">
        <v>39.0</v>
      </c>
      <c r="AN649" s="19">
        <v>47.0</v>
      </c>
      <c r="AO649" s="19">
        <v>52.0</v>
      </c>
      <c r="AP649" s="19">
        <v>1035.0</v>
      </c>
      <c r="AQ649" s="23">
        <v>637.0</v>
      </c>
      <c r="AR649" s="23">
        <v>50.0</v>
      </c>
      <c r="AS649" s="22"/>
      <c r="AT649" s="19" t="s">
        <v>2163</v>
      </c>
      <c r="AU649" s="19" t="s">
        <v>4679</v>
      </c>
      <c r="AV649" s="19" t="s">
        <v>12833</v>
      </c>
      <c r="AW649" s="19"/>
      <c r="AX649" s="20">
        <v>35591.0</v>
      </c>
      <c r="AY649" s="19" t="s">
        <v>2529</v>
      </c>
      <c r="AZ649" s="19" t="s">
        <v>2122</v>
      </c>
      <c r="BA649" s="19" t="s">
        <v>12834</v>
      </c>
      <c r="BB649" s="19" t="s">
        <v>6052</v>
      </c>
      <c r="BC649" s="19" t="s">
        <v>12835</v>
      </c>
      <c r="BD649" s="19" t="s">
        <v>12836</v>
      </c>
      <c r="BE649" s="19" t="s">
        <v>12830</v>
      </c>
      <c r="BF649" s="19">
        <v>1.1950532865E10</v>
      </c>
      <c r="BG649" s="19" t="s">
        <v>2127</v>
      </c>
      <c r="BH649" s="19" t="s">
        <v>2128</v>
      </c>
      <c r="BI649" s="19"/>
      <c r="BJ649" s="19"/>
      <c r="BK649" s="19" t="s">
        <v>16</v>
      </c>
      <c r="BL649" s="19"/>
      <c r="BM649" s="19" t="s">
        <v>5411</v>
      </c>
      <c r="BN649" s="19" t="s">
        <v>17</v>
      </c>
      <c r="BO649" s="19" t="s">
        <v>2132</v>
      </c>
      <c r="BP649" s="19"/>
      <c r="BQ649" s="19" t="s">
        <v>2174</v>
      </c>
      <c r="BR649" s="19" t="s">
        <v>2174</v>
      </c>
      <c r="BS649" s="19" t="s">
        <v>3521</v>
      </c>
      <c r="BT649" s="19" t="s">
        <v>75</v>
      </c>
      <c r="BU649" s="19" t="s">
        <v>12837</v>
      </c>
      <c r="BV649" s="19"/>
      <c r="BW649" s="19" t="s">
        <v>2113</v>
      </c>
      <c r="BX649" s="19"/>
      <c r="BY649" s="19"/>
      <c r="BZ649" s="19"/>
      <c r="CA649" s="19"/>
      <c r="CB649" s="19" t="s">
        <v>2113</v>
      </c>
      <c r="CC649" s="19"/>
      <c r="CD649" s="19" t="s">
        <v>2137</v>
      </c>
      <c r="CE649" s="19" t="s">
        <v>16</v>
      </c>
      <c r="CF649" s="19"/>
      <c r="CG649" s="19"/>
      <c r="CH649" s="19" t="s">
        <v>16</v>
      </c>
      <c r="CI649" s="21">
        <v>0.0</v>
      </c>
      <c r="CJ649" s="19" t="s">
        <v>17</v>
      </c>
      <c r="CK649" s="19"/>
      <c r="CL649" s="19"/>
      <c r="CM649" s="19"/>
      <c r="CN649" s="19" t="s">
        <v>2537</v>
      </c>
      <c r="CO649" s="19"/>
      <c r="CP649" s="19"/>
      <c r="CQ649" s="19"/>
      <c r="CR649" s="19" t="s">
        <v>2113</v>
      </c>
      <c r="CS649" s="19" t="s">
        <v>2113</v>
      </c>
      <c r="CT649" s="19"/>
      <c r="CU649" s="19"/>
      <c r="CV649" s="19" t="s">
        <v>2141</v>
      </c>
      <c r="CW649" s="19" t="s">
        <v>2113</v>
      </c>
      <c r="CX649" s="19" t="s">
        <v>2113</v>
      </c>
      <c r="CY649" s="19" t="s">
        <v>2113</v>
      </c>
      <c r="CZ649" s="19" t="s">
        <v>2113</v>
      </c>
      <c r="DA649" s="19" t="s">
        <v>16</v>
      </c>
      <c r="DB649" s="19" t="s">
        <v>17</v>
      </c>
      <c r="DC649" s="19" t="s">
        <v>2769</v>
      </c>
      <c r="DD649" s="19" t="s">
        <v>2113</v>
      </c>
      <c r="DE649" s="19" t="s">
        <v>2113</v>
      </c>
      <c r="DF649" s="19" t="s">
        <v>2247</v>
      </c>
      <c r="DG649" s="19" t="s">
        <v>2538</v>
      </c>
      <c r="DH649" s="19" t="s">
        <v>2144</v>
      </c>
      <c r="DI649" s="24">
        <v>45525.0</v>
      </c>
      <c r="DJ649" s="19" t="s">
        <v>2174</v>
      </c>
      <c r="DK649" s="19" t="s">
        <v>2145</v>
      </c>
      <c r="DL649" s="19" t="s">
        <v>2183</v>
      </c>
      <c r="DM649" s="19" t="s">
        <v>2249</v>
      </c>
      <c r="DN649" s="19">
        <v>9.0</v>
      </c>
      <c r="DO649" s="19">
        <v>9.0</v>
      </c>
      <c r="DP649" s="19" t="s">
        <v>12838</v>
      </c>
      <c r="DQ649" s="19" t="s">
        <v>12839</v>
      </c>
      <c r="DR649" s="19" t="s">
        <v>12840</v>
      </c>
      <c r="DS649" s="19" t="s">
        <v>2151</v>
      </c>
      <c r="DT649" s="19" t="s">
        <v>2186</v>
      </c>
      <c r="DU649" s="19"/>
      <c r="DV649" s="19"/>
      <c r="DW649" s="19" t="s">
        <v>2188</v>
      </c>
      <c r="DX649" s="19">
        <v>15.0</v>
      </c>
      <c r="DY649" s="19">
        <v>0.0</v>
      </c>
      <c r="DZ649" s="19">
        <v>0.0</v>
      </c>
      <c r="EA649" s="19">
        <v>0.0</v>
      </c>
      <c r="EB649" s="19">
        <v>0.0</v>
      </c>
      <c r="EC649" s="19">
        <v>0.0</v>
      </c>
      <c r="ED649" s="19" t="s">
        <v>2174</v>
      </c>
      <c r="EE649" s="24">
        <v>45525.0</v>
      </c>
      <c r="EF649" s="19" t="s">
        <v>2174</v>
      </c>
      <c r="EG649" s="19" t="s">
        <v>2145</v>
      </c>
      <c r="EH649" s="19" t="s">
        <v>2183</v>
      </c>
      <c r="EI649" s="22">
        <v>7.996875000000001</v>
      </c>
      <c r="EJ649" s="19">
        <v>39.0</v>
      </c>
      <c r="EK649" s="19" t="s">
        <v>2113</v>
      </c>
      <c r="EL649" s="19" t="s">
        <v>2163</v>
      </c>
      <c r="EM649" s="19" t="s">
        <v>4679</v>
      </c>
      <c r="EN649" s="19" t="s">
        <v>1907</v>
      </c>
      <c r="EO649" s="19" t="s">
        <v>2529</v>
      </c>
      <c r="EP649" s="19" t="s">
        <v>2122</v>
      </c>
      <c r="EQ649" s="19" t="s">
        <v>2537</v>
      </c>
      <c r="ER649" s="19"/>
      <c r="ES649" s="19" t="s">
        <v>1907</v>
      </c>
      <c r="ET649" s="19" t="s">
        <v>1907</v>
      </c>
      <c r="EU649" s="19" t="s">
        <v>12831</v>
      </c>
      <c r="EV649" s="19">
        <v>9870.0</v>
      </c>
      <c r="EW649" s="19" t="s">
        <v>16</v>
      </c>
      <c r="EX649" s="19">
        <v>5.0</v>
      </c>
      <c r="EY649" s="25" t="s">
        <v>1906</v>
      </c>
      <c r="EZ649" s="19" t="s">
        <v>2154</v>
      </c>
      <c r="FA649" s="5" t="s">
        <v>12841</v>
      </c>
      <c r="FB649" s="26" t="s">
        <v>2156</v>
      </c>
      <c r="FC649" s="26"/>
    </row>
    <row r="650">
      <c r="A650" s="19" t="s">
        <v>2112</v>
      </c>
      <c r="B650" s="19"/>
      <c r="C650" s="19" t="s">
        <v>2113</v>
      </c>
      <c r="D650" s="19" t="s">
        <v>12842</v>
      </c>
      <c r="E650" s="19" t="s">
        <v>12843</v>
      </c>
      <c r="F650" s="19" t="s">
        <v>12842</v>
      </c>
      <c r="G650" s="19"/>
      <c r="H650" s="19" t="s">
        <v>1908</v>
      </c>
      <c r="I650" s="19" t="s">
        <v>1910</v>
      </c>
      <c r="J650" s="19" t="s">
        <v>12844</v>
      </c>
      <c r="K650" s="19" t="s">
        <v>12845</v>
      </c>
      <c r="L650" s="20">
        <v>45446.0</v>
      </c>
      <c r="M650" s="20">
        <v>45446.0</v>
      </c>
      <c r="N650" s="20">
        <v>45446.0</v>
      </c>
      <c r="O650" s="19" t="s">
        <v>1909</v>
      </c>
      <c r="P650" s="19">
        <v>0.0</v>
      </c>
      <c r="Q650" s="19">
        <v>26.0</v>
      </c>
      <c r="R650" s="19">
        <v>9729.0</v>
      </c>
      <c r="S650" s="20" t="s">
        <v>12846</v>
      </c>
      <c r="T650" s="20">
        <v>45461.0</v>
      </c>
      <c r="U650" s="19" t="s">
        <v>12842</v>
      </c>
      <c r="V650" s="19"/>
      <c r="W650" s="19"/>
      <c r="X650" s="21">
        <v>0.0</v>
      </c>
      <c r="Y650" s="21">
        <v>10.0</v>
      </c>
      <c r="Z650" s="21">
        <v>3.0</v>
      </c>
      <c r="AA650" s="21">
        <v>0.0</v>
      </c>
      <c r="AB650" s="5">
        <v>13.0</v>
      </c>
      <c r="AC650" s="19">
        <v>3.6</v>
      </c>
      <c r="AD650" s="19">
        <v>3.6</v>
      </c>
      <c r="AE650" s="19">
        <v>3.6</v>
      </c>
      <c r="AF650" s="19">
        <v>3.6</v>
      </c>
      <c r="AG650" s="19">
        <v>3.3</v>
      </c>
      <c r="AH650" s="19">
        <v>3.0</v>
      </c>
      <c r="AI650" s="22">
        <v>10.4625</v>
      </c>
      <c r="AJ650" s="19">
        <v>9.0</v>
      </c>
      <c r="AK650" s="19">
        <v>10.0</v>
      </c>
      <c r="AL650" s="19">
        <v>9.0</v>
      </c>
      <c r="AM650" s="19">
        <v>28.0</v>
      </c>
      <c r="AN650" s="19">
        <v>38.5</v>
      </c>
      <c r="AO650" s="19">
        <v>51.5</v>
      </c>
      <c r="AP650" s="19">
        <v>682.0</v>
      </c>
      <c r="AQ650" s="23">
        <v>638.0</v>
      </c>
      <c r="AR650" s="23">
        <v>52.0</v>
      </c>
      <c r="AS650" s="22"/>
      <c r="AT650" s="19" t="s">
        <v>2282</v>
      </c>
      <c r="AU650" s="19" t="s">
        <v>5571</v>
      </c>
      <c r="AV650" s="19" t="s">
        <v>12847</v>
      </c>
      <c r="AW650" s="19" t="s">
        <v>12848</v>
      </c>
      <c r="AX650" s="20">
        <v>35732.0</v>
      </c>
      <c r="AY650" s="19" t="s">
        <v>5573</v>
      </c>
      <c r="AZ650" s="19" t="s">
        <v>2122</v>
      </c>
      <c r="BA650" s="19" t="s">
        <v>12849</v>
      </c>
      <c r="BB650" s="19" t="s">
        <v>12850</v>
      </c>
      <c r="BC650" s="19" t="s">
        <v>12851</v>
      </c>
      <c r="BD650" s="19" t="s">
        <v>12852</v>
      </c>
      <c r="BE650" s="19" t="s">
        <v>12844</v>
      </c>
      <c r="BF650" s="19">
        <v>3.4999959899E10</v>
      </c>
      <c r="BG650" s="19" t="s">
        <v>2127</v>
      </c>
      <c r="BH650" s="19" t="s">
        <v>2128</v>
      </c>
      <c r="BI650" s="19"/>
      <c r="BJ650" s="19"/>
      <c r="BK650" s="19" t="s">
        <v>16</v>
      </c>
      <c r="BL650" s="19"/>
      <c r="BM650" s="19" t="s">
        <v>5563</v>
      </c>
      <c r="BN650" s="19" t="s">
        <v>17</v>
      </c>
      <c r="BO650" s="19" t="s">
        <v>2473</v>
      </c>
      <c r="BP650" s="19" t="s">
        <v>12853</v>
      </c>
      <c r="BQ650" s="19" t="s">
        <v>2174</v>
      </c>
      <c r="BR650" s="19" t="s">
        <v>2174</v>
      </c>
      <c r="BS650" s="19" t="s">
        <v>2243</v>
      </c>
      <c r="BT650" s="19" t="s">
        <v>34</v>
      </c>
      <c r="BU650" s="19" t="s">
        <v>12854</v>
      </c>
      <c r="BV650" s="19"/>
      <c r="BW650" s="19" t="s">
        <v>2113</v>
      </c>
      <c r="BX650" s="19"/>
      <c r="BY650" s="19"/>
      <c r="BZ650" s="19"/>
      <c r="CA650" s="19"/>
      <c r="CB650" s="19"/>
      <c r="CC650" s="19"/>
      <c r="CD650" s="19" t="s">
        <v>2137</v>
      </c>
      <c r="CE650" s="19" t="s">
        <v>16</v>
      </c>
      <c r="CF650" s="19"/>
      <c r="CG650" s="19"/>
      <c r="CH650" s="19" t="s">
        <v>16</v>
      </c>
      <c r="CI650" s="21">
        <v>0.0</v>
      </c>
      <c r="CJ650" s="19" t="s">
        <v>16</v>
      </c>
      <c r="CK650" s="19"/>
      <c r="CL650" s="19"/>
      <c r="CM650" s="19" t="s">
        <v>2138</v>
      </c>
      <c r="CN650" s="19" t="s">
        <v>3041</v>
      </c>
      <c r="CO650" s="19"/>
      <c r="CP650" s="19"/>
      <c r="CQ650" s="19"/>
      <c r="CR650" s="19" t="s">
        <v>2113</v>
      </c>
      <c r="CS650" s="19" t="s">
        <v>2113</v>
      </c>
      <c r="CT650" s="19" t="s">
        <v>2113</v>
      </c>
      <c r="CU650" s="19" t="s">
        <v>2113</v>
      </c>
      <c r="CV650" s="19" t="s">
        <v>2141</v>
      </c>
      <c r="CW650" s="19"/>
      <c r="CX650" s="19"/>
      <c r="CY650" s="19" t="s">
        <v>2113</v>
      </c>
      <c r="CZ650" s="19" t="s">
        <v>2113</v>
      </c>
      <c r="DA650" s="19" t="s">
        <v>16</v>
      </c>
      <c r="DB650" s="19" t="s">
        <v>16</v>
      </c>
      <c r="DC650" s="19" t="s">
        <v>5864</v>
      </c>
      <c r="DD650" s="19"/>
      <c r="DE650" s="19"/>
      <c r="DF650" s="19" t="s">
        <v>3042</v>
      </c>
      <c r="DG650" s="19" t="s">
        <v>4966</v>
      </c>
      <c r="DH650" s="19" t="s">
        <v>2144</v>
      </c>
      <c r="DI650" s="24">
        <v>45531.0</v>
      </c>
      <c r="DJ650" s="19" t="s">
        <v>2174</v>
      </c>
      <c r="DK650" s="19" t="s">
        <v>2145</v>
      </c>
      <c r="DL650" s="19" t="s">
        <v>2183</v>
      </c>
      <c r="DM650" s="19"/>
      <c r="DN650" s="19">
        <v>7.0</v>
      </c>
      <c r="DO650" s="19">
        <v>7.0</v>
      </c>
      <c r="DP650" s="19" t="s">
        <v>12855</v>
      </c>
      <c r="DQ650" s="19" t="s">
        <v>12856</v>
      </c>
      <c r="DR650" s="19" t="s">
        <v>12857</v>
      </c>
      <c r="DS650" s="19" t="s">
        <v>2151</v>
      </c>
      <c r="DT650" s="19" t="s">
        <v>2209</v>
      </c>
      <c r="DU650" s="19"/>
      <c r="DV650" s="19"/>
      <c r="DW650" s="19" t="s">
        <v>2153</v>
      </c>
      <c r="DX650" s="19">
        <v>14.0</v>
      </c>
      <c r="DY650" s="19">
        <v>10.0</v>
      </c>
      <c r="DZ650" s="19">
        <v>0.0</v>
      </c>
      <c r="EA650" s="19">
        <v>10.0</v>
      </c>
      <c r="EB650" s="19">
        <v>0.0</v>
      </c>
      <c r="EC650" s="19">
        <v>0.0</v>
      </c>
      <c r="ED650" s="19" t="s">
        <v>2174</v>
      </c>
      <c r="EE650" s="24">
        <v>45531.0</v>
      </c>
      <c r="EF650" s="19" t="s">
        <v>2174</v>
      </c>
      <c r="EG650" s="19" t="s">
        <v>2145</v>
      </c>
      <c r="EH650" s="19" t="s">
        <v>2183</v>
      </c>
      <c r="EI650" s="22">
        <v>10.4625</v>
      </c>
      <c r="EJ650" s="19">
        <v>28.0</v>
      </c>
      <c r="EK650" s="19"/>
      <c r="EL650" s="19" t="s">
        <v>2282</v>
      </c>
      <c r="EM650" s="19" t="s">
        <v>5571</v>
      </c>
      <c r="EN650" s="19" t="s">
        <v>1910</v>
      </c>
      <c r="EO650" s="19" t="s">
        <v>5573</v>
      </c>
      <c r="EP650" s="19" t="s">
        <v>2122</v>
      </c>
      <c r="EQ650" s="19" t="s">
        <v>3041</v>
      </c>
      <c r="ER650" s="19"/>
      <c r="ES650" s="19" t="s">
        <v>1910</v>
      </c>
      <c r="ET650" s="19" t="s">
        <v>1910</v>
      </c>
      <c r="EU650" s="19" t="s">
        <v>12845</v>
      </c>
      <c r="EV650" s="19">
        <v>9729.0</v>
      </c>
      <c r="EW650" s="19" t="s">
        <v>16</v>
      </c>
      <c r="EX650" s="19">
        <v>3.0</v>
      </c>
      <c r="EY650" s="25" t="s">
        <v>1909</v>
      </c>
      <c r="EZ650" s="19" t="s">
        <v>2154</v>
      </c>
      <c r="FA650" s="5" t="s">
        <v>12858</v>
      </c>
      <c r="FB650" s="26" t="s">
        <v>2156</v>
      </c>
      <c r="FC650" s="26"/>
    </row>
    <row r="651">
      <c r="A651" s="19" t="s">
        <v>17</v>
      </c>
      <c r="B651" s="19"/>
      <c r="C651" s="19" t="s">
        <v>2113</v>
      </c>
      <c r="D651" s="19" t="s">
        <v>1911</v>
      </c>
      <c r="E651" s="19" t="s">
        <v>12859</v>
      </c>
      <c r="F651" s="19" t="s">
        <v>1911</v>
      </c>
      <c r="G651" s="19"/>
      <c r="H651" s="19" t="s">
        <v>1911</v>
      </c>
      <c r="I651" s="19" t="s">
        <v>1913</v>
      </c>
      <c r="J651" s="19" t="s">
        <v>12860</v>
      </c>
      <c r="K651" s="19" t="s">
        <v>12861</v>
      </c>
      <c r="L651" s="20">
        <v>45460.0</v>
      </c>
      <c r="M651" s="20">
        <v>45462.0</v>
      </c>
      <c r="N651" s="20">
        <v>45462.0</v>
      </c>
      <c r="O651" s="19" t="s">
        <v>1912</v>
      </c>
      <c r="P651" s="19">
        <v>0.0</v>
      </c>
      <c r="Q651" s="19">
        <v>26.0</v>
      </c>
      <c r="R651" s="19">
        <v>9640.0</v>
      </c>
      <c r="S651" s="20" t="s">
        <v>12862</v>
      </c>
      <c r="T651" s="20">
        <v>45461.0</v>
      </c>
      <c r="U651" s="19" t="s">
        <v>1911</v>
      </c>
      <c r="V651" s="19"/>
      <c r="W651" s="19"/>
      <c r="X651" s="21">
        <v>0.0</v>
      </c>
      <c r="Y651" s="21">
        <v>0.0</v>
      </c>
      <c r="Z651" s="21">
        <v>3.0</v>
      </c>
      <c r="AA651" s="21">
        <v>0.0</v>
      </c>
      <c r="AB651" s="5">
        <v>3.0</v>
      </c>
      <c r="AC651" s="19">
        <v>4.666666666666667</v>
      </c>
      <c r="AD651" s="19">
        <v>4.0</v>
      </c>
      <c r="AE651" s="19">
        <v>4.333333333333333</v>
      </c>
      <c r="AF651" s="19">
        <v>3.3333333333333335</v>
      </c>
      <c r="AG651" s="19">
        <v>4.0</v>
      </c>
      <c r="AH651" s="19">
        <v>4.333333333333333</v>
      </c>
      <c r="AI651" s="22">
        <v>12.437500000000002</v>
      </c>
      <c r="AJ651" s="19">
        <v>11.0</v>
      </c>
      <c r="AK651" s="19">
        <v>12.0</v>
      </c>
      <c r="AL651" s="19">
        <v>13.0</v>
      </c>
      <c r="AM651" s="19">
        <v>36.0</v>
      </c>
      <c r="AN651" s="19">
        <v>48.4</v>
      </c>
      <c r="AO651" s="19">
        <v>51.4</v>
      </c>
      <c r="AP651" s="19">
        <v>1232.0</v>
      </c>
      <c r="AQ651" s="23">
        <v>639.0</v>
      </c>
      <c r="AR651" s="23">
        <v>43.0</v>
      </c>
      <c r="AS651" s="22"/>
      <c r="AT651" s="19" t="s">
        <v>2163</v>
      </c>
      <c r="AU651" s="19" t="s">
        <v>12863</v>
      </c>
      <c r="AV651" s="19" t="s">
        <v>12864</v>
      </c>
      <c r="AW651" s="19" t="s">
        <v>2701</v>
      </c>
      <c r="AX651" s="20">
        <v>35821.0</v>
      </c>
      <c r="AY651" s="19" t="s">
        <v>3826</v>
      </c>
      <c r="AZ651" s="19" t="s">
        <v>2122</v>
      </c>
      <c r="BA651" s="19" t="s">
        <v>12865</v>
      </c>
      <c r="BB651" s="19" t="s">
        <v>11549</v>
      </c>
      <c r="BC651" s="19" t="s">
        <v>12866</v>
      </c>
      <c r="BD651" s="19" t="s">
        <v>12867</v>
      </c>
      <c r="BE651" s="19" t="s">
        <v>12860</v>
      </c>
      <c r="BF651" s="19">
        <v>3.5988432177E10</v>
      </c>
      <c r="BG651" s="19" t="s">
        <v>4038</v>
      </c>
      <c r="BH651" s="19" t="s">
        <v>2128</v>
      </c>
      <c r="BI651" s="19"/>
      <c r="BJ651" s="19" t="s">
        <v>2128</v>
      </c>
      <c r="BK651" s="19" t="s">
        <v>17</v>
      </c>
      <c r="BL651" s="19"/>
      <c r="BM651" s="19" t="s">
        <v>5411</v>
      </c>
      <c r="BN651" s="19" t="s">
        <v>5055</v>
      </c>
      <c r="BO651" s="19" t="s">
        <v>2473</v>
      </c>
      <c r="BP651" s="19"/>
      <c r="BQ651" s="19" t="s">
        <v>3832</v>
      </c>
      <c r="BR651" s="19" t="s">
        <v>3832</v>
      </c>
      <c r="BS651" s="19" t="s">
        <v>2134</v>
      </c>
      <c r="BT651" s="19" t="s">
        <v>268</v>
      </c>
      <c r="BU651" s="19" t="s">
        <v>12868</v>
      </c>
      <c r="BV651" s="19"/>
      <c r="BW651" s="19" t="s">
        <v>2113</v>
      </c>
      <c r="BX651" s="19"/>
      <c r="BY651" s="19"/>
      <c r="BZ651" s="19"/>
      <c r="CA651" s="19"/>
      <c r="CB651" s="19" t="s">
        <v>2113</v>
      </c>
      <c r="CC651" s="19"/>
      <c r="CD651" s="19" t="s">
        <v>2137</v>
      </c>
      <c r="CE651" s="19" t="s">
        <v>17</v>
      </c>
      <c r="CF651" s="19"/>
      <c r="CG651" s="19"/>
      <c r="CH651" s="19" t="s">
        <v>16</v>
      </c>
      <c r="CI651" s="21">
        <v>0.0</v>
      </c>
      <c r="CJ651" s="19" t="s">
        <v>17</v>
      </c>
      <c r="CK651" s="19"/>
      <c r="CL651" s="19"/>
      <c r="CM651" s="19" t="s">
        <v>2749</v>
      </c>
      <c r="CN651" s="19" t="s">
        <v>3835</v>
      </c>
      <c r="CO651" s="19" t="s">
        <v>4986</v>
      </c>
      <c r="CP651" s="19" t="s">
        <v>2246</v>
      </c>
      <c r="CQ651" s="19"/>
      <c r="CR651" s="19"/>
      <c r="CS651" s="19"/>
      <c r="CT651" s="19" t="s">
        <v>2113</v>
      </c>
      <c r="CU651" s="19" t="s">
        <v>2113</v>
      </c>
      <c r="CV651" s="19" t="s">
        <v>2141</v>
      </c>
      <c r="CW651" s="19" t="s">
        <v>2113</v>
      </c>
      <c r="CX651" s="19" t="s">
        <v>2113</v>
      </c>
      <c r="CY651" s="19"/>
      <c r="CZ651" s="19"/>
      <c r="DA651" s="19" t="s">
        <v>17</v>
      </c>
      <c r="DB651" s="19" t="s">
        <v>17</v>
      </c>
      <c r="DC651" s="19" t="s">
        <v>5145</v>
      </c>
      <c r="DD651" s="19"/>
      <c r="DE651" s="19"/>
      <c r="DF651" s="19" t="s">
        <v>4084</v>
      </c>
      <c r="DG651" s="19" t="s">
        <v>8967</v>
      </c>
      <c r="DH651" s="19" t="s">
        <v>2144</v>
      </c>
      <c r="DI651" s="24">
        <v>45525.0</v>
      </c>
      <c r="DJ651" s="19" t="s">
        <v>3257</v>
      </c>
      <c r="DK651" s="19" t="s">
        <v>2271</v>
      </c>
      <c r="DL651" s="19" t="s">
        <v>2207</v>
      </c>
      <c r="DM651" s="22" t="s">
        <v>9043</v>
      </c>
      <c r="DN651" s="19">
        <v>4.0</v>
      </c>
      <c r="DO651" s="19">
        <v>4.0</v>
      </c>
      <c r="DP651" s="19" t="s">
        <v>12869</v>
      </c>
      <c r="DQ651" s="19" t="s">
        <v>12870</v>
      </c>
      <c r="DR651" s="19" t="s">
        <v>12871</v>
      </c>
      <c r="DS651" s="19" t="s">
        <v>2365</v>
      </c>
      <c r="DT651" s="19" t="s">
        <v>2301</v>
      </c>
      <c r="DU651" s="19"/>
      <c r="DV651" s="19"/>
      <c r="DW651" s="19" t="s">
        <v>2188</v>
      </c>
      <c r="DX651" s="19">
        <v>10.0</v>
      </c>
      <c r="DY651" s="19">
        <v>0.0</v>
      </c>
      <c r="DZ651" s="19">
        <v>0.0</v>
      </c>
      <c r="EA651" s="19">
        <v>0.0</v>
      </c>
      <c r="EB651" s="19">
        <v>0.0</v>
      </c>
      <c r="EC651" s="19">
        <v>0.0</v>
      </c>
      <c r="ED651" s="19" t="s">
        <v>3257</v>
      </c>
      <c r="EE651" s="24">
        <v>45525.0</v>
      </c>
      <c r="EF651" s="19" t="s">
        <v>3257</v>
      </c>
      <c r="EG651" s="19" t="s">
        <v>2271</v>
      </c>
      <c r="EH651" s="19" t="s">
        <v>2207</v>
      </c>
      <c r="EI651" s="22">
        <v>12.437500000000002</v>
      </c>
      <c r="EJ651" s="19">
        <v>36.0</v>
      </c>
      <c r="EK651" s="19" t="s">
        <v>2113</v>
      </c>
      <c r="EL651" s="19" t="s">
        <v>2163</v>
      </c>
      <c r="EM651" s="19" t="s">
        <v>12863</v>
      </c>
      <c r="EN651" s="19" t="s">
        <v>1913</v>
      </c>
      <c r="EO651" s="19" t="s">
        <v>3826</v>
      </c>
      <c r="EP651" s="19" t="s">
        <v>2122</v>
      </c>
      <c r="EQ651" s="19" t="s">
        <v>3835</v>
      </c>
      <c r="ER651" s="19" t="s">
        <v>4986</v>
      </c>
      <c r="ES651" s="19" t="s">
        <v>1913</v>
      </c>
      <c r="ET651" s="19" t="s">
        <v>1913</v>
      </c>
      <c r="EU651" s="19" t="s">
        <v>12861</v>
      </c>
      <c r="EV651" s="19">
        <v>9640.0</v>
      </c>
      <c r="EW651" s="19" t="s">
        <v>17</v>
      </c>
      <c r="EX651" s="19">
        <v>3.0</v>
      </c>
      <c r="EY651" s="25" t="s">
        <v>1912</v>
      </c>
      <c r="EZ651" s="19" t="s">
        <v>12872</v>
      </c>
      <c r="FA651" s="5" t="s">
        <v>12873</v>
      </c>
      <c r="FB651" s="26" t="s">
        <v>2156</v>
      </c>
      <c r="FC651" s="26"/>
    </row>
    <row r="652" hidden="1">
      <c r="A652" s="19" t="s">
        <v>2112</v>
      </c>
      <c r="B652" s="19" t="s">
        <v>2113</v>
      </c>
      <c r="C652" s="19" t="s">
        <v>2113</v>
      </c>
      <c r="D652" s="19" t="s">
        <v>12874</v>
      </c>
      <c r="E652" s="19" t="s">
        <v>12875</v>
      </c>
      <c r="F652" s="19" t="s">
        <v>12874</v>
      </c>
      <c r="G652" s="19"/>
      <c r="H652" s="19" t="s">
        <v>12874</v>
      </c>
      <c r="I652" s="19" t="s">
        <v>12876</v>
      </c>
      <c r="J652" s="19" t="s">
        <v>12877</v>
      </c>
      <c r="K652" s="19" t="s">
        <v>12878</v>
      </c>
      <c r="L652" s="20">
        <v>45422.0</v>
      </c>
      <c r="M652" s="20">
        <v>45428.0</v>
      </c>
      <c r="N652" s="20">
        <v>45428.0</v>
      </c>
      <c r="O652" s="19" t="s">
        <v>12879</v>
      </c>
      <c r="P652" s="19">
        <v>0.0</v>
      </c>
      <c r="Q652" s="19">
        <v>29.0</v>
      </c>
      <c r="R652" s="19">
        <v>10846.0</v>
      </c>
      <c r="S652" s="20" t="s">
        <v>12880</v>
      </c>
      <c r="T652" s="20">
        <v>45461.0</v>
      </c>
      <c r="U652" s="19" t="s">
        <v>12874</v>
      </c>
      <c r="V652" s="19"/>
      <c r="W652" s="19"/>
      <c r="X652" s="21">
        <v>20.0</v>
      </c>
      <c r="Y652" s="21">
        <v>10.0</v>
      </c>
      <c r="Z652" s="21">
        <v>4.0</v>
      </c>
      <c r="AA652" s="21">
        <v>3.0</v>
      </c>
      <c r="AB652" s="5">
        <v>37.0</v>
      </c>
      <c r="AC652" s="19">
        <v>5.0</v>
      </c>
      <c r="AD652" s="19">
        <v>4.5</v>
      </c>
      <c r="AE652" s="19">
        <v>5.0</v>
      </c>
      <c r="AF652" s="19">
        <v>4.0</v>
      </c>
      <c r="AG652" s="19">
        <v>4.0</v>
      </c>
      <c r="AH652" s="19">
        <v>4.0</v>
      </c>
      <c r="AI652" s="22">
        <v>13.546875</v>
      </c>
      <c r="AJ652" s="19">
        <v>0.0</v>
      </c>
      <c r="AK652" s="19">
        <v>0.0</v>
      </c>
      <c r="AL652" s="19">
        <v>0.0</v>
      </c>
      <c r="AM652" s="19">
        <v>0.0</v>
      </c>
      <c r="AN652" s="19">
        <v>13.5</v>
      </c>
      <c r="AO652" s="19">
        <v>50.5</v>
      </c>
      <c r="AP652" s="19">
        <v>21.0</v>
      </c>
      <c r="AQ652" s="19">
        <v>651.0</v>
      </c>
      <c r="AR652" s="19">
        <v>62.0</v>
      </c>
      <c r="AS652" s="22"/>
      <c r="AT652" s="19" t="s">
        <v>2282</v>
      </c>
      <c r="AU652" s="19" t="s">
        <v>7756</v>
      </c>
      <c r="AV652" s="19" t="s">
        <v>12881</v>
      </c>
      <c r="AW652" s="19" t="s">
        <v>12882</v>
      </c>
      <c r="AX652" s="20">
        <v>34615.0</v>
      </c>
      <c r="AY652" s="19" t="s">
        <v>2619</v>
      </c>
      <c r="AZ652" s="19" t="s">
        <v>2122</v>
      </c>
      <c r="BA652" s="19" t="s">
        <v>12883</v>
      </c>
      <c r="BB652" s="19" t="s">
        <v>7460</v>
      </c>
      <c r="BC652" s="19" t="s">
        <v>12884</v>
      </c>
      <c r="BD652" s="19" t="s">
        <v>12885</v>
      </c>
      <c r="BE652" s="19" t="s">
        <v>12886</v>
      </c>
      <c r="BF652" s="19">
        <v>1.1954850031E10</v>
      </c>
      <c r="BG652" s="19" t="s">
        <v>2127</v>
      </c>
      <c r="BH652" s="19" t="s">
        <v>2128</v>
      </c>
      <c r="BI652" s="19"/>
      <c r="BJ652" s="19"/>
      <c r="BK652" s="19" t="s">
        <v>16</v>
      </c>
      <c r="BL652" s="19" t="s">
        <v>2113</v>
      </c>
      <c r="BM652" s="19" t="s">
        <v>2130</v>
      </c>
      <c r="BN652" s="19" t="s">
        <v>17</v>
      </c>
      <c r="BO652" s="19" t="s">
        <v>2317</v>
      </c>
      <c r="BP652" s="19" t="s">
        <v>12887</v>
      </c>
      <c r="BQ652" s="19" t="s">
        <v>2133</v>
      </c>
      <c r="BR652" s="19" t="s">
        <v>2133</v>
      </c>
      <c r="BS652" s="19" t="s">
        <v>2134</v>
      </c>
      <c r="BT652" s="19" t="s">
        <v>52</v>
      </c>
      <c r="BU652" s="19" t="s">
        <v>5988</v>
      </c>
      <c r="BV652" s="19" t="s">
        <v>12888</v>
      </c>
      <c r="BW652" s="19"/>
      <c r="BX652" s="19"/>
      <c r="BY652" s="19"/>
      <c r="BZ652" s="19"/>
      <c r="CA652" s="19"/>
      <c r="CB652" s="19" t="s">
        <v>2113</v>
      </c>
      <c r="CC652" s="19"/>
      <c r="CD652" s="19" t="s">
        <v>2137</v>
      </c>
      <c r="CE652" s="19" t="s">
        <v>17</v>
      </c>
      <c r="CF652" s="19"/>
      <c r="CG652" s="19"/>
      <c r="CH652" s="19" t="s">
        <v>17</v>
      </c>
      <c r="CI652" s="21">
        <v>3.0</v>
      </c>
      <c r="CJ652" s="19" t="s">
        <v>16</v>
      </c>
      <c r="CK652" s="19"/>
      <c r="CL652" s="19"/>
      <c r="CM652" s="19" t="s">
        <v>2138</v>
      </c>
      <c r="CN652" s="19" t="s">
        <v>2626</v>
      </c>
      <c r="CO652" s="19" t="s">
        <v>3932</v>
      </c>
      <c r="CP652" s="19"/>
      <c r="CQ652" s="19"/>
      <c r="CR652" s="19" t="s">
        <v>2113</v>
      </c>
      <c r="CS652" s="19" t="s">
        <v>2113</v>
      </c>
      <c r="CT652" s="19" t="s">
        <v>2113</v>
      </c>
      <c r="CU652" s="19" t="s">
        <v>2113</v>
      </c>
      <c r="CV652" s="19" t="s">
        <v>2141</v>
      </c>
      <c r="CW652" s="19" t="s">
        <v>2113</v>
      </c>
      <c r="CX652" s="19" t="s">
        <v>2113</v>
      </c>
      <c r="CY652" s="19" t="s">
        <v>2113</v>
      </c>
      <c r="CZ652" s="19" t="s">
        <v>2113</v>
      </c>
      <c r="DA652" s="19" t="s">
        <v>17</v>
      </c>
      <c r="DB652" s="19" t="s">
        <v>16</v>
      </c>
      <c r="DC652" s="19" t="s">
        <v>2627</v>
      </c>
      <c r="DD652" s="19" t="s">
        <v>2113</v>
      </c>
      <c r="DE652" s="19" t="s">
        <v>2113</v>
      </c>
      <c r="DF652" s="19" t="s">
        <v>2384</v>
      </c>
      <c r="DG652" s="19" t="s">
        <v>2383</v>
      </c>
      <c r="DH652" s="19" t="s">
        <v>2144</v>
      </c>
      <c r="DI652" s="24">
        <v>45532.0</v>
      </c>
      <c r="DJ652" s="19" t="s">
        <v>2133</v>
      </c>
      <c r="DK652" s="19" t="s">
        <v>2271</v>
      </c>
      <c r="DL652" s="19" t="s">
        <v>2146</v>
      </c>
      <c r="DM652" s="19" t="s">
        <v>3526</v>
      </c>
      <c r="DN652" s="19">
        <v>16.0</v>
      </c>
      <c r="DO652" s="19">
        <v>16.0</v>
      </c>
      <c r="DP652" s="19" t="s">
        <v>12889</v>
      </c>
      <c r="DQ652" s="19" t="s">
        <v>12890</v>
      </c>
      <c r="DR652" s="19" t="s">
        <v>12891</v>
      </c>
      <c r="DS652" s="19" t="s">
        <v>2151</v>
      </c>
      <c r="DT652" s="19" t="s">
        <v>2229</v>
      </c>
      <c r="DU652" s="19"/>
      <c r="DV652" s="19"/>
      <c r="DW652" s="19" t="s">
        <v>2153</v>
      </c>
      <c r="DX652" s="19">
        <v>12.0</v>
      </c>
      <c r="DY652" s="19">
        <v>10.0</v>
      </c>
      <c r="DZ652" s="19">
        <v>0.0</v>
      </c>
      <c r="EA652" s="19">
        <v>10.0</v>
      </c>
      <c r="EB652" s="19">
        <v>3.0</v>
      </c>
      <c r="EC652" s="19">
        <v>20.0</v>
      </c>
      <c r="ED652" s="19" t="s">
        <v>2133</v>
      </c>
      <c r="EE652" s="24">
        <v>45532.0</v>
      </c>
      <c r="EF652" s="19" t="s">
        <v>2133</v>
      </c>
      <c r="EG652" s="19" t="s">
        <v>2271</v>
      </c>
      <c r="EH652" s="19" t="s">
        <v>2146</v>
      </c>
      <c r="EI652" s="22">
        <v>13.546875</v>
      </c>
      <c r="EJ652" s="19">
        <v>0.0</v>
      </c>
      <c r="EK652" s="19"/>
      <c r="EL652" s="19" t="s">
        <v>2282</v>
      </c>
      <c r="EM652" s="19" t="s">
        <v>7756</v>
      </c>
      <c r="EN652" s="19" t="s">
        <v>12876</v>
      </c>
      <c r="EO652" s="19" t="s">
        <v>2619</v>
      </c>
      <c r="EP652" s="19" t="s">
        <v>2122</v>
      </c>
      <c r="EQ652" s="19" t="s">
        <v>2626</v>
      </c>
      <c r="ER652" s="19" t="s">
        <v>3932</v>
      </c>
      <c r="ES652" s="19" t="s">
        <v>12876</v>
      </c>
      <c r="ET652" s="19" t="s">
        <v>12876</v>
      </c>
      <c r="EU652" s="19" t="s">
        <v>12878</v>
      </c>
      <c r="EV652" s="19">
        <v>10846.0</v>
      </c>
      <c r="EW652" s="19" t="s">
        <v>17</v>
      </c>
      <c r="EX652" s="19">
        <v>4.0</v>
      </c>
      <c r="EY652" s="25" t="s">
        <v>12879</v>
      </c>
      <c r="EZ652" s="19" t="s">
        <v>12892</v>
      </c>
      <c r="FA652" s="5" t="s">
        <v>12893</v>
      </c>
      <c r="FB652" s="26" t="s">
        <v>2633</v>
      </c>
      <c r="FC652" s="26" t="s">
        <v>10773</v>
      </c>
    </row>
    <row r="653">
      <c r="A653" s="19" t="s">
        <v>2112</v>
      </c>
      <c r="B653" s="19"/>
      <c r="C653" s="19" t="s">
        <v>2113</v>
      </c>
      <c r="D653" s="19" t="s">
        <v>1914</v>
      </c>
      <c r="E653" s="19" t="s">
        <v>12894</v>
      </c>
      <c r="F653" s="19" t="s">
        <v>1914</v>
      </c>
      <c r="G653" s="19"/>
      <c r="H653" s="19" t="s">
        <v>1914</v>
      </c>
      <c r="I653" s="19" t="s">
        <v>1916</v>
      </c>
      <c r="J653" s="19" t="s">
        <v>12895</v>
      </c>
      <c r="K653" s="19" t="s">
        <v>12896</v>
      </c>
      <c r="L653" s="20">
        <v>45445.0</v>
      </c>
      <c r="M653" s="20">
        <v>45446.0</v>
      </c>
      <c r="N653" s="20">
        <v>45446.0</v>
      </c>
      <c r="O653" s="19" t="s">
        <v>1915</v>
      </c>
      <c r="P653" s="19">
        <v>0.0</v>
      </c>
      <c r="Q653" s="19">
        <v>19.0</v>
      </c>
      <c r="R653" s="19">
        <v>6984.0</v>
      </c>
      <c r="S653" s="20" t="s">
        <v>12897</v>
      </c>
      <c r="T653" s="20">
        <v>45461.0</v>
      </c>
      <c r="U653" s="19" t="s">
        <v>1914</v>
      </c>
      <c r="V653" s="19"/>
      <c r="W653" s="19"/>
      <c r="X653" s="21">
        <v>0.0</v>
      </c>
      <c r="Y653" s="21">
        <v>0.0</v>
      </c>
      <c r="Z653" s="21">
        <v>4.0</v>
      </c>
      <c r="AA653" s="21">
        <v>0.0</v>
      </c>
      <c r="AB653" s="5">
        <v>4.0</v>
      </c>
      <c r="AC653" s="19">
        <v>4.5</v>
      </c>
      <c r="AD653" s="19">
        <v>4.3</v>
      </c>
      <c r="AE653" s="19">
        <v>4.6</v>
      </c>
      <c r="AF653" s="19">
        <v>4.1</v>
      </c>
      <c r="AG653" s="19">
        <v>4.1</v>
      </c>
      <c r="AH653" s="19">
        <v>4.5</v>
      </c>
      <c r="AI653" s="22">
        <v>13.143749999999999</v>
      </c>
      <c r="AJ653" s="19">
        <v>13.0</v>
      </c>
      <c r="AK653" s="19">
        <v>10.0</v>
      </c>
      <c r="AL653" s="19">
        <v>10.0</v>
      </c>
      <c r="AM653" s="19">
        <v>33.0</v>
      </c>
      <c r="AN653" s="19">
        <v>46.1</v>
      </c>
      <c r="AO653" s="19">
        <v>50.1</v>
      </c>
      <c r="AP653" s="19">
        <v>1206.0</v>
      </c>
      <c r="AQ653" s="23">
        <v>640.0</v>
      </c>
      <c r="AR653" s="23">
        <v>46.0</v>
      </c>
      <c r="AS653" s="22"/>
      <c r="AT653" s="19" t="s">
        <v>2282</v>
      </c>
      <c r="AU653" s="19" t="s">
        <v>12898</v>
      </c>
      <c r="AV653" s="19" t="s">
        <v>12899</v>
      </c>
      <c r="AW653" s="19" t="s">
        <v>2166</v>
      </c>
      <c r="AX653" s="20">
        <v>38477.0</v>
      </c>
      <c r="AY653" s="19" t="s">
        <v>2309</v>
      </c>
      <c r="AZ653" s="19" t="s">
        <v>2310</v>
      </c>
      <c r="BA653" s="19" t="s">
        <v>12900</v>
      </c>
      <c r="BB653" s="19" t="s">
        <v>8700</v>
      </c>
      <c r="BC653" s="19" t="s">
        <v>12901</v>
      </c>
      <c r="BD653" s="19" t="s">
        <v>12902</v>
      </c>
      <c r="BE653" s="19" t="s">
        <v>12903</v>
      </c>
      <c r="BF653" s="19">
        <v>1.1945304361E10</v>
      </c>
      <c r="BG653" s="19" t="s">
        <v>4038</v>
      </c>
      <c r="BH653" s="19" t="s">
        <v>2128</v>
      </c>
      <c r="BI653" s="19"/>
      <c r="BJ653" s="19" t="s">
        <v>2128</v>
      </c>
      <c r="BK653" s="19" t="s">
        <v>17</v>
      </c>
      <c r="BL653" s="19"/>
      <c r="BM653" s="19" t="s">
        <v>5796</v>
      </c>
      <c r="BN653" s="19" t="s">
        <v>2172</v>
      </c>
      <c r="BO653" s="19" t="s">
        <v>2317</v>
      </c>
      <c r="BP653" s="19" t="s">
        <v>12904</v>
      </c>
      <c r="BQ653" s="19" t="s">
        <v>2318</v>
      </c>
      <c r="BR653" s="19" t="s">
        <v>2318</v>
      </c>
      <c r="BS653" s="19" t="s">
        <v>2134</v>
      </c>
      <c r="BT653" s="19" t="s">
        <v>42</v>
      </c>
      <c r="BU653" s="19" t="s">
        <v>2560</v>
      </c>
      <c r="BV653" s="19"/>
      <c r="BW653" s="19"/>
      <c r="BX653" s="19" t="s">
        <v>2113</v>
      </c>
      <c r="BY653" s="19"/>
      <c r="BZ653" s="19"/>
      <c r="CA653" s="19" t="s">
        <v>2113</v>
      </c>
      <c r="CB653" s="19" t="s">
        <v>2113</v>
      </c>
      <c r="CC653" s="19"/>
      <c r="CD653" s="19" t="s">
        <v>2137</v>
      </c>
      <c r="CE653" s="19" t="s">
        <v>16</v>
      </c>
      <c r="CF653" s="19"/>
      <c r="CG653" s="19"/>
      <c r="CH653" s="19" t="s">
        <v>16</v>
      </c>
      <c r="CI653" s="21">
        <v>0.0</v>
      </c>
      <c r="CJ653" s="19" t="s">
        <v>16</v>
      </c>
      <c r="CK653" s="19" t="s">
        <v>2113</v>
      </c>
      <c r="CL653" s="19"/>
      <c r="CM653" s="19" t="s">
        <v>2138</v>
      </c>
      <c r="CN653" s="19" t="s">
        <v>2321</v>
      </c>
      <c r="CO653" s="19"/>
      <c r="CP653" s="19" t="s">
        <v>2246</v>
      </c>
      <c r="CQ653" s="19"/>
      <c r="CR653" s="19" t="s">
        <v>2113</v>
      </c>
      <c r="CS653" s="19" t="s">
        <v>2113</v>
      </c>
      <c r="CT653" s="19" t="s">
        <v>2113</v>
      </c>
      <c r="CU653" s="19" t="s">
        <v>2113</v>
      </c>
      <c r="CV653" s="19" t="s">
        <v>2141</v>
      </c>
      <c r="CW653" s="19" t="s">
        <v>2113</v>
      </c>
      <c r="CX653" s="19" t="s">
        <v>2113</v>
      </c>
      <c r="CY653" s="19" t="s">
        <v>2113</v>
      </c>
      <c r="CZ653" s="19" t="s">
        <v>2113</v>
      </c>
      <c r="DA653" s="19" t="s">
        <v>16</v>
      </c>
      <c r="DB653" s="19" t="s">
        <v>16</v>
      </c>
      <c r="DC653" s="19" t="s">
        <v>3280</v>
      </c>
      <c r="DD653" s="19" t="s">
        <v>2113</v>
      </c>
      <c r="DE653" s="19" t="s">
        <v>2113</v>
      </c>
      <c r="DF653" s="19" t="s">
        <v>12147</v>
      </c>
      <c r="DG653" s="19" t="s">
        <v>2981</v>
      </c>
      <c r="DH653" s="19" t="s">
        <v>2144</v>
      </c>
      <c r="DI653" s="24">
        <v>45525.0</v>
      </c>
      <c r="DJ653" s="19" t="s">
        <v>2325</v>
      </c>
      <c r="DK653" s="19" t="s">
        <v>2271</v>
      </c>
      <c r="DL653" s="19" t="s">
        <v>2326</v>
      </c>
      <c r="DM653" s="19"/>
      <c r="DN653" s="19">
        <v>10.0</v>
      </c>
      <c r="DO653" s="19">
        <v>10.0</v>
      </c>
      <c r="DP653" s="19" t="s">
        <v>12905</v>
      </c>
      <c r="DQ653" s="19" t="s">
        <v>12906</v>
      </c>
      <c r="DR653" s="19" t="s">
        <v>12907</v>
      </c>
      <c r="DS653" s="19" t="s">
        <v>2365</v>
      </c>
      <c r="DT653" s="19" t="s">
        <v>2209</v>
      </c>
      <c r="DU653" s="19"/>
      <c r="DV653" s="19"/>
      <c r="DW653" s="19" t="s">
        <v>2153</v>
      </c>
      <c r="DX653" s="19">
        <v>9.0</v>
      </c>
      <c r="DY653" s="19">
        <v>0.0</v>
      </c>
      <c r="DZ653" s="19">
        <v>0.0</v>
      </c>
      <c r="EA653" s="19">
        <v>0.0</v>
      </c>
      <c r="EB653" s="19">
        <v>0.0</v>
      </c>
      <c r="EC653" s="19">
        <v>0.0</v>
      </c>
      <c r="ED653" s="19" t="s">
        <v>2325</v>
      </c>
      <c r="EE653" s="24">
        <v>45525.0</v>
      </c>
      <c r="EF653" s="19" t="s">
        <v>2325</v>
      </c>
      <c r="EG653" s="19" t="s">
        <v>2271</v>
      </c>
      <c r="EH653" s="19" t="s">
        <v>2326</v>
      </c>
      <c r="EI653" s="22">
        <v>13.143749999999999</v>
      </c>
      <c r="EJ653" s="19">
        <v>33.0</v>
      </c>
      <c r="EK653" s="19"/>
      <c r="EL653" s="19" t="s">
        <v>2282</v>
      </c>
      <c r="EM653" s="19" t="s">
        <v>12898</v>
      </c>
      <c r="EN653" s="19" t="s">
        <v>1916</v>
      </c>
      <c r="EO653" s="19" t="s">
        <v>2309</v>
      </c>
      <c r="EP653" s="19" t="s">
        <v>2310</v>
      </c>
      <c r="EQ653" s="19" t="s">
        <v>2321</v>
      </c>
      <c r="ER653" s="19"/>
      <c r="ES653" s="19" t="s">
        <v>1916</v>
      </c>
      <c r="ET653" s="19" t="s">
        <v>1916</v>
      </c>
      <c r="EU653" s="19" t="s">
        <v>12896</v>
      </c>
      <c r="EV653" s="19">
        <v>6984.0</v>
      </c>
      <c r="EW653" s="19" t="s">
        <v>16</v>
      </c>
      <c r="EX653" s="19">
        <v>4.0</v>
      </c>
      <c r="EY653" s="25" t="s">
        <v>1915</v>
      </c>
      <c r="EZ653" s="19" t="s">
        <v>2154</v>
      </c>
      <c r="FA653" s="5" t="s">
        <v>12908</v>
      </c>
      <c r="FB653" s="26" t="s">
        <v>2156</v>
      </c>
      <c r="FC653" s="26"/>
    </row>
    <row r="654">
      <c r="A654" s="19" t="s">
        <v>2156</v>
      </c>
      <c r="B654" s="19"/>
      <c r="C654" s="19" t="s">
        <v>2113</v>
      </c>
      <c r="D654" s="19" t="s">
        <v>1917</v>
      </c>
      <c r="E654" s="19" t="s">
        <v>12909</v>
      </c>
      <c r="F654" s="19" t="s">
        <v>1917</v>
      </c>
      <c r="G654" s="19"/>
      <c r="H654" s="19" t="s">
        <v>1917</v>
      </c>
      <c r="I654" s="19" t="s">
        <v>1919</v>
      </c>
      <c r="J654" s="19" t="s">
        <v>12910</v>
      </c>
      <c r="K654" s="19" t="s">
        <v>12911</v>
      </c>
      <c r="L654" s="20">
        <v>45445.0</v>
      </c>
      <c r="M654" s="20">
        <v>45446.0</v>
      </c>
      <c r="N654" s="20">
        <v>45446.0</v>
      </c>
      <c r="O654" s="19" t="s">
        <v>1918</v>
      </c>
      <c r="P654" s="19">
        <v>0.0</v>
      </c>
      <c r="Q654" s="19">
        <v>25.0</v>
      </c>
      <c r="R654" s="19">
        <v>9171.0</v>
      </c>
      <c r="S654" s="20" t="s">
        <v>12912</v>
      </c>
      <c r="T654" s="20">
        <v>45461.0</v>
      </c>
      <c r="U654" s="19" t="s">
        <v>1917</v>
      </c>
      <c r="V654" s="19"/>
      <c r="W654" s="19" t="s">
        <v>12913</v>
      </c>
      <c r="X654" s="21">
        <v>0.0</v>
      </c>
      <c r="Y654" s="21">
        <v>0.0</v>
      </c>
      <c r="Z654" s="21">
        <v>3.0</v>
      </c>
      <c r="AA654" s="21">
        <v>0.0</v>
      </c>
      <c r="AB654" s="5">
        <v>3.0</v>
      </c>
      <c r="AC654" s="19">
        <v>3.0</v>
      </c>
      <c r="AD654" s="19">
        <v>3.0</v>
      </c>
      <c r="AE654" s="19">
        <v>3.0</v>
      </c>
      <c r="AF654" s="19">
        <v>3.0</v>
      </c>
      <c r="AG654" s="19">
        <v>3.0</v>
      </c>
      <c r="AH654" s="19">
        <v>3.0</v>
      </c>
      <c r="AI654" s="22">
        <v>9.0</v>
      </c>
      <c r="AJ654" s="19">
        <v>15.0</v>
      </c>
      <c r="AK654" s="19">
        <v>13.0</v>
      </c>
      <c r="AL654" s="19">
        <v>10.0</v>
      </c>
      <c r="AM654" s="19">
        <v>38.0</v>
      </c>
      <c r="AN654" s="19">
        <v>47.0</v>
      </c>
      <c r="AO654" s="19">
        <v>50.0</v>
      </c>
      <c r="AP654" s="19">
        <v>1242.0</v>
      </c>
      <c r="AQ654" s="23">
        <v>641.0</v>
      </c>
      <c r="AR654" s="23">
        <v>92.0</v>
      </c>
      <c r="AS654" s="22"/>
      <c r="AT654" s="19" t="s">
        <v>2117</v>
      </c>
      <c r="AU654" s="19" t="s">
        <v>12914</v>
      </c>
      <c r="AV654" s="19" t="s">
        <v>12915</v>
      </c>
      <c r="AW654" s="19"/>
      <c r="AX654" s="20">
        <v>36290.0</v>
      </c>
      <c r="AY654" s="19" t="s">
        <v>3015</v>
      </c>
      <c r="AZ654" s="19" t="s">
        <v>2122</v>
      </c>
      <c r="BA654" s="19" t="s">
        <v>12916</v>
      </c>
      <c r="BB654" s="19" t="s">
        <v>3036</v>
      </c>
      <c r="BC654" s="19" t="s">
        <v>12917</v>
      </c>
      <c r="BD654" s="19" t="s">
        <v>12918</v>
      </c>
      <c r="BE654" s="19" t="s">
        <v>12910</v>
      </c>
      <c r="BF654" s="19">
        <v>1.1982109089E10</v>
      </c>
      <c r="BG654" s="19" t="s">
        <v>2127</v>
      </c>
      <c r="BH654" s="19" t="s">
        <v>2128</v>
      </c>
      <c r="BI654" s="19"/>
      <c r="BJ654" s="19"/>
      <c r="BK654" s="19" t="s">
        <v>16</v>
      </c>
      <c r="BL654" s="19"/>
      <c r="BM654" s="19" t="s">
        <v>5411</v>
      </c>
      <c r="BN654" s="19" t="s">
        <v>3910</v>
      </c>
      <c r="BO654" s="19" t="s">
        <v>2473</v>
      </c>
      <c r="BP654" s="19"/>
      <c r="BQ654" s="19" t="s">
        <v>2133</v>
      </c>
      <c r="BR654" s="19" t="s">
        <v>2133</v>
      </c>
      <c r="BS654" s="19" t="s">
        <v>3521</v>
      </c>
      <c r="BT654" s="19" t="s">
        <v>38</v>
      </c>
      <c r="BU654" s="19" t="s">
        <v>12919</v>
      </c>
      <c r="BV654" s="19"/>
      <c r="BW654" s="19" t="s">
        <v>2113</v>
      </c>
      <c r="BX654" s="19"/>
      <c r="BY654" s="19"/>
      <c r="BZ654" s="19"/>
      <c r="CA654" s="19"/>
      <c r="CB654" s="19" t="s">
        <v>2113</v>
      </c>
      <c r="CC654" s="19"/>
      <c r="CD654" s="19" t="s">
        <v>2137</v>
      </c>
      <c r="CE654" s="19" t="s">
        <v>16</v>
      </c>
      <c r="CF654" s="19"/>
      <c r="CG654" s="19"/>
      <c r="CH654" s="19" t="s">
        <v>16</v>
      </c>
      <c r="CI654" s="21">
        <v>0.0</v>
      </c>
      <c r="CJ654" s="19" t="s">
        <v>17</v>
      </c>
      <c r="CK654" s="19"/>
      <c r="CL654" s="19"/>
      <c r="CM654" s="19"/>
      <c r="CN654" s="19" t="s">
        <v>3020</v>
      </c>
      <c r="CO654" s="19"/>
      <c r="CP654" s="19"/>
      <c r="CQ654" s="19"/>
      <c r="CR654" s="19"/>
      <c r="CS654" s="19"/>
      <c r="CT654" s="19" t="s">
        <v>2113</v>
      </c>
      <c r="CU654" s="19" t="s">
        <v>2113</v>
      </c>
      <c r="CV654" s="19" t="s">
        <v>2141</v>
      </c>
      <c r="CW654" s="19"/>
      <c r="CX654" s="19"/>
      <c r="CY654" s="19" t="s">
        <v>2113</v>
      </c>
      <c r="CZ654" s="19" t="s">
        <v>2113</v>
      </c>
      <c r="DA654" s="19" t="s">
        <v>16</v>
      </c>
      <c r="DB654" s="19" t="s">
        <v>17</v>
      </c>
      <c r="DC654" s="19" t="s">
        <v>2143</v>
      </c>
      <c r="DD654" s="19" t="s">
        <v>2113</v>
      </c>
      <c r="DE654" s="19" t="s">
        <v>2113</v>
      </c>
      <c r="DF654" s="19" t="s">
        <v>2578</v>
      </c>
      <c r="DG654" s="19" t="s">
        <v>2297</v>
      </c>
      <c r="DH654" s="19" t="s">
        <v>2144</v>
      </c>
      <c r="DI654" s="24">
        <v>45519.0</v>
      </c>
      <c r="DJ654" s="19" t="s">
        <v>2133</v>
      </c>
      <c r="DK654" s="19" t="s">
        <v>2271</v>
      </c>
      <c r="DL654" s="19" t="s">
        <v>2146</v>
      </c>
      <c r="DM654" s="19" t="s">
        <v>2751</v>
      </c>
      <c r="DN654" s="19">
        <v>6.0</v>
      </c>
      <c r="DO654" s="19">
        <v>6.0</v>
      </c>
      <c r="DP654" s="19" t="s">
        <v>12920</v>
      </c>
      <c r="DQ654" s="19" t="s">
        <v>12921</v>
      </c>
      <c r="DR654" s="19" t="s">
        <v>12922</v>
      </c>
      <c r="DS654" s="19" t="s">
        <v>2185</v>
      </c>
      <c r="DT654" s="19" t="s">
        <v>2152</v>
      </c>
      <c r="DU654" s="19"/>
      <c r="DV654" s="19"/>
      <c r="DW654" s="19" t="s">
        <v>2153</v>
      </c>
      <c r="DX654" s="19">
        <v>1.0</v>
      </c>
      <c r="DY654" s="19">
        <v>0.0</v>
      </c>
      <c r="DZ654" s="19">
        <v>0.0</v>
      </c>
      <c r="EA654" s="19">
        <v>0.0</v>
      </c>
      <c r="EB654" s="19">
        <v>0.0</v>
      </c>
      <c r="EC654" s="19">
        <v>0.0</v>
      </c>
      <c r="ED654" s="19" t="s">
        <v>2133</v>
      </c>
      <c r="EE654" s="24">
        <v>45519.0</v>
      </c>
      <c r="EF654" s="19" t="s">
        <v>2133</v>
      </c>
      <c r="EG654" s="19" t="s">
        <v>2271</v>
      </c>
      <c r="EH654" s="19" t="s">
        <v>2146</v>
      </c>
      <c r="EI654" s="22">
        <v>9.0</v>
      </c>
      <c r="EJ654" s="19">
        <v>38.0</v>
      </c>
      <c r="EK654" s="19" t="s">
        <v>2113</v>
      </c>
      <c r="EL654" s="19" t="s">
        <v>2117</v>
      </c>
      <c r="EM654" s="19" t="s">
        <v>12914</v>
      </c>
      <c r="EN654" s="19" t="s">
        <v>1919</v>
      </c>
      <c r="EO654" s="19" t="s">
        <v>3015</v>
      </c>
      <c r="EP654" s="19" t="s">
        <v>2122</v>
      </c>
      <c r="EQ654" s="19" t="s">
        <v>3020</v>
      </c>
      <c r="ER654" s="19"/>
      <c r="ES654" s="19" t="s">
        <v>1919</v>
      </c>
      <c r="ET654" s="19" t="s">
        <v>1919</v>
      </c>
      <c r="EU654" s="19" t="s">
        <v>12911</v>
      </c>
      <c r="EV654" s="19">
        <v>9171.0</v>
      </c>
      <c r="EW654" s="19" t="s">
        <v>16</v>
      </c>
      <c r="EX654" s="19">
        <v>3.0</v>
      </c>
      <c r="EY654" s="25" t="s">
        <v>1918</v>
      </c>
      <c r="EZ654" s="19" t="s">
        <v>2154</v>
      </c>
      <c r="FA654" s="5" t="s">
        <v>12923</v>
      </c>
      <c r="FB654" s="26" t="s">
        <v>2156</v>
      </c>
      <c r="FC654" s="26"/>
    </row>
    <row r="655">
      <c r="A655" s="19" t="s">
        <v>2112</v>
      </c>
      <c r="B655" s="19"/>
      <c r="C655" s="19" t="s">
        <v>2113</v>
      </c>
      <c r="D655" s="19" t="s">
        <v>1920</v>
      </c>
      <c r="E655" s="19" t="s">
        <v>12924</v>
      </c>
      <c r="F655" s="19" t="s">
        <v>1920</v>
      </c>
      <c r="G655" s="19"/>
      <c r="H655" s="19" t="s">
        <v>1920</v>
      </c>
      <c r="I655" s="19" t="s">
        <v>1922</v>
      </c>
      <c r="J655" s="19" t="s">
        <v>12925</v>
      </c>
      <c r="K655" s="19" t="s">
        <v>12926</v>
      </c>
      <c r="L655" s="20">
        <v>45456.0</v>
      </c>
      <c r="M655" s="20">
        <v>45457.0</v>
      </c>
      <c r="N655" s="20">
        <v>45457.0</v>
      </c>
      <c r="O655" s="19" t="s">
        <v>1921</v>
      </c>
      <c r="P655" s="19">
        <v>0.0</v>
      </c>
      <c r="Q655" s="19">
        <v>25.0</v>
      </c>
      <c r="R655" s="19">
        <v>9176.0</v>
      </c>
      <c r="S655" s="20" t="s">
        <v>12927</v>
      </c>
      <c r="T655" s="20">
        <v>45461.0</v>
      </c>
      <c r="U655" s="19" t="s">
        <v>1920</v>
      </c>
      <c r="V655" s="19"/>
      <c r="W655" s="19"/>
      <c r="X655" s="21">
        <v>0.0</v>
      </c>
      <c r="Y655" s="21">
        <v>0.0</v>
      </c>
      <c r="Z655" s="21">
        <v>3.0</v>
      </c>
      <c r="AA655" s="21">
        <v>0.0</v>
      </c>
      <c r="AB655" s="5">
        <v>3.0</v>
      </c>
      <c r="AC655" s="19">
        <v>4.0</v>
      </c>
      <c r="AD655" s="19">
        <v>5.0</v>
      </c>
      <c r="AE655" s="19">
        <v>4.0</v>
      </c>
      <c r="AF655" s="19">
        <v>4.0</v>
      </c>
      <c r="AG655" s="19">
        <v>4.0</v>
      </c>
      <c r="AH655" s="19">
        <v>5.0</v>
      </c>
      <c r="AI655" s="22">
        <v>13.03125</v>
      </c>
      <c r="AJ655" s="19">
        <v>10.0</v>
      </c>
      <c r="AK655" s="19">
        <v>9.0</v>
      </c>
      <c r="AL655" s="19">
        <v>15.0</v>
      </c>
      <c r="AM655" s="19">
        <v>34.0</v>
      </c>
      <c r="AN655" s="19">
        <v>47.0</v>
      </c>
      <c r="AO655" s="19">
        <v>50.0</v>
      </c>
      <c r="AP655" s="19">
        <v>1241.0</v>
      </c>
      <c r="AQ655" s="23">
        <v>642.0</v>
      </c>
      <c r="AR655" s="23">
        <v>53.0</v>
      </c>
      <c r="AS655" s="22"/>
      <c r="AT655" s="19" t="s">
        <v>2117</v>
      </c>
      <c r="AU655" s="19" t="s">
        <v>8191</v>
      </c>
      <c r="AV655" s="19" t="s">
        <v>12928</v>
      </c>
      <c r="AW655" s="19" t="s">
        <v>3923</v>
      </c>
      <c r="AX655" s="20">
        <v>36285.0</v>
      </c>
      <c r="AY655" s="19" t="s">
        <v>5573</v>
      </c>
      <c r="AZ655" s="19" t="s">
        <v>2310</v>
      </c>
      <c r="BA655" s="19" t="s">
        <v>12929</v>
      </c>
      <c r="BB655" s="19" t="s">
        <v>12930</v>
      </c>
      <c r="BC655" s="19" t="s">
        <v>12931</v>
      </c>
      <c r="BD655" s="19" t="s">
        <v>12932</v>
      </c>
      <c r="BE655" s="19" t="s">
        <v>12925</v>
      </c>
      <c r="BF655" s="19">
        <v>1.9993402929E10</v>
      </c>
      <c r="BG655" s="19" t="s">
        <v>2127</v>
      </c>
      <c r="BH655" s="19" t="s">
        <v>2649</v>
      </c>
      <c r="BI655" s="19"/>
      <c r="BJ655" s="19"/>
      <c r="BK655" s="19" t="s">
        <v>16</v>
      </c>
      <c r="BL655" s="19"/>
      <c r="BM655" s="19" t="s">
        <v>5411</v>
      </c>
      <c r="BN655" s="19" t="s">
        <v>17</v>
      </c>
      <c r="BO655" s="19" t="s">
        <v>2473</v>
      </c>
      <c r="BP655" s="19"/>
      <c r="BQ655" s="19" t="s">
        <v>2174</v>
      </c>
      <c r="BR655" s="19" t="s">
        <v>2174</v>
      </c>
      <c r="BS655" s="19" t="s">
        <v>3521</v>
      </c>
      <c r="BT655" s="19" t="s">
        <v>34</v>
      </c>
      <c r="BU655" s="19" t="s">
        <v>4350</v>
      </c>
      <c r="BV655" s="19"/>
      <c r="BW655" s="19" t="s">
        <v>2113</v>
      </c>
      <c r="BX655" s="19"/>
      <c r="BY655" s="19"/>
      <c r="BZ655" s="19"/>
      <c r="CA655" s="19"/>
      <c r="CB655" s="19"/>
      <c r="CC655" s="19"/>
      <c r="CD655" s="19" t="s">
        <v>2137</v>
      </c>
      <c r="CE655" s="19" t="s">
        <v>16</v>
      </c>
      <c r="CF655" s="19"/>
      <c r="CG655" s="19"/>
      <c r="CH655" s="19" t="s">
        <v>16</v>
      </c>
      <c r="CI655" s="21">
        <v>0.0</v>
      </c>
      <c r="CJ655" s="19" t="s">
        <v>17</v>
      </c>
      <c r="CK655" s="19"/>
      <c r="CL655" s="19"/>
      <c r="CM655" s="19" t="s">
        <v>2138</v>
      </c>
      <c r="CN655" s="19" t="s">
        <v>3041</v>
      </c>
      <c r="CO655" s="19"/>
      <c r="CP655" s="19"/>
      <c r="CQ655" s="19"/>
      <c r="CR655" s="19"/>
      <c r="CS655" s="19"/>
      <c r="CT655" s="19" t="s">
        <v>2113</v>
      </c>
      <c r="CU655" s="19" t="s">
        <v>2113</v>
      </c>
      <c r="CV655" s="19" t="s">
        <v>2141</v>
      </c>
      <c r="CW655" s="19"/>
      <c r="CX655" s="19"/>
      <c r="CY655" s="19"/>
      <c r="CZ655" s="19"/>
      <c r="DA655" s="19" t="s">
        <v>16</v>
      </c>
      <c r="DB655" s="19" t="s">
        <v>17</v>
      </c>
      <c r="DC655" s="19" t="s">
        <v>3370</v>
      </c>
      <c r="DD655" s="19" t="s">
        <v>2113</v>
      </c>
      <c r="DE655" s="19" t="s">
        <v>2113</v>
      </c>
      <c r="DF655" s="19" t="s">
        <v>3914</v>
      </c>
      <c r="DG655" s="19" t="s">
        <v>3255</v>
      </c>
      <c r="DH655" s="19" t="s">
        <v>2144</v>
      </c>
      <c r="DI655" s="24">
        <v>45525.0</v>
      </c>
      <c r="DJ655" s="19" t="s">
        <v>2174</v>
      </c>
      <c r="DK655" s="19" t="s">
        <v>2271</v>
      </c>
      <c r="DL655" s="19" t="s">
        <v>2183</v>
      </c>
      <c r="DM655" s="19" t="s">
        <v>2249</v>
      </c>
      <c r="DN655" s="19">
        <v>10.0</v>
      </c>
      <c r="DO655" s="19">
        <v>10.0</v>
      </c>
      <c r="DP655" s="19" t="s">
        <v>12933</v>
      </c>
      <c r="DQ655" s="19" t="s">
        <v>12934</v>
      </c>
      <c r="DR655" s="19"/>
      <c r="DS655" s="19" t="s">
        <v>2151</v>
      </c>
      <c r="DT655" s="19" t="s">
        <v>2350</v>
      </c>
      <c r="DU655" s="19"/>
      <c r="DV655" s="19"/>
      <c r="DW655" s="19" t="s">
        <v>2479</v>
      </c>
      <c r="DX655" s="19">
        <v>16.0</v>
      </c>
      <c r="DY655" s="19">
        <v>0.0</v>
      </c>
      <c r="DZ655" s="19">
        <v>0.0</v>
      </c>
      <c r="EA655" s="19">
        <v>0.0</v>
      </c>
      <c r="EB655" s="19">
        <v>0.0</v>
      </c>
      <c r="EC655" s="19">
        <v>0.0</v>
      </c>
      <c r="ED655" s="19" t="s">
        <v>2174</v>
      </c>
      <c r="EE655" s="24">
        <v>45525.0</v>
      </c>
      <c r="EF655" s="19" t="s">
        <v>2174</v>
      </c>
      <c r="EG655" s="19" t="s">
        <v>2271</v>
      </c>
      <c r="EH655" s="19" t="s">
        <v>2183</v>
      </c>
      <c r="EI655" s="22">
        <v>13.03125</v>
      </c>
      <c r="EJ655" s="19">
        <v>34.0</v>
      </c>
      <c r="EK655" s="19" t="s">
        <v>2113</v>
      </c>
      <c r="EL655" s="19" t="s">
        <v>2117</v>
      </c>
      <c r="EM655" s="19" t="s">
        <v>8191</v>
      </c>
      <c r="EN655" s="19" t="s">
        <v>1922</v>
      </c>
      <c r="EO655" s="19" t="s">
        <v>5573</v>
      </c>
      <c r="EP655" s="19" t="s">
        <v>2310</v>
      </c>
      <c r="EQ655" s="19" t="s">
        <v>3041</v>
      </c>
      <c r="ER655" s="19"/>
      <c r="ES655" s="19" t="s">
        <v>1922</v>
      </c>
      <c r="ET655" s="19" t="s">
        <v>1922</v>
      </c>
      <c r="EU655" s="19" t="s">
        <v>12926</v>
      </c>
      <c r="EV655" s="19">
        <v>9176.0</v>
      </c>
      <c r="EW655" s="19" t="s">
        <v>16</v>
      </c>
      <c r="EX655" s="19">
        <v>3.0</v>
      </c>
      <c r="EY655" s="25" t="s">
        <v>1921</v>
      </c>
      <c r="EZ655" s="19" t="s">
        <v>2154</v>
      </c>
      <c r="FA655" s="5" t="s">
        <v>12935</v>
      </c>
      <c r="FB655" s="26" t="s">
        <v>2156</v>
      </c>
      <c r="FC655" s="26"/>
    </row>
    <row r="656">
      <c r="A656" s="19" t="s">
        <v>17</v>
      </c>
      <c r="B656" s="19"/>
      <c r="C656" s="19" t="s">
        <v>2113</v>
      </c>
      <c r="D656" s="19" t="s">
        <v>1923</v>
      </c>
      <c r="E656" s="19" t="s">
        <v>12936</v>
      </c>
      <c r="F656" s="19" t="s">
        <v>1923</v>
      </c>
      <c r="G656" s="19"/>
      <c r="H656" s="19" t="s">
        <v>1923</v>
      </c>
      <c r="I656" s="19" t="s">
        <v>1925</v>
      </c>
      <c r="J656" s="19" t="s">
        <v>12937</v>
      </c>
      <c r="K656" s="19" t="s">
        <v>12938</v>
      </c>
      <c r="L656" s="20">
        <v>45460.0</v>
      </c>
      <c r="M656" s="20">
        <v>45462.0</v>
      </c>
      <c r="N656" s="20">
        <v>45462.0</v>
      </c>
      <c r="O656" s="19" t="s">
        <v>1924</v>
      </c>
      <c r="P656" s="19">
        <v>0.0</v>
      </c>
      <c r="Q656" s="19">
        <v>25.0</v>
      </c>
      <c r="R656" s="19">
        <v>9372.0</v>
      </c>
      <c r="S656" s="20" t="s">
        <v>12939</v>
      </c>
      <c r="T656" s="20">
        <v>45461.0</v>
      </c>
      <c r="U656" s="19" t="s">
        <v>1923</v>
      </c>
      <c r="V656" s="19"/>
      <c r="W656" s="19"/>
      <c r="X656" s="21">
        <v>0.0</v>
      </c>
      <c r="Y656" s="21">
        <v>0.0</v>
      </c>
      <c r="Z656" s="21">
        <v>3.0</v>
      </c>
      <c r="AA656" s="21">
        <v>0.0</v>
      </c>
      <c r="AB656" s="5">
        <v>3.0</v>
      </c>
      <c r="AC656" s="19">
        <v>4.0</v>
      </c>
      <c r="AD656" s="19">
        <v>4.0</v>
      </c>
      <c r="AE656" s="19">
        <v>4.0</v>
      </c>
      <c r="AF656" s="19">
        <v>4.0</v>
      </c>
      <c r="AG656" s="19">
        <v>4.0</v>
      </c>
      <c r="AH656" s="19">
        <v>3.5</v>
      </c>
      <c r="AI656" s="22">
        <v>11.8125</v>
      </c>
      <c r="AJ656" s="19">
        <v>15.0</v>
      </c>
      <c r="AK656" s="19">
        <v>15.0</v>
      </c>
      <c r="AL656" s="19">
        <v>5.0</v>
      </c>
      <c r="AM656" s="19">
        <v>35.0</v>
      </c>
      <c r="AN656" s="19">
        <v>46.8</v>
      </c>
      <c r="AO656" s="19">
        <v>49.8</v>
      </c>
      <c r="AP656" s="19">
        <v>1235.0</v>
      </c>
      <c r="AQ656" s="23">
        <v>643.0</v>
      </c>
      <c r="AR656" s="23">
        <v>44.0</v>
      </c>
      <c r="AS656" s="22" t="s">
        <v>4071</v>
      </c>
      <c r="AT656" s="19" t="s">
        <v>2282</v>
      </c>
      <c r="AU656" s="19" t="s">
        <v>12940</v>
      </c>
      <c r="AV656" s="19" t="s">
        <v>12941</v>
      </c>
      <c r="AW656" s="19" t="s">
        <v>4346</v>
      </c>
      <c r="AX656" s="20">
        <v>36089.0</v>
      </c>
      <c r="AY656" s="19" t="s">
        <v>3826</v>
      </c>
      <c r="AZ656" s="19" t="s">
        <v>2122</v>
      </c>
      <c r="BA656" s="19" t="s">
        <v>12942</v>
      </c>
      <c r="BB656" s="19" t="s">
        <v>12943</v>
      </c>
      <c r="BC656" s="19" t="s">
        <v>12944</v>
      </c>
      <c r="BD656" s="19" t="s">
        <v>12945</v>
      </c>
      <c r="BE656" s="19" t="s">
        <v>12937</v>
      </c>
      <c r="BF656" s="19">
        <v>3.5984324542E10</v>
      </c>
      <c r="BG656" s="19" t="s">
        <v>4038</v>
      </c>
      <c r="BH656" s="19" t="s">
        <v>2649</v>
      </c>
      <c r="BI656" s="19"/>
      <c r="BJ656" s="19" t="s">
        <v>2128</v>
      </c>
      <c r="BK656" s="19" t="s">
        <v>17</v>
      </c>
      <c r="BL656" s="19"/>
      <c r="BM656" s="19" t="s">
        <v>5411</v>
      </c>
      <c r="BN656" s="19" t="s">
        <v>17</v>
      </c>
      <c r="BO656" s="19" t="s">
        <v>2473</v>
      </c>
      <c r="BP656" s="19" t="s">
        <v>12946</v>
      </c>
      <c r="BQ656" s="19" t="s">
        <v>3832</v>
      </c>
      <c r="BR656" s="19" t="s">
        <v>3832</v>
      </c>
      <c r="BS656" s="19" t="s">
        <v>3521</v>
      </c>
      <c r="BT656" s="19" t="s">
        <v>268</v>
      </c>
      <c r="BU656" s="19" t="s">
        <v>12947</v>
      </c>
      <c r="BV656" s="19"/>
      <c r="BW656" s="19"/>
      <c r="BX656" s="19"/>
      <c r="BY656" s="19"/>
      <c r="BZ656" s="19" t="s">
        <v>2113</v>
      </c>
      <c r="CA656" s="19"/>
      <c r="CB656" s="19" t="s">
        <v>2113</v>
      </c>
      <c r="CC656" s="19"/>
      <c r="CD656" s="19" t="s">
        <v>2137</v>
      </c>
      <c r="CE656" s="19" t="s">
        <v>16</v>
      </c>
      <c r="CF656" s="19"/>
      <c r="CG656" s="19"/>
      <c r="CH656" s="19" t="s">
        <v>16</v>
      </c>
      <c r="CI656" s="21">
        <v>0.0</v>
      </c>
      <c r="CJ656" s="19" t="s">
        <v>16</v>
      </c>
      <c r="CK656" s="19"/>
      <c r="CL656" s="19"/>
      <c r="CM656" s="19" t="s">
        <v>2926</v>
      </c>
      <c r="CN656" s="19" t="s">
        <v>3835</v>
      </c>
      <c r="CO656" s="19"/>
      <c r="CP656" s="19" t="s">
        <v>2246</v>
      </c>
      <c r="CQ656" s="19"/>
      <c r="CR656" s="19" t="s">
        <v>2113</v>
      </c>
      <c r="CS656" s="19" t="s">
        <v>2113</v>
      </c>
      <c r="CT656" s="19" t="s">
        <v>2113</v>
      </c>
      <c r="CU656" s="19" t="s">
        <v>2113</v>
      </c>
      <c r="CV656" s="19" t="s">
        <v>2141</v>
      </c>
      <c r="CW656" s="19" t="s">
        <v>2113</v>
      </c>
      <c r="CX656" s="19" t="s">
        <v>2113</v>
      </c>
      <c r="CY656" s="19" t="s">
        <v>2113</v>
      </c>
      <c r="CZ656" s="19" t="s">
        <v>2113</v>
      </c>
      <c r="DA656" s="19" t="s">
        <v>16</v>
      </c>
      <c r="DB656" s="19" t="s">
        <v>16</v>
      </c>
      <c r="DC656" s="19" t="s">
        <v>3990</v>
      </c>
      <c r="DD656" s="19" t="s">
        <v>2113</v>
      </c>
      <c r="DE656" s="19" t="s">
        <v>2113</v>
      </c>
      <c r="DF656" s="19" t="s">
        <v>3163</v>
      </c>
      <c r="DG656" s="19" t="s">
        <v>3914</v>
      </c>
      <c r="DH656" s="19" t="s">
        <v>2144</v>
      </c>
      <c r="DI656" s="24">
        <v>45519.0</v>
      </c>
      <c r="DJ656" s="19" t="s">
        <v>3257</v>
      </c>
      <c r="DK656" s="19" t="s">
        <v>2145</v>
      </c>
      <c r="DL656" s="19" t="s">
        <v>2207</v>
      </c>
      <c r="DM656" s="19" t="s">
        <v>4085</v>
      </c>
      <c r="DN656" s="19">
        <v>2.0</v>
      </c>
      <c r="DO656" s="19">
        <v>2.0</v>
      </c>
      <c r="DP656" s="19" t="s">
        <v>12948</v>
      </c>
      <c r="DQ656" s="19" t="s">
        <v>12949</v>
      </c>
      <c r="DR656" s="19" t="s">
        <v>12950</v>
      </c>
      <c r="DS656" s="19" t="s">
        <v>2185</v>
      </c>
      <c r="DT656" s="19" t="s">
        <v>2301</v>
      </c>
      <c r="DU656" s="19"/>
      <c r="DV656" s="19"/>
      <c r="DW656" s="19" t="s">
        <v>2153</v>
      </c>
      <c r="DX656" s="19">
        <v>2.0</v>
      </c>
      <c r="DY656" s="19">
        <v>0.0</v>
      </c>
      <c r="DZ656" s="19">
        <v>0.0</v>
      </c>
      <c r="EA656" s="19">
        <v>0.0</v>
      </c>
      <c r="EB656" s="19">
        <v>0.0</v>
      </c>
      <c r="EC656" s="19">
        <v>0.0</v>
      </c>
      <c r="ED656" s="19" t="s">
        <v>3257</v>
      </c>
      <c r="EE656" s="24">
        <v>45519.0</v>
      </c>
      <c r="EF656" s="19" t="s">
        <v>3257</v>
      </c>
      <c r="EG656" s="19" t="s">
        <v>2145</v>
      </c>
      <c r="EH656" s="19" t="s">
        <v>2207</v>
      </c>
      <c r="EI656" s="22">
        <v>11.8125</v>
      </c>
      <c r="EJ656" s="19">
        <v>35.0</v>
      </c>
      <c r="EK656" s="19"/>
      <c r="EL656" s="19" t="s">
        <v>2282</v>
      </c>
      <c r="EM656" s="19" t="s">
        <v>12940</v>
      </c>
      <c r="EN656" s="19" t="s">
        <v>1925</v>
      </c>
      <c r="EO656" s="19" t="s">
        <v>3826</v>
      </c>
      <c r="EP656" s="19" t="s">
        <v>2122</v>
      </c>
      <c r="EQ656" s="19" t="s">
        <v>3835</v>
      </c>
      <c r="ER656" s="19"/>
      <c r="ES656" s="19" t="s">
        <v>1925</v>
      </c>
      <c r="ET656" s="19" t="s">
        <v>1925</v>
      </c>
      <c r="EU656" s="19" t="s">
        <v>12938</v>
      </c>
      <c r="EV656" s="19">
        <v>9372.0</v>
      </c>
      <c r="EW656" s="19" t="s">
        <v>16</v>
      </c>
      <c r="EX656" s="19">
        <v>3.0</v>
      </c>
      <c r="EY656" s="25" t="s">
        <v>1924</v>
      </c>
      <c r="EZ656" s="19" t="s">
        <v>2154</v>
      </c>
      <c r="FA656" s="5" t="s">
        <v>12951</v>
      </c>
      <c r="FB656" s="26" t="s">
        <v>2156</v>
      </c>
      <c r="FC656" s="26"/>
    </row>
    <row r="657">
      <c r="A657" s="19" t="s">
        <v>2156</v>
      </c>
      <c r="B657" s="19"/>
      <c r="C657" s="19" t="s">
        <v>2113</v>
      </c>
      <c r="D657" s="19" t="s">
        <v>12952</v>
      </c>
      <c r="E657" s="19" t="s">
        <v>12953</v>
      </c>
      <c r="F657" s="19" t="s">
        <v>12952</v>
      </c>
      <c r="G657" s="19"/>
      <c r="H657" s="19" t="s">
        <v>1926</v>
      </c>
      <c r="I657" s="19" t="s">
        <v>1928</v>
      </c>
      <c r="J657" s="19" t="s">
        <v>12954</v>
      </c>
      <c r="K657" s="19" t="s">
        <v>12955</v>
      </c>
      <c r="L657" s="20">
        <v>45445.0</v>
      </c>
      <c r="M657" s="20">
        <v>45446.0</v>
      </c>
      <c r="N657" s="20">
        <v>45446.0</v>
      </c>
      <c r="O657" s="19" t="s">
        <v>1927</v>
      </c>
      <c r="P657" s="19">
        <v>0.0</v>
      </c>
      <c r="Q657" s="19">
        <v>26.0</v>
      </c>
      <c r="R657" s="19">
        <v>9768.0</v>
      </c>
      <c r="S657" s="20" t="s">
        <v>12956</v>
      </c>
      <c r="T657" s="20">
        <v>45461.0</v>
      </c>
      <c r="U657" s="19" t="s">
        <v>12952</v>
      </c>
      <c r="V657" s="19"/>
      <c r="W657" s="19"/>
      <c r="X657" s="21">
        <v>0.0</v>
      </c>
      <c r="Y657" s="21">
        <v>0.0</v>
      </c>
      <c r="Z657" s="21">
        <v>3.0</v>
      </c>
      <c r="AA657" s="21">
        <v>0.0</v>
      </c>
      <c r="AB657" s="5">
        <v>3.0</v>
      </c>
      <c r="AC657" s="19">
        <v>5.0</v>
      </c>
      <c r="AD657" s="19">
        <v>5.0</v>
      </c>
      <c r="AE657" s="19">
        <v>4.0</v>
      </c>
      <c r="AF657" s="19">
        <v>4.5</v>
      </c>
      <c r="AG657" s="19">
        <v>4.0</v>
      </c>
      <c r="AH657" s="19">
        <v>5.0</v>
      </c>
      <c r="AI657" s="22">
        <v>13.6875</v>
      </c>
      <c r="AJ657" s="19">
        <v>8.0</v>
      </c>
      <c r="AK657" s="19">
        <v>14.0</v>
      </c>
      <c r="AL657" s="19">
        <v>11.0</v>
      </c>
      <c r="AM657" s="19">
        <v>33.0</v>
      </c>
      <c r="AN657" s="19">
        <v>46.7</v>
      </c>
      <c r="AO657" s="19">
        <v>49.7</v>
      </c>
      <c r="AP657" s="19">
        <v>1229.0</v>
      </c>
      <c r="AQ657" s="23">
        <v>644.0</v>
      </c>
      <c r="AR657" s="23">
        <v>55.0</v>
      </c>
      <c r="AS657" s="22" t="s">
        <v>2642</v>
      </c>
      <c r="AT657" s="19" t="s">
        <v>2163</v>
      </c>
      <c r="AU657" s="19" t="s">
        <v>12127</v>
      </c>
      <c r="AV657" s="19" t="s">
        <v>12957</v>
      </c>
      <c r="AW657" s="19"/>
      <c r="AX657" s="20">
        <v>35693.0</v>
      </c>
      <c r="AY657" s="19" t="s">
        <v>3053</v>
      </c>
      <c r="AZ657" s="19" t="s">
        <v>2122</v>
      </c>
      <c r="BA657" s="19" t="s">
        <v>12958</v>
      </c>
      <c r="BB657" s="19" t="s">
        <v>12959</v>
      </c>
      <c r="BC657" s="19" t="s">
        <v>12960</v>
      </c>
      <c r="BD657" s="19" t="s">
        <v>12961</v>
      </c>
      <c r="BE657" s="19"/>
      <c r="BF657" s="19"/>
      <c r="BG657" s="19" t="s">
        <v>2127</v>
      </c>
      <c r="BH657" s="19" t="s">
        <v>2128</v>
      </c>
      <c r="BI657" s="19"/>
      <c r="BJ657" s="19"/>
      <c r="BK657" s="19" t="s">
        <v>16</v>
      </c>
      <c r="BL657" s="19" t="s">
        <v>2113</v>
      </c>
      <c r="BM657" s="19" t="s">
        <v>5563</v>
      </c>
      <c r="BN657" s="19" t="s">
        <v>17</v>
      </c>
      <c r="BO657" s="19" t="s">
        <v>2473</v>
      </c>
      <c r="BP657" s="19"/>
      <c r="BQ657" s="19" t="s">
        <v>2325</v>
      </c>
      <c r="BR657" s="19" t="s">
        <v>2325</v>
      </c>
      <c r="BS657" s="19" t="s">
        <v>3521</v>
      </c>
      <c r="BT657" s="19" t="s">
        <v>59</v>
      </c>
      <c r="BU657" s="19" t="s">
        <v>12962</v>
      </c>
      <c r="BV657" s="19"/>
      <c r="BW657" s="19"/>
      <c r="BX657" s="19"/>
      <c r="BY657" s="19"/>
      <c r="BZ657" s="19"/>
      <c r="CA657" s="19"/>
      <c r="CB657" s="19" t="s">
        <v>2113</v>
      </c>
      <c r="CC657" s="19"/>
      <c r="CD657" s="19" t="s">
        <v>2137</v>
      </c>
      <c r="CE657" s="19" t="s">
        <v>16</v>
      </c>
      <c r="CF657" s="19"/>
      <c r="CG657" s="19"/>
      <c r="CH657" s="19" t="s">
        <v>16</v>
      </c>
      <c r="CI657" s="21">
        <v>0.0</v>
      </c>
      <c r="CJ657" s="19" t="s">
        <v>17</v>
      </c>
      <c r="CK657" s="19" t="s">
        <v>2113</v>
      </c>
      <c r="CL657" s="19"/>
      <c r="CM657" s="19" t="s">
        <v>2344</v>
      </c>
      <c r="CN657" s="19" t="s">
        <v>3064</v>
      </c>
      <c r="CO657" s="19"/>
      <c r="CP657" s="19"/>
      <c r="CQ657" s="19"/>
      <c r="CR657" s="19" t="s">
        <v>2113</v>
      </c>
      <c r="CS657" s="19" t="s">
        <v>2113</v>
      </c>
      <c r="CT657" s="19" t="s">
        <v>2113</v>
      </c>
      <c r="CU657" s="19" t="s">
        <v>2113</v>
      </c>
      <c r="CV657" s="19" t="s">
        <v>2141</v>
      </c>
      <c r="CW657" s="19" t="s">
        <v>2113</v>
      </c>
      <c r="CX657" s="19" t="s">
        <v>2113</v>
      </c>
      <c r="CY657" s="19" t="s">
        <v>2113</v>
      </c>
      <c r="CZ657" s="19" t="s">
        <v>2113</v>
      </c>
      <c r="DA657" s="19" t="s">
        <v>16</v>
      </c>
      <c r="DB657" s="19" t="s">
        <v>17</v>
      </c>
      <c r="DC657" s="19" t="s">
        <v>2432</v>
      </c>
      <c r="DD657" s="19" t="s">
        <v>2113</v>
      </c>
      <c r="DE657" s="19" t="s">
        <v>2113</v>
      </c>
      <c r="DF657" s="19" t="s">
        <v>3256</v>
      </c>
      <c r="DG657" s="19" t="s">
        <v>2323</v>
      </c>
      <c r="DH657" s="19" t="s">
        <v>2144</v>
      </c>
      <c r="DI657" s="24">
        <v>45517.0</v>
      </c>
      <c r="DJ657" s="19" t="s">
        <v>2325</v>
      </c>
      <c r="DK657" s="19" t="s">
        <v>2145</v>
      </c>
      <c r="DL657" s="19" t="s">
        <v>2326</v>
      </c>
      <c r="DM657" s="19"/>
      <c r="DN657" s="19">
        <v>1.0</v>
      </c>
      <c r="DO657" s="19">
        <v>1.0</v>
      </c>
      <c r="DP657" s="19" t="s">
        <v>12963</v>
      </c>
      <c r="DQ657" s="19" t="s">
        <v>12964</v>
      </c>
      <c r="DR657" s="19" t="s">
        <v>12965</v>
      </c>
      <c r="DS657" s="19" t="s">
        <v>2185</v>
      </c>
      <c r="DT657" s="19" t="s">
        <v>2152</v>
      </c>
      <c r="DU657" s="19"/>
      <c r="DV657" s="19"/>
      <c r="DW657" s="19" t="s">
        <v>2153</v>
      </c>
      <c r="DX657" s="19">
        <v>2.0</v>
      </c>
      <c r="DY657" s="19">
        <v>0.0</v>
      </c>
      <c r="DZ657" s="19">
        <v>0.0</v>
      </c>
      <c r="EA657" s="19">
        <v>0.0</v>
      </c>
      <c r="EB657" s="19">
        <v>0.0</v>
      </c>
      <c r="EC657" s="19">
        <v>0.0</v>
      </c>
      <c r="ED657" s="19" t="s">
        <v>2325</v>
      </c>
      <c r="EE657" s="24">
        <v>45517.0</v>
      </c>
      <c r="EF657" s="19" t="s">
        <v>2325</v>
      </c>
      <c r="EG657" s="19" t="s">
        <v>2145</v>
      </c>
      <c r="EH657" s="19" t="s">
        <v>2326</v>
      </c>
      <c r="EI657" s="22">
        <v>13.6875</v>
      </c>
      <c r="EJ657" s="19">
        <v>33.0</v>
      </c>
      <c r="EK657" s="19" t="s">
        <v>2113</v>
      </c>
      <c r="EL657" s="19" t="s">
        <v>2163</v>
      </c>
      <c r="EM657" s="19" t="s">
        <v>12127</v>
      </c>
      <c r="EN657" s="19" t="s">
        <v>1928</v>
      </c>
      <c r="EO657" s="19" t="s">
        <v>3053</v>
      </c>
      <c r="EP657" s="19" t="s">
        <v>2122</v>
      </c>
      <c r="EQ657" s="19" t="s">
        <v>3064</v>
      </c>
      <c r="ER657" s="19"/>
      <c r="ES657" s="19" t="s">
        <v>1928</v>
      </c>
      <c r="ET657" s="19" t="s">
        <v>1928</v>
      </c>
      <c r="EU657" s="19" t="s">
        <v>12955</v>
      </c>
      <c r="EV657" s="19">
        <v>9768.0</v>
      </c>
      <c r="EW657" s="19" t="s">
        <v>16</v>
      </c>
      <c r="EX657" s="19">
        <v>3.0</v>
      </c>
      <c r="EY657" s="25" t="s">
        <v>1927</v>
      </c>
      <c r="EZ657" s="19" t="s">
        <v>2154</v>
      </c>
      <c r="FA657" s="5" t="s">
        <v>12966</v>
      </c>
      <c r="FB657" s="26" t="s">
        <v>2156</v>
      </c>
      <c r="FC657" s="26"/>
    </row>
    <row r="658" hidden="1">
      <c r="A658" s="19" t="s">
        <v>2156</v>
      </c>
      <c r="B658" s="19" t="s">
        <v>2113</v>
      </c>
      <c r="C658" s="19" t="s">
        <v>2113</v>
      </c>
      <c r="D658" s="19" t="s">
        <v>12967</v>
      </c>
      <c r="E658" s="19" t="s">
        <v>12968</v>
      </c>
      <c r="F658" s="19" t="s">
        <v>12967</v>
      </c>
      <c r="G658" s="19"/>
      <c r="H658" s="19" t="s">
        <v>12967</v>
      </c>
      <c r="I658" s="19" t="s">
        <v>12969</v>
      </c>
      <c r="J658" s="19" t="s">
        <v>12970</v>
      </c>
      <c r="K658" s="19" t="s">
        <v>12971</v>
      </c>
      <c r="L658" s="20">
        <v>45427.0</v>
      </c>
      <c r="M658" s="20">
        <v>45428.0</v>
      </c>
      <c r="N658" s="20">
        <v>45428.0</v>
      </c>
      <c r="O658" s="19">
        <v>3.2745753E7</v>
      </c>
      <c r="P658" s="19">
        <v>0.0</v>
      </c>
      <c r="Q658" s="19">
        <v>19.0</v>
      </c>
      <c r="R658" s="19">
        <v>7085.0</v>
      </c>
      <c r="S658" s="20" t="s">
        <v>12972</v>
      </c>
      <c r="T658" s="20">
        <v>45461.0</v>
      </c>
      <c r="U658" s="19" t="s">
        <v>12967</v>
      </c>
      <c r="V658" s="19"/>
      <c r="W658" s="19"/>
      <c r="X658" s="21">
        <v>20.0</v>
      </c>
      <c r="Y658" s="21">
        <v>10.0</v>
      </c>
      <c r="Z658" s="21">
        <v>3.0</v>
      </c>
      <c r="AA658" s="21">
        <v>3.0</v>
      </c>
      <c r="AB658" s="5">
        <v>36.0</v>
      </c>
      <c r="AC658" s="19">
        <v>5.0</v>
      </c>
      <c r="AD658" s="19">
        <v>4.0</v>
      </c>
      <c r="AE658" s="19">
        <v>5.0</v>
      </c>
      <c r="AF658" s="19">
        <v>4.0</v>
      </c>
      <c r="AG658" s="19">
        <v>5.0</v>
      </c>
      <c r="AH658" s="19">
        <v>4.0</v>
      </c>
      <c r="AI658" s="22">
        <v>13.59375</v>
      </c>
      <c r="AJ658" s="19"/>
      <c r="AK658" s="19"/>
      <c r="AL658" s="19"/>
      <c r="AM658" s="19">
        <v>0.0</v>
      </c>
      <c r="AN658" s="19">
        <v>13.6</v>
      </c>
      <c r="AO658" s="19">
        <v>49.6</v>
      </c>
      <c r="AP658" s="19">
        <v>40.0</v>
      </c>
      <c r="AQ658" s="19">
        <v>657.0</v>
      </c>
      <c r="AR658" s="19">
        <v>92.0</v>
      </c>
      <c r="AS658" s="22"/>
      <c r="AT658" s="19" t="s">
        <v>2117</v>
      </c>
      <c r="AU658" s="19" t="s">
        <v>3095</v>
      </c>
      <c r="AV658" s="19" t="s">
        <v>12973</v>
      </c>
      <c r="AW658" s="19">
        <v>243.0</v>
      </c>
      <c r="AX658" s="20">
        <v>38376.0</v>
      </c>
      <c r="AY658" s="19" t="s">
        <v>2467</v>
      </c>
      <c r="AZ658" s="19" t="s">
        <v>2122</v>
      </c>
      <c r="BA658" s="19" t="s">
        <v>12974</v>
      </c>
      <c r="BB658" s="19">
        <v>105.0</v>
      </c>
      <c r="BC658" s="19" t="s">
        <v>12975</v>
      </c>
      <c r="BD658" s="19" t="s">
        <v>12976</v>
      </c>
      <c r="BE658" s="19"/>
      <c r="BF658" s="19"/>
      <c r="BG658" s="19" t="s">
        <v>2127</v>
      </c>
      <c r="BH658" s="19" t="s">
        <v>2128</v>
      </c>
      <c r="BI658" s="19"/>
      <c r="BJ658" s="19" t="s">
        <v>2128</v>
      </c>
      <c r="BK658" s="19" t="s">
        <v>17</v>
      </c>
      <c r="BL658" s="19"/>
      <c r="BM658" s="19" t="s">
        <v>2130</v>
      </c>
      <c r="BN658" s="19" t="s">
        <v>2291</v>
      </c>
      <c r="BO658" s="19">
        <v>3.0</v>
      </c>
      <c r="BP658" s="19"/>
      <c r="BQ658" s="19" t="s">
        <v>2133</v>
      </c>
      <c r="BR658" s="19" t="s">
        <v>2133</v>
      </c>
      <c r="BS658" s="19" t="s">
        <v>2243</v>
      </c>
      <c r="BT658" s="19" t="s">
        <v>38</v>
      </c>
      <c r="BU658" s="19" t="s">
        <v>12977</v>
      </c>
      <c r="BV658" s="19" t="s">
        <v>12978</v>
      </c>
      <c r="BW658" s="19"/>
      <c r="BX658" s="19"/>
      <c r="BY658" s="19"/>
      <c r="BZ658" s="19"/>
      <c r="CA658" s="19"/>
      <c r="CB658" s="19"/>
      <c r="CC658" s="19"/>
      <c r="CD658" s="19" t="s">
        <v>2137</v>
      </c>
      <c r="CE658" s="19" t="s">
        <v>16</v>
      </c>
      <c r="CF658" s="19" t="s">
        <v>2113</v>
      </c>
      <c r="CG658" s="19"/>
      <c r="CH658" s="19" t="s">
        <v>17</v>
      </c>
      <c r="CI658" s="21">
        <v>3.0</v>
      </c>
      <c r="CJ658" s="19" t="s">
        <v>17</v>
      </c>
      <c r="CK658" s="19"/>
      <c r="CL658" s="19"/>
      <c r="CM658" s="19" t="s">
        <v>2138</v>
      </c>
      <c r="CN658" s="19" t="s">
        <v>2475</v>
      </c>
      <c r="CO658" s="19"/>
      <c r="CP658" s="19" t="s">
        <v>2267</v>
      </c>
      <c r="CQ658" s="19"/>
      <c r="CR658" s="19"/>
      <c r="CS658" s="19"/>
      <c r="CT658" s="19"/>
      <c r="CU658" s="19"/>
      <c r="CV658" s="19" t="s">
        <v>2141</v>
      </c>
      <c r="CW658" s="19" t="s">
        <v>2113</v>
      </c>
      <c r="CX658" s="19" t="s">
        <v>2113</v>
      </c>
      <c r="CY658" s="19" t="s">
        <v>2113</v>
      </c>
      <c r="CZ658" s="19" t="s">
        <v>2113</v>
      </c>
      <c r="DA658" s="19" t="s">
        <v>16</v>
      </c>
      <c r="DB658" s="19" t="s">
        <v>17</v>
      </c>
      <c r="DC658" s="19" t="s">
        <v>2477</v>
      </c>
      <c r="DD658" s="19" t="s">
        <v>2113</v>
      </c>
      <c r="DE658" s="19" t="s">
        <v>2113</v>
      </c>
      <c r="DF658" s="19" t="s">
        <v>2843</v>
      </c>
      <c r="DG658" s="19" t="s">
        <v>2476</v>
      </c>
      <c r="DH658" s="19" t="s">
        <v>2580</v>
      </c>
      <c r="DI658" s="24">
        <v>45517.0</v>
      </c>
      <c r="DJ658" s="19" t="s">
        <v>2133</v>
      </c>
      <c r="DK658" s="19" t="s">
        <v>2145</v>
      </c>
      <c r="DL658" s="19" t="s">
        <v>2146</v>
      </c>
      <c r="DM658" s="19" t="s">
        <v>3021</v>
      </c>
      <c r="DN658" s="19">
        <v>1.0</v>
      </c>
      <c r="DO658" s="19">
        <v>1.0</v>
      </c>
      <c r="DP658" s="19" t="s">
        <v>12979</v>
      </c>
      <c r="DQ658" s="19" t="s">
        <v>12980</v>
      </c>
      <c r="DR658" s="19" t="s">
        <v>12981</v>
      </c>
      <c r="DS658" s="19" t="s">
        <v>2185</v>
      </c>
      <c r="DT658" s="19" t="s">
        <v>2366</v>
      </c>
      <c r="DU658" s="19"/>
      <c r="DV658" s="19"/>
      <c r="DW658" s="19" t="s">
        <v>2153</v>
      </c>
      <c r="DX658" s="19">
        <v>1.0</v>
      </c>
      <c r="DY658" s="19">
        <v>10.0</v>
      </c>
      <c r="DZ658" s="19">
        <v>0.0</v>
      </c>
      <c r="EA658" s="19">
        <v>10.0</v>
      </c>
      <c r="EB658" s="19">
        <v>3.0</v>
      </c>
      <c r="EC658" s="19">
        <v>20.0</v>
      </c>
      <c r="ED658" s="19" t="s">
        <v>2133</v>
      </c>
      <c r="EE658" s="24">
        <v>45517.0</v>
      </c>
      <c r="EF658" s="19" t="s">
        <v>2133</v>
      </c>
      <c r="EG658" s="19" t="s">
        <v>2145</v>
      </c>
      <c r="EH658" s="19" t="s">
        <v>2146</v>
      </c>
      <c r="EI658" s="22">
        <v>13.59375</v>
      </c>
      <c r="EJ658" s="19">
        <v>0.0</v>
      </c>
      <c r="EK658" s="19" t="s">
        <v>2113</v>
      </c>
      <c r="EL658" s="19" t="s">
        <v>2117</v>
      </c>
      <c r="EM658" s="19" t="s">
        <v>3095</v>
      </c>
      <c r="EN658" s="19" t="s">
        <v>12969</v>
      </c>
      <c r="EO658" s="19" t="s">
        <v>2467</v>
      </c>
      <c r="EP658" s="19" t="s">
        <v>2122</v>
      </c>
      <c r="EQ658" s="19" t="s">
        <v>2475</v>
      </c>
      <c r="ER658" s="19"/>
      <c r="ES658" s="19" t="s">
        <v>12969</v>
      </c>
      <c r="ET658" s="19" t="s">
        <v>12969</v>
      </c>
      <c r="EU658" s="19" t="s">
        <v>12971</v>
      </c>
      <c r="EV658" s="19">
        <v>7085.0</v>
      </c>
      <c r="EW658" s="19" t="s">
        <v>16</v>
      </c>
      <c r="EX658" s="19">
        <v>3.0</v>
      </c>
      <c r="EY658" s="25" t="s">
        <v>12982</v>
      </c>
      <c r="EZ658" s="19" t="s">
        <v>2154</v>
      </c>
      <c r="FA658" s="5" t="s">
        <v>12983</v>
      </c>
      <c r="FB658" s="26" t="s">
        <v>2633</v>
      </c>
      <c r="FC658" s="26" t="s">
        <v>10773</v>
      </c>
    </row>
    <row r="659">
      <c r="A659" s="19" t="s">
        <v>2112</v>
      </c>
      <c r="B659" s="19"/>
      <c r="C659" s="19" t="s">
        <v>2113</v>
      </c>
      <c r="D659" s="19" t="s">
        <v>1929</v>
      </c>
      <c r="E659" s="19" t="s">
        <v>12984</v>
      </c>
      <c r="F659" s="19" t="s">
        <v>1929</v>
      </c>
      <c r="G659" s="19"/>
      <c r="H659" s="19" t="s">
        <v>1929</v>
      </c>
      <c r="I659" s="19" t="s">
        <v>1931</v>
      </c>
      <c r="J659" s="19" t="s">
        <v>12985</v>
      </c>
      <c r="K659" s="19" t="s">
        <v>12986</v>
      </c>
      <c r="L659" s="20">
        <v>45460.0</v>
      </c>
      <c r="M659" s="20">
        <v>45462.0</v>
      </c>
      <c r="N659" s="20">
        <v>45462.0</v>
      </c>
      <c r="O659" s="19" t="s">
        <v>1930</v>
      </c>
      <c r="P659" s="19">
        <v>0.0</v>
      </c>
      <c r="Q659" s="19">
        <v>18.0</v>
      </c>
      <c r="R659" s="19">
        <v>6593.0</v>
      </c>
      <c r="S659" s="20" t="s">
        <v>12987</v>
      </c>
      <c r="T659" s="20">
        <v>45461.0</v>
      </c>
      <c r="U659" s="19" t="s">
        <v>1929</v>
      </c>
      <c r="V659" s="19"/>
      <c r="W659" s="19"/>
      <c r="X659" s="21">
        <v>0.0</v>
      </c>
      <c r="Y659" s="21">
        <v>10.0</v>
      </c>
      <c r="Z659" s="21">
        <v>2.0</v>
      </c>
      <c r="AA659" s="21">
        <v>0.0</v>
      </c>
      <c r="AB659" s="5">
        <v>12.0</v>
      </c>
      <c r="AC659" s="19">
        <v>5.0</v>
      </c>
      <c r="AD659" s="19">
        <v>3.0</v>
      </c>
      <c r="AE659" s="19">
        <v>4.0</v>
      </c>
      <c r="AF659" s="19">
        <v>5.0</v>
      </c>
      <c r="AG659" s="19">
        <v>5.0</v>
      </c>
      <c r="AH659" s="19">
        <v>3.0</v>
      </c>
      <c r="AI659" s="22">
        <v>12.1875</v>
      </c>
      <c r="AJ659" s="19">
        <v>15.0</v>
      </c>
      <c r="AK659" s="19">
        <v>5.0</v>
      </c>
      <c r="AL659" s="19">
        <v>5.0</v>
      </c>
      <c r="AM659" s="19">
        <v>25.0</v>
      </c>
      <c r="AN659" s="19">
        <v>37.2</v>
      </c>
      <c r="AO659" s="19">
        <v>49.2</v>
      </c>
      <c r="AP659" s="19">
        <v>912.0</v>
      </c>
      <c r="AQ659" s="23">
        <v>645.0</v>
      </c>
      <c r="AR659" s="23">
        <v>44.0</v>
      </c>
      <c r="AS659" s="22"/>
      <c r="AT659" s="19" t="s">
        <v>2282</v>
      </c>
      <c r="AU659" s="19" t="s">
        <v>12988</v>
      </c>
      <c r="AV659" s="19" t="s">
        <v>12989</v>
      </c>
      <c r="AW659" s="19" t="s">
        <v>8132</v>
      </c>
      <c r="AX659" s="20">
        <v>38868.0</v>
      </c>
      <c r="AY659" s="19" t="s">
        <v>4458</v>
      </c>
      <c r="AZ659" s="19" t="s">
        <v>2310</v>
      </c>
      <c r="BA659" s="19" t="s">
        <v>12990</v>
      </c>
      <c r="BB659" s="19" t="s">
        <v>12991</v>
      </c>
      <c r="BC659" s="19" t="s">
        <v>12992</v>
      </c>
      <c r="BD659" s="19" t="s">
        <v>12993</v>
      </c>
      <c r="BE659" s="19" t="s">
        <v>12994</v>
      </c>
      <c r="BF659" s="19">
        <v>1.1973500566E10</v>
      </c>
      <c r="BG659" s="19" t="s">
        <v>2127</v>
      </c>
      <c r="BH659" s="19" t="s">
        <v>2649</v>
      </c>
      <c r="BI659" s="19"/>
      <c r="BJ659" s="19" t="s">
        <v>2129</v>
      </c>
      <c r="BK659" s="19" t="s">
        <v>17</v>
      </c>
      <c r="BL659" s="19"/>
      <c r="BM659" s="19" t="s">
        <v>5411</v>
      </c>
      <c r="BN659" s="19" t="s">
        <v>2172</v>
      </c>
      <c r="BO659" s="19" t="s">
        <v>3199</v>
      </c>
      <c r="BP659" s="19" t="s">
        <v>12995</v>
      </c>
      <c r="BQ659" s="19" t="s">
        <v>2133</v>
      </c>
      <c r="BR659" s="19" t="s">
        <v>2133</v>
      </c>
      <c r="BS659" s="19" t="s">
        <v>4723</v>
      </c>
      <c r="BT659" s="19" t="s">
        <v>222</v>
      </c>
      <c r="BU659" s="19"/>
      <c r="BV659" s="19"/>
      <c r="BW659" s="19" t="s">
        <v>2113</v>
      </c>
      <c r="BX659" s="19"/>
      <c r="BY659" s="19"/>
      <c r="BZ659" s="19"/>
      <c r="CA659" s="19"/>
      <c r="CB659" s="19"/>
      <c r="CC659" s="19"/>
      <c r="CD659" s="19" t="s">
        <v>2137</v>
      </c>
      <c r="CE659" s="19" t="s">
        <v>16</v>
      </c>
      <c r="CF659" s="19"/>
      <c r="CG659" s="19"/>
      <c r="CH659" s="19" t="s">
        <v>16</v>
      </c>
      <c r="CI659" s="21">
        <v>0.0</v>
      </c>
      <c r="CJ659" s="19" t="s">
        <v>16</v>
      </c>
      <c r="CK659" s="19"/>
      <c r="CL659" s="19"/>
      <c r="CM659" s="19" t="s">
        <v>2926</v>
      </c>
      <c r="CN659" s="19" t="s">
        <v>4465</v>
      </c>
      <c r="CO659" s="19"/>
      <c r="CP659" s="19" t="s">
        <v>2134</v>
      </c>
      <c r="CQ659" s="19"/>
      <c r="CR659" s="19"/>
      <c r="CS659" s="19"/>
      <c r="CT659" s="19" t="s">
        <v>2113</v>
      </c>
      <c r="CU659" s="19" t="s">
        <v>2113</v>
      </c>
      <c r="CV659" s="19" t="s">
        <v>2141</v>
      </c>
      <c r="CW659" s="19" t="s">
        <v>2113</v>
      </c>
      <c r="CX659" s="19" t="s">
        <v>2113</v>
      </c>
      <c r="CY659" s="19"/>
      <c r="CZ659" s="19"/>
      <c r="DA659" s="19" t="s">
        <v>16</v>
      </c>
      <c r="DB659" s="19" t="s">
        <v>16</v>
      </c>
      <c r="DC659" s="19" t="s">
        <v>5270</v>
      </c>
      <c r="DD659" s="19" t="s">
        <v>2113</v>
      </c>
      <c r="DE659" s="19" t="s">
        <v>2113</v>
      </c>
      <c r="DF659" s="19" t="s">
        <v>8251</v>
      </c>
      <c r="DG659" s="19" t="s">
        <v>2146</v>
      </c>
      <c r="DH659" s="19" t="s">
        <v>2144</v>
      </c>
      <c r="DI659" s="24">
        <v>45531.0</v>
      </c>
      <c r="DJ659" s="19" t="s">
        <v>2133</v>
      </c>
      <c r="DK659" s="19" t="s">
        <v>2271</v>
      </c>
      <c r="DL659" s="19" t="s">
        <v>2146</v>
      </c>
      <c r="DM659" s="19" t="s">
        <v>2827</v>
      </c>
      <c r="DN659" s="19">
        <v>14.0</v>
      </c>
      <c r="DO659" s="19">
        <v>14.0</v>
      </c>
      <c r="DP659" s="19" t="s">
        <v>12996</v>
      </c>
      <c r="DQ659" s="19" t="s">
        <v>12997</v>
      </c>
      <c r="DR659" s="19" t="s">
        <v>12998</v>
      </c>
      <c r="DS659" s="19" t="s">
        <v>2151</v>
      </c>
      <c r="DT659" s="19" t="s">
        <v>2301</v>
      </c>
      <c r="DU659" s="19"/>
      <c r="DV659" s="19"/>
      <c r="DW659" s="19" t="s">
        <v>2153</v>
      </c>
      <c r="DX659" s="19">
        <v>12.0</v>
      </c>
      <c r="DY659" s="19">
        <v>10.0</v>
      </c>
      <c r="DZ659" s="19">
        <v>0.0</v>
      </c>
      <c r="EA659" s="19">
        <v>10.0</v>
      </c>
      <c r="EB659" s="19">
        <v>0.0</v>
      </c>
      <c r="EC659" s="19">
        <v>0.0</v>
      </c>
      <c r="ED659" s="19" t="s">
        <v>2133</v>
      </c>
      <c r="EE659" s="24">
        <v>45531.0</v>
      </c>
      <c r="EF659" s="19" t="s">
        <v>2133</v>
      </c>
      <c r="EG659" s="19" t="s">
        <v>2271</v>
      </c>
      <c r="EH659" s="19" t="s">
        <v>2146</v>
      </c>
      <c r="EI659" s="22">
        <v>12.1875</v>
      </c>
      <c r="EJ659" s="19">
        <v>25.0</v>
      </c>
      <c r="EK659" s="19"/>
      <c r="EL659" s="19" t="s">
        <v>2282</v>
      </c>
      <c r="EM659" s="19" t="s">
        <v>12988</v>
      </c>
      <c r="EN659" s="19" t="s">
        <v>1931</v>
      </c>
      <c r="EO659" s="19" t="s">
        <v>4458</v>
      </c>
      <c r="EP659" s="19" t="s">
        <v>2310</v>
      </c>
      <c r="EQ659" s="19" t="s">
        <v>4465</v>
      </c>
      <c r="ER659" s="19"/>
      <c r="ES659" s="19" t="s">
        <v>1931</v>
      </c>
      <c r="ET659" s="19" t="s">
        <v>1931</v>
      </c>
      <c r="EU659" s="19" t="s">
        <v>12986</v>
      </c>
      <c r="EV659" s="19">
        <v>6593.0</v>
      </c>
      <c r="EW659" s="19" t="s">
        <v>16</v>
      </c>
      <c r="EX659" s="19">
        <v>2.0</v>
      </c>
      <c r="EY659" s="25" t="s">
        <v>1930</v>
      </c>
      <c r="EZ659" s="19" t="s">
        <v>2154</v>
      </c>
      <c r="FA659" s="5" t="s">
        <v>12999</v>
      </c>
      <c r="FB659" s="26" t="s">
        <v>2156</v>
      </c>
      <c r="FC659" s="26"/>
    </row>
    <row r="660" hidden="1">
      <c r="A660" s="19" t="s">
        <v>2156</v>
      </c>
      <c r="B660" s="19" t="s">
        <v>2113</v>
      </c>
      <c r="C660" s="19" t="s">
        <v>2113</v>
      </c>
      <c r="D660" s="19" t="s">
        <v>13000</v>
      </c>
      <c r="E660" s="19" t="s">
        <v>13001</v>
      </c>
      <c r="F660" s="19" t="s">
        <v>13002</v>
      </c>
      <c r="G660" s="19" t="s">
        <v>13003</v>
      </c>
      <c r="H660" s="19" t="s">
        <v>13002</v>
      </c>
      <c r="I660" s="19" t="s">
        <v>13004</v>
      </c>
      <c r="J660" s="19" t="s">
        <v>13005</v>
      </c>
      <c r="K660" s="19" t="s">
        <v>13006</v>
      </c>
      <c r="L660" s="20">
        <v>45441.0</v>
      </c>
      <c r="M660" s="20">
        <v>45446.0</v>
      </c>
      <c r="N660" s="20">
        <v>45446.0</v>
      </c>
      <c r="O660" s="19" t="s">
        <v>13007</v>
      </c>
      <c r="P660" s="19">
        <v>1.0</v>
      </c>
      <c r="Q660" s="19">
        <v>19.0</v>
      </c>
      <c r="R660" s="19">
        <v>6976.0</v>
      </c>
      <c r="S660" s="20" t="s">
        <v>13008</v>
      </c>
      <c r="T660" s="20">
        <v>45461.0</v>
      </c>
      <c r="U660" s="19" t="s">
        <v>13002</v>
      </c>
      <c r="V660" s="19"/>
      <c r="W660" s="19" t="s">
        <v>13009</v>
      </c>
      <c r="X660" s="21">
        <v>20.0</v>
      </c>
      <c r="Y660" s="21">
        <v>10.0</v>
      </c>
      <c r="Z660" s="21">
        <v>3.0</v>
      </c>
      <c r="AA660" s="21">
        <v>2.0</v>
      </c>
      <c r="AB660" s="5">
        <v>35.0</v>
      </c>
      <c r="AC660" s="19">
        <v>5.0</v>
      </c>
      <c r="AD660" s="19">
        <v>4.0</v>
      </c>
      <c r="AE660" s="19">
        <v>5.0</v>
      </c>
      <c r="AF660" s="19">
        <v>4.0</v>
      </c>
      <c r="AG660" s="19">
        <v>4.0</v>
      </c>
      <c r="AH660" s="19">
        <v>4.0</v>
      </c>
      <c r="AI660" s="22">
        <v>13.21875</v>
      </c>
      <c r="AJ660" s="19"/>
      <c r="AK660" s="19"/>
      <c r="AL660" s="19"/>
      <c r="AM660" s="19">
        <v>0.0</v>
      </c>
      <c r="AN660" s="19">
        <v>13.2</v>
      </c>
      <c r="AO660" s="19">
        <v>48.2</v>
      </c>
      <c r="AP660" s="19">
        <v>102.0</v>
      </c>
      <c r="AQ660" s="19">
        <v>659.0</v>
      </c>
      <c r="AR660" s="19">
        <v>93.0</v>
      </c>
      <c r="AS660" s="22"/>
      <c r="AT660" s="19" t="s">
        <v>2282</v>
      </c>
      <c r="AU660" s="19" t="s">
        <v>3095</v>
      </c>
      <c r="AV660" s="19" t="s">
        <v>13010</v>
      </c>
      <c r="AW660" s="19"/>
      <c r="AX660" s="20">
        <v>38485.0</v>
      </c>
      <c r="AY660" s="19" t="s">
        <v>2467</v>
      </c>
      <c r="AZ660" s="19" t="s">
        <v>3849</v>
      </c>
      <c r="BA660" s="19" t="s">
        <v>13011</v>
      </c>
      <c r="BB660" s="19" t="s">
        <v>8134</v>
      </c>
      <c r="BC660" s="19" t="s">
        <v>13012</v>
      </c>
      <c r="BD660" s="19" t="s">
        <v>13013</v>
      </c>
      <c r="BE660" s="19" t="s">
        <v>13014</v>
      </c>
      <c r="BF660" s="19">
        <v>1.1987011445E10</v>
      </c>
      <c r="BG660" s="19" t="s">
        <v>2127</v>
      </c>
      <c r="BH660" s="19" t="s">
        <v>2128</v>
      </c>
      <c r="BI660" s="19"/>
      <c r="BJ660" s="19"/>
      <c r="BK660" s="19" t="s">
        <v>16</v>
      </c>
      <c r="BL660" s="19" t="s">
        <v>2113</v>
      </c>
      <c r="BM660" s="19" t="s">
        <v>2130</v>
      </c>
      <c r="BN660" s="19" t="s">
        <v>2172</v>
      </c>
      <c r="BO660" s="19" t="s">
        <v>2473</v>
      </c>
      <c r="BP660" s="19" t="s">
        <v>13015</v>
      </c>
      <c r="BQ660" s="19" t="s">
        <v>2133</v>
      </c>
      <c r="BR660" s="19" t="s">
        <v>2133</v>
      </c>
      <c r="BS660" s="19" t="s">
        <v>2134</v>
      </c>
      <c r="BT660" s="19" t="s">
        <v>38</v>
      </c>
      <c r="BU660" s="19" t="s">
        <v>3501</v>
      </c>
      <c r="BV660" s="19" t="s">
        <v>13016</v>
      </c>
      <c r="BW660" s="19"/>
      <c r="BX660" s="19"/>
      <c r="BY660" s="19" t="s">
        <v>2113</v>
      </c>
      <c r="BZ660" s="19" t="s">
        <v>2113</v>
      </c>
      <c r="CA660" s="19"/>
      <c r="CB660" s="19"/>
      <c r="CC660" s="19"/>
      <c r="CD660" s="19" t="s">
        <v>2137</v>
      </c>
      <c r="CE660" s="19" t="s">
        <v>16</v>
      </c>
      <c r="CF660" s="19"/>
      <c r="CG660" s="19"/>
      <c r="CH660" s="19" t="s">
        <v>16</v>
      </c>
      <c r="CI660" s="21">
        <v>0.0</v>
      </c>
      <c r="CJ660" s="19" t="s">
        <v>16</v>
      </c>
      <c r="CK660" s="19"/>
      <c r="CL660" s="19"/>
      <c r="CM660" s="19" t="s">
        <v>2138</v>
      </c>
      <c r="CN660" s="19" t="s">
        <v>2475</v>
      </c>
      <c r="CO660" s="19"/>
      <c r="CP660" s="19"/>
      <c r="CQ660" s="19"/>
      <c r="CR660" s="19"/>
      <c r="CS660" s="19"/>
      <c r="CT660" s="19" t="s">
        <v>2113</v>
      </c>
      <c r="CU660" s="19" t="s">
        <v>2113</v>
      </c>
      <c r="CV660" s="19" t="s">
        <v>2141</v>
      </c>
      <c r="CW660" s="19"/>
      <c r="CX660" s="19"/>
      <c r="CY660" s="19" t="s">
        <v>2113</v>
      </c>
      <c r="CZ660" s="19" t="s">
        <v>2113</v>
      </c>
      <c r="DA660" s="19" t="s">
        <v>16</v>
      </c>
      <c r="DB660" s="19" t="s">
        <v>16</v>
      </c>
      <c r="DC660" s="19" t="s">
        <v>2142</v>
      </c>
      <c r="DD660" s="19" t="s">
        <v>2113</v>
      </c>
      <c r="DE660" s="19" t="s">
        <v>2113</v>
      </c>
      <c r="DF660" s="19" t="s">
        <v>2142</v>
      </c>
      <c r="DG660" s="19" t="s">
        <v>2146</v>
      </c>
      <c r="DH660" s="19" t="s">
        <v>2144</v>
      </c>
      <c r="DI660" s="24">
        <v>45518.0</v>
      </c>
      <c r="DJ660" s="19" t="s">
        <v>2133</v>
      </c>
      <c r="DK660" s="19" t="s">
        <v>2271</v>
      </c>
      <c r="DL660" s="19" t="s">
        <v>2146</v>
      </c>
      <c r="DM660" s="19"/>
      <c r="DN660" s="19">
        <v>4.0</v>
      </c>
      <c r="DO660" s="19">
        <v>4.0</v>
      </c>
      <c r="DP660" s="19" t="s">
        <v>13017</v>
      </c>
      <c r="DQ660" s="19" t="s">
        <v>13018</v>
      </c>
      <c r="DR660" s="19" t="s">
        <v>13019</v>
      </c>
      <c r="DS660" s="19" t="s">
        <v>2185</v>
      </c>
      <c r="DT660" s="19" t="s">
        <v>2301</v>
      </c>
      <c r="DU660" s="19"/>
      <c r="DV660" s="19"/>
      <c r="DW660" s="19" t="s">
        <v>2153</v>
      </c>
      <c r="DX660" s="19">
        <v>1.0</v>
      </c>
      <c r="DY660" s="19">
        <v>10.0</v>
      </c>
      <c r="DZ660" s="19">
        <v>2.0</v>
      </c>
      <c r="EA660" s="19">
        <v>10.0</v>
      </c>
      <c r="EB660" s="19">
        <v>0.0</v>
      </c>
      <c r="EC660" s="19">
        <v>20.0</v>
      </c>
      <c r="ED660" s="19" t="s">
        <v>2133</v>
      </c>
      <c r="EE660" s="24">
        <v>45518.0</v>
      </c>
      <c r="EF660" s="19" t="s">
        <v>2133</v>
      </c>
      <c r="EG660" s="19" t="s">
        <v>2271</v>
      </c>
      <c r="EH660" s="19" t="s">
        <v>2146</v>
      </c>
      <c r="EI660" s="22">
        <v>13.21875</v>
      </c>
      <c r="EJ660" s="19">
        <v>0.0</v>
      </c>
      <c r="EK660" s="19"/>
      <c r="EL660" s="19" t="s">
        <v>2282</v>
      </c>
      <c r="EM660" s="19" t="s">
        <v>3095</v>
      </c>
      <c r="EN660" s="19" t="s">
        <v>13004</v>
      </c>
      <c r="EO660" s="19" t="s">
        <v>2467</v>
      </c>
      <c r="EP660" s="19" t="s">
        <v>3849</v>
      </c>
      <c r="EQ660" s="19" t="s">
        <v>2475</v>
      </c>
      <c r="ER660" s="19"/>
      <c r="ES660" s="19" t="s">
        <v>13004</v>
      </c>
      <c r="ET660" s="19" t="s">
        <v>13004</v>
      </c>
      <c r="EU660" s="19" t="s">
        <v>13006</v>
      </c>
      <c r="EV660" s="19">
        <v>6976.0</v>
      </c>
      <c r="EW660" s="19" t="s">
        <v>16</v>
      </c>
      <c r="EX660" s="19">
        <v>3.0</v>
      </c>
      <c r="EY660" s="25" t="s">
        <v>13007</v>
      </c>
      <c r="EZ660" s="19" t="s">
        <v>2154</v>
      </c>
      <c r="FA660" s="5" t="s">
        <v>13020</v>
      </c>
      <c r="FB660" s="26" t="s">
        <v>2633</v>
      </c>
      <c r="FC660" s="26" t="s">
        <v>10773</v>
      </c>
    </row>
    <row r="661" hidden="1">
      <c r="A661" s="19" t="s">
        <v>2156</v>
      </c>
      <c r="B661" s="19" t="s">
        <v>2113</v>
      </c>
      <c r="C661" s="19" t="s">
        <v>2113</v>
      </c>
      <c r="D661" s="19" t="s">
        <v>13021</v>
      </c>
      <c r="E661" s="19" t="s">
        <v>13022</v>
      </c>
      <c r="F661" s="19" t="s">
        <v>4284</v>
      </c>
      <c r="G661" s="19" t="s">
        <v>4285</v>
      </c>
      <c r="H661" s="19" t="s">
        <v>13023</v>
      </c>
      <c r="I661" s="19" t="s">
        <v>13024</v>
      </c>
      <c r="J661" s="19" t="s">
        <v>13025</v>
      </c>
      <c r="K661" s="19" t="s">
        <v>13026</v>
      </c>
      <c r="L661" s="20">
        <v>45460.0</v>
      </c>
      <c r="M661" s="20">
        <v>45462.0</v>
      </c>
      <c r="N661" s="20">
        <v>45462.0</v>
      </c>
      <c r="O661" s="19" t="s">
        <v>13027</v>
      </c>
      <c r="P661" s="19">
        <v>0.0</v>
      </c>
      <c r="Q661" s="19">
        <v>20.0</v>
      </c>
      <c r="R661" s="19">
        <v>7470.0</v>
      </c>
      <c r="S661" s="20" t="s">
        <v>5383</v>
      </c>
      <c r="T661" s="20">
        <v>45461.0</v>
      </c>
      <c r="U661" s="19" t="s">
        <v>4284</v>
      </c>
      <c r="V661" s="19"/>
      <c r="W661" s="19" t="s">
        <v>13028</v>
      </c>
      <c r="X661" s="21">
        <v>20.0</v>
      </c>
      <c r="Y661" s="21">
        <v>10.0</v>
      </c>
      <c r="Z661" s="21">
        <v>3.0</v>
      </c>
      <c r="AA661" s="21">
        <v>0.0</v>
      </c>
      <c r="AB661" s="5">
        <v>33.0</v>
      </c>
      <c r="AC661" s="19">
        <v>5.0</v>
      </c>
      <c r="AD661" s="19">
        <v>5.0</v>
      </c>
      <c r="AE661" s="19">
        <v>5.0</v>
      </c>
      <c r="AF661" s="19">
        <v>5.0</v>
      </c>
      <c r="AG661" s="19">
        <v>5.0</v>
      </c>
      <c r="AH661" s="19">
        <v>5.0</v>
      </c>
      <c r="AI661" s="22">
        <v>15.0</v>
      </c>
      <c r="AJ661" s="19">
        <v>0.0</v>
      </c>
      <c r="AK661" s="19">
        <v>0.0</v>
      </c>
      <c r="AL661" s="19">
        <v>0.0</v>
      </c>
      <c r="AM661" s="19">
        <v>0.0</v>
      </c>
      <c r="AN661" s="19">
        <v>15.0</v>
      </c>
      <c r="AO661" s="19">
        <v>48.0</v>
      </c>
      <c r="AP661" s="19">
        <v>162.0</v>
      </c>
      <c r="AQ661" s="19">
        <v>660.0</v>
      </c>
      <c r="AR661" s="19">
        <v>63.0</v>
      </c>
      <c r="AS661" s="22"/>
      <c r="AT661" s="19" t="s">
        <v>2117</v>
      </c>
      <c r="AU661" s="19" t="s">
        <v>13029</v>
      </c>
      <c r="AV661" s="19" t="s">
        <v>13030</v>
      </c>
      <c r="AW661" s="19" t="s">
        <v>2166</v>
      </c>
      <c r="AX661" s="20">
        <v>37991.0</v>
      </c>
      <c r="AY661" s="19" t="s">
        <v>12214</v>
      </c>
      <c r="AZ661" s="19" t="s">
        <v>2122</v>
      </c>
      <c r="BA661" s="19" t="s">
        <v>13031</v>
      </c>
      <c r="BB661" s="19" t="s">
        <v>13032</v>
      </c>
      <c r="BC661" s="19" t="s">
        <v>13033</v>
      </c>
      <c r="BD661" s="19" t="s">
        <v>13034</v>
      </c>
      <c r="BE661" s="19" t="s">
        <v>13035</v>
      </c>
      <c r="BF661" s="19">
        <v>1.1961268305E10</v>
      </c>
      <c r="BG661" s="19" t="s">
        <v>2127</v>
      </c>
      <c r="BH661" s="19" t="s">
        <v>2128</v>
      </c>
      <c r="BI661" s="19"/>
      <c r="BJ661" s="19"/>
      <c r="BK661" s="19" t="s">
        <v>16</v>
      </c>
      <c r="BL661" s="19"/>
      <c r="BM661" s="19" t="s">
        <v>2130</v>
      </c>
      <c r="BN661" s="19" t="s">
        <v>2291</v>
      </c>
      <c r="BO661" s="19" t="s">
        <v>2473</v>
      </c>
      <c r="BP661" s="19" t="s">
        <v>13036</v>
      </c>
      <c r="BQ661" s="19" t="s">
        <v>2133</v>
      </c>
      <c r="BR661" s="19" t="s">
        <v>2133</v>
      </c>
      <c r="BS661" s="19" t="s">
        <v>2134</v>
      </c>
      <c r="BT661" s="19" t="s">
        <v>52</v>
      </c>
      <c r="BU661" s="19" t="s">
        <v>13037</v>
      </c>
      <c r="BV661" s="19" t="s">
        <v>13038</v>
      </c>
      <c r="BW661" s="19" t="s">
        <v>2113</v>
      </c>
      <c r="BX661" s="19"/>
      <c r="BY661" s="19"/>
      <c r="BZ661" s="19"/>
      <c r="CA661" s="19"/>
      <c r="CB661" s="19"/>
      <c r="CC661" s="19"/>
      <c r="CD661" s="19" t="s">
        <v>2137</v>
      </c>
      <c r="CE661" s="19" t="s">
        <v>16</v>
      </c>
      <c r="CF661" s="19"/>
      <c r="CG661" s="19"/>
      <c r="CH661" s="19" t="s">
        <v>16</v>
      </c>
      <c r="CI661" s="21">
        <v>0.0</v>
      </c>
      <c r="CJ661" s="19" t="s">
        <v>17</v>
      </c>
      <c r="CK661" s="19"/>
      <c r="CL661" s="19"/>
      <c r="CM661" s="19"/>
      <c r="CN661" s="19" t="s">
        <v>6390</v>
      </c>
      <c r="CO661" s="19"/>
      <c r="CP661" s="19"/>
      <c r="CQ661" s="19"/>
      <c r="CR661" s="19"/>
      <c r="CS661" s="19"/>
      <c r="CT661" s="19" t="s">
        <v>2113</v>
      </c>
      <c r="CU661" s="19" t="s">
        <v>2113</v>
      </c>
      <c r="CV661" s="19" t="s">
        <v>2141</v>
      </c>
      <c r="CW661" s="19" t="s">
        <v>2113</v>
      </c>
      <c r="CX661" s="19" t="s">
        <v>2113</v>
      </c>
      <c r="CY661" s="19"/>
      <c r="CZ661" s="19"/>
      <c r="DA661" s="19" t="s">
        <v>16</v>
      </c>
      <c r="DB661" s="19" t="s">
        <v>17</v>
      </c>
      <c r="DC661" s="19" t="s">
        <v>4540</v>
      </c>
      <c r="DD661" s="19" t="s">
        <v>2113</v>
      </c>
      <c r="DE661" s="19" t="s">
        <v>2113</v>
      </c>
      <c r="DF661" s="19" t="s">
        <v>2146</v>
      </c>
      <c r="DG661" s="19" t="s">
        <v>3545</v>
      </c>
      <c r="DH661" s="19" t="s">
        <v>2144</v>
      </c>
      <c r="DI661" s="24">
        <v>45519.0</v>
      </c>
      <c r="DJ661" s="19" t="s">
        <v>2133</v>
      </c>
      <c r="DK661" s="19" t="s">
        <v>2271</v>
      </c>
      <c r="DL661" s="19" t="s">
        <v>2146</v>
      </c>
      <c r="DM661" s="19" t="s">
        <v>2751</v>
      </c>
      <c r="DN661" s="19">
        <v>6.0</v>
      </c>
      <c r="DO661" s="19">
        <v>6.0</v>
      </c>
      <c r="DP661" s="19" t="s">
        <v>13039</v>
      </c>
      <c r="DQ661" s="19" t="s">
        <v>13040</v>
      </c>
      <c r="DR661" s="19" t="s">
        <v>13041</v>
      </c>
      <c r="DS661" s="19" t="s">
        <v>2365</v>
      </c>
      <c r="DT661" s="19" t="s">
        <v>2301</v>
      </c>
      <c r="DU661" s="19"/>
      <c r="DV661" s="19"/>
      <c r="DW661" s="19" t="s">
        <v>2153</v>
      </c>
      <c r="DX661" s="19">
        <v>9.0</v>
      </c>
      <c r="DY661" s="19">
        <v>10.0</v>
      </c>
      <c r="DZ661" s="19">
        <v>0.0</v>
      </c>
      <c r="EA661" s="19">
        <v>10.0</v>
      </c>
      <c r="EB661" s="19">
        <v>0.0</v>
      </c>
      <c r="EC661" s="19">
        <v>20.0</v>
      </c>
      <c r="ED661" s="19" t="s">
        <v>2133</v>
      </c>
      <c r="EE661" s="24">
        <v>45519.0</v>
      </c>
      <c r="EF661" s="19" t="s">
        <v>2133</v>
      </c>
      <c r="EG661" s="19" t="s">
        <v>2271</v>
      </c>
      <c r="EH661" s="19" t="s">
        <v>2146</v>
      </c>
      <c r="EI661" s="22">
        <v>15.0</v>
      </c>
      <c r="EJ661" s="19">
        <v>0.0</v>
      </c>
      <c r="EK661" s="19" t="s">
        <v>2113</v>
      </c>
      <c r="EL661" s="19" t="s">
        <v>2117</v>
      </c>
      <c r="EM661" s="19" t="s">
        <v>13029</v>
      </c>
      <c r="EN661" s="19" t="s">
        <v>13024</v>
      </c>
      <c r="EO661" s="19" t="s">
        <v>12214</v>
      </c>
      <c r="EP661" s="19" t="s">
        <v>2122</v>
      </c>
      <c r="EQ661" s="19" t="s">
        <v>6390</v>
      </c>
      <c r="ER661" s="19"/>
      <c r="ES661" s="19" t="s">
        <v>13024</v>
      </c>
      <c r="ET661" s="19" t="s">
        <v>13024</v>
      </c>
      <c r="EU661" s="19" t="s">
        <v>13026</v>
      </c>
      <c r="EV661" s="19">
        <v>7470.0</v>
      </c>
      <c r="EW661" s="19" t="s">
        <v>16</v>
      </c>
      <c r="EX661" s="19">
        <v>3.0</v>
      </c>
      <c r="EY661" s="25" t="s">
        <v>13027</v>
      </c>
      <c r="EZ661" s="19" t="s">
        <v>2154</v>
      </c>
      <c r="FA661" s="5" t="s">
        <v>13042</v>
      </c>
      <c r="FB661" s="26" t="s">
        <v>2633</v>
      </c>
      <c r="FC661" s="26" t="s">
        <v>10773</v>
      </c>
    </row>
    <row r="662">
      <c r="A662" s="19" t="s">
        <v>2112</v>
      </c>
      <c r="B662" s="19"/>
      <c r="C662" s="19" t="s">
        <v>2113</v>
      </c>
      <c r="D662" s="19" t="s">
        <v>1932</v>
      </c>
      <c r="E662" s="19" t="s">
        <v>13043</v>
      </c>
      <c r="F662" s="19" t="s">
        <v>1932</v>
      </c>
      <c r="G662" s="19"/>
      <c r="H662" s="19" t="s">
        <v>1932</v>
      </c>
      <c r="I662" s="19" t="s">
        <v>1934</v>
      </c>
      <c r="J662" s="19" t="s">
        <v>13044</v>
      </c>
      <c r="K662" s="19" t="s">
        <v>13045</v>
      </c>
      <c r="L662" s="20">
        <v>45446.0</v>
      </c>
      <c r="M662" s="20">
        <v>45446.0</v>
      </c>
      <c r="N662" s="20">
        <v>45446.0</v>
      </c>
      <c r="O662" s="19" t="s">
        <v>1933</v>
      </c>
      <c r="P662" s="19">
        <v>0.0</v>
      </c>
      <c r="Q662" s="19">
        <v>29.0</v>
      </c>
      <c r="R662" s="19">
        <v>10629.0</v>
      </c>
      <c r="S662" s="20" t="s">
        <v>13046</v>
      </c>
      <c r="T662" s="20">
        <v>45461.0</v>
      </c>
      <c r="U662" s="19" t="s">
        <v>1932</v>
      </c>
      <c r="V662" s="19"/>
      <c r="W662" s="19"/>
      <c r="X662" s="21">
        <v>0.0</v>
      </c>
      <c r="Y662" s="21">
        <v>10.0</v>
      </c>
      <c r="Z662" s="21">
        <v>4.0</v>
      </c>
      <c r="AA662" s="21">
        <v>0.0</v>
      </c>
      <c r="AB662" s="5">
        <v>14.0</v>
      </c>
      <c r="AC662" s="19">
        <v>4.5</v>
      </c>
      <c r="AD662" s="19">
        <v>3.5</v>
      </c>
      <c r="AE662" s="19">
        <v>5.0</v>
      </c>
      <c r="AF662" s="19">
        <v>4.5</v>
      </c>
      <c r="AG662" s="19">
        <v>3.5</v>
      </c>
      <c r="AH662" s="19">
        <v>4.0</v>
      </c>
      <c r="AI662" s="22">
        <v>12.65625</v>
      </c>
      <c r="AJ662" s="19">
        <v>8.0</v>
      </c>
      <c r="AK662" s="19">
        <v>8.0</v>
      </c>
      <c r="AL662" s="19">
        <v>5.0</v>
      </c>
      <c r="AM662" s="19">
        <v>21.0</v>
      </c>
      <c r="AN662" s="19">
        <v>33.7</v>
      </c>
      <c r="AO662" s="19">
        <v>47.7</v>
      </c>
      <c r="AP662" s="19">
        <v>577.0</v>
      </c>
      <c r="AQ662" s="23">
        <v>646.0</v>
      </c>
      <c r="AR662" s="23">
        <v>49.0</v>
      </c>
      <c r="AS662" s="19"/>
      <c r="AT662" s="19" t="s">
        <v>2163</v>
      </c>
      <c r="AU662" s="19" t="s">
        <v>13047</v>
      </c>
      <c r="AV662" s="19" t="s">
        <v>13048</v>
      </c>
      <c r="AW662" s="19"/>
      <c r="AX662" s="20">
        <v>34832.0</v>
      </c>
      <c r="AY662" s="19" t="s">
        <v>3232</v>
      </c>
      <c r="AZ662" s="19" t="s">
        <v>2310</v>
      </c>
      <c r="BA662" s="19" t="s">
        <v>13049</v>
      </c>
      <c r="BB662" s="19" t="s">
        <v>13050</v>
      </c>
      <c r="BC662" s="19" t="s">
        <v>13051</v>
      </c>
      <c r="BD662" s="19" t="s">
        <v>13052</v>
      </c>
      <c r="BE662" s="19" t="s">
        <v>13053</v>
      </c>
      <c r="BF662" s="19">
        <v>1.1989264166E10</v>
      </c>
      <c r="BG662" s="19" t="s">
        <v>2127</v>
      </c>
      <c r="BH662" s="19" t="s">
        <v>2128</v>
      </c>
      <c r="BI662" s="19"/>
      <c r="BJ662" s="19"/>
      <c r="BK662" s="19" t="s">
        <v>16</v>
      </c>
      <c r="BL662" s="19"/>
      <c r="BM662" s="19" t="s">
        <v>5411</v>
      </c>
      <c r="BN662" s="19" t="s">
        <v>2172</v>
      </c>
      <c r="BO662" s="19" t="s">
        <v>2317</v>
      </c>
      <c r="BP662" s="19"/>
      <c r="BQ662" s="19" t="s">
        <v>2325</v>
      </c>
      <c r="BR662" s="19" t="s">
        <v>2325</v>
      </c>
      <c r="BS662" s="19" t="s">
        <v>2134</v>
      </c>
      <c r="BT662" s="19" t="s">
        <v>118</v>
      </c>
      <c r="BU662" s="19"/>
      <c r="BV662" s="19"/>
      <c r="BW662" s="19" t="s">
        <v>2113</v>
      </c>
      <c r="BX662" s="19"/>
      <c r="BY662" s="19"/>
      <c r="BZ662" s="19"/>
      <c r="CA662" s="19"/>
      <c r="CB662" s="19" t="s">
        <v>2113</v>
      </c>
      <c r="CC662" s="19"/>
      <c r="CD662" s="19" t="s">
        <v>2137</v>
      </c>
      <c r="CE662" s="19" t="s">
        <v>16</v>
      </c>
      <c r="CF662" s="19"/>
      <c r="CG662" s="19"/>
      <c r="CH662" s="19" t="s">
        <v>16</v>
      </c>
      <c r="CI662" s="21">
        <v>0.0</v>
      </c>
      <c r="CJ662" s="19" t="s">
        <v>17</v>
      </c>
      <c r="CK662" s="19"/>
      <c r="CL662" s="19"/>
      <c r="CM662" s="19" t="s">
        <v>2344</v>
      </c>
      <c r="CN662" s="19" t="s">
        <v>2868</v>
      </c>
      <c r="CO662" s="19"/>
      <c r="CP662" s="19"/>
      <c r="CQ662" s="19"/>
      <c r="CR662" s="19" t="s">
        <v>2113</v>
      </c>
      <c r="CS662" s="19" t="s">
        <v>2113</v>
      </c>
      <c r="CT662" s="19" t="s">
        <v>2113</v>
      </c>
      <c r="CU662" s="19" t="s">
        <v>2113</v>
      </c>
      <c r="CV662" s="19" t="s">
        <v>2141</v>
      </c>
      <c r="CW662" s="19" t="s">
        <v>2113</v>
      </c>
      <c r="CX662" s="19" t="s">
        <v>2113</v>
      </c>
      <c r="CY662" s="19" t="s">
        <v>2113</v>
      </c>
      <c r="CZ662" s="19" t="s">
        <v>2113</v>
      </c>
      <c r="DA662" s="19" t="s">
        <v>16</v>
      </c>
      <c r="DB662" s="19" t="s">
        <v>17</v>
      </c>
      <c r="DC662" s="19" t="s">
        <v>2498</v>
      </c>
      <c r="DD662" s="19" t="s">
        <v>2113</v>
      </c>
      <c r="DE662" s="19" t="s">
        <v>2113</v>
      </c>
      <c r="DF662" s="19" t="s">
        <v>2869</v>
      </c>
      <c r="DG662" s="19" t="s">
        <v>2248</v>
      </c>
      <c r="DH662" s="19" t="s">
        <v>2144</v>
      </c>
      <c r="DI662" s="24">
        <v>45533.0</v>
      </c>
      <c r="DJ662" s="19" t="s">
        <v>2325</v>
      </c>
      <c r="DK662" s="19" t="s">
        <v>2145</v>
      </c>
      <c r="DL662" s="19" t="s">
        <v>2207</v>
      </c>
      <c r="DM662" s="19" t="s">
        <v>13054</v>
      </c>
      <c r="DN662" s="19">
        <v>2.0</v>
      </c>
      <c r="DO662" s="19">
        <v>2.0</v>
      </c>
      <c r="DP662" s="19" t="s">
        <v>13055</v>
      </c>
      <c r="DQ662" s="19" t="s">
        <v>13056</v>
      </c>
      <c r="DR662" s="19" t="s">
        <v>13057</v>
      </c>
      <c r="DS662" s="19" t="s">
        <v>2185</v>
      </c>
      <c r="DT662" s="19" t="s">
        <v>2229</v>
      </c>
      <c r="DU662" s="19"/>
      <c r="DV662" s="19" t="s">
        <v>11558</v>
      </c>
      <c r="DW662" s="19" t="s">
        <v>2153</v>
      </c>
      <c r="DX662" s="19">
        <v>3.0</v>
      </c>
      <c r="DY662" s="19">
        <v>10.0</v>
      </c>
      <c r="DZ662" s="19">
        <v>0.0</v>
      </c>
      <c r="EA662" s="19">
        <v>10.0</v>
      </c>
      <c r="EB662" s="19">
        <v>0.0</v>
      </c>
      <c r="EC662" s="19">
        <v>0.0</v>
      </c>
      <c r="ED662" s="19" t="s">
        <v>2325</v>
      </c>
      <c r="EE662" s="24">
        <v>45533.0</v>
      </c>
      <c r="EF662" s="19" t="s">
        <v>2325</v>
      </c>
      <c r="EG662" s="19" t="s">
        <v>2145</v>
      </c>
      <c r="EH662" s="19" t="s">
        <v>2207</v>
      </c>
      <c r="EI662" s="22">
        <v>12.65625</v>
      </c>
      <c r="EJ662" s="19">
        <v>21.0</v>
      </c>
      <c r="EK662" s="19" t="s">
        <v>2113</v>
      </c>
      <c r="EL662" s="19" t="s">
        <v>2163</v>
      </c>
      <c r="EM662" s="19" t="s">
        <v>13047</v>
      </c>
      <c r="EN662" s="19" t="s">
        <v>1934</v>
      </c>
      <c r="EO662" s="19" t="s">
        <v>3232</v>
      </c>
      <c r="EP662" s="19" t="s">
        <v>2310</v>
      </c>
      <c r="EQ662" s="19" t="s">
        <v>2868</v>
      </c>
      <c r="ER662" s="19"/>
      <c r="ES662" s="19" t="s">
        <v>1934</v>
      </c>
      <c r="ET662" s="19" t="s">
        <v>1934</v>
      </c>
      <c r="EU662" s="19" t="s">
        <v>13045</v>
      </c>
      <c r="EV662" s="19">
        <v>10629.0</v>
      </c>
      <c r="EW662" s="19" t="s">
        <v>16</v>
      </c>
      <c r="EX662" s="19">
        <v>4.0</v>
      </c>
      <c r="EY662" s="25" t="s">
        <v>1933</v>
      </c>
      <c r="EZ662" s="19" t="s">
        <v>2154</v>
      </c>
      <c r="FA662" s="5" t="s">
        <v>13058</v>
      </c>
      <c r="FB662" s="26" t="s">
        <v>2156</v>
      </c>
      <c r="FC662" s="26"/>
    </row>
    <row r="663" hidden="1">
      <c r="A663" s="19" t="s">
        <v>2112</v>
      </c>
      <c r="B663" s="19" t="s">
        <v>2113</v>
      </c>
      <c r="C663" s="19" t="s">
        <v>2113</v>
      </c>
      <c r="D663" s="19" t="s">
        <v>13059</v>
      </c>
      <c r="E663" s="19" t="s">
        <v>13059</v>
      </c>
      <c r="F663" s="19" t="s">
        <v>13059</v>
      </c>
      <c r="G663" s="19" t="s">
        <v>13059</v>
      </c>
      <c r="H663" s="19" t="s">
        <v>13059</v>
      </c>
      <c r="I663" s="19" t="s">
        <v>13060</v>
      </c>
      <c r="J663" s="19" t="s">
        <v>13061</v>
      </c>
      <c r="K663" s="19" t="s">
        <v>13062</v>
      </c>
      <c r="L663" s="20">
        <v>45460.0</v>
      </c>
      <c r="M663" s="20">
        <v>45462.0</v>
      </c>
      <c r="N663" s="20">
        <v>45462.0</v>
      </c>
      <c r="O663" s="19" t="s">
        <v>13063</v>
      </c>
      <c r="P663" s="19">
        <v>0.0</v>
      </c>
      <c r="Q663" s="19">
        <v>26.0</v>
      </c>
      <c r="R663" s="19">
        <v>9713.0</v>
      </c>
      <c r="S663" s="20" t="s">
        <v>13064</v>
      </c>
      <c r="T663" s="20">
        <v>45461.0</v>
      </c>
      <c r="U663" s="19" t="s">
        <v>13059</v>
      </c>
      <c r="V663" s="19"/>
      <c r="W663" s="19"/>
      <c r="X663" s="21">
        <v>20.0</v>
      </c>
      <c r="Y663" s="21">
        <v>10.0</v>
      </c>
      <c r="Z663" s="21">
        <v>4.0</v>
      </c>
      <c r="AA663" s="21">
        <v>0.0</v>
      </c>
      <c r="AB663" s="5">
        <v>34.0</v>
      </c>
      <c r="AC663" s="19">
        <v>4.6</v>
      </c>
      <c r="AD663" s="19">
        <v>4.4</v>
      </c>
      <c r="AE663" s="19">
        <v>4.4</v>
      </c>
      <c r="AF663" s="19">
        <v>4.2</v>
      </c>
      <c r="AG663" s="19">
        <v>3.8</v>
      </c>
      <c r="AH663" s="19">
        <v>4.4</v>
      </c>
      <c r="AI663" s="22">
        <v>12.993750000000002</v>
      </c>
      <c r="AJ663" s="19"/>
      <c r="AK663" s="19"/>
      <c r="AL663" s="19"/>
      <c r="AM663" s="19">
        <v>0.0</v>
      </c>
      <c r="AN663" s="19">
        <v>13.0</v>
      </c>
      <c r="AO663" s="19">
        <v>47.0</v>
      </c>
      <c r="AP663" s="19">
        <v>112.0</v>
      </c>
      <c r="AQ663" s="19">
        <v>662.0</v>
      </c>
      <c r="AR663" s="19">
        <v>50.0</v>
      </c>
      <c r="AS663" s="22"/>
      <c r="AT663" s="19" t="s">
        <v>5281</v>
      </c>
      <c r="AU663" s="19" t="s">
        <v>13065</v>
      </c>
      <c r="AV663" s="19" t="s">
        <v>13066</v>
      </c>
      <c r="AW663" s="19"/>
      <c r="AX663" s="20">
        <v>35748.0</v>
      </c>
      <c r="AY663" s="19" t="s">
        <v>3232</v>
      </c>
      <c r="AZ663" s="19" t="s">
        <v>2310</v>
      </c>
      <c r="BA663" s="19" t="s">
        <v>13067</v>
      </c>
      <c r="BB663" s="19" t="s">
        <v>5018</v>
      </c>
      <c r="BC663" s="19" t="s">
        <v>13068</v>
      </c>
      <c r="BD663" s="19" t="s">
        <v>13069</v>
      </c>
      <c r="BE663" s="19" t="s">
        <v>13070</v>
      </c>
      <c r="BF663" s="19">
        <v>1.1910340565E10</v>
      </c>
      <c r="BG663" s="19" t="s">
        <v>2127</v>
      </c>
      <c r="BH663" s="19" t="s">
        <v>2128</v>
      </c>
      <c r="BI663" s="19"/>
      <c r="BJ663" s="19"/>
      <c r="BK663" s="19" t="s">
        <v>16</v>
      </c>
      <c r="BL663" s="19"/>
      <c r="BM663" s="19" t="s">
        <v>2130</v>
      </c>
      <c r="BN663" s="19" t="s">
        <v>2708</v>
      </c>
      <c r="BO663" s="19" t="s">
        <v>2317</v>
      </c>
      <c r="BP663" s="19" t="s">
        <v>13071</v>
      </c>
      <c r="BQ663" s="19" t="s">
        <v>2325</v>
      </c>
      <c r="BR663" s="19" t="s">
        <v>2325</v>
      </c>
      <c r="BS663" s="19" t="s">
        <v>2134</v>
      </c>
      <c r="BT663" s="19" t="s">
        <v>118</v>
      </c>
      <c r="BU663" s="19" t="s">
        <v>13072</v>
      </c>
      <c r="BV663" s="19" t="s">
        <v>13073</v>
      </c>
      <c r="BW663" s="19" t="s">
        <v>2113</v>
      </c>
      <c r="BX663" s="19"/>
      <c r="BY663" s="19"/>
      <c r="BZ663" s="19"/>
      <c r="CA663" s="19"/>
      <c r="CB663" s="19" t="s">
        <v>2113</v>
      </c>
      <c r="CC663" s="19"/>
      <c r="CD663" s="19" t="s">
        <v>2137</v>
      </c>
      <c r="CE663" s="19" t="s">
        <v>16</v>
      </c>
      <c r="CF663" s="19"/>
      <c r="CG663" s="19"/>
      <c r="CH663" s="19" t="s">
        <v>16</v>
      </c>
      <c r="CI663" s="21">
        <v>0.0</v>
      </c>
      <c r="CJ663" s="19" t="s">
        <v>17</v>
      </c>
      <c r="CK663" s="19"/>
      <c r="CL663" s="19"/>
      <c r="CM663" s="19" t="s">
        <v>2138</v>
      </c>
      <c r="CN663" s="19" t="s">
        <v>2868</v>
      </c>
      <c r="CO663" s="19"/>
      <c r="CP663" s="19"/>
      <c r="CQ663" s="19"/>
      <c r="CR663" s="19" t="s">
        <v>2113</v>
      </c>
      <c r="CS663" s="19" t="s">
        <v>2113</v>
      </c>
      <c r="CT663" s="19" t="s">
        <v>2113</v>
      </c>
      <c r="CU663" s="19" t="s">
        <v>2113</v>
      </c>
      <c r="CV663" s="19" t="s">
        <v>2141</v>
      </c>
      <c r="CW663" s="19" t="s">
        <v>2113</v>
      </c>
      <c r="CX663" s="19" t="s">
        <v>2113</v>
      </c>
      <c r="CY663" s="19" t="s">
        <v>2113</v>
      </c>
      <c r="CZ663" s="19" t="s">
        <v>2113</v>
      </c>
      <c r="DA663" s="19" t="s">
        <v>16</v>
      </c>
      <c r="DB663" s="19" t="s">
        <v>17</v>
      </c>
      <c r="DC663" s="19" t="s">
        <v>4572</v>
      </c>
      <c r="DD663" s="19" t="s">
        <v>2113</v>
      </c>
      <c r="DE663" s="19" t="s">
        <v>2113</v>
      </c>
      <c r="DF663" s="19" t="s">
        <v>2870</v>
      </c>
      <c r="DG663" s="19" t="s">
        <v>2869</v>
      </c>
      <c r="DH663" s="19" t="s">
        <v>2144</v>
      </c>
      <c r="DI663" s="24">
        <v>45525.0</v>
      </c>
      <c r="DJ663" s="19" t="s">
        <v>2325</v>
      </c>
      <c r="DK663" s="19" t="s">
        <v>2145</v>
      </c>
      <c r="DL663" s="19" t="s">
        <v>2326</v>
      </c>
      <c r="DM663" s="19"/>
      <c r="DN663" s="19">
        <v>9.0</v>
      </c>
      <c r="DO663" s="19">
        <v>9.0</v>
      </c>
      <c r="DP663" s="19" t="s">
        <v>13074</v>
      </c>
      <c r="DQ663" s="19" t="s">
        <v>13075</v>
      </c>
      <c r="DR663" s="19" t="s">
        <v>13076</v>
      </c>
      <c r="DS663" s="19" t="s">
        <v>2365</v>
      </c>
      <c r="DT663" s="19" t="s">
        <v>2366</v>
      </c>
      <c r="DU663" s="19"/>
      <c r="DV663" s="19"/>
      <c r="DW663" s="19" t="s">
        <v>2153</v>
      </c>
      <c r="DX663" s="19">
        <v>8.0</v>
      </c>
      <c r="DY663" s="19">
        <v>10.0</v>
      </c>
      <c r="DZ663" s="19">
        <v>0.0</v>
      </c>
      <c r="EA663" s="19">
        <v>10.0</v>
      </c>
      <c r="EB663" s="19">
        <v>0.0</v>
      </c>
      <c r="EC663" s="19">
        <v>20.0</v>
      </c>
      <c r="ED663" s="19" t="s">
        <v>2325</v>
      </c>
      <c r="EE663" s="24">
        <v>45525.0</v>
      </c>
      <c r="EF663" s="19" t="s">
        <v>2325</v>
      </c>
      <c r="EG663" s="19" t="s">
        <v>2145</v>
      </c>
      <c r="EH663" s="19" t="s">
        <v>2326</v>
      </c>
      <c r="EI663" s="22">
        <v>12.993750000000002</v>
      </c>
      <c r="EJ663" s="19">
        <v>0.0</v>
      </c>
      <c r="EK663" s="19" t="s">
        <v>2113</v>
      </c>
      <c r="EL663" s="19" t="s">
        <v>5281</v>
      </c>
      <c r="EM663" s="19" t="s">
        <v>13065</v>
      </c>
      <c r="EN663" s="19" t="s">
        <v>13060</v>
      </c>
      <c r="EO663" s="19" t="s">
        <v>3232</v>
      </c>
      <c r="EP663" s="19" t="s">
        <v>2310</v>
      </c>
      <c r="EQ663" s="19" t="s">
        <v>2868</v>
      </c>
      <c r="ER663" s="19"/>
      <c r="ES663" s="19" t="s">
        <v>13060</v>
      </c>
      <c r="ET663" s="19" t="s">
        <v>13060</v>
      </c>
      <c r="EU663" s="19" t="s">
        <v>13062</v>
      </c>
      <c r="EV663" s="19">
        <v>9713.0</v>
      </c>
      <c r="EW663" s="19" t="s">
        <v>16</v>
      </c>
      <c r="EX663" s="19">
        <v>4.0</v>
      </c>
      <c r="EY663" s="25" t="s">
        <v>13063</v>
      </c>
      <c r="EZ663" s="19" t="s">
        <v>2154</v>
      </c>
      <c r="FA663" s="5" t="s">
        <v>13077</v>
      </c>
      <c r="FB663" s="26" t="s">
        <v>2633</v>
      </c>
      <c r="FC663" s="26" t="s">
        <v>10773</v>
      </c>
    </row>
    <row r="664" hidden="1">
      <c r="A664" s="19" t="s">
        <v>2112</v>
      </c>
      <c r="B664" s="19" t="s">
        <v>2113</v>
      </c>
      <c r="C664" s="19" t="s">
        <v>2113</v>
      </c>
      <c r="D664" s="19" t="s">
        <v>13078</v>
      </c>
      <c r="E664" s="19" t="s">
        <v>13079</v>
      </c>
      <c r="F664" s="19" t="s">
        <v>13080</v>
      </c>
      <c r="G664" s="19" t="s">
        <v>13079</v>
      </c>
      <c r="H664" s="19" t="s">
        <v>13080</v>
      </c>
      <c r="I664" s="19" t="s">
        <v>13081</v>
      </c>
      <c r="J664" s="19" t="s">
        <v>13082</v>
      </c>
      <c r="K664" s="19" t="s">
        <v>13083</v>
      </c>
      <c r="L664" s="20">
        <v>45432.0</v>
      </c>
      <c r="M664" s="20">
        <v>45433.0</v>
      </c>
      <c r="N664" s="20">
        <v>45433.0</v>
      </c>
      <c r="O664" s="19" t="s">
        <v>13084</v>
      </c>
      <c r="P664" s="19">
        <v>0.0</v>
      </c>
      <c r="Q664" s="19">
        <v>24.0</v>
      </c>
      <c r="R664" s="19">
        <v>8792.0</v>
      </c>
      <c r="S664" s="20" t="s">
        <v>13085</v>
      </c>
      <c r="T664" s="20">
        <v>45461.0</v>
      </c>
      <c r="U664" s="19" t="s">
        <v>13080</v>
      </c>
      <c r="V664" s="19"/>
      <c r="W664" s="19"/>
      <c r="X664" s="21">
        <v>20.0</v>
      </c>
      <c r="Y664" s="21">
        <v>10.0</v>
      </c>
      <c r="Z664" s="21">
        <v>3.0</v>
      </c>
      <c r="AA664" s="21">
        <v>0.0</v>
      </c>
      <c r="AB664" s="5">
        <v>33.0</v>
      </c>
      <c r="AC664" s="19">
        <v>5.0</v>
      </c>
      <c r="AD664" s="19">
        <v>4.0</v>
      </c>
      <c r="AE664" s="19">
        <v>4.0</v>
      </c>
      <c r="AF664" s="19">
        <v>5.0</v>
      </c>
      <c r="AG664" s="19">
        <v>4.0</v>
      </c>
      <c r="AH664" s="19">
        <v>4.0</v>
      </c>
      <c r="AI664" s="22">
        <v>12.84375</v>
      </c>
      <c r="AJ664" s="19"/>
      <c r="AK664" s="19"/>
      <c r="AL664" s="19"/>
      <c r="AM664" s="19">
        <v>0.0</v>
      </c>
      <c r="AN664" s="19">
        <v>12.8</v>
      </c>
      <c r="AO664" s="19">
        <v>45.8</v>
      </c>
      <c r="AP664" s="19">
        <v>145.0</v>
      </c>
      <c r="AQ664" s="19">
        <v>663.0</v>
      </c>
      <c r="AR664" s="19">
        <v>64.0</v>
      </c>
      <c r="AS664" s="22"/>
      <c r="AT664" s="19" t="s">
        <v>2117</v>
      </c>
      <c r="AU664" s="19" t="s">
        <v>13086</v>
      </c>
      <c r="AV664" s="19" t="s">
        <v>13087</v>
      </c>
      <c r="AW664" s="19" t="s">
        <v>3923</v>
      </c>
      <c r="AX664" s="20">
        <v>36669.0</v>
      </c>
      <c r="AY664" s="19" t="s">
        <v>12214</v>
      </c>
      <c r="AZ664" s="19" t="s">
        <v>2122</v>
      </c>
      <c r="BA664" s="19" t="s">
        <v>13088</v>
      </c>
      <c r="BB664" s="19" t="s">
        <v>7175</v>
      </c>
      <c r="BC664" s="19" t="s">
        <v>13089</v>
      </c>
      <c r="BD664" s="19" t="s">
        <v>13090</v>
      </c>
      <c r="BE664" s="19" t="s">
        <v>13091</v>
      </c>
      <c r="BF664" s="19">
        <v>1.1985396751E10</v>
      </c>
      <c r="BG664" s="19" t="s">
        <v>2127</v>
      </c>
      <c r="BH664" s="19" t="s">
        <v>2128</v>
      </c>
      <c r="BI664" s="19"/>
      <c r="BJ664" s="19"/>
      <c r="BK664" s="19" t="s">
        <v>16</v>
      </c>
      <c r="BL664" s="19" t="s">
        <v>2113</v>
      </c>
      <c r="BM664" s="19" t="s">
        <v>2130</v>
      </c>
      <c r="BN664" s="19" t="s">
        <v>2172</v>
      </c>
      <c r="BO664" s="19" t="s">
        <v>2473</v>
      </c>
      <c r="BP664" s="19"/>
      <c r="BQ664" s="19" t="s">
        <v>2133</v>
      </c>
      <c r="BR664" s="19" t="s">
        <v>2133</v>
      </c>
      <c r="BS664" s="19" t="s">
        <v>2134</v>
      </c>
      <c r="BT664" s="19" t="s">
        <v>52</v>
      </c>
      <c r="BU664" s="19"/>
      <c r="BV664" s="19" t="s">
        <v>13092</v>
      </c>
      <c r="BW664" s="19"/>
      <c r="BX664" s="19"/>
      <c r="BY664" s="19"/>
      <c r="BZ664" s="19"/>
      <c r="CA664" s="19"/>
      <c r="CB664" s="19" t="s">
        <v>2113</v>
      </c>
      <c r="CC664" s="19"/>
      <c r="CD664" s="19" t="s">
        <v>2137</v>
      </c>
      <c r="CE664" s="19" t="s">
        <v>16</v>
      </c>
      <c r="CF664" s="19"/>
      <c r="CG664" s="19"/>
      <c r="CH664" s="19" t="s">
        <v>16</v>
      </c>
      <c r="CI664" s="21">
        <v>0.0</v>
      </c>
      <c r="CJ664" s="19" t="s">
        <v>17</v>
      </c>
      <c r="CK664" s="19"/>
      <c r="CL664" s="19"/>
      <c r="CM664" s="19" t="s">
        <v>2138</v>
      </c>
      <c r="CN664" s="19" t="s">
        <v>6390</v>
      </c>
      <c r="CO664" s="19"/>
      <c r="CP664" s="19"/>
      <c r="CQ664" s="19"/>
      <c r="CR664" s="19"/>
      <c r="CS664" s="19"/>
      <c r="CT664" s="19" t="s">
        <v>2113</v>
      </c>
      <c r="CU664" s="19" t="s">
        <v>2113</v>
      </c>
      <c r="CV664" s="19" t="s">
        <v>2141</v>
      </c>
      <c r="CW664" s="19" t="s">
        <v>2113</v>
      </c>
      <c r="CX664" s="19" t="s">
        <v>2113</v>
      </c>
      <c r="CY664" s="19"/>
      <c r="CZ664" s="19"/>
      <c r="DA664" s="19" t="s">
        <v>16</v>
      </c>
      <c r="DB664" s="19" t="s">
        <v>17</v>
      </c>
      <c r="DC664" s="19" t="s">
        <v>2297</v>
      </c>
      <c r="DD664" s="19"/>
      <c r="DE664" s="19"/>
      <c r="DF664" s="19" t="s">
        <v>7621</v>
      </c>
      <c r="DG664" s="19" t="s">
        <v>2146</v>
      </c>
      <c r="DH664" s="19" t="s">
        <v>2144</v>
      </c>
      <c r="DI664" s="24">
        <v>45531.0</v>
      </c>
      <c r="DJ664" s="19" t="s">
        <v>2133</v>
      </c>
      <c r="DK664" s="19" t="s">
        <v>2271</v>
      </c>
      <c r="DL664" s="19" t="s">
        <v>2146</v>
      </c>
      <c r="DM664" s="19" t="s">
        <v>2827</v>
      </c>
      <c r="DN664" s="19">
        <v>14.0</v>
      </c>
      <c r="DO664" s="19">
        <v>14.0</v>
      </c>
      <c r="DP664" s="19" t="s">
        <v>13093</v>
      </c>
      <c r="DQ664" s="19" t="s">
        <v>13094</v>
      </c>
      <c r="DR664" s="19" t="s">
        <v>13095</v>
      </c>
      <c r="DS664" s="19" t="s">
        <v>2365</v>
      </c>
      <c r="DT664" s="19" t="s">
        <v>2229</v>
      </c>
      <c r="DU664" s="19"/>
      <c r="DV664" s="19"/>
      <c r="DW664" s="19" t="s">
        <v>2188</v>
      </c>
      <c r="DX664" s="19">
        <v>10.0</v>
      </c>
      <c r="DY664" s="19">
        <v>10.0</v>
      </c>
      <c r="DZ664" s="19">
        <v>0.0</v>
      </c>
      <c r="EA664" s="19">
        <v>10.0</v>
      </c>
      <c r="EB664" s="19">
        <v>0.0</v>
      </c>
      <c r="EC664" s="19">
        <v>20.0</v>
      </c>
      <c r="ED664" s="19" t="s">
        <v>2133</v>
      </c>
      <c r="EE664" s="24">
        <v>45531.0</v>
      </c>
      <c r="EF664" s="19" t="s">
        <v>2133</v>
      </c>
      <c r="EG664" s="19" t="s">
        <v>2271</v>
      </c>
      <c r="EH664" s="19" t="s">
        <v>2146</v>
      </c>
      <c r="EI664" s="22">
        <v>12.84375</v>
      </c>
      <c r="EJ664" s="19">
        <v>0.0</v>
      </c>
      <c r="EK664" s="19" t="s">
        <v>2113</v>
      </c>
      <c r="EL664" s="19" t="s">
        <v>2117</v>
      </c>
      <c r="EM664" s="19" t="s">
        <v>13086</v>
      </c>
      <c r="EN664" s="19" t="s">
        <v>13081</v>
      </c>
      <c r="EO664" s="19" t="s">
        <v>12214</v>
      </c>
      <c r="EP664" s="19" t="s">
        <v>2122</v>
      </c>
      <c r="EQ664" s="19" t="s">
        <v>6390</v>
      </c>
      <c r="ER664" s="19"/>
      <c r="ES664" s="19" t="s">
        <v>13081</v>
      </c>
      <c r="ET664" s="19" t="s">
        <v>13081</v>
      </c>
      <c r="EU664" s="19" t="s">
        <v>13083</v>
      </c>
      <c r="EV664" s="19">
        <v>8792.0</v>
      </c>
      <c r="EW664" s="19" t="s">
        <v>16</v>
      </c>
      <c r="EX664" s="19">
        <v>3.0</v>
      </c>
      <c r="EY664" s="25" t="s">
        <v>13084</v>
      </c>
      <c r="EZ664" s="19" t="s">
        <v>2154</v>
      </c>
      <c r="FA664" s="5" t="s">
        <v>13096</v>
      </c>
      <c r="FB664" s="26" t="s">
        <v>2633</v>
      </c>
      <c r="FC664" s="26" t="s">
        <v>10773</v>
      </c>
    </row>
    <row r="665" hidden="1">
      <c r="A665" s="19" t="s">
        <v>2112</v>
      </c>
      <c r="B665" s="19" t="s">
        <v>2113</v>
      </c>
      <c r="C665" s="19" t="s">
        <v>2113</v>
      </c>
      <c r="D665" s="19" t="s">
        <v>13097</v>
      </c>
      <c r="E665" s="19" t="s">
        <v>13098</v>
      </c>
      <c r="F665" s="19" t="s">
        <v>13097</v>
      </c>
      <c r="G665" s="19"/>
      <c r="H665" s="19" t="s">
        <v>13097</v>
      </c>
      <c r="I665" s="19" t="s">
        <v>13099</v>
      </c>
      <c r="J665" s="19" t="s">
        <v>13100</v>
      </c>
      <c r="K665" s="19" t="s">
        <v>13101</v>
      </c>
      <c r="L665" s="20">
        <v>45396.0</v>
      </c>
      <c r="M665" s="20">
        <v>45411.0</v>
      </c>
      <c r="N665" s="20">
        <v>45411.0</v>
      </c>
      <c r="O665" s="19" t="s">
        <v>13102</v>
      </c>
      <c r="P665" s="19">
        <v>0.0</v>
      </c>
      <c r="Q665" s="19">
        <v>26.0</v>
      </c>
      <c r="R665" s="19">
        <v>9657.0</v>
      </c>
      <c r="S665" s="20" t="s">
        <v>13103</v>
      </c>
      <c r="T665" s="20">
        <v>45461.0</v>
      </c>
      <c r="U665" s="19" t="s">
        <v>13097</v>
      </c>
      <c r="V665" s="19"/>
      <c r="W665" s="19"/>
      <c r="X665" s="21">
        <v>20.0</v>
      </c>
      <c r="Y665" s="21">
        <v>10.0</v>
      </c>
      <c r="Z665" s="21">
        <v>2.0</v>
      </c>
      <c r="AA665" s="21">
        <v>0.0</v>
      </c>
      <c r="AB665" s="5">
        <v>32.0</v>
      </c>
      <c r="AC665" s="19">
        <v>5.0</v>
      </c>
      <c r="AD665" s="19">
        <v>4.5</v>
      </c>
      <c r="AE665" s="19">
        <v>4.5</v>
      </c>
      <c r="AF665" s="19">
        <v>5.0</v>
      </c>
      <c r="AG665" s="19">
        <v>4.0</v>
      </c>
      <c r="AH665" s="19">
        <v>4.5</v>
      </c>
      <c r="AI665" s="22">
        <v>13.734375</v>
      </c>
      <c r="AJ665" s="19"/>
      <c r="AK665" s="19"/>
      <c r="AL665" s="19"/>
      <c r="AM665" s="19">
        <v>0.0</v>
      </c>
      <c r="AN665" s="19">
        <v>13.7</v>
      </c>
      <c r="AO665" s="19">
        <v>45.7</v>
      </c>
      <c r="AP665" s="19">
        <v>181.0</v>
      </c>
      <c r="AQ665" s="19">
        <v>664.0</v>
      </c>
      <c r="AR665" s="19">
        <v>23.0</v>
      </c>
      <c r="AS665" s="22"/>
      <c r="AT665" s="19" t="s">
        <v>2117</v>
      </c>
      <c r="AU665" s="19" t="s">
        <v>7318</v>
      </c>
      <c r="AV665" s="19" t="s">
        <v>13104</v>
      </c>
      <c r="AW665" s="19" t="s">
        <v>13105</v>
      </c>
      <c r="AX665" s="20">
        <v>35804.0</v>
      </c>
      <c r="AY665" s="19" t="s">
        <v>3441</v>
      </c>
      <c r="AZ665" s="19" t="s">
        <v>2310</v>
      </c>
      <c r="BA665" s="19" t="s">
        <v>13106</v>
      </c>
      <c r="BB665" s="19" t="s">
        <v>13107</v>
      </c>
      <c r="BC665" s="19" t="s">
        <v>13108</v>
      </c>
      <c r="BD665" s="19" t="s">
        <v>13109</v>
      </c>
      <c r="BE665" s="19" t="s">
        <v>13100</v>
      </c>
      <c r="BF665" s="19">
        <v>1.1981194984E10</v>
      </c>
      <c r="BG665" s="19" t="s">
        <v>2127</v>
      </c>
      <c r="BH665" s="19" t="s">
        <v>2128</v>
      </c>
      <c r="BI665" s="19"/>
      <c r="BJ665" s="19" t="s">
        <v>2129</v>
      </c>
      <c r="BK665" s="19" t="s">
        <v>17</v>
      </c>
      <c r="BL665" s="19"/>
      <c r="BM665" s="19" t="s">
        <v>2130</v>
      </c>
      <c r="BN665" s="19" t="s">
        <v>17</v>
      </c>
      <c r="BO665" s="19" t="s">
        <v>3199</v>
      </c>
      <c r="BP665" s="19" t="s">
        <v>13110</v>
      </c>
      <c r="BQ665" s="19" t="s">
        <v>3251</v>
      </c>
      <c r="BR665" s="19" t="s">
        <v>3251</v>
      </c>
      <c r="BS665" s="19" t="s">
        <v>2134</v>
      </c>
      <c r="BT665" s="19" t="s">
        <v>177</v>
      </c>
      <c r="BU665" s="19" t="s">
        <v>13111</v>
      </c>
      <c r="BV665" s="19" t="s">
        <v>13112</v>
      </c>
      <c r="BW665" s="19" t="s">
        <v>2113</v>
      </c>
      <c r="BX665" s="19"/>
      <c r="BY665" s="19"/>
      <c r="BZ665" s="19"/>
      <c r="CA665" s="19"/>
      <c r="CB665" s="19" t="s">
        <v>2113</v>
      </c>
      <c r="CC665" s="19"/>
      <c r="CD665" s="19" t="s">
        <v>2137</v>
      </c>
      <c r="CE665" s="19" t="s">
        <v>16</v>
      </c>
      <c r="CF665" s="19"/>
      <c r="CG665" s="19"/>
      <c r="CH665" s="19" t="s">
        <v>16</v>
      </c>
      <c r="CI665" s="21">
        <v>0.0</v>
      </c>
      <c r="CJ665" s="19" t="s">
        <v>16</v>
      </c>
      <c r="CK665" s="19"/>
      <c r="CL665" s="19"/>
      <c r="CM665" s="19" t="s">
        <v>2138</v>
      </c>
      <c r="CN665" s="19" t="s">
        <v>3253</v>
      </c>
      <c r="CO665" s="19"/>
      <c r="CP665" s="19" t="s">
        <v>2246</v>
      </c>
      <c r="CQ665" s="19"/>
      <c r="CR665" s="19" t="s">
        <v>2113</v>
      </c>
      <c r="CS665" s="19" t="s">
        <v>2113</v>
      </c>
      <c r="CT665" s="19"/>
      <c r="CU665" s="19"/>
      <c r="CV665" s="19" t="s">
        <v>2141</v>
      </c>
      <c r="CW665" s="19" t="s">
        <v>2113</v>
      </c>
      <c r="CX665" s="19" t="s">
        <v>2113</v>
      </c>
      <c r="CY665" s="19"/>
      <c r="CZ665" s="19"/>
      <c r="DA665" s="19" t="s">
        <v>16</v>
      </c>
      <c r="DB665" s="19" t="s">
        <v>16</v>
      </c>
      <c r="DC665" s="19" t="s">
        <v>2433</v>
      </c>
      <c r="DD665" s="19"/>
      <c r="DE665" s="19"/>
      <c r="DF665" s="19" t="s">
        <v>2323</v>
      </c>
      <c r="DG665" s="19" t="s">
        <v>2207</v>
      </c>
      <c r="DH665" s="19" t="s">
        <v>2144</v>
      </c>
      <c r="DI665" s="24">
        <v>45518.0</v>
      </c>
      <c r="DJ665" s="19" t="s">
        <v>3257</v>
      </c>
      <c r="DK665" s="19" t="s">
        <v>2271</v>
      </c>
      <c r="DL665" s="19" t="s">
        <v>2207</v>
      </c>
      <c r="DM665" s="22" t="s">
        <v>4008</v>
      </c>
      <c r="DN665" s="19">
        <v>1.0</v>
      </c>
      <c r="DO665" s="19">
        <v>1.0</v>
      </c>
      <c r="DP665" s="19" t="s">
        <v>13113</v>
      </c>
      <c r="DQ665" s="19" t="s">
        <v>13114</v>
      </c>
      <c r="DR665" s="19" t="s">
        <v>13115</v>
      </c>
      <c r="DS665" s="19" t="s">
        <v>2365</v>
      </c>
      <c r="DT665" s="19" t="s">
        <v>2350</v>
      </c>
      <c r="DU665" s="19"/>
      <c r="DV665" s="19"/>
      <c r="DW665" s="19" t="s">
        <v>2188</v>
      </c>
      <c r="DX665" s="19">
        <v>10.0</v>
      </c>
      <c r="DY665" s="19">
        <v>10.0</v>
      </c>
      <c r="DZ665" s="19">
        <v>0.0</v>
      </c>
      <c r="EA665" s="19">
        <v>10.0</v>
      </c>
      <c r="EB665" s="19">
        <v>0.0</v>
      </c>
      <c r="EC665" s="19">
        <v>20.0</v>
      </c>
      <c r="ED665" s="19" t="s">
        <v>3257</v>
      </c>
      <c r="EE665" s="24">
        <v>45518.0</v>
      </c>
      <c r="EF665" s="19" t="s">
        <v>3257</v>
      </c>
      <c r="EG665" s="19" t="s">
        <v>2271</v>
      </c>
      <c r="EH665" s="19" t="s">
        <v>2207</v>
      </c>
      <c r="EI665" s="22">
        <v>13.734375</v>
      </c>
      <c r="EJ665" s="19">
        <v>0.0</v>
      </c>
      <c r="EK665" s="19"/>
      <c r="EL665" s="19" t="s">
        <v>2117</v>
      </c>
      <c r="EM665" s="19" t="s">
        <v>7318</v>
      </c>
      <c r="EN665" s="19" t="s">
        <v>13099</v>
      </c>
      <c r="EO665" s="19" t="s">
        <v>3441</v>
      </c>
      <c r="EP665" s="19" t="s">
        <v>2310</v>
      </c>
      <c r="EQ665" s="19" t="s">
        <v>3253</v>
      </c>
      <c r="ER665" s="19"/>
      <c r="ES665" s="19" t="s">
        <v>13099</v>
      </c>
      <c r="ET665" s="19" t="s">
        <v>13099</v>
      </c>
      <c r="EU665" s="19" t="s">
        <v>13101</v>
      </c>
      <c r="EV665" s="19">
        <v>9657.0</v>
      </c>
      <c r="EW665" s="19" t="s">
        <v>16</v>
      </c>
      <c r="EX665" s="19">
        <v>2.0</v>
      </c>
      <c r="EY665" s="25" t="s">
        <v>13102</v>
      </c>
      <c r="EZ665" s="19" t="s">
        <v>2154</v>
      </c>
      <c r="FA665" s="5" t="s">
        <v>13116</v>
      </c>
      <c r="FB665" s="26" t="s">
        <v>2633</v>
      </c>
      <c r="FC665" s="26" t="s">
        <v>10773</v>
      </c>
    </row>
    <row r="666" hidden="1">
      <c r="A666" s="19" t="s">
        <v>8508</v>
      </c>
      <c r="B666" s="19" t="s">
        <v>2113</v>
      </c>
      <c r="C666" s="19" t="s">
        <v>2113</v>
      </c>
      <c r="D666" s="19" t="s">
        <v>13117</v>
      </c>
      <c r="E666" s="19" t="s">
        <v>13118</v>
      </c>
      <c r="F666" s="19" t="s">
        <v>13117</v>
      </c>
      <c r="G666" s="19"/>
      <c r="H666" s="19" t="s">
        <v>13119</v>
      </c>
      <c r="I666" s="19" t="s">
        <v>13120</v>
      </c>
      <c r="J666" s="19" t="s">
        <v>13121</v>
      </c>
      <c r="K666" s="19" t="s">
        <v>13122</v>
      </c>
      <c r="L666" s="20">
        <v>45395.0</v>
      </c>
      <c r="M666" s="20">
        <v>45404.0</v>
      </c>
      <c r="N666" s="20">
        <v>45404.0</v>
      </c>
      <c r="O666" s="19" t="s">
        <v>13123</v>
      </c>
      <c r="P666" s="19">
        <v>0.0</v>
      </c>
      <c r="Q666" s="19">
        <v>19.0</v>
      </c>
      <c r="R666" s="19">
        <v>7229.0</v>
      </c>
      <c r="S666" s="20" t="s">
        <v>13124</v>
      </c>
      <c r="T666" s="20">
        <v>45461.0</v>
      </c>
      <c r="U666" s="19" t="s">
        <v>13117</v>
      </c>
      <c r="V666" s="19"/>
      <c r="W666" s="19"/>
      <c r="X666" s="21">
        <v>20.0</v>
      </c>
      <c r="Y666" s="21">
        <v>10.0</v>
      </c>
      <c r="Z666" s="21">
        <v>2.0</v>
      </c>
      <c r="AA666" s="21">
        <v>0.0</v>
      </c>
      <c r="AB666" s="5">
        <v>32.0</v>
      </c>
      <c r="AC666" s="19">
        <v>4.0</v>
      </c>
      <c r="AD666" s="19">
        <v>4.0</v>
      </c>
      <c r="AE666" s="19">
        <v>4.0</v>
      </c>
      <c r="AF666" s="19">
        <v>5.0</v>
      </c>
      <c r="AG666" s="19">
        <v>4.0</v>
      </c>
      <c r="AH666" s="19">
        <v>4.0</v>
      </c>
      <c r="AI666" s="22">
        <v>12.375</v>
      </c>
      <c r="AJ666" s="19">
        <v>0.0</v>
      </c>
      <c r="AK666" s="19">
        <v>0.0</v>
      </c>
      <c r="AL666" s="19">
        <v>0.0</v>
      </c>
      <c r="AM666" s="19">
        <v>0.0</v>
      </c>
      <c r="AN666" s="19">
        <v>12.4</v>
      </c>
      <c r="AO666" s="19">
        <v>44.4</v>
      </c>
      <c r="AP666" s="19">
        <v>200.0</v>
      </c>
      <c r="AQ666" s="19">
        <v>665.0</v>
      </c>
      <c r="AR666" s="19">
        <v>61.0</v>
      </c>
      <c r="AS666" s="22"/>
      <c r="AT666" s="19" t="s">
        <v>2163</v>
      </c>
      <c r="AU666" s="19" t="s">
        <v>13125</v>
      </c>
      <c r="AV666" s="19" t="s">
        <v>13126</v>
      </c>
      <c r="AW666" s="19" t="s">
        <v>3331</v>
      </c>
      <c r="AX666" s="20">
        <v>38232.0</v>
      </c>
      <c r="AY666" s="19" t="s">
        <v>3612</v>
      </c>
      <c r="AZ666" s="19" t="s">
        <v>2310</v>
      </c>
      <c r="BA666" s="19" t="s">
        <v>13127</v>
      </c>
      <c r="BB666" s="19" t="s">
        <v>3139</v>
      </c>
      <c r="BC666" s="19" t="s">
        <v>13128</v>
      </c>
      <c r="BD666" s="19" t="s">
        <v>13129</v>
      </c>
      <c r="BE666" s="19" t="s">
        <v>13130</v>
      </c>
      <c r="BF666" s="19" t="s">
        <v>13131</v>
      </c>
      <c r="BG666" s="19" t="s">
        <v>2127</v>
      </c>
      <c r="BH666" s="19" t="s">
        <v>2128</v>
      </c>
      <c r="BI666" s="19"/>
      <c r="BJ666" s="19"/>
      <c r="BK666" s="19" t="s">
        <v>16</v>
      </c>
      <c r="BL666" s="19"/>
      <c r="BM666" s="19" t="s">
        <v>2130</v>
      </c>
      <c r="BN666" s="19" t="s">
        <v>2172</v>
      </c>
      <c r="BO666" s="19" t="s">
        <v>3199</v>
      </c>
      <c r="BP666" s="19"/>
      <c r="BQ666" s="19" t="s">
        <v>2133</v>
      </c>
      <c r="BR666" s="19" t="s">
        <v>2133</v>
      </c>
      <c r="BS666" s="19" t="s">
        <v>2134</v>
      </c>
      <c r="BT666" s="19" t="s">
        <v>15</v>
      </c>
      <c r="BU666" s="19" t="s">
        <v>4099</v>
      </c>
      <c r="BV666" s="19" t="s">
        <v>13132</v>
      </c>
      <c r="BW666" s="19"/>
      <c r="BX666" s="19"/>
      <c r="BY666" s="19"/>
      <c r="BZ666" s="19"/>
      <c r="CA666" s="19"/>
      <c r="CB666" s="19" t="s">
        <v>2113</v>
      </c>
      <c r="CC666" s="19" t="s">
        <v>2113</v>
      </c>
      <c r="CD666" s="19" t="s">
        <v>2137</v>
      </c>
      <c r="CE666" s="19" t="s">
        <v>16</v>
      </c>
      <c r="CF666" s="19"/>
      <c r="CG666" s="19"/>
      <c r="CH666" s="19" t="s">
        <v>16</v>
      </c>
      <c r="CI666" s="21">
        <v>0.0</v>
      </c>
      <c r="CJ666" s="19" t="s">
        <v>17</v>
      </c>
      <c r="CK666" s="19"/>
      <c r="CL666" s="19"/>
      <c r="CM666" s="19"/>
      <c r="CN666" s="19" t="s">
        <v>3202</v>
      </c>
      <c r="CO666" s="19"/>
      <c r="CP666" s="19"/>
      <c r="CQ666" s="19"/>
      <c r="CR666" s="19" t="s">
        <v>2113</v>
      </c>
      <c r="CS666" s="19" t="s">
        <v>2113</v>
      </c>
      <c r="CT666" s="19" t="s">
        <v>2113</v>
      </c>
      <c r="CU666" s="19" t="s">
        <v>2113</v>
      </c>
      <c r="CV666" s="19" t="s">
        <v>2141</v>
      </c>
      <c r="CW666" s="19" t="s">
        <v>2113</v>
      </c>
      <c r="CX666" s="19" t="s">
        <v>2113</v>
      </c>
      <c r="CY666" s="19" t="s">
        <v>2113</v>
      </c>
      <c r="CZ666" s="19" t="s">
        <v>2113</v>
      </c>
      <c r="DA666" s="19" t="s">
        <v>16</v>
      </c>
      <c r="DB666" s="19" t="s">
        <v>17</v>
      </c>
      <c r="DC666" s="19" t="s">
        <v>4467</v>
      </c>
      <c r="DD666" s="19" t="s">
        <v>2113</v>
      </c>
      <c r="DE666" s="19" t="s">
        <v>2113</v>
      </c>
      <c r="DF666" s="19" t="s">
        <v>2826</v>
      </c>
      <c r="DG666" s="19" t="s">
        <v>2407</v>
      </c>
      <c r="DH666" s="19" t="s">
        <v>2144</v>
      </c>
      <c r="DI666" s="24">
        <v>45525.0</v>
      </c>
      <c r="DJ666" s="19" t="s">
        <v>2133</v>
      </c>
      <c r="DK666" s="19" t="s">
        <v>2145</v>
      </c>
      <c r="DL666" s="19" t="s">
        <v>2146</v>
      </c>
      <c r="DM666" s="19" t="s">
        <v>3003</v>
      </c>
      <c r="DN666" s="19">
        <v>9.0</v>
      </c>
      <c r="DO666" s="19">
        <v>9.0</v>
      </c>
      <c r="DP666" s="19" t="s">
        <v>13133</v>
      </c>
      <c r="DQ666" s="19" t="s">
        <v>13134</v>
      </c>
      <c r="DR666" s="19" t="s">
        <v>13135</v>
      </c>
      <c r="DS666" s="19" t="s">
        <v>2365</v>
      </c>
      <c r="DT666" s="19" t="s">
        <v>2152</v>
      </c>
      <c r="DU666" s="19"/>
      <c r="DV666" s="19"/>
      <c r="DW666" s="19" t="s">
        <v>2153</v>
      </c>
      <c r="DX666" s="19">
        <v>7.0</v>
      </c>
      <c r="DY666" s="19">
        <v>10.0</v>
      </c>
      <c r="DZ666" s="19">
        <v>0.0</v>
      </c>
      <c r="EA666" s="19">
        <v>10.0</v>
      </c>
      <c r="EB666" s="19">
        <v>0.0</v>
      </c>
      <c r="EC666" s="19">
        <v>20.0</v>
      </c>
      <c r="ED666" s="19" t="s">
        <v>2133</v>
      </c>
      <c r="EE666" s="24">
        <v>45525.0</v>
      </c>
      <c r="EF666" s="19" t="s">
        <v>2133</v>
      </c>
      <c r="EG666" s="19" t="s">
        <v>2145</v>
      </c>
      <c r="EH666" s="19" t="s">
        <v>2146</v>
      </c>
      <c r="EI666" s="22">
        <v>12.375</v>
      </c>
      <c r="EJ666" s="19">
        <v>0.0</v>
      </c>
      <c r="EK666" s="19" t="s">
        <v>2113</v>
      </c>
      <c r="EL666" s="19" t="s">
        <v>2163</v>
      </c>
      <c r="EM666" s="19" t="s">
        <v>13125</v>
      </c>
      <c r="EN666" s="19" t="s">
        <v>13120</v>
      </c>
      <c r="EO666" s="19" t="s">
        <v>3612</v>
      </c>
      <c r="EP666" s="19" t="s">
        <v>2310</v>
      </c>
      <c r="EQ666" s="19" t="s">
        <v>3202</v>
      </c>
      <c r="ER666" s="19"/>
      <c r="ES666" s="19" t="s">
        <v>13120</v>
      </c>
      <c r="ET666" s="19" t="s">
        <v>13120</v>
      </c>
      <c r="EU666" s="19" t="s">
        <v>13122</v>
      </c>
      <c r="EV666" s="19">
        <v>7229.0</v>
      </c>
      <c r="EW666" s="19" t="s">
        <v>16</v>
      </c>
      <c r="EX666" s="19">
        <v>2.0</v>
      </c>
      <c r="EY666" s="25" t="s">
        <v>13123</v>
      </c>
      <c r="EZ666" s="19" t="s">
        <v>2154</v>
      </c>
      <c r="FA666" s="5" t="s">
        <v>13136</v>
      </c>
      <c r="FB666" s="26" t="s">
        <v>2633</v>
      </c>
      <c r="FC666" s="26" t="s">
        <v>10773</v>
      </c>
    </row>
    <row r="667">
      <c r="A667" s="19"/>
      <c r="B667" s="19"/>
      <c r="C667" s="19" t="s">
        <v>2113</v>
      </c>
      <c r="D667" s="19" t="s">
        <v>1935</v>
      </c>
      <c r="E667" s="19" t="s">
        <v>13137</v>
      </c>
      <c r="F667" s="19" t="s">
        <v>1935</v>
      </c>
      <c r="G667" s="19"/>
      <c r="H667" s="19" t="s">
        <v>1935</v>
      </c>
      <c r="I667" s="19" t="s">
        <v>1937</v>
      </c>
      <c r="J667" s="19" t="s">
        <v>13138</v>
      </c>
      <c r="K667" s="19" t="s">
        <v>13139</v>
      </c>
      <c r="L667" s="20">
        <v>45445.0</v>
      </c>
      <c r="M667" s="20">
        <v>45446.0</v>
      </c>
      <c r="N667" s="20">
        <v>45446.0</v>
      </c>
      <c r="O667" s="19" t="s">
        <v>1936</v>
      </c>
      <c r="P667" s="19">
        <v>0.0</v>
      </c>
      <c r="Q667" s="19">
        <v>27.0</v>
      </c>
      <c r="R667" s="19">
        <v>10066.0</v>
      </c>
      <c r="S667" s="20" t="s">
        <v>13140</v>
      </c>
      <c r="T667" s="20">
        <v>45461.0</v>
      </c>
      <c r="U667" s="19" t="s">
        <v>1935</v>
      </c>
      <c r="V667" s="19"/>
      <c r="W667" s="19"/>
      <c r="X667" s="21">
        <v>0.0</v>
      </c>
      <c r="Y667" s="21">
        <v>0.0</v>
      </c>
      <c r="Z667" s="21">
        <v>4.0</v>
      </c>
      <c r="AA667" s="21">
        <v>0.0</v>
      </c>
      <c r="AB667" s="5">
        <v>4.0</v>
      </c>
      <c r="AC667" s="19">
        <v>4.5</v>
      </c>
      <c r="AD667" s="19">
        <v>4.5</v>
      </c>
      <c r="AE667" s="19">
        <v>5.0</v>
      </c>
      <c r="AF667" s="19">
        <v>4.5</v>
      </c>
      <c r="AG667" s="19">
        <v>4.5</v>
      </c>
      <c r="AH667" s="19">
        <v>5.0</v>
      </c>
      <c r="AI667" s="22">
        <v>14.0625</v>
      </c>
      <c r="AJ667" s="19">
        <v>8.0</v>
      </c>
      <c r="AK667" s="19">
        <v>8.0</v>
      </c>
      <c r="AL667" s="19">
        <v>10.0</v>
      </c>
      <c r="AM667" s="19">
        <v>26.0</v>
      </c>
      <c r="AN667" s="19">
        <v>40.1</v>
      </c>
      <c r="AO667" s="19">
        <v>44.1</v>
      </c>
      <c r="AP667" s="19">
        <v>1164.0</v>
      </c>
      <c r="AQ667" s="23">
        <v>647.0</v>
      </c>
      <c r="AR667" s="23">
        <v>50.0</v>
      </c>
      <c r="AS667" s="22"/>
      <c r="AT667" s="19" t="s">
        <v>2282</v>
      </c>
      <c r="AU667" s="19" t="s">
        <v>13141</v>
      </c>
      <c r="AV667" s="19" t="s">
        <v>13142</v>
      </c>
      <c r="AW667" s="19" t="s">
        <v>13143</v>
      </c>
      <c r="AX667" s="20">
        <v>35395.0</v>
      </c>
      <c r="AY667" s="19" t="s">
        <v>3232</v>
      </c>
      <c r="AZ667" s="19" t="s">
        <v>2310</v>
      </c>
      <c r="BA667" s="19" t="s">
        <v>13144</v>
      </c>
      <c r="BB667" s="19" t="s">
        <v>13145</v>
      </c>
      <c r="BC667" s="19" t="s">
        <v>13146</v>
      </c>
      <c r="BD667" s="19" t="s">
        <v>13147</v>
      </c>
      <c r="BE667" s="19"/>
      <c r="BF667" s="19"/>
      <c r="BG667" s="19" t="s">
        <v>2127</v>
      </c>
      <c r="BH667" s="19" t="s">
        <v>2649</v>
      </c>
      <c r="BI667" s="19"/>
      <c r="BJ667" s="19"/>
      <c r="BK667" s="19" t="s">
        <v>16</v>
      </c>
      <c r="BL667" s="19"/>
      <c r="BM667" s="19" t="s">
        <v>5796</v>
      </c>
      <c r="BN667" s="19" t="s">
        <v>17</v>
      </c>
      <c r="BO667" s="19" t="s">
        <v>2317</v>
      </c>
      <c r="BP667" s="19" t="s">
        <v>13148</v>
      </c>
      <c r="BQ667" s="19" t="s">
        <v>2325</v>
      </c>
      <c r="BR667" s="19" t="s">
        <v>2325</v>
      </c>
      <c r="BS667" s="19" t="s">
        <v>3521</v>
      </c>
      <c r="BT667" s="19" t="s">
        <v>118</v>
      </c>
      <c r="BU667" s="19" t="s">
        <v>2452</v>
      </c>
      <c r="BV667" s="19"/>
      <c r="BW667" s="19" t="s">
        <v>2113</v>
      </c>
      <c r="BX667" s="19"/>
      <c r="BY667" s="19"/>
      <c r="BZ667" s="19"/>
      <c r="CA667" s="19"/>
      <c r="CB667" s="19" t="s">
        <v>2113</v>
      </c>
      <c r="CC667" s="19"/>
      <c r="CD667" s="19" t="s">
        <v>2137</v>
      </c>
      <c r="CE667" s="19" t="s">
        <v>16</v>
      </c>
      <c r="CF667" s="19"/>
      <c r="CG667" s="19"/>
      <c r="CH667" s="19" t="s">
        <v>16</v>
      </c>
      <c r="CI667" s="21">
        <v>0.0</v>
      </c>
      <c r="CJ667" s="19" t="s">
        <v>16</v>
      </c>
      <c r="CK667" s="19"/>
      <c r="CL667" s="19"/>
      <c r="CM667" s="19" t="s">
        <v>2344</v>
      </c>
      <c r="CN667" s="19" t="s">
        <v>2868</v>
      </c>
      <c r="CO667" s="19"/>
      <c r="CP667" s="19"/>
      <c r="CQ667" s="19"/>
      <c r="CR667" s="19"/>
      <c r="CS667" s="19"/>
      <c r="CT667" s="19"/>
      <c r="CU667" s="19"/>
      <c r="CV667" s="19" t="s">
        <v>2141</v>
      </c>
      <c r="CW667" s="19"/>
      <c r="CX667" s="19"/>
      <c r="CY667" s="19"/>
      <c r="CZ667" s="19"/>
      <c r="DA667" s="19" t="s">
        <v>16</v>
      </c>
      <c r="DB667" s="19" t="s">
        <v>16</v>
      </c>
      <c r="DC667" s="19" t="s">
        <v>2869</v>
      </c>
      <c r="DD667" s="19" t="s">
        <v>2113</v>
      </c>
      <c r="DE667" s="19" t="s">
        <v>2113</v>
      </c>
      <c r="DF667" s="19" t="s">
        <v>2455</v>
      </c>
      <c r="DG667" s="19" t="s">
        <v>2498</v>
      </c>
      <c r="DH667" s="19" t="s">
        <v>2144</v>
      </c>
      <c r="DI667" s="24">
        <v>45517.0</v>
      </c>
      <c r="DJ667" s="19" t="s">
        <v>2325</v>
      </c>
      <c r="DK667" s="19" t="s">
        <v>2271</v>
      </c>
      <c r="DL667" s="19" t="s">
        <v>2326</v>
      </c>
      <c r="DM667" s="19"/>
      <c r="DN667" s="19">
        <v>2.0</v>
      </c>
      <c r="DO667" s="19">
        <v>2.0</v>
      </c>
      <c r="DP667" s="19" t="s">
        <v>13149</v>
      </c>
      <c r="DQ667" s="19" t="s">
        <v>13150</v>
      </c>
      <c r="DR667" s="19" t="s">
        <v>13151</v>
      </c>
      <c r="DS667" s="19" t="s">
        <v>2185</v>
      </c>
      <c r="DT667" s="19" t="s">
        <v>2229</v>
      </c>
      <c r="DU667" s="19"/>
      <c r="DV667" s="19"/>
      <c r="DW667" s="19" t="s">
        <v>2153</v>
      </c>
      <c r="DX667" s="19">
        <v>3.0</v>
      </c>
      <c r="DY667" s="19">
        <v>0.0</v>
      </c>
      <c r="DZ667" s="19">
        <v>0.0</v>
      </c>
      <c r="EA667" s="19">
        <v>0.0</v>
      </c>
      <c r="EB667" s="19">
        <v>0.0</v>
      </c>
      <c r="EC667" s="19">
        <v>0.0</v>
      </c>
      <c r="ED667" s="19" t="s">
        <v>2325</v>
      </c>
      <c r="EE667" s="24">
        <v>45517.0</v>
      </c>
      <c r="EF667" s="19" t="s">
        <v>2325</v>
      </c>
      <c r="EG667" s="19" t="s">
        <v>2271</v>
      </c>
      <c r="EH667" s="19" t="s">
        <v>2326</v>
      </c>
      <c r="EI667" s="22">
        <v>14.0625</v>
      </c>
      <c r="EJ667" s="19">
        <v>26.0</v>
      </c>
      <c r="EK667" s="19"/>
      <c r="EL667" s="19" t="s">
        <v>2282</v>
      </c>
      <c r="EM667" s="19" t="s">
        <v>13141</v>
      </c>
      <c r="EN667" s="19" t="s">
        <v>1937</v>
      </c>
      <c r="EO667" s="19" t="s">
        <v>3232</v>
      </c>
      <c r="EP667" s="19" t="s">
        <v>2310</v>
      </c>
      <c r="EQ667" s="19" t="s">
        <v>2868</v>
      </c>
      <c r="ER667" s="19"/>
      <c r="ES667" s="19" t="s">
        <v>1937</v>
      </c>
      <c r="ET667" s="19" t="s">
        <v>1937</v>
      </c>
      <c r="EU667" s="19" t="s">
        <v>13139</v>
      </c>
      <c r="EV667" s="19">
        <v>10066.0</v>
      </c>
      <c r="EW667" s="19" t="s">
        <v>16</v>
      </c>
      <c r="EX667" s="19">
        <v>4.0</v>
      </c>
      <c r="EY667" s="25" t="s">
        <v>1936</v>
      </c>
      <c r="EZ667" s="19" t="s">
        <v>2154</v>
      </c>
      <c r="FA667" s="5" t="s">
        <v>13152</v>
      </c>
      <c r="FB667" s="26" t="s">
        <v>2156</v>
      </c>
      <c r="FC667" s="26"/>
    </row>
    <row r="668" hidden="1">
      <c r="A668" s="19" t="s">
        <v>13153</v>
      </c>
      <c r="B668" s="19" t="s">
        <v>2113</v>
      </c>
      <c r="C668" s="19" t="s">
        <v>2113</v>
      </c>
      <c r="D668" s="19" t="s">
        <v>13154</v>
      </c>
      <c r="E668" s="19" t="s">
        <v>13155</v>
      </c>
      <c r="F668" s="19" t="s">
        <v>13154</v>
      </c>
      <c r="G668" s="19"/>
      <c r="H668" s="19" t="s">
        <v>13154</v>
      </c>
      <c r="I668" s="19" t="s">
        <v>13156</v>
      </c>
      <c r="J668" s="19" t="s">
        <v>13157</v>
      </c>
      <c r="K668" s="19" t="s">
        <v>13158</v>
      </c>
      <c r="L668" s="20">
        <v>45397.0</v>
      </c>
      <c r="M668" s="20">
        <v>45411.0</v>
      </c>
      <c r="N668" s="20">
        <v>45411.0</v>
      </c>
      <c r="O668" s="19" t="s">
        <v>13159</v>
      </c>
      <c r="P668" s="19">
        <v>0.0</v>
      </c>
      <c r="Q668" s="19">
        <v>21.0</v>
      </c>
      <c r="R668" s="19">
        <v>7767.0</v>
      </c>
      <c r="S668" s="20" t="s">
        <v>13160</v>
      </c>
      <c r="T668" s="20">
        <v>45461.0</v>
      </c>
      <c r="U668" s="19" t="s">
        <v>13154</v>
      </c>
      <c r="V668" s="19"/>
      <c r="W668" s="19" t="s">
        <v>13161</v>
      </c>
      <c r="X668" s="21">
        <v>20.0</v>
      </c>
      <c r="Y668" s="21">
        <v>5.0</v>
      </c>
      <c r="Z668" s="21">
        <v>4.0</v>
      </c>
      <c r="AA668" s="21">
        <v>0.0</v>
      </c>
      <c r="AB668" s="5">
        <v>29.0</v>
      </c>
      <c r="AC668" s="19">
        <v>5.0</v>
      </c>
      <c r="AD668" s="19">
        <v>5.0</v>
      </c>
      <c r="AE668" s="19">
        <v>5.0</v>
      </c>
      <c r="AF668" s="19">
        <v>5.0</v>
      </c>
      <c r="AG668" s="19">
        <v>5.0</v>
      </c>
      <c r="AH668" s="19">
        <v>5.0</v>
      </c>
      <c r="AI668" s="22">
        <v>15.0</v>
      </c>
      <c r="AJ668" s="19"/>
      <c r="AK668" s="19"/>
      <c r="AL668" s="19"/>
      <c r="AM668" s="19">
        <v>0.0</v>
      </c>
      <c r="AN668" s="19">
        <v>15.0</v>
      </c>
      <c r="AO668" s="19">
        <v>44.0</v>
      </c>
      <c r="AP668" s="19">
        <v>225.0</v>
      </c>
      <c r="AQ668" s="19">
        <v>667.0</v>
      </c>
      <c r="AR668" s="19">
        <v>65.0</v>
      </c>
      <c r="AS668" s="22"/>
      <c r="AT668" s="19" t="s">
        <v>2282</v>
      </c>
      <c r="AU668" s="19" t="s">
        <v>3691</v>
      </c>
      <c r="AV668" s="19" t="s">
        <v>13162</v>
      </c>
      <c r="AW668" s="19" t="s">
        <v>13163</v>
      </c>
      <c r="AX668" s="20">
        <v>37694.0</v>
      </c>
      <c r="AY668" s="19" t="s">
        <v>6083</v>
      </c>
      <c r="AZ668" s="19" t="s">
        <v>2122</v>
      </c>
      <c r="BA668" s="19" t="s">
        <v>13164</v>
      </c>
      <c r="BB668" s="19" t="s">
        <v>4683</v>
      </c>
      <c r="BC668" s="19" t="s">
        <v>13165</v>
      </c>
      <c r="BD668" s="19" t="s">
        <v>13166</v>
      </c>
      <c r="BE668" s="19" t="s">
        <v>13167</v>
      </c>
      <c r="BF668" s="19">
        <v>1.1995823681E10</v>
      </c>
      <c r="BG668" s="19" t="s">
        <v>3518</v>
      </c>
      <c r="BH668" s="19" t="s">
        <v>2128</v>
      </c>
      <c r="BI668" s="19"/>
      <c r="BJ668" s="19" t="s">
        <v>2427</v>
      </c>
      <c r="BK668" s="19" t="s">
        <v>17</v>
      </c>
      <c r="BL668" s="19" t="s">
        <v>2113</v>
      </c>
      <c r="BM668" s="19" t="s">
        <v>2130</v>
      </c>
      <c r="BN668" s="19" t="s">
        <v>5646</v>
      </c>
      <c r="BO668" s="19" t="s">
        <v>2317</v>
      </c>
      <c r="BP668" s="19" t="s">
        <v>13168</v>
      </c>
      <c r="BQ668" s="19" t="s">
        <v>2133</v>
      </c>
      <c r="BR668" s="19" t="s">
        <v>2133</v>
      </c>
      <c r="BS668" s="19" t="s">
        <v>2243</v>
      </c>
      <c r="BT668" s="19" t="s">
        <v>52</v>
      </c>
      <c r="BU668" s="19" t="s">
        <v>13169</v>
      </c>
      <c r="BV668" s="19" t="s">
        <v>13170</v>
      </c>
      <c r="BW668" s="19"/>
      <c r="BX668" s="19" t="s">
        <v>2113</v>
      </c>
      <c r="BY668" s="19"/>
      <c r="BZ668" s="19" t="s">
        <v>2113</v>
      </c>
      <c r="CA668" s="19" t="s">
        <v>2113</v>
      </c>
      <c r="CB668" s="19" t="s">
        <v>2113</v>
      </c>
      <c r="CC668" s="19"/>
      <c r="CD668" s="19" t="s">
        <v>2137</v>
      </c>
      <c r="CE668" s="19" t="s">
        <v>16</v>
      </c>
      <c r="CF668" s="19"/>
      <c r="CG668" s="19"/>
      <c r="CH668" s="19" t="s">
        <v>16</v>
      </c>
      <c r="CI668" s="21">
        <v>0.0</v>
      </c>
      <c r="CJ668" s="19" t="s">
        <v>16</v>
      </c>
      <c r="CK668" s="19"/>
      <c r="CL668" s="19"/>
      <c r="CM668" s="19" t="s">
        <v>2138</v>
      </c>
      <c r="CN668" s="19" t="s">
        <v>2626</v>
      </c>
      <c r="CO668" s="19"/>
      <c r="CP668" s="19" t="s">
        <v>2246</v>
      </c>
      <c r="CQ668" s="19"/>
      <c r="CR668" s="19" t="s">
        <v>2113</v>
      </c>
      <c r="CS668" s="19" t="s">
        <v>2113</v>
      </c>
      <c r="CT668" s="19" t="s">
        <v>2113</v>
      </c>
      <c r="CU668" s="19" t="s">
        <v>2113</v>
      </c>
      <c r="CV668" s="19" t="s">
        <v>2141</v>
      </c>
      <c r="CW668" s="19"/>
      <c r="CX668" s="19"/>
      <c r="CY668" s="19"/>
      <c r="CZ668" s="19"/>
      <c r="DA668" s="19" t="s">
        <v>16</v>
      </c>
      <c r="DB668" s="19" t="s">
        <v>16</v>
      </c>
      <c r="DC668" s="19" t="s">
        <v>2579</v>
      </c>
      <c r="DD668" s="19" t="s">
        <v>2113</v>
      </c>
      <c r="DE668" s="19" t="s">
        <v>2113</v>
      </c>
      <c r="DF668" s="19" t="s">
        <v>2627</v>
      </c>
      <c r="DG668" s="19" t="s">
        <v>4522</v>
      </c>
      <c r="DH668" s="19" t="s">
        <v>2144</v>
      </c>
      <c r="DI668" s="24">
        <v>45524.0</v>
      </c>
      <c r="DJ668" s="19" t="s">
        <v>2133</v>
      </c>
      <c r="DK668" s="19" t="s">
        <v>2145</v>
      </c>
      <c r="DL668" s="19" t="s">
        <v>2146</v>
      </c>
      <c r="DM668" s="19" t="s">
        <v>3302</v>
      </c>
      <c r="DN668" s="19">
        <v>7.0</v>
      </c>
      <c r="DO668" s="19">
        <v>7.0</v>
      </c>
      <c r="DP668" s="19" t="s">
        <v>13171</v>
      </c>
      <c r="DQ668" s="19" t="s">
        <v>13172</v>
      </c>
      <c r="DR668" s="19" t="s">
        <v>13173</v>
      </c>
      <c r="DS668" s="19" t="s">
        <v>2365</v>
      </c>
      <c r="DT668" s="19" t="s">
        <v>2186</v>
      </c>
      <c r="DU668" s="19"/>
      <c r="DV668" s="19"/>
      <c r="DW668" s="19" t="s">
        <v>2153</v>
      </c>
      <c r="DX668" s="19">
        <v>9.0</v>
      </c>
      <c r="DY668" s="19">
        <v>5.0</v>
      </c>
      <c r="DZ668" s="19">
        <v>0.0</v>
      </c>
      <c r="EA668" s="19">
        <v>5.0</v>
      </c>
      <c r="EB668" s="19">
        <v>0.0</v>
      </c>
      <c r="EC668" s="19">
        <v>20.0</v>
      </c>
      <c r="ED668" s="19" t="s">
        <v>2133</v>
      </c>
      <c r="EE668" s="24">
        <v>45524.0</v>
      </c>
      <c r="EF668" s="19" t="s">
        <v>2133</v>
      </c>
      <c r="EG668" s="19" t="s">
        <v>2145</v>
      </c>
      <c r="EH668" s="19" t="s">
        <v>2146</v>
      </c>
      <c r="EI668" s="22">
        <v>15.0</v>
      </c>
      <c r="EJ668" s="19">
        <v>0.0</v>
      </c>
      <c r="EK668" s="19"/>
      <c r="EL668" s="19" t="s">
        <v>2282</v>
      </c>
      <c r="EM668" s="19" t="s">
        <v>3691</v>
      </c>
      <c r="EN668" s="19" t="s">
        <v>13156</v>
      </c>
      <c r="EO668" s="19" t="s">
        <v>6083</v>
      </c>
      <c r="EP668" s="19" t="s">
        <v>2122</v>
      </c>
      <c r="EQ668" s="19" t="s">
        <v>2626</v>
      </c>
      <c r="ER668" s="19"/>
      <c r="ES668" s="19" t="s">
        <v>13156</v>
      </c>
      <c r="ET668" s="19" t="s">
        <v>13156</v>
      </c>
      <c r="EU668" s="19" t="s">
        <v>13158</v>
      </c>
      <c r="EV668" s="19">
        <v>7767.0</v>
      </c>
      <c r="EW668" s="19" t="s">
        <v>16</v>
      </c>
      <c r="EX668" s="19">
        <v>4.0</v>
      </c>
      <c r="EY668" s="25" t="s">
        <v>13159</v>
      </c>
      <c r="EZ668" s="19" t="s">
        <v>2154</v>
      </c>
      <c r="FA668" s="5" t="s">
        <v>13174</v>
      </c>
      <c r="FB668" s="26" t="s">
        <v>2633</v>
      </c>
      <c r="FC668" s="26" t="s">
        <v>10773</v>
      </c>
    </row>
    <row r="669">
      <c r="A669" s="19" t="s">
        <v>2156</v>
      </c>
      <c r="B669" s="19"/>
      <c r="C669" s="19" t="s">
        <v>2113</v>
      </c>
      <c r="D669" s="19" t="s">
        <v>1938</v>
      </c>
      <c r="E669" s="19" t="s">
        <v>13175</v>
      </c>
      <c r="F669" s="19" t="s">
        <v>1938</v>
      </c>
      <c r="G669" s="19"/>
      <c r="H669" s="19" t="s">
        <v>1938</v>
      </c>
      <c r="I669" s="19" t="s">
        <v>1940</v>
      </c>
      <c r="J669" s="19" t="s">
        <v>13176</v>
      </c>
      <c r="K669" s="19" t="s">
        <v>13177</v>
      </c>
      <c r="L669" s="20">
        <v>45453.0</v>
      </c>
      <c r="M669" s="20">
        <v>45455.0</v>
      </c>
      <c r="N669" s="20">
        <v>45455.0</v>
      </c>
      <c r="O669" s="19" t="s">
        <v>1939</v>
      </c>
      <c r="P669" s="19">
        <v>0.0</v>
      </c>
      <c r="Q669" s="19">
        <v>23.0</v>
      </c>
      <c r="R669" s="19">
        <v>8539.0</v>
      </c>
      <c r="S669" s="20" t="s">
        <v>13178</v>
      </c>
      <c r="T669" s="20">
        <v>45461.0</v>
      </c>
      <c r="U669" s="19" t="s">
        <v>1938</v>
      </c>
      <c r="V669" s="19"/>
      <c r="W669" s="19"/>
      <c r="X669" s="21">
        <v>0.0</v>
      </c>
      <c r="Y669" s="21">
        <v>0.0</v>
      </c>
      <c r="Z669" s="21">
        <v>4.0</v>
      </c>
      <c r="AA669" s="21">
        <v>0.0</v>
      </c>
      <c r="AB669" s="5">
        <v>4.0</v>
      </c>
      <c r="AC669" s="19">
        <v>3.5</v>
      </c>
      <c r="AD669" s="19">
        <v>3.0</v>
      </c>
      <c r="AE669" s="19">
        <v>3.5</v>
      </c>
      <c r="AF669" s="19">
        <v>3.5</v>
      </c>
      <c r="AG669" s="19">
        <v>3.0</v>
      </c>
      <c r="AH669" s="19">
        <v>3.5</v>
      </c>
      <c r="AI669" s="22">
        <v>9.984375</v>
      </c>
      <c r="AJ669" s="19">
        <v>10.0</v>
      </c>
      <c r="AK669" s="19">
        <v>10.0</v>
      </c>
      <c r="AL669" s="19">
        <v>10.0</v>
      </c>
      <c r="AM669" s="19">
        <v>30.0</v>
      </c>
      <c r="AN669" s="19">
        <v>40.0</v>
      </c>
      <c r="AO669" s="19">
        <v>44.0</v>
      </c>
      <c r="AP669" s="19">
        <v>1181.0</v>
      </c>
      <c r="AQ669" s="23">
        <v>648.0</v>
      </c>
      <c r="AR669" s="23">
        <v>47.0</v>
      </c>
      <c r="AS669" s="22"/>
      <c r="AT669" s="19" t="s">
        <v>2282</v>
      </c>
      <c r="AU669" s="19" t="s">
        <v>13179</v>
      </c>
      <c r="AV669" s="19" t="s">
        <v>13180</v>
      </c>
      <c r="AW669" s="19"/>
      <c r="AX669" s="20">
        <v>36922.0</v>
      </c>
      <c r="AY669" s="19" t="s">
        <v>2702</v>
      </c>
      <c r="AZ669" s="19" t="s">
        <v>2310</v>
      </c>
      <c r="BA669" s="19" t="s">
        <v>13181</v>
      </c>
      <c r="BB669" s="19" t="s">
        <v>2531</v>
      </c>
      <c r="BC669" s="19" t="s">
        <v>13182</v>
      </c>
      <c r="BD669" s="19" t="s">
        <v>13183</v>
      </c>
      <c r="BE669" s="19" t="s">
        <v>13176</v>
      </c>
      <c r="BF669" s="19" t="s">
        <v>13184</v>
      </c>
      <c r="BG669" s="19" t="s">
        <v>4038</v>
      </c>
      <c r="BH669" s="19" t="s">
        <v>2128</v>
      </c>
      <c r="BI669" s="19"/>
      <c r="BJ669" s="19" t="s">
        <v>2128</v>
      </c>
      <c r="BK669" s="19" t="s">
        <v>17</v>
      </c>
      <c r="BL669" s="19"/>
      <c r="BM669" s="19" t="s">
        <v>5563</v>
      </c>
      <c r="BN669" s="19" t="s">
        <v>8850</v>
      </c>
      <c r="BO669" s="19" t="s">
        <v>2317</v>
      </c>
      <c r="BP669" s="19"/>
      <c r="BQ669" s="19" t="s">
        <v>2318</v>
      </c>
      <c r="BR669" s="19" t="s">
        <v>2318</v>
      </c>
      <c r="BS669" s="19" t="s">
        <v>2243</v>
      </c>
      <c r="BT669" s="19" t="s">
        <v>42</v>
      </c>
      <c r="BU669" s="19" t="s">
        <v>13185</v>
      </c>
      <c r="BV669" s="19"/>
      <c r="BW669" s="19"/>
      <c r="BX669" s="19"/>
      <c r="BY669" s="19"/>
      <c r="BZ669" s="19" t="s">
        <v>2113</v>
      </c>
      <c r="CA669" s="19"/>
      <c r="CB669" s="19"/>
      <c r="CC669" s="19"/>
      <c r="CD669" s="19" t="s">
        <v>2137</v>
      </c>
      <c r="CE669" s="19" t="s">
        <v>16</v>
      </c>
      <c r="CF669" s="19"/>
      <c r="CG669" s="19"/>
      <c r="CH669" s="19" t="s">
        <v>16</v>
      </c>
      <c r="CI669" s="21">
        <v>0.0</v>
      </c>
      <c r="CJ669" s="19" t="s">
        <v>16</v>
      </c>
      <c r="CK669" s="19" t="s">
        <v>2113</v>
      </c>
      <c r="CL669" s="19"/>
      <c r="CM669" s="19" t="s">
        <v>2138</v>
      </c>
      <c r="CN669" s="19" t="s">
        <v>2321</v>
      </c>
      <c r="CO669" s="19"/>
      <c r="CP669" s="19" t="s">
        <v>2246</v>
      </c>
      <c r="CQ669" s="19"/>
      <c r="CR669" s="19"/>
      <c r="CS669" s="19"/>
      <c r="CT669" s="19" t="s">
        <v>2113</v>
      </c>
      <c r="CU669" s="19" t="s">
        <v>2113</v>
      </c>
      <c r="CV669" s="19" t="s">
        <v>2141</v>
      </c>
      <c r="CW669" s="19"/>
      <c r="CX669" s="19"/>
      <c r="CY669" s="19" t="s">
        <v>2113</v>
      </c>
      <c r="CZ669" s="19" t="s">
        <v>2113</v>
      </c>
      <c r="DA669" s="19" t="s">
        <v>16</v>
      </c>
      <c r="DB669" s="19" t="s">
        <v>16</v>
      </c>
      <c r="DC669" s="19" t="s">
        <v>2324</v>
      </c>
      <c r="DD669" s="19" t="s">
        <v>2113</v>
      </c>
      <c r="DE669" s="19" t="s">
        <v>2113</v>
      </c>
      <c r="DF669" s="19" t="s">
        <v>3223</v>
      </c>
      <c r="DG669" s="19" t="s">
        <v>2804</v>
      </c>
      <c r="DH669" s="19" t="s">
        <v>2144</v>
      </c>
      <c r="DI669" s="24">
        <v>45518.0</v>
      </c>
      <c r="DJ669" s="19" t="s">
        <v>2325</v>
      </c>
      <c r="DK669" s="19" t="s">
        <v>2271</v>
      </c>
      <c r="DL669" s="19" t="s">
        <v>2326</v>
      </c>
      <c r="DM669" s="19"/>
      <c r="DN669" s="19">
        <v>4.0</v>
      </c>
      <c r="DO669" s="19">
        <v>4.0</v>
      </c>
      <c r="DP669" s="19" t="s">
        <v>13186</v>
      </c>
      <c r="DQ669" s="19" t="s">
        <v>13187</v>
      </c>
      <c r="DR669" s="19" t="s">
        <v>13188</v>
      </c>
      <c r="DS669" s="19" t="s">
        <v>2185</v>
      </c>
      <c r="DT669" s="19" t="s">
        <v>2301</v>
      </c>
      <c r="DU669" s="19"/>
      <c r="DV669" s="19"/>
      <c r="DW669" s="19" t="s">
        <v>2188</v>
      </c>
      <c r="DX669" s="19">
        <v>5.0</v>
      </c>
      <c r="DY669" s="19">
        <v>0.0</v>
      </c>
      <c r="DZ669" s="19">
        <v>0.0</v>
      </c>
      <c r="EA669" s="19">
        <v>0.0</v>
      </c>
      <c r="EB669" s="19">
        <v>0.0</v>
      </c>
      <c r="EC669" s="19">
        <v>0.0</v>
      </c>
      <c r="ED669" s="19" t="s">
        <v>2325</v>
      </c>
      <c r="EE669" s="24">
        <v>45518.0</v>
      </c>
      <c r="EF669" s="19" t="s">
        <v>2325</v>
      </c>
      <c r="EG669" s="19" t="s">
        <v>2271</v>
      </c>
      <c r="EH669" s="19" t="s">
        <v>2326</v>
      </c>
      <c r="EI669" s="22">
        <v>9.984375</v>
      </c>
      <c r="EJ669" s="19">
        <v>30.0</v>
      </c>
      <c r="EK669" s="19"/>
      <c r="EL669" s="19" t="s">
        <v>2282</v>
      </c>
      <c r="EM669" s="19" t="s">
        <v>13179</v>
      </c>
      <c r="EN669" s="19" t="s">
        <v>1940</v>
      </c>
      <c r="EO669" s="19" t="s">
        <v>2702</v>
      </c>
      <c r="EP669" s="19" t="s">
        <v>2310</v>
      </c>
      <c r="EQ669" s="19" t="s">
        <v>2321</v>
      </c>
      <c r="ER669" s="19"/>
      <c r="ES669" s="19" t="s">
        <v>1940</v>
      </c>
      <c r="ET669" s="19" t="s">
        <v>1940</v>
      </c>
      <c r="EU669" s="19" t="s">
        <v>13177</v>
      </c>
      <c r="EV669" s="19">
        <v>8539.0</v>
      </c>
      <c r="EW669" s="19" t="s">
        <v>16</v>
      </c>
      <c r="EX669" s="19">
        <v>4.0</v>
      </c>
      <c r="EY669" s="25" t="s">
        <v>1939</v>
      </c>
      <c r="EZ669" s="19" t="s">
        <v>2154</v>
      </c>
      <c r="FA669" s="5" t="s">
        <v>13189</v>
      </c>
      <c r="FB669" s="26" t="s">
        <v>2156</v>
      </c>
      <c r="FC669" s="26"/>
    </row>
    <row r="670" hidden="1">
      <c r="A670" s="19" t="s">
        <v>2112</v>
      </c>
      <c r="B670" s="19" t="s">
        <v>2113</v>
      </c>
      <c r="C670" s="19" t="s">
        <v>2113</v>
      </c>
      <c r="D670" s="19" t="s">
        <v>13190</v>
      </c>
      <c r="E670" s="19" t="s">
        <v>13190</v>
      </c>
      <c r="F670" s="19" t="s">
        <v>13190</v>
      </c>
      <c r="G670" s="19"/>
      <c r="H670" s="19" t="s">
        <v>13190</v>
      </c>
      <c r="I670" s="19" t="s">
        <v>643</v>
      </c>
      <c r="J670" s="19" t="s">
        <v>13191</v>
      </c>
      <c r="K670" s="19" t="s">
        <v>13192</v>
      </c>
      <c r="L670" s="20">
        <v>45408.0</v>
      </c>
      <c r="M670" s="20">
        <v>45411.0</v>
      </c>
      <c r="N670" s="20">
        <v>45411.0</v>
      </c>
      <c r="O670" s="19" t="s">
        <v>13193</v>
      </c>
      <c r="P670" s="19">
        <v>0.0</v>
      </c>
      <c r="Q670" s="19">
        <v>18.0</v>
      </c>
      <c r="R670" s="19">
        <v>6934.0</v>
      </c>
      <c r="S670" s="20" t="s">
        <v>13194</v>
      </c>
      <c r="T670" s="20">
        <v>45461.0</v>
      </c>
      <c r="U670" s="19" t="s">
        <v>13190</v>
      </c>
      <c r="V670" s="19"/>
      <c r="W670" s="19"/>
      <c r="X670" s="21">
        <v>20.0</v>
      </c>
      <c r="Y670" s="21">
        <v>10.0</v>
      </c>
      <c r="Z670" s="21">
        <v>2.0</v>
      </c>
      <c r="AA670" s="21">
        <v>0.0</v>
      </c>
      <c r="AB670" s="5">
        <v>32.0</v>
      </c>
      <c r="AC670" s="19">
        <v>3.8</v>
      </c>
      <c r="AD670" s="19">
        <v>3.6</v>
      </c>
      <c r="AE670" s="19">
        <v>4.0</v>
      </c>
      <c r="AF670" s="19">
        <v>3.6</v>
      </c>
      <c r="AG670" s="19">
        <v>3.8</v>
      </c>
      <c r="AH670" s="19">
        <v>4.2</v>
      </c>
      <c r="AI670" s="22">
        <v>11.49375</v>
      </c>
      <c r="AJ670" s="19">
        <v>0.0</v>
      </c>
      <c r="AK670" s="19">
        <v>0.0</v>
      </c>
      <c r="AL670" s="19">
        <v>0.0</v>
      </c>
      <c r="AM670" s="19">
        <v>0.0</v>
      </c>
      <c r="AN670" s="19">
        <v>11.5</v>
      </c>
      <c r="AO670" s="19">
        <v>43.5</v>
      </c>
      <c r="AP670" s="19">
        <v>202.0</v>
      </c>
      <c r="AQ670" s="19">
        <v>669.0</v>
      </c>
      <c r="AR670" s="19">
        <v>56.0</v>
      </c>
      <c r="AS670" s="22"/>
      <c r="AT670" s="19" t="s">
        <v>2163</v>
      </c>
      <c r="AU670" s="19" t="s">
        <v>6114</v>
      </c>
      <c r="AV670" s="19" t="s">
        <v>13195</v>
      </c>
      <c r="AW670" s="19" t="s">
        <v>2166</v>
      </c>
      <c r="AX670" s="20">
        <v>38527.0</v>
      </c>
      <c r="AY670" s="19" t="s">
        <v>4165</v>
      </c>
      <c r="AZ670" s="19" t="s">
        <v>2122</v>
      </c>
      <c r="BA670" s="19" t="s">
        <v>13196</v>
      </c>
      <c r="BB670" s="19" t="s">
        <v>4363</v>
      </c>
      <c r="BC670" s="19" t="s">
        <v>13197</v>
      </c>
      <c r="BD670" s="19" t="s">
        <v>13198</v>
      </c>
      <c r="BE670" s="19" t="s">
        <v>13199</v>
      </c>
      <c r="BF670" s="19">
        <v>1.1954457995E10</v>
      </c>
      <c r="BG670" s="19" t="s">
        <v>2127</v>
      </c>
      <c r="BH670" s="19" t="s">
        <v>2128</v>
      </c>
      <c r="BI670" s="19"/>
      <c r="BJ670" s="19"/>
      <c r="BK670" s="19" t="s">
        <v>16</v>
      </c>
      <c r="BL670" s="19"/>
      <c r="BM670" s="19" t="s">
        <v>2130</v>
      </c>
      <c r="BN670" s="19" t="s">
        <v>17</v>
      </c>
      <c r="BO670" s="19" t="s">
        <v>3199</v>
      </c>
      <c r="BP670" s="19"/>
      <c r="BQ670" s="19" t="s">
        <v>2174</v>
      </c>
      <c r="BR670" s="19" t="s">
        <v>2174</v>
      </c>
      <c r="BS670" s="19" t="s">
        <v>2134</v>
      </c>
      <c r="BT670" s="19" t="s">
        <v>34</v>
      </c>
      <c r="BU670" s="19" t="s">
        <v>13200</v>
      </c>
      <c r="BV670" s="19" t="s">
        <v>13201</v>
      </c>
      <c r="BW670" s="19" t="s">
        <v>2113</v>
      </c>
      <c r="BX670" s="19"/>
      <c r="BY670" s="19"/>
      <c r="BZ670" s="19"/>
      <c r="CA670" s="19"/>
      <c r="CB670" s="19"/>
      <c r="CC670" s="19"/>
      <c r="CD670" s="19" t="s">
        <v>2137</v>
      </c>
      <c r="CE670" s="19" t="s">
        <v>16</v>
      </c>
      <c r="CF670" s="19"/>
      <c r="CG670" s="19"/>
      <c r="CH670" s="19" t="s">
        <v>16</v>
      </c>
      <c r="CI670" s="21">
        <v>0.0</v>
      </c>
      <c r="CJ670" s="19" t="s">
        <v>17</v>
      </c>
      <c r="CK670" s="19"/>
      <c r="CL670" s="19"/>
      <c r="CM670" s="19" t="s">
        <v>2138</v>
      </c>
      <c r="CN670" s="19" t="s">
        <v>4172</v>
      </c>
      <c r="CO670" s="19"/>
      <c r="CP670" s="19" t="s">
        <v>2134</v>
      </c>
      <c r="CQ670" s="19"/>
      <c r="CR670" s="19"/>
      <c r="CS670" s="19"/>
      <c r="CT670" s="19" t="s">
        <v>2113</v>
      </c>
      <c r="CU670" s="19" t="s">
        <v>2113</v>
      </c>
      <c r="CV670" s="19" t="s">
        <v>2179</v>
      </c>
      <c r="CW670" s="19"/>
      <c r="CX670" s="19"/>
      <c r="CY670" s="19" t="s">
        <v>2113</v>
      </c>
      <c r="CZ670" s="19" t="s">
        <v>2113</v>
      </c>
      <c r="DA670" s="19" t="s">
        <v>16</v>
      </c>
      <c r="DB670" s="19" t="s">
        <v>17</v>
      </c>
      <c r="DC670" s="19" t="s">
        <v>2270</v>
      </c>
      <c r="DD670" s="19" t="s">
        <v>2113</v>
      </c>
      <c r="DE670" s="19" t="s">
        <v>2113</v>
      </c>
      <c r="DF670" s="19" t="s">
        <v>2433</v>
      </c>
      <c r="DG670" s="19" t="s">
        <v>2364</v>
      </c>
      <c r="DH670" s="19" t="s">
        <v>2144</v>
      </c>
      <c r="DI670" s="24">
        <v>45531.0</v>
      </c>
      <c r="DJ670" s="19" t="s">
        <v>2174</v>
      </c>
      <c r="DK670" s="19" t="s">
        <v>2271</v>
      </c>
      <c r="DL670" s="19" t="s">
        <v>2183</v>
      </c>
      <c r="DM670" s="19"/>
      <c r="DN670" s="19">
        <v>8.0</v>
      </c>
      <c r="DO670" s="19">
        <v>8.0</v>
      </c>
      <c r="DP670" s="19"/>
      <c r="DQ670" s="19"/>
      <c r="DR670" s="19"/>
      <c r="DS670" s="19" t="s">
        <v>2151</v>
      </c>
      <c r="DT670" s="19" t="s">
        <v>2152</v>
      </c>
      <c r="DU670" s="19" t="s">
        <v>13202</v>
      </c>
      <c r="DV670" s="19"/>
      <c r="DW670" s="19" t="s">
        <v>2153</v>
      </c>
      <c r="DX670" s="19">
        <v>14.0</v>
      </c>
      <c r="DY670" s="19">
        <v>10.0</v>
      </c>
      <c r="DZ670" s="19">
        <v>0.0</v>
      </c>
      <c r="EA670" s="19">
        <v>10.0</v>
      </c>
      <c r="EB670" s="19">
        <v>0.0</v>
      </c>
      <c r="EC670" s="19">
        <v>20.0</v>
      </c>
      <c r="ED670" s="19" t="s">
        <v>2174</v>
      </c>
      <c r="EE670" s="24">
        <v>45531.0</v>
      </c>
      <c r="EF670" s="19" t="s">
        <v>2174</v>
      </c>
      <c r="EG670" s="19" t="s">
        <v>2271</v>
      </c>
      <c r="EH670" s="19" t="s">
        <v>2183</v>
      </c>
      <c r="EI670" s="22">
        <v>11.49375</v>
      </c>
      <c r="EJ670" s="19">
        <v>0.0</v>
      </c>
      <c r="EK670" s="19" t="s">
        <v>2113</v>
      </c>
      <c r="EL670" s="19" t="s">
        <v>2163</v>
      </c>
      <c r="EM670" s="19" t="s">
        <v>6114</v>
      </c>
      <c r="EN670" s="19" t="s">
        <v>643</v>
      </c>
      <c r="EO670" s="19" t="s">
        <v>4165</v>
      </c>
      <c r="EP670" s="19" t="s">
        <v>2122</v>
      </c>
      <c r="EQ670" s="19" t="s">
        <v>4172</v>
      </c>
      <c r="ER670" s="19"/>
      <c r="ES670" s="19" t="s">
        <v>643</v>
      </c>
      <c r="ET670" s="19" t="s">
        <v>643</v>
      </c>
      <c r="EU670" s="19" t="s">
        <v>13192</v>
      </c>
      <c r="EV670" s="19">
        <v>6934.0</v>
      </c>
      <c r="EW670" s="19" t="s">
        <v>16</v>
      </c>
      <c r="EX670" s="19">
        <v>2.0</v>
      </c>
      <c r="EY670" s="25" t="s">
        <v>13193</v>
      </c>
      <c r="EZ670" s="19" t="s">
        <v>2154</v>
      </c>
      <c r="FA670" s="5" t="s">
        <v>13203</v>
      </c>
      <c r="FB670" s="26" t="s">
        <v>2633</v>
      </c>
      <c r="FC670" s="26" t="s">
        <v>10773</v>
      </c>
    </row>
    <row r="671" hidden="1">
      <c r="A671" s="19" t="s">
        <v>2112</v>
      </c>
      <c r="B671" s="19" t="s">
        <v>2113</v>
      </c>
      <c r="C671" s="19" t="s">
        <v>2113</v>
      </c>
      <c r="D671" s="19" t="s">
        <v>13204</v>
      </c>
      <c r="E671" s="19" t="s">
        <v>13205</v>
      </c>
      <c r="F671" s="19" t="s">
        <v>13204</v>
      </c>
      <c r="G671" s="19" t="s">
        <v>13205</v>
      </c>
      <c r="H671" s="19" t="s">
        <v>13204</v>
      </c>
      <c r="I671" s="19" t="s">
        <v>13206</v>
      </c>
      <c r="J671" s="19" t="s">
        <v>13207</v>
      </c>
      <c r="K671" s="19" t="s">
        <v>13208</v>
      </c>
      <c r="L671" s="20">
        <v>45448.0</v>
      </c>
      <c r="M671" s="20">
        <v>45449.0</v>
      </c>
      <c r="N671" s="20">
        <v>45449.0</v>
      </c>
      <c r="O671" s="19" t="s">
        <v>13209</v>
      </c>
      <c r="P671" s="19">
        <v>0.0</v>
      </c>
      <c r="Q671" s="19">
        <v>18.0</v>
      </c>
      <c r="R671" s="19">
        <v>6699.0</v>
      </c>
      <c r="S671" s="20" t="s">
        <v>12113</v>
      </c>
      <c r="T671" s="20">
        <v>45461.0</v>
      </c>
      <c r="U671" s="19" t="s">
        <v>13204</v>
      </c>
      <c r="V671" s="19"/>
      <c r="W671" s="19" t="s">
        <v>13210</v>
      </c>
      <c r="X671" s="21">
        <v>20.0</v>
      </c>
      <c r="Y671" s="21">
        <v>10.0</v>
      </c>
      <c r="Z671" s="21">
        <v>5.0</v>
      </c>
      <c r="AA671" s="21">
        <v>0.0</v>
      </c>
      <c r="AB671" s="5">
        <v>35.0</v>
      </c>
      <c r="AC671" s="19">
        <v>3.0</v>
      </c>
      <c r="AD671" s="19">
        <v>2.5</v>
      </c>
      <c r="AE671" s="19">
        <v>3.0</v>
      </c>
      <c r="AF671" s="19">
        <v>3.0</v>
      </c>
      <c r="AG671" s="19">
        <v>2.5</v>
      </c>
      <c r="AH671" s="19">
        <v>2.5</v>
      </c>
      <c r="AI671" s="22">
        <v>8.296875</v>
      </c>
      <c r="AJ671" s="19"/>
      <c r="AK671" s="19"/>
      <c r="AL671" s="19"/>
      <c r="AM671" s="19">
        <v>0.0</v>
      </c>
      <c r="AN671" s="19">
        <v>8.3</v>
      </c>
      <c r="AO671" s="19">
        <v>43.3</v>
      </c>
      <c r="AP671" s="19">
        <v>96.0</v>
      </c>
      <c r="AQ671" s="19">
        <v>670.0</v>
      </c>
      <c r="AR671" s="19">
        <v>56.0</v>
      </c>
      <c r="AS671" s="22"/>
      <c r="AT671" s="19" t="s">
        <v>2282</v>
      </c>
      <c r="AU671" s="19" t="s">
        <v>2485</v>
      </c>
      <c r="AV671" s="19" t="s">
        <v>13211</v>
      </c>
      <c r="AW671" s="19" t="s">
        <v>13212</v>
      </c>
      <c r="AX671" s="20">
        <v>38762.0</v>
      </c>
      <c r="AY671" s="19" t="s">
        <v>2487</v>
      </c>
      <c r="AZ671" s="19" t="s">
        <v>2310</v>
      </c>
      <c r="BA671" s="19" t="s">
        <v>13213</v>
      </c>
      <c r="BB671" s="19" t="s">
        <v>3756</v>
      </c>
      <c r="BC671" s="19" t="s">
        <v>13214</v>
      </c>
      <c r="BD671" s="19" t="s">
        <v>13215</v>
      </c>
      <c r="BE671" s="19" t="s">
        <v>13216</v>
      </c>
      <c r="BF671" s="19" t="s">
        <v>2560</v>
      </c>
      <c r="BG671" s="19" t="s">
        <v>2127</v>
      </c>
      <c r="BH671" s="19" t="s">
        <v>2128</v>
      </c>
      <c r="BI671" s="19"/>
      <c r="BJ671" s="19" t="s">
        <v>2128</v>
      </c>
      <c r="BK671" s="19" t="s">
        <v>17</v>
      </c>
      <c r="BL671" s="19"/>
      <c r="BM671" s="19" t="s">
        <v>2130</v>
      </c>
      <c r="BN671" s="19" t="s">
        <v>2172</v>
      </c>
      <c r="BO671" s="19" t="s">
        <v>2132</v>
      </c>
      <c r="BP671" s="19" t="s">
        <v>13217</v>
      </c>
      <c r="BQ671" s="19" t="s">
        <v>2325</v>
      </c>
      <c r="BR671" s="19" t="s">
        <v>2325</v>
      </c>
      <c r="BS671" s="19" t="s">
        <v>4723</v>
      </c>
      <c r="BT671" s="19" t="s">
        <v>59</v>
      </c>
      <c r="BU671" s="19" t="s">
        <v>2560</v>
      </c>
      <c r="BV671" s="19" t="s">
        <v>13218</v>
      </c>
      <c r="BW671" s="19" t="s">
        <v>2113</v>
      </c>
      <c r="BX671" s="19"/>
      <c r="BY671" s="19"/>
      <c r="BZ671" s="19"/>
      <c r="CA671" s="19"/>
      <c r="CB671" s="19" t="s">
        <v>2113</v>
      </c>
      <c r="CC671" s="19"/>
      <c r="CD671" s="19" t="s">
        <v>2137</v>
      </c>
      <c r="CE671" s="19" t="s">
        <v>16</v>
      </c>
      <c r="CF671" s="19"/>
      <c r="CG671" s="19"/>
      <c r="CH671" s="19" t="s">
        <v>16</v>
      </c>
      <c r="CI671" s="21">
        <v>0.0</v>
      </c>
      <c r="CJ671" s="19" t="s">
        <v>16</v>
      </c>
      <c r="CK671" s="19"/>
      <c r="CL671" s="19"/>
      <c r="CM671" s="19" t="s">
        <v>2344</v>
      </c>
      <c r="CN671" s="19" t="s">
        <v>2431</v>
      </c>
      <c r="CO671" s="19"/>
      <c r="CP671" s="19" t="s">
        <v>2134</v>
      </c>
      <c r="CQ671" s="19"/>
      <c r="CR671" s="19" t="s">
        <v>2113</v>
      </c>
      <c r="CS671" s="19" t="s">
        <v>2113</v>
      </c>
      <c r="CT671" s="19" t="s">
        <v>2113</v>
      </c>
      <c r="CU671" s="19" t="s">
        <v>2113</v>
      </c>
      <c r="CV671" s="19" t="s">
        <v>2141</v>
      </c>
      <c r="CW671" s="19" t="s">
        <v>2113</v>
      </c>
      <c r="CX671" s="19" t="s">
        <v>2113</v>
      </c>
      <c r="CY671" s="19" t="s">
        <v>2113</v>
      </c>
      <c r="CZ671" s="19" t="s">
        <v>2113</v>
      </c>
      <c r="DA671" s="19" t="s">
        <v>16</v>
      </c>
      <c r="DB671" s="19" t="s">
        <v>16</v>
      </c>
      <c r="DC671" s="19" t="s">
        <v>2496</v>
      </c>
      <c r="DD671" s="19" t="s">
        <v>2113</v>
      </c>
      <c r="DE671" s="19" t="s">
        <v>2113</v>
      </c>
      <c r="DF671" s="19" t="s">
        <v>2248</v>
      </c>
      <c r="DG671" s="19" t="s">
        <v>3222</v>
      </c>
      <c r="DH671" s="19" t="s">
        <v>2144</v>
      </c>
      <c r="DI671" s="24">
        <v>45524.0</v>
      </c>
      <c r="DJ671" s="19" t="s">
        <v>2325</v>
      </c>
      <c r="DK671" s="19" t="s">
        <v>2271</v>
      </c>
      <c r="DL671" s="19" t="s">
        <v>2326</v>
      </c>
      <c r="DM671" s="19"/>
      <c r="DN671" s="19">
        <v>8.0</v>
      </c>
      <c r="DO671" s="19">
        <v>8.0</v>
      </c>
      <c r="DP671" s="19" t="s">
        <v>13219</v>
      </c>
      <c r="DQ671" s="19" t="s">
        <v>13220</v>
      </c>
      <c r="DR671" s="19" t="s">
        <v>13221</v>
      </c>
      <c r="DS671" s="19" t="s">
        <v>2185</v>
      </c>
      <c r="DT671" s="19" t="s">
        <v>2152</v>
      </c>
      <c r="DU671" s="19"/>
      <c r="DV671" s="19"/>
      <c r="DW671" s="19" t="s">
        <v>2188</v>
      </c>
      <c r="DX671" s="19">
        <v>5.0</v>
      </c>
      <c r="DY671" s="19">
        <v>10.0</v>
      </c>
      <c r="DZ671" s="19">
        <v>0.0</v>
      </c>
      <c r="EA671" s="19">
        <v>10.0</v>
      </c>
      <c r="EB671" s="19">
        <v>0.0</v>
      </c>
      <c r="EC671" s="19">
        <v>20.0</v>
      </c>
      <c r="ED671" s="19" t="s">
        <v>2325</v>
      </c>
      <c r="EE671" s="24">
        <v>45524.0</v>
      </c>
      <c r="EF671" s="19" t="s">
        <v>2325</v>
      </c>
      <c r="EG671" s="19" t="s">
        <v>2271</v>
      </c>
      <c r="EH671" s="19" t="s">
        <v>2326</v>
      </c>
      <c r="EI671" s="22">
        <v>8.296875</v>
      </c>
      <c r="EJ671" s="19">
        <v>0.0</v>
      </c>
      <c r="EK671" s="19"/>
      <c r="EL671" s="19" t="s">
        <v>2282</v>
      </c>
      <c r="EM671" s="19" t="s">
        <v>2485</v>
      </c>
      <c r="EN671" s="19" t="s">
        <v>13206</v>
      </c>
      <c r="EO671" s="19" t="s">
        <v>2487</v>
      </c>
      <c r="EP671" s="19" t="s">
        <v>2310</v>
      </c>
      <c r="EQ671" s="19" t="s">
        <v>2431</v>
      </c>
      <c r="ER671" s="19"/>
      <c r="ES671" s="19" t="s">
        <v>13206</v>
      </c>
      <c r="ET671" s="19" t="s">
        <v>13206</v>
      </c>
      <c r="EU671" s="19" t="s">
        <v>13208</v>
      </c>
      <c r="EV671" s="19">
        <v>6699.0</v>
      </c>
      <c r="EW671" s="19" t="s">
        <v>16</v>
      </c>
      <c r="EX671" s="19">
        <v>5.0</v>
      </c>
      <c r="EY671" s="25" t="s">
        <v>13209</v>
      </c>
      <c r="EZ671" s="19" t="s">
        <v>2154</v>
      </c>
      <c r="FA671" s="5" t="s">
        <v>13222</v>
      </c>
      <c r="FB671" s="26" t="s">
        <v>2633</v>
      </c>
      <c r="FC671" s="26" t="s">
        <v>11913</v>
      </c>
    </row>
    <row r="672" hidden="1">
      <c r="A672" s="19" t="s">
        <v>2112</v>
      </c>
      <c r="B672" s="19" t="s">
        <v>2113</v>
      </c>
      <c r="C672" s="19" t="s">
        <v>2113</v>
      </c>
      <c r="D672" s="19" t="s">
        <v>13223</v>
      </c>
      <c r="E672" s="19" t="s">
        <v>13224</v>
      </c>
      <c r="F672" s="19" t="s">
        <v>13223</v>
      </c>
      <c r="G672" s="19"/>
      <c r="H672" s="19" t="s">
        <v>13223</v>
      </c>
      <c r="I672" s="19" t="s">
        <v>13225</v>
      </c>
      <c r="J672" s="19" t="s">
        <v>13226</v>
      </c>
      <c r="K672" s="19" t="s">
        <v>13227</v>
      </c>
      <c r="L672" s="20">
        <v>45449.0</v>
      </c>
      <c r="M672" s="20">
        <v>45450.0</v>
      </c>
      <c r="N672" s="20">
        <v>45450.0</v>
      </c>
      <c r="O672" s="19" t="s">
        <v>13228</v>
      </c>
      <c r="P672" s="19">
        <v>0.0</v>
      </c>
      <c r="Q672" s="19">
        <v>21.0</v>
      </c>
      <c r="R672" s="19">
        <v>7930.0</v>
      </c>
      <c r="S672" s="20" t="s">
        <v>13229</v>
      </c>
      <c r="T672" s="20">
        <v>45461.0</v>
      </c>
      <c r="U672" s="19" t="s">
        <v>13223</v>
      </c>
      <c r="V672" s="19"/>
      <c r="W672" s="19"/>
      <c r="X672" s="21">
        <v>20.0</v>
      </c>
      <c r="Y672" s="21">
        <v>10.0</v>
      </c>
      <c r="Z672" s="21">
        <v>3.0</v>
      </c>
      <c r="AA672" s="21">
        <v>0.0</v>
      </c>
      <c r="AB672" s="5">
        <v>33.0</v>
      </c>
      <c r="AC672" s="19">
        <v>3.6</v>
      </c>
      <c r="AD672" s="19">
        <v>2.8</v>
      </c>
      <c r="AE672" s="19">
        <v>3.5</v>
      </c>
      <c r="AF672" s="19">
        <v>3.5</v>
      </c>
      <c r="AG672" s="19">
        <v>3.5</v>
      </c>
      <c r="AH672" s="19">
        <v>3.6</v>
      </c>
      <c r="AI672" s="22">
        <v>10.125</v>
      </c>
      <c r="AJ672" s="19"/>
      <c r="AK672" s="19"/>
      <c r="AL672" s="19"/>
      <c r="AM672" s="19">
        <v>0.0</v>
      </c>
      <c r="AN672" s="19">
        <v>10.1</v>
      </c>
      <c r="AO672" s="19">
        <v>43.1</v>
      </c>
      <c r="AP672" s="19">
        <v>153.0</v>
      </c>
      <c r="AQ672" s="19">
        <v>671.0</v>
      </c>
      <c r="AR672" s="19">
        <v>57.0</v>
      </c>
      <c r="AS672" s="22"/>
      <c r="AT672" s="19" t="s">
        <v>2117</v>
      </c>
      <c r="AU672" s="19" t="s">
        <v>4895</v>
      </c>
      <c r="AV672" s="19" t="s">
        <v>4896</v>
      </c>
      <c r="AW672" s="19" t="s">
        <v>3269</v>
      </c>
      <c r="AX672" s="20">
        <v>37531.0</v>
      </c>
      <c r="AY672" s="19" t="s">
        <v>4897</v>
      </c>
      <c r="AZ672" s="19" t="s">
        <v>2122</v>
      </c>
      <c r="BA672" s="19" t="s">
        <v>4898</v>
      </c>
      <c r="BB672" s="19" t="s">
        <v>13230</v>
      </c>
      <c r="BC672" s="19" t="s">
        <v>13231</v>
      </c>
      <c r="BD672" s="19" t="s">
        <v>13232</v>
      </c>
      <c r="BE672" s="19" t="s">
        <v>13233</v>
      </c>
      <c r="BF672" s="19">
        <v>1.1994382563E10</v>
      </c>
      <c r="BG672" s="19" t="s">
        <v>2127</v>
      </c>
      <c r="BH672" s="19" t="s">
        <v>2128</v>
      </c>
      <c r="BI672" s="19"/>
      <c r="BJ672" s="19"/>
      <c r="BK672" s="19" t="s">
        <v>16</v>
      </c>
      <c r="BL672" s="19"/>
      <c r="BM672" s="19" t="s">
        <v>2130</v>
      </c>
      <c r="BN672" s="19" t="s">
        <v>3888</v>
      </c>
      <c r="BO672" s="19" t="s">
        <v>2473</v>
      </c>
      <c r="BP672" s="19" t="s">
        <v>13234</v>
      </c>
      <c r="BQ672" s="19" t="s">
        <v>2325</v>
      </c>
      <c r="BR672" s="19" t="s">
        <v>2325</v>
      </c>
      <c r="BS672" s="19" t="s">
        <v>2134</v>
      </c>
      <c r="BT672" s="19" t="s">
        <v>59</v>
      </c>
      <c r="BU672" s="19" t="s">
        <v>13235</v>
      </c>
      <c r="BV672" s="19" t="s">
        <v>13236</v>
      </c>
      <c r="BW672" s="19" t="s">
        <v>2113</v>
      </c>
      <c r="BX672" s="19"/>
      <c r="BY672" s="19"/>
      <c r="BZ672" s="19"/>
      <c r="CA672" s="19"/>
      <c r="CB672" s="19"/>
      <c r="CC672" s="19"/>
      <c r="CD672" s="19" t="s">
        <v>2137</v>
      </c>
      <c r="CE672" s="19" t="s">
        <v>16</v>
      </c>
      <c r="CF672" s="19"/>
      <c r="CG672" s="19"/>
      <c r="CH672" s="19" t="s">
        <v>16</v>
      </c>
      <c r="CI672" s="21">
        <v>0.0</v>
      </c>
      <c r="CJ672" s="19" t="s">
        <v>17</v>
      </c>
      <c r="CK672" s="19"/>
      <c r="CL672" s="19"/>
      <c r="CM672" s="19" t="s">
        <v>2138</v>
      </c>
      <c r="CN672" s="19" t="s">
        <v>3064</v>
      </c>
      <c r="CO672" s="19"/>
      <c r="CP672" s="19" t="s">
        <v>2134</v>
      </c>
      <c r="CQ672" s="19"/>
      <c r="CR672" s="19"/>
      <c r="CS672" s="19"/>
      <c r="CT672" s="19"/>
      <c r="CU672" s="19"/>
      <c r="CV672" s="19" t="s">
        <v>2141</v>
      </c>
      <c r="CW672" s="19" t="s">
        <v>2113</v>
      </c>
      <c r="CX672" s="19" t="s">
        <v>2113</v>
      </c>
      <c r="CY672" s="19"/>
      <c r="CZ672" s="19"/>
      <c r="DA672" s="19" t="s">
        <v>16</v>
      </c>
      <c r="DB672" s="19" t="s">
        <v>17</v>
      </c>
      <c r="DC672" s="19" t="s">
        <v>4904</v>
      </c>
      <c r="DD672" s="19"/>
      <c r="DE672" s="19"/>
      <c r="DF672" s="19" t="s">
        <v>2562</v>
      </c>
      <c r="DG672" s="19" t="s">
        <v>7621</v>
      </c>
      <c r="DH672" s="19" t="s">
        <v>2144</v>
      </c>
      <c r="DI672" s="24">
        <v>45525.0</v>
      </c>
      <c r="DJ672" s="19" t="s">
        <v>2325</v>
      </c>
      <c r="DK672" s="19" t="s">
        <v>2271</v>
      </c>
      <c r="DL672" s="19" t="s">
        <v>2326</v>
      </c>
      <c r="DM672" s="19"/>
      <c r="DN672" s="19">
        <v>10.0</v>
      </c>
      <c r="DO672" s="19">
        <v>10.0</v>
      </c>
      <c r="DP672" s="19" t="s">
        <v>13237</v>
      </c>
      <c r="DQ672" s="19" t="s">
        <v>13238</v>
      </c>
      <c r="DR672" s="19" t="s">
        <v>13239</v>
      </c>
      <c r="DS672" s="19" t="s">
        <v>2151</v>
      </c>
      <c r="DT672" s="19" t="s">
        <v>2229</v>
      </c>
      <c r="DU672" s="19"/>
      <c r="DV672" s="19"/>
      <c r="DW672" s="19" t="s">
        <v>2479</v>
      </c>
      <c r="DX672" s="19">
        <v>16.0</v>
      </c>
      <c r="DY672" s="19">
        <v>10.0</v>
      </c>
      <c r="DZ672" s="19">
        <v>0.0</v>
      </c>
      <c r="EA672" s="19">
        <v>10.0</v>
      </c>
      <c r="EB672" s="19">
        <v>0.0</v>
      </c>
      <c r="EC672" s="19">
        <v>20.0</v>
      </c>
      <c r="ED672" s="19" t="s">
        <v>2325</v>
      </c>
      <c r="EE672" s="24">
        <v>45525.0</v>
      </c>
      <c r="EF672" s="19" t="s">
        <v>2325</v>
      </c>
      <c r="EG672" s="19" t="s">
        <v>2271</v>
      </c>
      <c r="EH672" s="19" t="s">
        <v>2326</v>
      </c>
      <c r="EI672" s="22">
        <v>10.125</v>
      </c>
      <c r="EJ672" s="19">
        <v>0.0</v>
      </c>
      <c r="EK672" s="19" t="s">
        <v>2113</v>
      </c>
      <c r="EL672" s="19" t="s">
        <v>2117</v>
      </c>
      <c r="EM672" s="19" t="s">
        <v>4895</v>
      </c>
      <c r="EN672" s="19" t="s">
        <v>13225</v>
      </c>
      <c r="EO672" s="19" t="s">
        <v>4897</v>
      </c>
      <c r="EP672" s="19" t="s">
        <v>2122</v>
      </c>
      <c r="EQ672" s="19" t="s">
        <v>3064</v>
      </c>
      <c r="ER672" s="19"/>
      <c r="ES672" s="19" t="s">
        <v>13225</v>
      </c>
      <c r="ET672" s="19" t="s">
        <v>13225</v>
      </c>
      <c r="EU672" s="19" t="s">
        <v>13227</v>
      </c>
      <c r="EV672" s="19">
        <v>7930.0</v>
      </c>
      <c r="EW672" s="19" t="s">
        <v>16</v>
      </c>
      <c r="EX672" s="19">
        <v>3.0</v>
      </c>
      <c r="EY672" s="25" t="s">
        <v>13228</v>
      </c>
      <c r="EZ672" s="19" t="s">
        <v>2154</v>
      </c>
      <c r="FA672" s="5" t="s">
        <v>13240</v>
      </c>
      <c r="FB672" s="26" t="s">
        <v>2633</v>
      </c>
      <c r="FC672" s="26" t="s">
        <v>10773</v>
      </c>
    </row>
    <row r="673" hidden="1">
      <c r="A673" s="19" t="s">
        <v>2112</v>
      </c>
      <c r="B673" s="19" t="s">
        <v>2113</v>
      </c>
      <c r="C673" s="19" t="s">
        <v>2113</v>
      </c>
      <c r="D673" s="19" t="s">
        <v>13241</v>
      </c>
      <c r="E673" s="19" t="s">
        <v>13242</v>
      </c>
      <c r="F673" s="19" t="s">
        <v>13243</v>
      </c>
      <c r="G673" s="19" t="s">
        <v>13244</v>
      </c>
      <c r="H673" s="19" t="s">
        <v>13243</v>
      </c>
      <c r="I673" s="19" t="s">
        <v>13245</v>
      </c>
      <c r="J673" s="19" t="s">
        <v>13246</v>
      </c>
      <c r="K673" s="19" t="s">
        <v>13247</v>
      </c>
      <c r="L673" s="20">
        <v>45460.0</v>
      </c>
      <c r="M673" s="20">
        <v>45462.0</v>
      </c>
      <c r="N673" s="20">
        <v>45462.0</v>
      </c>
      <c r="O673" s="19" t="s">
        <v>13248</v>
      </c>
      <c r="P673" s="19">
        <v>0.0</v>
      </c>
      <c r="Q673" s="19">
        <v>24.0</v>
      </c>
      <c r="R673" s="19">
        <v>9109.0</v>
      </c>
      <c r="S673" s="20" t="s">
        <v>13249</v>
      </c>
      <c r="T673" s="20">
        <v>45461.0</v>
      </c>
      <c r="U673" s="19" t="s">
        <v>13243</v>
      </c>
      <c r="V673" s="19"/>
      <c r="W673" s="19"/>
      <c r="X673" s="21">
        <v>20.0</v>
      </c>
      <c r="Y673" s="21">
        <v>10.0</v>
      </c>
      <c r="Z673" s="21">
        <v>1.0</v>
      </c>
      <c r="AA673" s="21">
        <v>0.0</v>
      </c>
      <c r="AB673" s="5">
        <v>31.0</v>
      </c>
      <c r="AC673" s="19">
        <v>3.5</v>
      </c>
      <c r="AD673" s="19">
        <v>4.0</v>
      </c>
      <c r="AE673" s="19">
        <v>4.0</v>
      </c>
      <c r="AF673" s="19">
        <v>3.5</v>
      </c>
      <c r="AG673" s="19">
        <v>4.0</v>
      </c>
      <c r="AH673" s="19">
        <v>4.5</v>
      </c>
      <c r="AI673" s="22">
        <v>11.765625</v>
      </c>
      <c r="AJ673" s="19"/>
      <c r="AK673" s="19"/>
      <c r="AL673" s="19"/>
      <c r="AM673" s="19">
        <v>0.0</v>
      </c>
      <c r="AN673" s="19">
        <v>11.8</v>
      </c>
      <c r="AO673" s="19">
        <v>42.8</v>
      </c>
      <c r="AP673" s="19">
        <v>205.0</v>
      </c>
      <c r="AQ673" s="19">
        <v>672.0</v>
      </c>
      <c r="AR673" s="19">
        <v>46.0</v>
      </c>
      <c r="AS673" s="22"/>
      <c r="AT673" s="19" t="s">
        <v>2117</v>
      </c>
      <c r="AU673" s="19" t="s">
        <v>13250</v>
      </c>
      <c r="AV673" s="19" t="s">
        <v>13251</v>
      </c>
      <c r="AW673" s="19" t="s">
        <v>13252</v>
      </c>
      <c r="AX673" s="20">
        <v>36352.0</v>
      </c>
      <c r="AY673" s="19" t="s">
        <v>7458</v>
      </c>
      <c r="AZ673" s="19" t="s">
        <v>2445</v>
      </c>
      <c r="BA673" s="19" t="s">
        <v>13253</v>
      </c>
      <c r="BB673" s="19" t="s">
        <v>13254</v>
      </c>
      <c r="BC673" s="19" t="s">
        <v>13255</v>
      </c>
      <c r="BD673" s="19" t="s">
        <v>13256</v>
      </c>
      <c r="BE673" s="19" t="s">
        <v>13246</v>
      </c>
      <c r="BF673" s="19" t="s">
        <v>13257</v>
      </c>
      <c r="BG673" s="19" t="s">
        <v>2127</v>
      </c>
      <c r="BH673" s="19" t="s">
        <v>2128</v>
      </c>
      <c r="BI673" s="19"/>
      <c r="BJ673" s="19"/>
      <c r="BK673" s="19" t="s">
        <v>16</v>
      </c>
      <c r="BL673" s="19"/>
      <c r="BM673" s="19" t="s">
        <v>2130</v>
      </c>
      <c r="BN673" s="19" t="s">
        <v>2172</v>
      </c>
      <c r="BO673" s="19" t="s">
        <v>3082</v>
      </c>
      <c r="BP673" s="19" t="s">
        <v>13258</v>
      </c>
      <c r="BQ673" s="19" t="s">
        <v>3832</v>
      </c>
      <c r="BR673" s="19" t="s">
        <v>3832</v>
      </c>
      <c r="BS673" s="19" t="s">
        <v>2134</v>
      </c>
      <c r="BT673" s="19" t="s">
        <v>268</v>
      </c>
      <c r="BU673" s="19"/>
      <c r="BV673" s="19" t="s">
        <v>13259</v>
      </c>
      <c r="BW673" s="19" t="s">
        <v>2113</v>
      </c>
      <c r="BX673" s="19"/>
      <c r="BY673" s="19"/>
      <c r="BZ673" s="19"/>
      <c r="CA673" s="19"/>
      <c r="CB673" s="19" t="s">
        <v>2113</v>
      </c>
      <c r="CC673" s="19"/>
      <c r="CD673" s="19" t="s">
        <v>2137</v>
      </c>
      <c r="CE673" s="19" t="s">
        <v>16</v>
      </c>
      <c r="CF673" s="19"/>
      <c r="CG673" s="19"/>
      <c r="CH673" s="19" t="s">
        <v>16</v>
      </c>
      <c r="CI673" s="21">
        <v>0.0</v>
      </c>
      <c r="CJ673" s="19" t="s">
        <v>17</v>
      </c>
      <c r="CK673" s="19"/>
      <c r="CL673" s="19"/>
      <c r="CM673" s="19" t="s">
        <v>2138</v>
      </c>
      <c r="CN673" s="19" t="s">
        <v>9316</v>
      </c>
      <c r="CO673" s="19"/>
      <c r="CP673" s="19"/>
      <c r="CQ673" s="19"/>
      <c r="CR673" s="19"/>
      <c r="CS673" s="19"/>
      <c r="CT673" s="19"/>
      <c r="CU673" s="19"/>
      <c r="CV673" s="19" t="s">
        <v>2141</v>
      </c>
      <c r="CW673" s="19" t="s">
        <v>2113</v>
      </c>
      <c r="CX673" s="19" t="s">
        <v>2113</v>
      </c>
      <c r="CY673" s="19"/>
      <c r="CZ673" s="19"/>
      <c r="DA673" s="19" t="s">
        <v>16</v>
      </c>
      <c r="DB673" s="19" t="s">
        <v>17</v>
      </c>
      <c r="DC673" s="19" t="s">
        <v>3836</v>
      </c>
      <c r="DD673" s="19" t="s">
        <v>2113</v>
      </c>
      <c r="DE673" s="19" t="s">
        <v>2113</v>
      </c>
      <c r="DF673" s="19" t="s">
        <v>4084</v>
      </c>
      <c r="DG673" s="19" t="s">
        <v>5145</v>
      </c>
      <c r="DH673" s="19" t="s">
        <v>2144</v>
      </c>
      <c r="DI673" s="24">
        <v>45518.0</v>
      </c>
      <c r="DJ673" s="19" t="s">
        <v>3257</v>
      </c>
      <c r="DK673" s="19" t="s">
        <v>2271</v>
      </c>
      <c r="DL673" s="19" t="s">
        <v>2207</v>
      </c>
      <c r="DM673" s="22" t="s">
        <v>3743</v>
      </c>
      <c r="DN673" s="19">
        <v>1.0</v>
      </c>
      <c r="DO673" s="19">
        <v>1.0</v>
      </c>
      <c r="DP673" s="19" t="s">
        <v>13260</v>
      </c>
      <c r="DQ673" s="19" t="s">
        <v>13261</v>
      </c>
      <c r="DR673" s="19" t="s">
        <v>13262</v>
      </c>
      <c r="DS673" s="19" t="s">
        <v>2185</v>
      </c>
      <c r="DT673" s="19" t="s">
        <v>2350</v>
      </c>
      <c r="DU673" s="19"/>
      <c r="DV673" s="19"/>
      <c r="DW673" s="19" t="s">
        <v>2153</v>
      </c>
      <c r="DX673" s="19">
        <v>1.0</v>
      </c>
      <c r="DY673" s="19">
        <v>10.0</v>
      </c>
      <c r="DZ673" s="19">
        <v>0.0</v>
      </c>
      <c r="EA673" s="19">
        <v>10.0</v>
      </c>
      <c r="EB673" s="19">
        <v>0.0</v>
      </c>
      <c r="EC673" s="19">
        <v>20.0</v>
      </c>
      <c r="ED673" s="19" t="s">
        <v>3257</v>
      </c>
      <c r="EE673" s="24">
        <v>45518.0</v>
      </c>
      <c r="EF673" s="19" t="s">
        <v>3257</v>
      </c>
      <c r="EG673" s="19" t="s">
        <v>2271</v>
      </c>
      <c r="EH673" s="19" t="s">
        <v>2207</v>
      </c>
      <c r="EI673" s="22">
        <v>11.765625</v>
      </c>
      <c r="EJ673" s="19">
        <v>0.0</v>
      </c>
      <c r="EK673" s="19" t="s">
        <v>2113</v>
      </c>
      <c r="EL673" s="19" t="s">
        <v>2117</v>
      </c>
      <c r="EM673" s="19" t="s">
        <v>13250</v>
      </c>
      <c r="EN673" s="19" t="s">
        <v>13245</v>
      </c>
      <c r="EO673" s="19" t="s">
        <v>7458</v>
      </c>
      <c r="EP673" s="19" t="s">
        <v>2445</v>
      </c>
      <c r="EQ673" s="19" t="s">
        <v>9316</v>
      </c>
      <c r="ER673" s="19"/>
      <c r="ES673" s="19" t="s">
        <v>13245</v>
      </c>
      <c r="ET673" s="19" t="s">
        <v>13245</v>
      </c>
      <c r="EU673" s="19" t="s">
        <v>13247</v>
      </c>
      <c r="EV673" s="19">
        <v>9109.0</v>
      </c>
      <c r="EW673" s="19" t="s">
        <v>16</v>
      </c>
      <c r="EX673" s="19">
        <v>1.0</v>
      </c>
      <c r="EY673" s="25" t="s">
        <v>13248</v>
      </c>
      <c r="EZ673" s="19" t="s">
        <v>2154</v>
      </c>
      <c r="FA673" s="5" t="s">
        <v>13263</v>
      </c>
      <c r="FB673" s="26" t="s">
        <v>2633</v>
      </c>
      <c r="FC673" s="26" t="s">
        <v>10773</v>
      </c>
    </row>
    <row r="674" hidden="1">
      <c r="A674" s="19" t="s">
        <v>2112</v>
      </c>
      <c r="B674" s="19"/>
      <c r="C674" s="19" t="s">
        <v>2113</v>
      </c>
      <c r="D674" s="19" t="s">
        <v>13264</v>
      </c>
      <c r="E674" s="19" t="s">
        <v>13265</v>
      </c>
      <c r="F674" s="19" t="s">
        <v>13264</v>
      </c>
      <c r="G674" s="19" t="s">
        <v>13265</v>
      </c>
      <c r="H674" s="19" t="s">
        <v>13266</v>
      </c>
      <c r="I674" s="19" t="s">
        <v>13267</v>
      </c>
      <c r="J674" s="19" t="s">
        <v>13268</v>
      </c>
      <c r="K674" s="19" t="s">
        <v>13269</v>
      </c>
      <c r="L674" s="20">
        <v>45433.0</v>
      </c>
      <c r="M674" s="20">
        <v>45434.0</v>
      </c>
      <c r="N674" s="20">
        <v>45434.0</v>
      </c>
      <c r="O674" s="19" t="s">
        <v>13270</v>
      </c>
      <c r="P674" s="19">
        <v>0.0</v>
      </c>
      <c r="Q674" s="19">
        <v>23.0</v>
      </c>
      <c r="R674" s="19">
        <v>8712.0</v>
      </c>
      <c r="S674" s="20" t="s">
        <v>13271</v>
      </c>
      <c r="T674" s="20">
        <v>45461.0</v>
      </c>
      <c r="U674" s="19" t="s">
        <v>13264</v>
      </c>
      <c r="V674" s="19"/>
      <c r="W674" s="19"/>
      <c r="X674" s="21">
        <v>0.0</v>
      </c>
      <c r="Y674" s="21">
        <v>10.0</v>
      </c>
      <c r="Z674" s="21">
        <v>5.0</v>
      </c>
      <c r="AA674" s="21">
        <v>0.0</v>
      </c>
      <c r="AB674" s="5">
        <v>15.0</v>
      </c>
      <c r="AC674" s="19">
        <v>4.2</v>
      </c>
      <c r="AD674" s="19">
        <v>3.6</v>
      </c>
      <c r="AE674" s="19">
        <v>3.8</v>
      </c>
      <c r="AF674" s="19">
        <v>4.6</v>
      </c>
      <c r="AG674" s="19">
        <v>4.0</v>
      </c>
      <c r="AH674" s="19">
        <v>4.8</v>
      </c>
      <c r="AI674" s="22">
        <v>12.206249999999999</v>
      </c>
      <c r="AJ674" s="19">
        <v>10.0</v>
      </c>
      <c r="AK674" s="19">
        <v>5.0</v>
      </c>
      <c r="AL674" s="19">
        <v>0.0</v>
      </c>
      <c r="AM674" s="19">
        <v>15.0</v>
      </c>
      <c r="AN674" s="19">
        <v>27.2</v>
      </c>
      <c r="AO674" s="19">
        <v>42.2</v>
      </c>
      <c r="AP674" s="19">
        <v>442.0</v>
      </c>
      <c r="AQ674" s="19">
        <v>673.0</v>
      </c>
      <c r="AR674" s="19">
        <v>51.0</v>
      </c>
      <c r="AS674" s="22"/>
      <c r="AT674" s="19" t="s">
        <v>2117</v>
      </c>
      <c r="AU674" s="19" t="s">
        <v>13272</v>
      </c>
      <c r="AV674" s="19" t="s">
        <v>13273</v>
      </c>
      <c r="AW674" s="19"/>
      <c r="AX674" s="20">
        <v>36749.0</v>
      </c>
      <c r="AY674" s="19" t="s">
        <v>2529</v>
      </c>
      <c r="AZ674" s="19" t="s">
        <v>2122</v>
      </c>
      <c r="BA674" s="19" t="s">
        <v>13274</v>
      </c>
      <c r="BB674" s="19" t="s">
        <v>2531</v>
      </c>
      <c r="BC674" s="19" t="s">
        <v>13275</v>
      </c>
      <c r="BD674" s="19" t="s">
        <v>13276</v>
      </c>
      <c r="BE674" s="19"/>
      <c r="BF674" s="19"/>
      <c r="BG674" s="19" t="s">
        <v>2127</v>
      </c>
      <c r="BH674" s="19" t="s">
        <v>2128</v>
      </c>
      <c r="BI674" s="19"/>
      <c r="BJ674" s="19"/>
      <c r="BK674" s="19" t="s">
        <v>16</v>
      </c>
      <c r="BL674" s="19"/>
      <c r="BM674" s="19" t="s">
        <v>5411</v>
      </c>
      <c r="BN674" s="19" t="s">
        <v>17</v>
      </c>
      <c r="BO674" s="19" t="s">
        <v>2132</v>
      </c>
      <c r="BP674" s="19"/>
      <c r="BQ674" s="19" t="s">
        <v>2174</v>
      </c>
      <c r="BR674" s="19" t="s">
        <v>2174</v>
      </c>
      <c r="BS674" s="19" t="s">
        <v>2134</v>
      </c>
      <c r="BT674" s="19" t="s">
        <v>75</v>
      </c>
      <c r="BU674" s="19" t="s">
        <v>13277</v>
      </c>
      <c r="BV674" s="19"/>
      <c r="BW674" s="19"/>
      <c r="BX674" s="19"/>
      <c r="BY674" s="19" t="s">
        <v>2113</v>
      </c>
      <c r="BZ674" s="19"/>
      <c r="CA674" s="19" t="s">
        <v>2113</v>
      </c>
      <c r="CB674" s="19"/>
      <c r="CC674" s="19"/>
      <c r="CD674" s="19" t="s">
        <v>2137</v>
      </c>
      <c r="CE674" s="19" t="s">
        <v>16</v>
      </c>
      <c r="CF674" s="19"/>
      <c r="CG674" s="19"/>
      <c r="CH674" s="19" t="s">
        <v>16</v>
      </c>
      <c r="CI674" s="21">
        <v>0.0</v>
      </c>
      <c r="CJ674" s="19" t="s">
        <v>17</v>
      </c>
      <c r="CK674" s="19" t="s">
        <v>2113</v>
      </c>
      <c r="CL674" s="19"/>
      <c r="CM674" s="19" t="s">
        <v>2344</v>
      </c>
      <c r="CN674" s="19" t="s">
        <v>2537</v>
      </c>
      <c r="CO674" s="19" t="s">
        <v>2177</v>
      </c>
      <c r="CP674" s="19"/>
      <c r="CQ674" s="19"/>
      <c r="CR674" s="19"/>
      <c r="CS674" s="19"/>
      <c r="CT674" s="19" t="s">
        <v>2113</v>
      </c>
      <c r="CU674" s="19" t="s">
        <v>2113</v>
      </c>
      <c r="CV674" s="19" t="s">
        <v>2141</v>
      </c>
      <c r="CW674" s="19"/>
      <c r="CX674" s="19"/>
      <c r="CY674" s="19"/>
      <c r="CZ674" s="19"/>
      <c r="DA674" s="19" t="s">
        <v>16</v>
      </c>
      <c r="DB674" s="19" t="s">
        <v>17</v>
      </c>
      <c r="DC674" s="19" t="s">
        <v>2538</v>
      </c>
      <c r="DD674" s="19" t="s">
        <v>2113</v>
      </c>
      <c r="DE674" s="19" t="s">
        <v>2113</v>
      </c>
      <c r="DF674" s="19" t="s">
        <v>4042</v>
      </c>
      <c r="DG674" s="19" t="s">
        <v>3684</v>
      </c>
      <c r="DH674" s="19" t="s">
        <v>2144</v>
      </c>
      <c r="DI674" s="24">
        <v>45517.0</v>
      </c>
      <c r="DJ674" s="19" t="s">
        <v>2174</v>
      </c>
      <c r="DK674" s="19" t="s">
        <v>2145</v>
      </c>
      <c r="DL674" s="19" t="s">
        <v>2183</v>
      </c>
      <c r="DM674" s="19" t="s">
        <v>2184</v>
      </c>
      <c r="DN674" s="19">
        <v>1.0</v>
      </c>
      <c r="DO674" s="19">
        <v>1.0</v>
      </c>
      <c r="DP674" s="19" t="s">
        <v>13278</v>
      </c>
      <c r="DQ674" s="19" t="s">
        <v>13279</v>
      </c>
      <c r="DR674" s="19" t="s">
        <v>13280</v>
      </c>
      <c r="DS674" s="19" t="s">
        <v>2185</v>
      </c>
      <c r="DT674" s="19" t="s">
        <v>2366</v>
      </c>
      <c r="DU674" s="19"/>
      <c r="DV674" s="19"/>
      <c r="DW674" s="19" t="s">
        <v>2153</v>
      </c>
      <c r="DX674" s="19">
        <v>2.0</v>
      </c>
      <c r="DY674" s="19">
        <v>10.0</v>
      </c>
      <c r="DZ674" s="19">
        <v>0.0</v>
      </c>
      <c r="EA674" s="19">
        <v>10.0</v>
      </c>
      <c r="EB674" s="19">
        <v>0.0</v>
      </c>
      <c r="EC674" s="19">
        <v>0.0</v>
      </c>
      <c r="ED674" s="19" t="s">
        <v>2174</v>
      </c>
      <c r="EE674" s="24">
        <v>45517.0</v>
      </c>
      <c r="EF674" s="19" t="s">
        <v>2174</v>
      </c>
      <c r="EG674" s="19" t="s">
        <v>2145</v>
      </c>
      <c r="EH674" s="19" t="s">
        <v>2183</v>
      </c>
      <c r="EI674" s="22">
        <v>12.206249999999999</v>
      </c>
      <c r="EJ674" s="19">
        <v>15.0</v>
      </c>
      <c r="EK674" s="19" t="s">
        <v>2113</v>
      </c>
      <c r="EL674" s="19" t="s">
        <v>2117</v>
      </c>
      <c r="EM674" s="19" t="s">
        <v>13272</v>
      </c>
      <c r="EN674" s="19" t="s">
        <v>13267</v>
      </c>
      <c r="EO674" s="19" t="s">
        <v>2529</v>
      </c>
      <c r="EP674" s="19" t="s">
        <v>2122</v>
      </c>
      <c r="EQ674" s="19" t="s">
        <v>2537</v>
      </c>
      <c r="ER674" s="19" t="s">
        <v>2177</v>
      </c>
      <c r="ES674" s="19" t="s">
        <v>13267</v>
      </c>
      <c r="ET674" s="19" t="s">
        <v>13267</v>
      </c>
      <c r="EU674" s="19" t="s">
        <v>13269</v>
      </c>
      <c r="EV674" s="19">
        <v>8712.0</v>
      </c>
      <c r="EW674" s="19" t="s">
        <v>16</v>
      </c>
      <c r="EX674" s="19">
        <v>5.0</v>
      </c>
      <c r="EY674" s="25" t="s">
        <v>13270</v>
      </c>
      <c r="EZ674" s="19" t="s">
        <v>2154</v>
      </c>
      <c r="FA674" s="5" t="s">
        <v>13281</v>
      </c>
      <c r="FB674" s="26" t="s">
        <v>2633</v>
      </c>
      <c r="FC674" s="26" t="s">
        <v>10773</v>
      </c>
    </row>
    <row r="675">
      <c r="A675" s="19" t="s">
        <v>2156</v>
      </c>
      <c r="B675" s="19"/>
      <c r="C675" s="19" t="s">
        <v>2113</v>
      </c>
      <c r="D675" s="19" t="s">
        <v>1941</v>
      </c>
      <c r="E675" s="19" t="s">
        <v>13282</v>
      </c>
      <c r="F675" s="19" t="s">
        <v>1941</v>
      </c>
      <c r="G675" s="19"/>
      <c r="H675" s="19" t="s">
        <v>1941</v>
      </c>
      <c r="I675" s="19" t="s">
        <v>1943</v>
      </c>
      <c r="J675" s="19" t="s">
        <v>13283</v>
      </c>
      <c r="K675" s="19" t="s">
        <v>13284</v>
      </c>
      <c r="L675" s="20">
        <v>45440.0</v>
      </c>
      <c r="M675" s="20">
        <v>45441.0</v>
      </c>
      <c r="N675" s="20">
        <v>45441.0</v>
      </c>
      <c r="O675" s="19" t="s">
        <v>1942</v>
      </c>
      <c r="P675" s="19">
        <v>0.0</v>
      </c>
      <c r="Q675" s="19">
        <v>23.0</v>
      </c>
      <c r="R675" s="19">
        <v>8478.0</v>
      </c>
      <c r="S675" s="20" t="s">
        <v>13285</v>
      </c>
      <c r="T675" s="20">
        <v>45461.0</v>
      </c>
      <c r="U675" s="19" t="s">
        <v>1941</v>
      </c>
      <c r="V675" s="19"/>
      <c r="W675" s="19" t="s">
        <v>13286</v>
      </c>
      <c r="X675" s="21">
        <v>0.0</v>
      </c>
      <c r="Y675" s="21">
        <v>0.0</v>
      </c>
      <c r="Z675" s="21">
        <v>3.0</v>
      </c>
      <c r="AA675" s="21">
        <v>0.0</v>
      </c>
      <c r="AB675" s="5">
        <v>3.0</v>
      </c>
      <c r="AC675" s="19">
        <v>4.0</v>
      </c>
      <c r="AD675" s="19">
        <v>5.0</v>
      </c>
      <c r="AE675" s="19">
        <v>5.0</v>
      </c>
      <c r="AF675" s="19">
        <v>5.0</v>
      </c>
      <c r="AG675" s="19">
        <v>5.0</v>
      </c>
      <c r="AH675" s="19">
        <v>4.0</v>
      </c>
      <c r="AI675" s="22">
        <v>14.15625</v>
      </c>
      <c r="AJ675" s="19">
        <v>5.0</v>
      </c>
      <c r="AK675" s="19">
        <v>10.0</v>
      </c>
      <c r="AL675" s="19">
        <v>10.0</v>
      </c>
      <c r="AM675" s="19">
        <v>25.0</v>
      </c>
      <c r="AN675" s="19">
        <v>39.2</v>
      </c>
      <c r="AO675" s="19">
        <v>42.2</v>
      </c>
      <c r="AP675" s="19">
        <v>1267.0</v>
      </c>
      <c r="AQ675" s="23">
        <v>649.0</v>
      </c>
      <c r="AR675" s="23">
        <v>93.0</v>
      </c>
      <c r="AS675" s="22"/>
      <c r="AT675" s="19" t="s">
        <v>2282</v>
      </c>
      <c r="AU675" s="19" t="s">
        <v>3095</v>
      </c>
      <c r="AV675" s="19" t="s">
        <v>11116</v>
      </c>
      <c r="AW675" s="19" t="s">
        <v>2466</v>
      </c>
      <c r="AX675" s="20">
        <v>36983.0</v>
      </c>
      <c r="AY675" s="19" t="s">
        <v>2467</v>
      </c>
      <c r="AZ675" s="19" t="s">
        <v>2310</v>
      </c>
      <c r="BA675" s="19" t="s">
        <v>11117</v>
      </c>
      <c r="BB675" s="19" t="s">
        <v>6303</v>
      </c>
      <c r="BC675" s="19" t="s">
        <v>13287</v>
      </c>
      <c r="BD675" s="19" t="s">
        <v>13288</v>
      </c>
      <c r="BE675" s="19" t="s">
        <v>13283</v>
      </c>
      <c r="BF675" s="19">
        <v>2.1980504001E10</v>
      </c>
      <c r="BG675" s="19" t="s">
        <v>4038</v>
      </c>
      <c r="BH675" s="19" t="s">
        <v>2128</v>
      </c>
      <c r="BI675" s="19"/>
      <c r="BJ675" s="19" t="s">
        <v>2128</v>
      </c>
      <c r="BK675" s="19" t="s">
        <v>17</v>
      </c>
      <c r="BL675" s="19"/>
      <c r="BM675" s="19" t="s">
        <v>5411</v>
      </c>
      <c r="BN675" s="19" t="s">
        <v>17</v>
      </c>
      <c r="BO675" s="19" t="s">
        <v>2473</v>
      </c>
      <c r="BP675" s="19" t="s">
        <v>13289</v>
      </c>
      <c r="BQ675" s="19" t="s">
        <v>2133</v>
      </c>
      <c r="BR675" s="19" t="s">
        <v>2133</v>
      </c>
      <c r="BS675" s="19" t="s">
        <v>2243</v>
      </c>
      <c r="BT675" s="19" t="s">
        <v>38</v>
      </c>
      <c r="BU675" s="19" t="s">
        <v>13290</v>
      </c>
      <c r="BV675" s="19"/>
      <c r="BW675" s="19" t="s">
        <v>2113</v>
      </c>
      <c r="BX675" s="19"/>
      <c r="BY675" s="19"/>
      <c r="BZ675" s="19"/>
      <c r="CA675" s="19"/>
      <c r="CB675" s="19"/>
      <c r="CC675" s="19"/>
      <c r="CD675" s="19" t="s">
        <v>2137</v>
      </c>
      <c r="CE675" s="19" t="s">
        <v>16</v>
      </c>
      <c r="CF675" s="19"/>
      <c r="CG675" s="19"/>
      <c r="CH675" s="19" t="s">
        <v>16</v>
      </c>
      <c r="CI675" s="21">
        <v>0.0</v>
      </c>
      <c r="CJ675" s="19" t="s">
        <v>16</v>
      </c>
      <c r="CK675" s="19"/>
      <c r="CL675" s="19"/>
      <c r="CM675" s="19" t="s">
        <v>2344</v>
      </c>
      <c r="CN675" s="19" t="s">
        <v>2475</v>
      </c>
      <c r="CO675" s="19"/>
      <c r="CP675" s="19" t="s">
        <v>2246</v>
      </c>
      <c r="CQ675" s="19"/>
      <c r="CR675" s="19"/>
      <c r="CS675" s="19"/>
      <c r="CT675" s="19" t="s">
        <v>2113</v>
      </c>
      <c r="CU675" s="19" t="s">
        <v>2113</v>
      </c>
      <c r="CV675" s="19" t="s">
        <v>2179</v>
      </c>
      <c r="CW675" s="19"/>
      <c r="CX675" s="19"/>
      <c r="CY675" s="19" t="s">
        <v>2113</v>
      </c>
      <c r="CZ675" s="19" t="s">
        <v>2113</v>
      </c>
      <c r="DA675" s="19" t="s">
        <v>16</v>
      </c>
      <c r="DB675" s="19" t="s">
        <v>16</v>
      </c>
      <c r="DC675" s="19" t="s">
        <v>2142</v>
      </c>
      <c r="DD675" s="19" t="s">
        <v>2113</v>
      </c>
      <c r="DE675" s="19" t="s">
        <v>2113</v>
      </c>
      <c r="DF675" s="19" t="s">
        <v>2477</v>
      </c>
      <c r="DG675" s="19" t="s">
        <v>2843</v>
      </c>
      <c r="DH675" s="19" t="s">
        <v>2144</v>
      </c>
      <c r="DI675" s="24">
        <v>45519.0</v>
      </c>
      <c r="DJ675" s="19" t="s">
        <v>2133</v>
      </c>
      <c r="DK675" s="19" t="s">
        <v>2145</v>
      </c>
      <c r="DL675" s="19" t="s">
        <v>2146</v>
      </c>
      <c r="DM675" s="19"/>
      <c r="DN675" s="19">
        <v>5.0</v>
      </c>
      <c r="DO675" s="19">
        <v>5.0</v>
      </c>
      <c r="DP675" s="19"/>
      <c r="DQ675" s="19"/>
      <c r="DR675" s="19"/>
      <c r="DS675" s="19" t="s">
        <v>2185</v>
      </c>
      <c r="DT675" s="19" t="s">
        <v>2152</v>
      </c>
      <c r="DU675" s="19" t="s">
        <v>13291</v>
      </c>
      <c r="DV675" s="19"/>
      <c r="DW675" s="19" t="s">
        <v>2153</v>
      </c>
      <c r="DX675" s="19">
        <v>1.0</v>
      </c>
      <c r="DY675" s="19">
        <v>0.0</v>
      </c>
      <c r="DZ675" s="19">
        <v>0.0</v>
      </c>
      <c r="EA675" s="19">
        <v>0.0</v>
      </c>
      <c r="EB675" s="19">
        <v>0.0</v>
      </c>
      <c r="EC675" s="19">
        <v>0.0</v>
      </c>
      <c r="ED675" s="19" t="s">
        <v>2133</v>
      </c>
      <c r="EE675" s="24">
        <v>45519.0</v>
      </c>
      <c r="EF675" s="19" t="s">
        <v>2133</v>
      </c>
      <c r="EG675" s="19" t="s">
        <v>2145</v>
      </c>
      <c r="EH675" s="19" t="s">
        <v>2146</v>
      </c>
      <c r="EI675" s="22">
        <v>14.15625</v>
      </c>
      <c r="EJ675" s="19">
        <v>25.0</v>
      </c>
      <c r="EK675" s="19"/>
      <c r="EL675" s="19" t="s">
        <v>2282</v>
      </c>
      <c r="EM675" s="19" t="s">
        <v>3095</v>
      </c>
      <c r="EN675" s="19" t="s">
        <v>1943</v>
      </c>
      <c r="EO675" s="19" t="s">
        <v>2467</v>
      </c>
      <c r="EP675" s="19" t="s">
        <v>2310</v>
      </c>
      <c r="EQ675" s="19" t="s">
        <v>2475</v>
      </c>
      <c r="ER675" s="19"/>
      <c r="ES675" s="19" t="s">
        <v>1943</v>
      </c>
      <c r="ET675" s="19" t="s">
        <v>1943</v>
      </c>
      <c r="EU675" s="19" t="s">
        <v>13284</v>
      </c>
      <c r="EV675" s="19">
        <v>8478.0</v>
      </c>
      <c r="EW675" s="19" t="s">
        <v>16</v>
      </c>
      <c r="EX675" s="19">
        <v>3.0</v>
      </c>
      <c r="EY675" s="25" t="s">
        <v>1942</v>
      </c>
      <c r="EZ675" s="19" t="s">
        <v>2154</v>
      </c>
      <c r="FA675" s="5" t="s">
        <v>13292</v>
      </c>
      <c r="FB675" s="26" t="s">
        <v>2156</v>
      </c>
      <c r="FC675" s="26"/>
    </row>
    <row r="676">
      <c r="A676" s="19" t="s">
        <v>2112</v>
      </c>
      <c r="B676" s="19"/>
      <c r="C676" s="19" t="s">
        <v>2113</v>
      </c>
      <c r="D676" s="19" t="s">
        <v>13293</v>
      </c>
      <c r="E676" s="19" t="s">
        <v>13293</v>
      </c>
      <c r="F676" s="19" t="s">
        <v>1944</v>
      </c>
      <c r="G676" s="19" t="s">
        <v>1944</v>
      </c>
      <c r="H676" s="19" t="s">
        <v>1944</v>
      </c>
      <c r="I676" s="19" t="s">
        <v>1946</v>
      </c>
      <c r="J676" s="19" t="s">
        <v>13294</v>
      </c>
      <c r="K676" s="19" t="s">
        <v>13295</v>
      </c>
      <c r="L676" s="20">
        <v>45431.0</v>
      </c>
      <c r="M676" s="20">
        <v>45432.0</v>
      </c>
      <c r="N676" s="20">
        <v>45432.0</v>
      </c>
      <c r="O676" s="19" t="s">
        <v>1945</v>
      </c>
      <c r="P676" s="19">
        <v>1.0</v>
      </c>
      <c r="Q676" s="19">
        <v>22.0</v>
      </c>
      <c r="R676" s="19">
        <v>8384.0</v>
      </c>
      <c r="S676" s="20" t="s">
        <v>13296</v>
      </c>
      <c r="T676" s="20">
        <v>45461.0</v>
      </c>
      <c r="U676" s="19" t="s">
        <v>1944</v>
      </c>
      <c r="V676" s="19"/>
      <c r="W676" s="19" t="s">
        <v>13297</v>
      </c>
      <c r="X676" s="21">
        <v>0.0</v>
      </c>
      <c r="Y676" s="21">
        <v>0.0</v>
      </c>
      <c r="Z676" s="21">
        <v>3.0</v>
      </c>
      <c r="AA676" s="21">
        <v>0.0</v>
      </c>
      <c r="AB676" s="5">
        <v>3.0</v>
      </c>
      <c r="AC676" s="19">
        <v>4.3</v>
      </c>
      <c r="AD676" s="19">
        <v>4.0</v>
      </c>
      <c r="AE676" s="19">
        <v>4.3</v>
      </c>
      <c r="AF676" s="19">
        <v>3.6</v>
      </c>
      <c r="AG676" s="19">
        <v>4.0</v>
      </c>
      <c r="AH676" s="19">
        <v>5.0</v>
      </c>
      <c r="AI676" s="22">
        <v>12.590625000000001</v>
      </c>
      <c r="AJ676" s="19">
        <v>9.0</v>
      </c>
      <c r="AK676" s="19">
        <v>8.0</v>
      </c>
      <c r="AL676" s="19">
        <v>9.0</v>
      </c>
      <c r="AM676" s="19">
        <v>26.0</v>
      </c>
      <c r="AN676" s="19">
        <v>38.6</v>
      </c>
      <c r="AO676" s="19">
        <v>41.6</v>
      </c>
      <c r="AP676" s="19">
        <v>1271.0</v>
      </c>
      <c r="AQ676" s="23">
        <v>650.0</v>
      </c>
      <c r="AR676" s="23">
        <v>54.0</v>
      </c>
      <c r="AS676" s="22"/>
      <c r="AT676" s="19" t="s">
        <v>2282</v>
      </c>
      <c r="AU676" s="19" t="s">
        <v>13298</v>
      </c>
      <c r="AV676" s="19" t="s">
        <v>13299</v>
      </c>
      <c r="AW676" s="19" t="s">
        <v>13300</v>
      </c>
      <c r="AX676" s="20">
        <v>37077.0</v>
      </c>
      <c r="AY676" s="19" t="s">
        <v>5573</v>
      </c>
      <c r="AZ676" s="19" t="s">
        <v>2445</v>
      </c>
      <c r="BA676" s="19" t="s">
        <v>13301</v>
      </c>
      <c r="BB676" s="19" t="s">
        <v>13302</v>
      </c>
      <c r="BC676" s="19" t="s">
        <v>13303</v>
      </c>
      <c r="BD676" s="19" t="s">
        <v>13304</v>
      </c>
      <c r="BE676" s="19" t="s">
        <v>13294</v>
      </c>
      <c r="BF676" s="19">
        <v>1.1994191049E10</v>
      </c>
      <c r="BG676" s="19" t="s">
        <v>4038</v>
      </c>
      <c r="BH676" s="19" t="s">
        <v>2128</v>
      </c>
      <c r="BI676" s="19"/>
      <c r="BJ676" s="19" t="s">
        <v>2129</v>
      </c>
      <c r="BK676" s="19" t="s">
        <v>17</v>
      </c>
      <c r="BL676" s="19" t="s">
        <v>2113</v>
      </c>
      <c r="BM676" s="19" t="s">
        <v>5411</v>
      </c>
      <c r="BN676" s="19" t="s">
        <v>17</v>
      </c>
      <c r="BO676" s="19" t="s">
        <v>2473</v>
      </c>
      <c r="BP676" s="19" t="s">
        <v>13305</v>
      </c>
      <c r="BQ676" s="19" t="s">
        <v>2174</v>
      </c>
      <c r="BR676" s="19" t="s">
        <v>2174</v>
      </c>
      <c r="BS676" s="19" t="s">
        <v>2243</v>
      </c>
      <c r="BT676" s="19" t="s">
        <v>34</v>
      </c>
      <c r="BU676" s="19" t="s">
        <v>13306</v>
      </c>
      <c r="BV676" s="19"/>
      <c r="BW676" s="19"/>
      <c r="BX676" s="19" t="s">
        <v>2113</v>
      </c>
      <c r="BY676" s="19" t="s">
        <v>2113</v>
      </c>
      <c r="BZ676" s="19" t="s">
        <v>2113</v>
      </c>
      <c r="CA676" s="19" t="s">
        <v>2113</v>
      </c>
      <c r="CB676" s="19" t="s">
        <v>2113</v>
      </c>
      <c r="CC676" s="19"/>
      <c r="CD676" s="19" t="s">
        <v>2137</v>
      </c>
      <c r="CE676" s="19" t="s">
        <v>16</v>
      </c>
      <c r="CF676" s="19"/>
      <c r="CG676" s="19"/>
      <c r="CH676" s="19" t="s">
        <v>16</v>
      </c>
      <c r="CI676" s="21">
        <v>0.0</v>
      </c>
      <c r="CJ676" s="19" t="s">
        <v>16</v>
      </c>
      <c r="CK676" s="19"/>
      <c r="CL676" s="19"/>
      <c r="CM676" s="19" t="s">
        <v>2344</v>
      </c>
      <c r="CN676" s="19" t="s">
        <v>3041</v>
      </c>
      <c r="CO676" s="19"/>
      <c r="CP676" s="19" t="s">
        <v>2246</v>
      </c>
      <c r="CQ676" s="19"/>
      <c r="CR676" s="19" t="s">
        <v>2113</v>
      </c>
      <c r="CS676" s="19" t="s">
        <v>2113</v>
      </c>
      <c r="CT676" s="19" t="s">
        <v>2113</v>
      </c>
      <c r="CU676" s="19" t="s">
        <v>2113</v>
      </c>
      <c r="CV676" s="19" t="s">
        <v>2179</v>
      </c>
      <c r="CW676" s="19"/>
      <c r="CX676" s="19"/>
      <c r="CY676" s="19" t="s">
        <v>2113</v>
      </c>
      <c r="CZ676" s="19" t="s">
        <v>2113</v>
      </c>
      <c r="DA676" s="19" t="s">
        <v>16</v>
      </c>
      <c r="DB676" s="19" t="s">
        <v>16</v>
      </c>
      <c r="DC676" s="19" t="s">
        <v>3042</v>
      </c>
      <c r="DD676" s="19" t="s">
        <v>2113</v>
      </c>
      <c r="DE676" s="19" t="s">
        <v>2113</v>
      </c>
      <c r="DF676" s="19" t="s">
        <v>3146</v>
      </c>
      <c r="DG676" s="19" t="s">
        <v>3145</v>
      </c>
      <c r="DH676" s="19" t="s">
        <v>2144</v>
      </c>
      <c r="DI676" s="24">
        <v>45525.0</v>
      </c>
      <c r="DJ676" s="19" t="s">
        <v>2174</v>
      </c>
      <c r="DK676" s="19" t="s">
        <v>2145</v>
      </c>
      <c r="DL676" s="19" t="s">
        <v>2183</v>
      </c>
      <c r="DM676" s="19" t="s">
        <v>2249</v>
      </c>
      <c r="DN676" s="19">
        <v>9.0</v>
      </c>
      <c r="DO676" s="19">
        <v>9.0</v>
      </c>
      <c r="DP676" s="19"/>
      <c r="DQ676" s="19"/>
      <c r="DR676" s="19"/>
      <c r="DS676" s="19" t="s">
        <v>2151</v>
      </c>
      <c r="DT676" s="19" t="s">
        <v>2350</v>
      </c>
      <c r="DU676" s="19" t="s">
        <v>13307</v>
      </c>
      <c r="DV676" s="19"/>
      <c r="DW676" s="19" t="s">
        <v>2479</v>
      </c>
      <c r="DX676" s="19">
        <v>16.0</v>
      </c>
      <c r="DY676" s="19">
        <v>0.0</v>
      </c>
      <c r="DZ676" s="19">
        <v>0.0</v>
      </c>
      <c r="EA676" s="19">
        <v>0.0</v>
      </c>
      <c r="EB676" s="19">
        <v>0.0</v>
      </c>
      <c r="EC676" s="19">
        <v>0.0</v>
      </c>
      <c r="ED676" s="19" t="s">
        <v>2174</v>
      </c>
      <c r="EE676" s="24">
        <v>45525.0</v>
      </c>
      <c r="EF676" s="19" t="s">
        <v>2174</v>
      </c>
      <c r="EG676" s="19" t="s">
        <v>2145</v>
      </c>
      <c r="EH676" s="19" t="s">
        <v>2183</v>
      </c>
      <c r="EI676" s="22">
        <v>12.590625000000001</v>
      </c>
      <c r="EJ676" s="19">
        <v>26.0</v>
      </c>
      <c r="EK676" s="19"/>
      <c r="EL676" s="19" t="s">
        <v>2282</v>
      </c>
      <c r="EM676" s="19" t="s">
        <v>13298</v>
      </c>
      <c r="EN676" s="19" t="s">
        <v>1946</v>
      </c>
      <c r="EO676" s="19" t="s">
        <v>5573</v>
      </c>
      <c r="EP676" s="19" t="s">
        <v>2445</v>
      </c>
      <c r="EQ676" s="19" t="s">
        <v>3041</v>
      </c>
      <c r="ER676" s="19"/>
      <c r="ES676" s="19" t="s">
        <v>1946</v>
      </c>
      <c r="ET676" s="19" t="s">
        <v>1946</v>
      </c>
      <c r="EU676" s="19" t="s">
        <v>13295</v>
      </c>
      <c r="EV676" s="19">
        <v>8384.0</v>
      </c>
      <c r="EW676" s="19" t="s">
        <v>16</v>
      </c>
      <c r="EX676" s="19">
        <v>3.0</v>
      </c>
      <c r="EY676" s="25" t="s">
        <v>1945</v>
      </c>
      <c r="EZ676" s="19" t="s">
        <v>2154</v>
      </c>
      <c r="FA676" s="5" t="s">
        <v>13308</v>
      </c>
      <c r="FB676" s="26" t="s">
        <v>2156</v>
      </c>
      <c r="FC676" s="26"/>
    </row>
    <row r="677" hidden="1">
      <c r="A677" s="19" t="s">
        <v>17</v>
      </c>
      <c r="B677" s="19"/>
      <c r="C677" s="19" t="s">
        <v>2113</v>
      </c>
      <c r="D677" s="19" t="s">
        <v>13309</v>
      </c>
      <c r="E677" s="19" t="s">
        <v>13310</v>
      </c>
      <c r="F677" s="19" t="s">
        <v>13309</v>
      </c>
      <c r="G677" s="19" t="s">
        <v>13311</v>
      </c>
      <c r="H677" s="19" t="s">
        <v>13309</v>
      </c>
      <c r="I677" s="19" t="s">
        <v>1052</v>
      </c>
      <c r="J677" s="19" t="s">
        <v>13312</v>
      </c>
      <c r="K677" s="19" t="s">
        <v>13313</v>
      </c>
      <c r="L677" s="20">
        <v>45441.0</v>
      </c>
      <c r="M677" s="20">
        <v>45446.0</v>
      </c>
      <c r="N677" s="20">
        <v>45446.0</v>
      </c>
      <c r="O677" s="19" t="s">
        <v>13314</v>
      </c>
      <c r="P677" s="19">
        <v>0.0</v>
      </c>
      <c r="Q677" s="19">
        <v>21.0</v>
      </c>
      <c r="R677" s="19">
        <v>7877.0</v>
      </c>
      <c r="S677" s="20" t="s">
        <v>13315</v>
      </c>
      <c r="T677" s="20">
        <v>45461.0</v>
      </c>
      <c r="U677" s="19" t="s">
        <v>13309</v>
      </c>
      <c r="V677" s="19"/>
      <c r="W677" s="19"/>
      <c r="X677" s="21">
        <v>0.0</v>
      </c>
      <c r="Y677" s="21">
        <v>10.0</v>
      </c>
      <c r="Z677" s="21">
        <v>3.0</v>
      </c>
      <c r="AA677" s="21">
        <v>0.0</v>
      </c>
      <c r="AB677" s="5">
        <v>13.0</v>
      </c>
      <c r="AC677" s="19">
        <v>4.5</v>
      </c>
      <c r="AD677" s="19">
        <v>4.0</v>
      </c>
      <c r="AE677" s="19">
        <v>4.5</v>
      </c>
      <c r="AF677" s="19">
        <v>4.5</v>
      </c>
      <c r="AG677" s="19">
        <v>3.5</v>
      </c>
      <c r="AH677" s="19">
        <v>4.0</v>
      </c>
      <c r="AI677" s="22">
        <v>12.609375</v>
      </c>
      <c r="AJ677" s="19">
        <v>10.0</v>
      </c>
      <c r="AK677" s="19">
        <v>5.0</v>
      </c>
      <c r="AL677" s="19">
        <v>0.0</v>
      </c>
      <c r="AM677" s="19">
        <v>15.0</v>
      </c>
      <c r="AN677" s="19">
        <v>27.6</v>
      </c>
      <c r="AO677" s="19">
        <v>40.6</v>
      </c>
      <c r="AP677" s="19">
        <v>754.0</v>
      </c>
      <c r="AQ677" s="19">
        <v>676.0</v>
      </c>
      <c r="AR677" s="19">
        <v>47.0</v>
      </c>
      <c r="AS677" s="22" t="s">
        <v>4071</v>
      </c>
      <c r="AT677" s="19" t="s">
        <v>2282</v>
      </c>
      <c r="AU677" s="19" t="s">
        <v>13316</v>
      </c>
      <c r="AV677" s="19" t="s">
        <v>13317</v>
      </c>
      <c r="AW677" s="19" t="s">
        <v>13318</v>
      </c>
      <c r="AX677" s="20">
        <v>37584.0</v>
      </c>
      <c r="AY677" s="19" t="s">
        <v>3826</v>
      </c>
      <c r="AZ677" s="19" t="s">
        <v>2122</v>
      </c>
      <c r="BA677" s="19" t="s">
        <v>13319</v>
      </c>
      <c r="BB677" s="19" t="s">
        <v>13107</v>
      </c>
      <c r="BC677" s="19" t="s">
        <v>13320</v>
      </c>
      <c r="BD677" s="19" t="s">
        <v>13321</v>
      </c>
      <c r="BE677" s="19" t="s">
        <v>13312</v>
      </c>
      <c r="BF677" s="19">
        <v>1.1970793813E10</v>
      </c>
      <c r="BG677" s="19" t="s">
        <v>2127</v>
      </c>
      <c r="BH677" s="19" t="s">
        <v>2128</v>
      </c>
      <c r="BI677" s="19"/>
      <c r="BJ677" s="19" t="s">
        <v>2427</v>
      </c>
      <c r="BK677" s="19" t="s">
        <v>17</v>
      </c>
      <c r="BL677" s="19"/>
      <c r="BM677" s="19" t="s">
        <v>5411</v>
      </c>
      <c r="BN677" s="19" t="s">
        <v>3445</v>
      </c>
      <c r="BO677" s="19" t="s">
        <v>2473</v>
      </c>
      <c r="BP677" s="19"/>
      <c r="BQ677" s="19" t="s">
        <v>3832</v>
      </c>
      <c r="BR677" s="19" t="s">
        <v>3832</v>
      </c>
      <c r="BS677" s="19" t="s">
        <v>2134</v>
      </c>
      <c r="BT677" s="19" t="s">
        <v>268</v>
      </c>
      <c r="BU677" s="19" t="s">
        <v>3019</v>
      </c>
      <c r="BV677" s="19"/>
      <c r="BW677" s="19" t="s">
        <v>2113</v>
      </c>
      <c r="BX677" s="19"/>
      <c r="BY677" s="19"/>
      <c r="BZ677" s="19"/>
      <c r="CA677" s="19"/>
      <c r="CB677" s="19" t="s">
        <v>2113</v>
      </c>
      <c r="CC677" s="19"/>
      <c r="CD677" s="19" t="s">
        <v>2137</v>
      </c>
      <c r="CE677" s="19" t="s">
        <v>16</v>
      </c>
      <c r="CF677" s="19"/>
      <c r="CG677" s="19"/>
      <c r="CH677" s="19" t="s">
        <v>16</v>
      </c>
      <c r="CI677" s="21">
        <v>0.0</v>
      </c>
      <c r="CJ677" s="19" t="s">
        <v>16</v>
      </c>
      <c r="CK677" s="19"/>
      <c r="CL677" s="19"/>
      <c r="CM677" s="19" t="s">
        <v>2138</v>
      </c>
      <c r="CN677" s="19" t="s">
        <v>3835</v>
      </c>
      <c r="CO677" s="19"/>
      <c r="CP677" s="19" t="s">
        <v>2140</v>
      </c>
      <c r="CQ677" s="19"/>
      <c r="CR677" s="19" t="s">
        <v>2113</v>
      </c>
      <c r="CS677" s="19" t="s">
        <v>2113</v>
      </c>
      <c r="CT677" s="19" t="s">
        <v>2113</v>
      </c>
      <c r="CU677" s="19" t="s">
        <v>2113</v>
      </c>
      <c r="CV677" s="19" t="s">
        <v>2141</v>
      </c>
      <c r="CW677" s="19" t="s">
        <v>2113</v>
      </c>
      <c r="CX677" s="19" t="s">
        <v>2113</v>
      </c>
      <c r="CY677" s="19" t="s">
        <v>2113</v>
      </c>
      <c r="CZ677" s="19" t="s">
        <v>2113</v>
      </c>
      <c r="DA677" s="19" t="s">
        <v>16</v>
      </c>
      <c r="DB677" s="19" t="s">
        <v>16</v>
      </c>
      <c r="DC677" s="19" t="s">
        <v>3836</v>
      </c>
      <c r="DD677" s="19" t="s">
        <v>2113</v>
      </c>
      <c r="DE677" s="19" t="s">
        <v>2113</v>
      </c>
      <c r="DF677" s="19" t="s">
        <v>4083</v>
      </c>
      <c r="DG677" s="19" t="s">
        <v>4084</v>
      </c>
      <c r="DH677" s="19" t="s">
        <v>2144</v>
      </c>
      <c r="DI677" s="24">
        <v>45519.0</v>
      </c>
      <c r="DJ677" s="19" t="s">
        <v>3257</v>
      </c>
      <c r="DK677" s="19" t="s">
        <v>2145</v>
      </c>
      <c r="DL677" s="19" t="s">
        <v>2207</v>
      </c>
      <c r="DM677" s="19" t="s">
        <v>4615</v>
      </c>
      <c r="DN677" s="19">
        <v>2.0</v>
      </c>
      <c r="DO677" s="19">
        <v>2.0</v>
      </c>
      <c r="DP677" s="19" t="s">
        <v>13322</v>
      </c>
      <c r="DQ677" s="19" t="s">
        <v>13323</v>
      </c>
      <c r="DR677" s="19" t="s">
        <v>13324</v>
      </c>
      <c r="DS677" s="19" t="s">
        <v>2185</v>
      </c>
      <c r="DT677" s="19" t="s">
        <v>2301</v>
      </c>
      <c r="DU677" s="19"/>
      <c r="DV677" s="19"/>
      <c r="DW677" s="19" t="s">
        <v>2153</v>
      </c>
      <c r="DX677" s="19">
        <v>2.0</v>
      </c>
      <c r="DY677" s="19">
        <v>10.0</v>
      </c>
      <c r="DZ677" s="19">
        <v>0.0</v>
      </c>
      <c r="EA677" s="19">
        <v>10.0</v>
      </c>
      <c r="EB677" s="19">
        <v>0.0</v>
      </c>
      <c r="EC677" s="19">
        <v>0.0</v>
      </c>
      <c r="ED677" s="19" t="s">
        <v>3257</v>
      </c>
      <c r="EE677" s="24">
        <v>45519.0</v>
      </c>
      <c r="EF677" s="19" t="s">
        <v>3257</v>
      </c>
      <c r="EG677" s="19" t="s">
        <v>2145</v>
      </c>
      <c r="EH677" s="19" t="s">
        <v>2207</v>
      </c>
      <c r="EI677" s="22">
        <v>12.609375</v>
      </c>
      <c r="EJ677" s="19">
        <v>15.0</v>
      </c>
      <c r="EK677" s="19"/>
      <c r="EL677" s="19" t="s">
        <v>2282</v>
      </c>
      <c r="EM677" s="19" t="s">
        <v>13316</v>
      </c>
      <c r="EN677" s="19" t="s">
        <v>1052</v>
      </c>
      <c r="EO677" s="19" t="s">
        <v>3826</v>
      </c>
      <c r="EP677" s="19" t="s">
        <v>2122</v>
      </c>
      <c r="EQ677" s="19" t="s">
        <v>3835</v>
      </c>
      <c r="ER677" s="19"/>
      <c r="ES677" s="19" t="s">
        <v>1052</v>
      </c>
      <c r="ET677" s="19" t="s">
        <v>1052</v>
      </c>
      <c r="EU677" s="19" t="s">
        <v>13313</v>
      </c>
      <c r="EV677" s="19">
        <v>7877.0</v>
      </c>
      <c r="EW677" s="19" t="s">
        <v>16</v>
      </c>
      <c r="EX677" s="19">
        <v>3.0</v>
      </c>
      <c r="EY677" s="25" t="s">
        <v>13314</v>
      </c>
      <c r="EZ677" s="19" t="s">
        <v>2154</v>
      </c>
      <c r="FA677" s="5" t="s">
        <v>13325</v>
      </c>
      <c r="FB677" s="26" t="s">
        <v>2633</v>
      </c>
      <c r="FC677" s="26" t="s">
        <v>10773</v>
      </c>
    </row>
    <row r="678">
      <c r="A678" s="19" t="s">
        <v>2112</v>
      </c>
      <c r="B678" s="19"/>
      <c r="C678" s="19" t="s">
        <v>2113</v>
      </c>
      <c r="D678" s="19" t="s">
        <v>1947</v>
      </c>
      <c r="E678" s="19" t="s">
        <v>13326</v>
      </c>
      <c r="F678" s="19" t="s">
        <v>1947</v>
      </c>
      <c r="G678" s="19"/>
      <c r="H678" s="19" t="s">
        <v>1947</v>
      </c>
      <c r="I678" s="19" t="s">
        <v>1949</v>
      </c>
      <c r="J678" s="19" t="s">
        <v>13327</v>
      </c>
      <c r="K678" s="19" t="s">
        <v>13328</v>
      </c>
      <c r="L678" s="20">
        <v>45455.0</v>
      </c>
      <c r="M678" s="20">
        <v>45455.0</v>
      </c>
      <c r="N678" s="20">
        <v>45455.0</v>
      </c>
      <c r="O678" s="19" t="s">
        <v>1948</v>
      </c>
      <c r="P678" s="19">
        <v>0.0</v>
      </c>
      <c r="Q678" s="19">
        <v>23.0</v>
      </c>
      <c r="R678" s="19">
        <v>8676.0</v>
      </c>
      <c r="S678" s="20" t="s">
        <v>13329</v>
      </c>
      <c r="T678" s="20">
        <v>45461.0</v>
      </c>
      <c r="U678" s="19" t="s">
        <v>1947</v>
      </c>
      <c r="V678" s="19"/>
      <c r="W678" s="19"/>
      <c r="X678" s="21">
        <v>0.0</v>
      </c>
      <c r="Y678" s="21">
        <v>0.0</v>
      </c>
      <c r="Z678" s="21">
        <v>3.0</v>
      </c>
      <c r="AA678" s="21">
        <v>0.0</v>
      </c>
      <c r="AB678" s="5">
        <v>3.0</v>
      </c>
      <c r="AC678" s="19">
        <v>3.6</v>
      </c>
      <c r="AD678" s="19">
        <v>4.6</v>
      </c>
      <c r="AE678" s="19">
        <v>4.2</v>
      </c>
      <c r="AF678" s="19">
        <v>4.4</v>
      </c>
      <c r="AG678" s="19">
        <v>3.4</v>
      </c>
      <c r="AH678" s="19">
        <v>4.6</v>
      </c>
      <c r="AI678" s="22">
        <v>12.50625</v>
      </c>
      <c r="AJ678" s="19">
        <v>10.0</v>
      </c>
      <c r="AK678" s="19">
        <v>5.0</v>
      </c>
      <c r="AL678" s="19">
        <v>10.0</v>
      </c>
      <c r="AM678" s="19">
        <v>25.0</v>
      </c>
      <c r="AN678" s="19">
        <v>37.5</v>
      </c>
      <c r="AO678" s="19">
        <v>40.5</v>
      </c>
      <c r="AP678" s="19">
        <v>1258.0</v>
      </c>
      <c r="AQ678" s="23">
        <v>651.0</v>
      </c>
      <c r="AR678" s="23">
        <v>55.0</v>
      </c>
      <c r="AS678" s="22"/>
      <c r="AT678" s="19" t="s">
        <v>2282</v>
      </c>
      <c r="AU678" s="19" t="s">
        <v>8191</v>
      </c>
      <c r="AV678" s="19" t="s">
        <v>13330</v>
      </c>
      <c r="AW678" s="19"/>
      <c r="AX678" s="20">
        <v>36785.0</v>
      </c>
      <c r="AY678" s="19" t="s">
        <v>5573</v>
      </c>
      <c r="AZ678" s="19" t="s">
        <v>2122</v>
      </c>
      <c r="BA678" s="19" t="s">
        <v>13331</v>
      </c>
      <c r="BB678" s="19" t="s">
        <v>5745</v>
      </c>
      <c r="BC678" s="19" t="s">
        <v>13332</v>
      </c>
      <c r="BD678" s="19" t="s">
        <v>13333</v>
      </c>
      <c r="BE678" s="19"/>
      <c r="BF678" s="19"/>
      <c r="BG678" s="19" t="s">
        <v>2127</v>
      </c>
      <c r="BH678" s="19" t="s">
        <v>4080</v>
      </c>
      <c r="BI678" s="19"/>
      <c r="BJ678" s="19" t="s">
        <v>2427</v>
      </c>
      <c r="BK678" s="19" t="s">
        <v>16</v>
      </c>
      <c r="BL678" s="19"/>
      <c r="BM678" s="19" t="s">
        <v>5563</v>
      </c>
      <c r="BN678" s="19" t="s">
        <v>17</v>
      </c>
      <c r="BO678" s="19" t="s">
        <v>2473</v>
      </c>
      <c r="BP678" s="19"/>
      <c r="BQ678" s="19" t="s">
        <v>2174</v>
      </c>
      <c r="BR678" s="19" t="s">
        <v>2174</v>
      </c>
      <c r="BS678" s="19" t="s">
        <v>3521</v>
      </c>
      <c r="BT678" s="19" t="s">
        <v>34</v>
      </c>
      <c r="BU678" s="19" t="s">
        <v>13334</v>
      </c>
      <c r="BV678" s="19"/>
      <c r="BW678" s="19" t="s">
        <v>2113</v>
      </c>
      <c r="BX678" s="19"/>
      <c r="BY678" s="19"/>
      <c r="BZ678" s="19"/>
      <c r="CA678" s="19"/>
      <c r="CB678" s="19" t="s">
        <v>2113</v>
      </c>
      <c r="CC678" s="19"/>
      <c r="CD678" s="19" t="s">
        <v>2137</v>
      </c>
      <c r="CE678" s="19" t="s">
        <v>16</v>
      </c>
      <c r="CF678" s="19"/>
      <c r="CG678" s="19"/>
      <c r="CH678" s="19" t="s">
        <v>16</v>
      </c>
      <c r="CI678" s="21">
        <v>0.0</v>
      </c>
      <c r="CJ678" s="19" t="s">
        <v>16</v>
      </c>
      <c r="CK678" s="19"/>
      <c r="CL678" s="19"/>
      <c r="CM678" s="19" t="s">
        <v>2138</v>
      </c>
      <c r="CN678" s="19" t="s">
        <v>3041</v>
      </c>
      <c r="CO678" s="19" t="s">
        <v>2177</v>
      </c>
      <c r="CP678" s="19" t="s">
        <v>2246</v>
      </c>
      <c r="CQ678" s="19"/>
      <c r="CR678" s="19" t="s">
        <v>2113</v>
      </c>
      <c r="CS678" s="19" t="s">
        <v>2113</v>
      </c>
      <c r="CT678" s="19" t="s">
        <v>2113</v>
      </c>
      <c r="CU678" s="19" t="s">
        <v>2113</v>
      </c>
      <c r="CV678" s="19" t="s">
        <v>2141</v>
      </c>
      <c r="CW678" s="19" t="s">
        <v>2113</v>
      </c>
      <c r="CX678" s="19" t="s">
        <v>2113</v>
      </c>
      <c r="CY678" s="19" t="s">
        <v>2113</v>
      </c>
      <c r="CZ678" s="19" t="s">
        <v>2113</v>
      </c>
      <c r="DA678" s="19" t="s">
        <v>16</v>
      </c>
      <c r="DB678" s="19" t="s">
        <v>16</v>
      </c>
      <c r="DC678" s="19" t="s">
        <v>5864</v>
      </c>
      <c r="DD678" s="19" t="s">
        <v>2113</v>
      </c>
      <c r="DE678" s="19" t="s">
        <v>2113</v>
      </c>
      <c r="DF678" s="19" t="s">
        <v>4926</v>
      </c>
      <c r="DG678" s="19" t="s">
        <v>13335</v>
      </c>
      <c r="DH678" s="19" t="s">
        <v>2144</v>
      </c>
      <c r="DI678" s="24">
        <v>45517.0</v>
      </c>
      <c r="DJ678" s="19" t="s">
        <v>2174</v>
      </c>
      <c r="DK678" s="19" t="s">
        <v>2145</v>
      </c>
      <c r="DL678" s="19" t="s">
        <v>2183</v>
      </c>
      <c r="DM678" s="19" t="s">
        <v>2184</v>
      </c>
      <c r="DN678" s="19">
        <v>1.0</v>
      </c>
      <c r="DO678" s="19">
        <v>1.0</v>
      </c>
      <c r="DP678" s="19" t="s">
        <v>13336</v>
      </c>
      <c r="DQ678" s="19" t="s">
        <v>13337</v>
      </c>
      <c r="DR678" s="19" t="s">
        <v>13338</v>
      </c>
      <c r="DS678" s="19" t="s">
        <v>2185</v>
      </c>
      <c r="DT678" s="19" t="s">
        <v>2366</v>
      </c>
      <c r="DU678" s="19"/>
      <c r="DV678" s="19"/>
      <c r="DW678" s="19" t="s">
        <v>3306</v>
      </c>
      <c r="DX678" s="19">
        <v>4.0</v>
      </c>
      <c r="DY678" s="19">
        <v>0.0</v>
      </c>
      <c r="DZ678" s="19">
        <v>0.0</v>
      </c>
      <c r="EA678" s="19">
        <v>0.0</v>
      </c>
      <c r="EB678" s="19">
        <v>0.0</v>
      </c>
      <c r="EC678" s="19">
        <v>0.0</v>
      </c>
      <c r="ED678" s="19" t="s">
        <v>2174</v>
      </c>
      <c r="EE678" s="24">
        <v>45517.0</v>
      </c>
      <c r="EF678" s="19" t="s">
        <v>2174</v>
      </c>
      <c r="EG678" s="19" t="s">
        <v>2145</v>
      </c>
      <c r="EH678" s="19" t="s">
        <v>2183</v>
      </c>
      <c r="EI678" s="22">
        <v>12.50625</v>
      </c>
      <c r="EJ678" s="19">
        <v>25.0</v>
      </c>
      <c r="EK678" s="19"/>
      <c r="EL678" s="19" t="s">
        <v>2282</v>
      </c>
      <c r="EM678" s="19" t="s">
        <v>8191</v>
      </c>
      <c r="EN678" s="19" t="s">
        <v>1949</v>
      </c>
      <c r="EO678" s="19" t="s">
        <v>5573</v>
      </c>
      <c r="EP678" s="19" t="s">
        <v>2122</v>
      </c>
      <c r="EQ678" s="19" t="s">
        <v>3041</v>
      </c>
      <c r="ER678" s="19" t="s">
        <v>2177</v>
      </c>
      <c r="ES678" s="19" t="s">
        <v>1949</v>
      </c>
      <c r="ET678" s="19" t="s">
        <v>1949</v>
      </c>
      <c r="EU678" s="19" t="s">
        <v>13328</v>
      </c>
      <c r="EV678" s="19">
        <v>8676.0</v>
      </c>
      <c r="EW678" s="19" t="s">
        <v>16</v>
      </c>
      <c r="EX678" s="19">
        <v>3.0</v>
      </c>
      <c r="EY678" s="25" t="s">
        <v>1948</v>
      </c>
      <c r="EZ678" s="19" t="s">
        <v>2154</v>
      </c>
      <c r="FA678" s="5" t="s">
        <v>13339</v>
      </c>
      <c r="FB678" s="26" t="s">
        <v>2156</v>
      </c>
      <c r="FC678" s="26"/>
    </row>
    <row r="679" hidden="1">
      <c r="A679" s="19"/>
      <c r="B679" s="19" t="s">
        <v>2113</v>
      </c>
      <c r="C679" s="19" t="s">
        <v>2113</v>
      </c>
      <c r="D679" s="19" t="s">
        <v>13340</v>
      </c>
      <c r="E679" s="19" t="s">
        <v>13341</v>
      </c>
      <c r="F679" s="19" t="s">
        <v>13340</v>
      </c>
      <c r="G679" s="19"/>
      <c r="H679" s="19" t="s">
        <v>13340</v>
      </c>
      <c r="I679" s="19" t="s">
        <v>13342</v>
      </c>
      <c r="J679" s="19" t="s">
        <v>13343</v>
      </c>
      <c r="K679" s="19" t="s">
        <v>13344</v>
      </c>
      <c r="L679" s="20">
        <v>45460.0</v>
      </c>
      <c r="M679" s="20">
        <v>45462.0</v>
      </c>
      <c r="N679" s="20">
        <v>45462.0</v>
      </c>
      <c r="O679" s="19" t="s">
        <v>13345</v>
      </c>
      <c r="P679" s="19">
        <v>0.0</v>
      </c>
      <c r="Q679" s="19">
        <v>29.0</v>
      </c>
      <c r="R679" s="19">
        <v>10875.0</v>
      </c>
      <c r="S679" s="20" t="s">
        <v>13346</v>
      </c>
      <c r="T679" s="20">
        <v>45461.0</v>
      </c>
      <c r="U679" s="19" t="s">
        <v>13340</v>
      </c>
      <c r="V679" s="19" t="s">
        <v>4639</v>
      </c>
      <c r="W679" s="19" t="s">
        <v>13347</v>
      </c>
      <c r="X679" s="21">
        <v>20.0</v>
      </c>
      <c r="Y679" s="21">
        <v>10.0</v>
      </c>
      <c r="Z679" s="21">
        <v>3.0</v>
      </c>
      <c r="AA679" s="21">
        <v>0.0</v>
      </c>
      <c r="AB679" s="5">
        <v>33.0</v>
      </c>
      <c r="AC679" s="19">
        <v>2.0</v>
      </c>
      <c r="AD679" s="19">
        <v>3.0</v>
      </c>
      <c r="AE679" s="19">
        <v>2.0</v>
      </c>
      <c r="AF679" s="19">
        <v>2.0</v>
      </c>
      <c r="AG679" s="19">
        <v>2.0</v>
      </c>
      <c r="AH679" s="19">
        <v>2.0</v>
      </c>
      <c r="AI679" s="22">
        <v>6.65625</v>
      </c>
      <c r="AJ679" s="19">
        <v>0.0</v>
      </c>
      <c r="AK679" s="19">
        <v>0.0</v>
      </c>
      <c r="AL679" s="19">
        <v>0.0</v>
      </c>
      <c r="AM679" s="19">
        <v>0.0</v>
      </c>
      <c r="AN679" s="19">
        <v>6.7</v>
      </c>
      <c r="AO679" s="19">
        <v>39.7</v>
      </c>
      <c r="AP679" s="19">
        <v>139.0</v>
      </c>
      <c r="AQ679" s="19">
        <v>678.0</v>
      </c>
      <c r="AR679" s="19">
        <v>66.0</v>
      </c>
      <c r="AS679" s="22"/>
      <c r="AT679" s="19" t="s">
        <v>2117</v>
      </c>
      <c r="AU679" s="19" t="s">
        <v>6383</v>
      </c>
      <c r="AV679" s="19" t="s">
        <v>13348</v>
      </c>
      <c r="AW679" s="19" t="s">
        <v>2166</v>
      </c>
      <c r="AX679" s="20">
        <v>34586.0</v>
      </c>
      <c r="AY679" s="19" t="s">
        <v>6385</v>
      </c>
      <c r="AZ679" s="19" t="s">
        <v>2310</v>
      </c>
      <c r="BA679" s="19" t="s">
        <v>13349</v>
      </c>
      <c r="BB679" s="19" t="s">
        <v>13350</v>
      </c>
      <c r="BC679" s="19" t="s">
        <v>13351</v>
      </c>
      <c r="BD679" s="19" t="s">
        <v>13352</v>
      </c>
      <c r="BE679" s="19" t="s">
        <v>13343</v>
      </c>
      <c r="BF679" s="19">
        <v>1.1970740387E10</v>
      </c>
      <c r="BG679" s="19" t="s">
        <v>2127</v>
      </c>
      <c r="BH679" s="19" t="s">
        <v>2128</v>
      </c>
      <c r="BI679" s="19"/>
      <c r="BJ679" s="19"/>
      <c r="BK679" s="19" t="s">
        <v>16</v>
      </c>
      <c r="BL679" s="19" t="s">
        <v>2113</v>
      </c>
      <c r="BM679" s="19" t="s">
        <v>2130</v>
      </c>
      <c r="BN679" s="19" t="s">
        <v>13353</v>
      </c>
      <c r="BO679" s="19" t="s">
        <v>2473</v>
      </c>
      <c r="BP679" s="19"/>
      <c r="BQ679" s="19" t="s">
        <v>2133</v>
      </c>
      <c r="BR679" s="19" t="s">
        <v>2133</v>
      </c>
      <c r="BS679" s="19" t="s">
        <v>2134</v>
      </c>
      <c r="BT679" s="19" t="s">
        <v>52</v>
      </c>
      <c r="BU679" s="19" t="s">
        <v>13354</v>
      </c>
      <c r="BV679" s="19" t="s">
        <v>13355</v>
      </c>
      <c r="BW679" s="19"/>
      <c r="BX679" s="19"/>
      <c r="BY679" s="19"/>
      <c r="BZ679" s="19"/>
      <c r="CA679" s="19"/>
      <c r="CB679" s="19"/>
      <c r="CC679" s="19"/>
      <c r="CD679" s="19" t="s">
        <v>2137</v>
      </c>
      <c r="CE679" s="19" t="s">
        <v>17</v>
      </c>
      <c r="CF679" s="19"/>
      <c r="CG679" s="19"/>
      <c r="CH679" s="19" t="s">
        <v>16</v>
      </c>
      <c r="CI679" s="21">
        <v>0.0</v>
      </c>
      <c r="CJ679" s="19" t="s">
        <v>17</v>
      </c>
      <c r="CK679" s="19"/>
      <c r="CL679" s="19" t="s">
        <v>2113</v>
      </c>
      <c r="CM679" s="19" t="s">
        <v>2138</v>
      </c>
      <c r="CN679" s="19" t="s">
        <v>6390</v>
      </c>
      <c r="CO679" s="19" t="s">
        <v>10009</v>
      </c>
      <c r="CP679" s="19"/>
      <c r="CQ679" s="19"/>
      <c r="CR679" s="19"/>
      <c r="CS679" s="19"/>
      <c r="CT679" s="19"/>
      <c r="CU679" s="19"/>
      <c r="CV679" s="19" t="s">
        <v>2141</v>
      </c>
      <c r="CW679" s="19" t="s">
        <v>2113</v>
      </c>
      <c r="CX679" s="19" t="s">
        <v>2113</v>
      </c>
      <c r="CY679" s="19"/>
      <c r="CZ679" s="19"/>
      <c r="DA679" s="19" t="s">
        <v>17</v>
      </c>
      <c r="DB679" s="19" t="s">
        <v>17</v>
      </c>
      <c r="DC679" s="19" t="s">
        <v>2146</v>
      </c>
      <c r="DD679" s="19"/>
      <c r="DE679" s="19"/>
      <c r="DF679" s="19" t="s">
        <v>2627</v>
      </c>
      <c r="DG679" s="19" t="s">
        <v>2297</v>
      </c>
      <c r="DH679" s="19" t="s">
        <v>2144</v>
      </c>
      <c r="DI679" s="24">
        <v>45518.0</v>
      </c>
      <c r="DJ679" s="19" t="s">
        <v>2133</v>
      </c>
      <c r="DK679" s="19" t="s">
        <v>2271</v>
      </c>
      <c r="DL679" s="19" t="s">
        <v>2146</v>
      </c>
      <c r="DM679" s="19"/>
      <c r="DN679" s="19">
        <v>4.0</v>
      </c>
      <c r="DO679" s="19">
        <v>4.0</v>
      </c>
      <c r="DP679" s="19" t="s">
        <v>13356</v>
      </c>
      <c r="DQ679" s="19" t="s">
        <v>13357</v>
      </c>
      <c r="DR679" s="19" t="s">
        <v>13358</v>
      </c>
      <c r="DS679" s="19" t="s">
        <v>2365</v>
      </c>
      <c r="DT679" s="19" t="s">
        <v>2229</v>
      </c>
      <c r="DU679" s="19"/>
      <c r="DV679" s="19"/>
      <c r="DW679" s="19" t="s">
        <v>2153</v>
      </c>
      <c r="DX679" s="19">
        <v>9.0</v>
      </c>
      <c r="DY679" s="19">
        <v>10.0</v>
      </c>
      <c r="DZ679" s="19">
        <v>0.0</v>
      </c>
      <c r="EA679" s="19">
        <v>10.0</v>
      </c>
      <c r="EB679" s="19">
        <v>0.0</v>
      </c>
      <c r="EC679" s="19">
        <v>20.0</v>
      </c>
      <c r="ED679" s="19" t="s">
        <v>2133</v>
      </c>
      <c r="EE679" s="24">
        <v>45518.0</v>
      </c>
      <c r="EF679" s="19" t="s">
        <v>2133</v>
      </c>
      <c r="EG679" s="19" t="s">
        <v>2271</v>
      </c>
      <c r="EH679" s="19" t="s">
        <v>2146</v>
      </c>
      <c r="EI679" s="22">
        <v>6.65625</v>
      </c>
      <c r="EJ679" s="19">
        <v>0.0</v>
      </c>
      <c r="EK679" s="19" t="s">
        <v>2113</v>
      </c>
      <c r="EL679" s="19" t="s">
        <v>2117</v>
      </c>
      <c r="EM679" s="19" t="s">
        <v>6383</v>
      </c>
      <c r="EN679" s="19" t="s">
        <v>13342</v>
      </c>
      <c r="EO679" s="19" t="s">
        <v>6385</v>
      </c>
      <c r="EP679" s="19" t="s">
        <v>2310</v>
      </c>
      <c r="EQ679" s="19" t="s">
        <v>6390</v>
      </c>
      <c r="ER679" s="19" t="s">
        <v>10009</v>
      </c>
      <c r="ES679" s="19" t="s">
        <v>13342</v>
      </c>
      <c r="ET679" s="19" t="s">
        <v>13342</v>
      </c>
      <c r="EU679" s="19" t="s">
        <v>13344</v>
      </c>
      <c r="EV679" s="19">
        <v>10875.0</v>
      </c>
      <c r="EW679" s="19" t="s">
        <v>17</v>
      </c>
      <c r="EX679" s="19">
        <v>3.0</v>
      </c>
      <c r="EY679" s="25" t="s">
        <v>13345</v>
      </c>
      <c r="EZ679" s="19" t="s">
        <v>13359</v>
      </c>
      <c r="FA679" s="5" t="s">
        <v>13360</v>
      </c>
      <c r="FB679" s="26" t="s">
        <v>2633</v>
      </c>
      <c r="FC679" s="26" t="s">
        <v>10773</v>
      </c>
    </row>
    <row r="680" hidden="1">
      <c r="A680" s="19" t="s">
        <v>2156</v>
      </c>
      <c r="B680" s="19" t="s">
        <v>2113</v>
      </c>
      <c r="C680" s="19" t="s">
        <v>2113</v>
      </c>
      <c r="D680" s="19" t="s">
        <v>13361</v>
      </c>
      <c r="E680" s="19" t="s">
        <v>13362</v>
      </c>
      <c r="F680" s="19" t="s">
        <v>13361</v>
      </c>
      <c r="G680" s="19"/>
      <c r="H680" s="19" t="s">
        <v>13361</v>
      </c>
      <c r="I680" s="19" t="s">
        <v>13363</v>
      </c>
      <c r="J680" s="19" t="s">
        <v>13364</v>
      </c>
      <c r="K680" s="19" t="s">
        <v>13365</v>
      </c>
      <c r="L680" s="20">
        <v>45439.0</v>
      </c>
      <c r="M680" s="20">
        <v>45440.0</v>
      </c>
      <c r="N680" s="20">
        <v>45440.0</v>
      </c>
      <c r="O680" s="19" t="s">
        <v>13366</v>
      </c>
      <c r="P680" s="19">
        <v>0.0</v>
      </c>
      <c r="Q680" s="19">
        <v>23.0</v>
      </c>
      <c r="R680" s="19">
        <v>8626.0</v>
      </c>
      <c r="S680" s="20" t="s">
        <v>13367</v>
      </c>
      <c r="T680" s="20">
        <v>45461.0</v>
      </c>
      <c r="U680" s="19" t="s">
        <v>13361</v>
      </c>
      <c r="V680" s="19"/>
      <c r="W680" s="19"/>
      <c r="X680" s="21">
        <v>20.0</v>
      </c>
      <c r="Y680" s="21">
        <v>0.0</v>
      </c>
      <c r="Z680" s="21">
        <v>3.0</v>
      </c>
      <c r="AA680" s="21">
        <v>3.0</v>
      </c>
      <c r="AB680" s="5">
        <v>26.0</v>
      </c>
      <c r="AC680" s="19">
        <v>3.0</v>
      </c>
      <c r="AD680" s="19">
        <v>5.0</v>
      </c>
      <c r="AE680" s="19">
        <v>5.0</v>
      </c>
      <c r="AF680" s="19">
        <v>5.0</v>
      </c>
      <c r="AG680" s="19">
        <v>4.0</v>
      </c>
      <c r="AH680" s="19">
        <v>4.0</v>
      </c>
      <c r="AI680" s="22">
        <v>13.3125</v>
      </c>
      <c r="AJ680" s="19">
        <v>0.0</v>
      </c>
      <c r="AK680" s="19">
        <v>0.0</v>
      </c>
      <c r="AL680" s="19">
        <v>0.0</v>
      </c>
      <c r="AM680" s="19">
        <v>0.0</v>
      </c>
      <c r="AN680" s="19">
        <v>13.3</v>
      </c>
      <c r="AO680" s="19">
        <v>39.3</v>
      </c>
      <c r="AP680" s="19">
        <v>257.0</v>
      </c>
      <c r="AQ680" s="19">
        <v>679.0</v>
      </c>
      <c r="AR680" s="19">
        <v>45.0</v>
      </c>
      <c r="AS680" s="22"/>
      <c r="AT680" s="19" t="s">
        <v>2282</v>
      </c>
      <c r="AU680" s="19" t="s">
        <v>13368</v>
      </c>
      <c r="AV680" s="19" t="s">
        <v>13369</v>
      </c>
      <c r="AW680" s="19"/>
      <c r="AX680" s="20">
        <v>36835.0</v>
      </c>
      <c r="AY680" s="19" t="s">
        <v>4661</v>
      </c>
      <c r="AZ680" s="19" t="s">
        <v>2445</v>
      </c>
      <c r="BA680" s="19" t="s">
        <v>13370</v>
      </c>
      <c r="BB680" s="19" t="s">
        <v>13371</v>
      </c>
      <c r="BC680" s="19" t="s">
        <v>13372</v>
      </c>
      <c r="BD680" s="19" t="s">
        <v>13373</v>
      </c>
      <c r="BE680" s="19" t="s">
        <v>13374</v>
      </c>
      <c r="BF680" s="19">
        <v>1.1964394638E10</v>
      </c>
      <c r="BG680" s="19" t="s">
        <v>2127</v>
      </c>
      <c r="BH680" s="19" t="s">
        <v>2128</v>
      </c>
      <c r="BI680" s="19"/>
      <c r="BJ680" s="19" t="s">
        <v>2128</v>
      </c>
      <c r="BK680" s="19" t="s">
        <v>17</v>
      </c>
      <c r="BL680" s="19" t="s">
        <v>2113</v>
      </c>
      <c r="BM680" s="19" t="s">
        <v>2130</v>
      </c>
      <c r="BN680" s="19" t="s">
        <v>17</v>
      </c>
      <c r="BO680" s="19" t="s">
        <v>2473</v>
      </c>
      <c r="BP680" s="19" t="s">
        <v>13375</v>
      </c>
      <c r="BQ680" s="19" t="s">
        <v>2133</v>
      </c>
      <c r="BR680" s="19" t="s">
        <v>2133</v>
      </c>
      <c r="BS680" s="19" t="s">
        <v>3521</v>
      </c>
      <c r="BT680" s="19" t="s">
        <v>222</v>
      </c>
      <c r="BU680" s="19" t="s">
        <v>13376</v>
      </c>
      <c r="BV680" s="19" t="s">
        <v>13377</v>
      </c>
      <c r="BW680" s="19"/>
      <c r="BX680" s="19"/>
      <c r="BY680" s="19" t="s">
        <v>2113</v>
      </c>
      <c r="BZ680" s="19"/>
      <c r="CA680" s="19"/>
      <c r="CB680" s="19" t="s">
        <v>2113</v>
      </c>
      <c r="CC680" s="19"/>
      <c r="CD680" s="19" t="s">
        <v>2137</v>
      </c>
      <c r="CE680" s="19" t="s">
        <v>16</v>
      </c>
      <c r="CF680" s="19"/>
      <c r="CG680" s="19"/>
      <c r="CH680" s="19" t="s">
        <v>17</v>
      </c>
      <c r="CI680" s="21">
        <v>3.0</v>
      </c>
      <c r="CJ680" s="19" t="s">
        <v>16</v>
      </c>
      <c r="CK680" s="19"/>
      <c r="CL680" s="19" t="s">
        <v>2113</v>
      </c>
      <c r="CM680" s="19" t="s">
        <v>2926</v>
      </c>
      <c r="CN680" s="19" t="s">
        <v>3544</v>
      </c>
      <c r="CO680" s="19"/>
      <c r="CP680" s="19" t="s">
        <v>2178</v>
      </c>
      <c r="CQ680" s="19"/>
      <c r="CR680" s="19" t="s">
        <v>2113</v>
      </c>
      <c r="CS680" s="19" t="s">
        <v>2113</v>
      </c>
      <c r="CT680" s="19" t="s">
        <v>2113</v>
      </c>
      <c r="CU680" s="19" t="s">
        <v>2113</v>
      </c>
      <c r="CV680" s="19" t="s">
        <v>2179</v>
      </c>
      <c r="CW680" s="19" t="s">
        <v>2113</v>
      </c>
      <c r="CX680" s="19" t="s">
        <v>2113</v>
      </c>
      <c r="CY680" s="19" t="s">
        <v>2113</v>
      </c>
      <c r="CZ680" s="19" t="s">
        <v>2113</v>
      </c>
      <c r="DA680" s="19" t="s">
        <v>16</v>
      </c>
      <c r="DB680" s="19" t="s">
        <v>16</v>
      </c>
      <c r="DC680" s="19" t="s">
        <v>2579</v>
      </c>
      <c r="DD680" s="19" t="s">
        <v>2113</v>
      </c>
      <c r="DE680" s="19" t="s">
        <v>2113</v>
      </c>
      <c r="DF680" s="19" t="s">
        <v>2146</v>
      </c>
      <c r="DG680" s="19" t="s">
        <v>6591</v>
      </c>
      <c r="DH680" s="19" t="s">
        <v>2144</v>
      </c>
      <c r="DI680" s="24">
        <v>45519.0</v>
      </c>
      <c r="DJ680" s="19" t="s">
        <v>2133</v>
      </c>
      <c r="DK680" s="19" t="s">
        <v>2271</v>
      </c>
      <c r="DL680" s="19" t="s">
        <v>2146</v>
      </c>
      <c r="DM680" s="19" t="s">
        <v>2751</v>
      </c>
      <c r="DN680" s="19">
        <v>6.0</v>
      </c>
      <c r="DO680" s="19">
        <v>6.0</v>
      </c>
      <c r="DP680" s="19"/>
      <c r="DQ680" s="19"/>
      <c r="DR680" s="19"/>
      <c r="DS680" s="19" t="s">
        <v>2365</v>
      </c>
      <c r="DT680" s="19" t="s">
        <v>2209</v>
      </c>
      <c r="DU680" s="19" t="s">
        <v>13378</v>
      </c>
      <c r="DV680" s="19"/>
      <c r="DW680" s="19" t="s">
        <v>2153</v>
      </c>
      <c r="DX680" s="19">
        <v>7.0</v>
      </c>
      <c r="DY680" s="19">
        <v>0.0</v>
      </c>
      <c r="DZ680" s="19">
        <v>0.0</v>
      </c>
      <c r="EA680" s="19">
        <v>0.0</v>
      </c>
      <c r="EB680" s="19">
        <v>3.0</v>
      </c>
      <c r="EC680" s="19">
        <v>20.0</v>
      </c>
      <c r="ED680" s="19" t="s">
        <v>2133</v>
      </c>
      <c r="EE680" s="24">
        <v>45519.0</v>
      </c>
      <c r="EF680" s="19" t="s">
        <v>2133</v>
      </c>
      <c r="EG680" s="19" t="s">
        <v>2271</v>
      </c>
      <c r="EH680" s="19" t="s">
        <v>2146</v>
      </c>
      <c r="EI680" s="22">
        <v>13.3125</v>
      </c>
      <c r="EJ680" s="19">
        <v>0.0</v>
      </c>
      <c r="EK680" s="19"/>
      <c r="EL680" s="19" t="s">
        <v>2282</v>
      </c>
      <c r="EM680" s="19" t="s">
        <v>13368</v>
      </c>
      <c r="EN680" s="19" t="s">
        <v>13363</v>
      </c>
      <c r="EO680" s="19" t="s">
        <v>4661</v>
      </c>
      <c r="EP680" s="19" t="s">
        <v>2445</v>
      </c>
      <c r="EQ680" s="19" t="s">
        <v>3544</v>
      </c>
      <c r="ER680" s="19"/>
      <c r="ES680" s="19" t="s">
        <v>13363</v>
      </c>
      <c r="ET680" s="19" t="s">
        <v>13363</v>
      </c>
      <c r="EU680" s="19" t="s">
        <v>13365</v>
      </c>
      <c r="EV680" s="19">
        <v>8626.0</v>
      </c>
      <c r="EW680" s="19" t="s">
        <v>16</v>
      </c>
      <c r="EX680" s="19">
        <v>3.0</v>
      </c>
      <c r="EY680" s="25" t="s">
        <v>13366</v>
      </c>
      <c r="EZ680" s="19" t="s">
        <v>2154</v>
      </c>
      <c r="FA680" s="5" t="s">
        <v>13379</v>
      </c>
      <c r="FB680" s="26" t="s">
        <v>2633</v>
      </c>
      <c r="FC680" s="26" t="s">
        <v>10773</v>
      </c>
    </row>
    <row r="681" hidden="1">
      <c r="A681" s="19" t="s">
        <v>2112</v>
      </c>
      <c r="B681" s="19" t="s">
        <v>2113</v>
      </c>
      <c r="C681" s="19" t="s">
        <v>2113</v>
      </c>
      <c r="D681" s="19" t="s">
        <v>13380</v>
      </c>
      <c r="E681" s="19" t="s">
        <v>13381</v>
      </c>
      <c r="F681" s="19" t="s">
        <v>13382</v>
      </c>
      <c r="G681" s="19" t="s">
        <v>13383</v>
      </c>
      <c r="H681" s="19" t="s">
        <v>13384</v>
      </c>
      <c r="I681" s="19" t="s">
        <v>13385</v>
      </c>
      <c r="J681" s="19" t="s">
        <v>13386</v>
      </c>
      <c r="K681" s="19" t="s">
        <v>13387</v>
      </c>
      <c r="L681" s="20">
        <v>45460.0</v>
      </c>
      <c r="M681" s="20">
        <v>45462.0</v>
      </c>
      <c r="N681" s="20">
        <v>45462.0</v>
      </c>
      <c r="O681" s="19" t="s">
        <v>13388</v>
      </c>
      <c r="P681" s="19">
        <v>0.0</v>
      </c>
      <c r="Q681" s="19">
        <v>21.0</v>
      </c>
      <c r="R681" s="19">
        <v>7694.0</v>
      </c>
      <c r="S681" s="20" t="s">
        <v>13389</v>
      </c>
      <c r="T681" s="20">
        <v>45461.0</v>
      </c>
      <c r="U681" s="19" t="s">
        <v>13382</v>
      </c>
      <c r="V681" s="19"/>
      <c r="W681" s="19" t="s">
        <v>13390</v>
      </c>
      <c r="X681" s="21">
        <v>20.0</v>
      </c>
      <c r="Y681" s="21">
        <v>0.0</v>
      </c>
      <c r="Z681" s="21">
        <v>3.0</v>
      </c>
      <c r="AA681" s="21">
        <v>0.0</v>
      </c>
      <c r="AB681" s="5">
        <v>23.0</v>
      </c>
      <c r="AC681" s="19">
        <v>5.0</v>
      </c>
      <c r="AD681" s="19">
        <v>4.8</v>
      </c>
      <c r="AE681" s="19">
        <v>5.0</v>
      </c>
      <c r="AF681" s="19">
        <v>5.0</v>
      </c>
      <c r="AG681" s="19">
        <v>5.0</v>
      </c>
      <c r="AH681" s="19">
        <v>5.0</v>
      </c>
      <c r="AI681" s="22">
        <v>14.868749999999999</v>
      </c>
      <c r="AJ681" s="19"/>
      <c r="AK681" s="19"/>
      <c r="AL681" s="19"/>
      <c r="AM681" s="19">
        <v>0.0</v>
      </c>
      <c r="AN681" s="19">
        <v>14.9</v>
      </c>
      <c r="AO681" s="19">
        <v>37.9</v>
      </c>
      <c r="AP681" s="19">
        <v>323.0</v>
      </c>
      <c r="AQ681" s="19">
        <v>680.0</v>
      </c>
      <c r="AR681" s="19">
        <v>59.0</v>
      </c>
      <c r="AS681" s="22"/>
      <c r="AT681" s="19" t="s">
        <v>2163</v>
      </c>
      <c r="AU681" s="19" t="s">
        <v>13298</v>
      </c>
      <c r="AV681" s="19" t="s">
        <v>13391</v>
      </c>
      <c r="AW681" s="19" t="s">
        <v>2166</v>
      </c>
      <c r="AX681" s="20">
        <v>37767.0</v>
      </c>
      <c r="AY681" s="19" t="s">
        <v>3034</v>
      </c>
      <c r="AZ681" s="19" t="s">
        <v>2445</v>
      </c>
      <c r="BA681" s="19" t="s">
        <v>13392</v>
      </c>
      <c r="BB681" s="19" t="s">
        <v>2621</v>
      </c>
      <c r="BC681" s="19" t="s">
        <v>13393</v>
      </c>
      <c r="BD681" s="19" t="s">
        <v>13394</v>
      </c>
      <c r="BE681" s="19" t="s">
        <v>13386</v>
      </c>
      <c r="BF681" s="19">
        <v>1.1962038705E10</v>
      </c>
      <c r="BG681" s="19" t="s">
        <v>2127</v>
      </c>
      <c r="BH681" s="19" t="s">
        <v>2128</v>
      </c>
      <c r="BI681" s="19"/>
      <c r="BJ681" s="19"/>
      <c r="BK681" s="19" t="s">
        <v>16</v>
      </c>
      <c r="BL681" s="19" t="s">
        <v>2113</v>
      </c>
      <c r="BM681" s="19" t="s">
        <v>2130</v>
      </c>
      <c r="BN681" s="19" t="s">
        <v>17</v>
      </c>
      <c r="BO681" s="19" t="s">
        <v>2473</v>
      </c>
      <c r="BP681" s="19" t="s">
        <v>13395</v>
      </c>
      <c r="BQ681" s="19" t="s">
        <v>2174</v>
      </c>
      <c r="BR681" s="19" t="s">
        <v>2174</v>
      </c>
      <c r="BS681" s="19" t="s">
        <v>3521</v>
      </c>
      <c r="BT681" s="19" t="s">
        <v>34</v>
      </c>
      <c r="BU681" s="19" t="s">
        <v>6215</v>
      </c>
      <c r="BV681" s="19" t="s">
        <v>13396</v>
      </c>
      <c r="BW681" s="19"/>
      <c r="BX681" s="19"/>
      <c r="BY681" s="19"/>
      <c r="BZ681" s="19"/>
      <c r="CA681" s="19" t="s">
        <v>2113</v>
      </c>
      <c r="CB681" s="19" t="s">
        <v>2113</v>
      </c>
      <c r="CC681" s="19"/>
      <c r="CD681" s="19" t="s">
        <v>2137</v>
      </c>
      <c r="CE681" s="19" t="s">
        <v>16</v>
      </c>
      <c r="CF681" s="19"/>
      <c r="CG681" s="19"/>
      <c r="CH681" s="19" t="s">
        <v>16</v>
      </c>
      <c r="CI681" s="21">
        <v>0.0</v>
      </c>
      <c r="CJ681" s="19" t="s">
        <v>17</v>
      </c>
      <c r="CK681" s="19"/>
      <c r="CL681" s="19"/>
      <c r="CM681" s="19" t="s">
        <v>2344</v>
      </c>
      <c r="CN681" s="19" t="s">
        <v>3041</v>
      </c>
      <c r="CO681" s="19"/>
      <c r="CP681" s="19"/>
      <c r="CQ681" s="19" t="s">
        <v>2113</v>
      </c>
      <c r="CR681" s="19" t="s">
        <v>2113</v>
      </c>
      <c r="CS681" s="19" t="s">
        <v>2113</v>
      </c>
      <c r="CT681" s="19" t="s">
        <v>2113</v>
      </c>
      <c r="CU681" s="19" t="s">
        <v>2113</v>
      </c>
      <c r="CV681" s="19" t="s">
        <v>2141</v>
      </c>
      <c r="CW681" s="19"/>
      <c r="CX681" s="19"/>
      <c r="CY681" s="19"/>
      <c r="CZ681" s="19"/>
      <c r="DA681" s="19" t="s">
        <v>16</v>
      </c>
      <c r="DB681" s="19" t="s">
        <v>17</v>
      </c>
      <c r="DC681" s="19" t="s">
        <v>3042</v>
      </c>
      <c r="DD681" s="19" t="s">
        <v>2113</v>
      </c>
      <c r="DE681" s="19" t="s">
        <v>2113</v>
      </c>
      <c r="DF681" s="19" t="s">
        <v>3146</v>
      </c>
      <c r="DG681" s="19" t="s">
        <v>2207</v>
      </c>
      <c r="DH681" s="19" t="s">
        <v>2144</v>
      </c>
      <c r="DI681" s="24">
        <v>45518.0</v>
      </c>
      <c r="DJ681" s="19" t="s">
        <v>2174</v>
      </c>
      <c r="DK681" s="19" t="s">
        <v>2271</v>
      </c>
      <c r="DL681" s="19" t="s">
        <v>2183</v>
      </c>
      <c r="DM681" s="19" t="s">
        <v>2346</v>
      </c>
      <c r="DN681" s="19">
        <v>4.0</v>
      </c>
      <c r="DO681" s="19">
        <v>4.0</v>
      </c>
      <c r="DP681" s="19" t="s">
        <v>13397</v>
      </c>
      <c r="DQ681" s="19" t="s">
        <v>13398</v>
      </c>
      <c r="DR681" s="19" t="s">
        <v>13399</v>
      </c>
      <c r="DS681" s="19" t="s">
        <v>2365</v>
      </c>
      <c r="DT681" s="19" t="s">
        <v>2152</v>
      </c>
      <c r="DU681" s="19"/>
      <c r="DV681" s="19"/>
      <c r="DW681" s="19" t="s">
        <v>2188</v>
      </c>
      <c r="DX681" s="19">
        <v>10.0</v>
      </c>
      <c r="DY681" s="19">
        <v>0.0</v>
      </c>
      <c r="DZ681" s="19">
        <v>0.0</v>
      </c>
      <c r="EA681" s="19">
        <v>0.0</v>
      </c>
      <c r="EB681" s="19">
        <v>0.0</v>
      </c>
      <c r="EC681" s="19">
        <v>20.0</v>
      </c>
      <c r="ED681" s="19" t="s">
        <v>2174</v>
      </c>
      <c r="EE681" s="24">
        <v>45518.0</v>
      </c>
      <c r="EF681" s="19" t="s">
        <v>2174</v>
      </c>
      <c r="EG681" s="19" t="s">
        <v>2271</v>
      </c>
      <c r="EH681" s="19" t="s">
        <v>2183</v>
      </c>
      <c r="EI681" s="22">
        <v>14.868749999999999</v>
      </c>
      <c r="EJ681" s="19">
        <v>0.0</v>
      </c>
      <c r="EK681" s="19" t="s">
        <v>2113</v>
      </c>
      <c r="EL681" s="19" t="s">
        <v>2163</v>
      </c>
      <c r="EM681" s="19" t="s">
        <v>13298</v>
      </c>
      <c r="EN681" s="19" t="s">
        <v>13385</v>
      </c>
      <c r="EO681" s="19" t="s">
        <v>3034</v>
      </c>
      <c r="EP681" s="19" t="s">
        <v>2445</v>
      </c>
      <c r="EQ681" s="19" t="s">
        <v>3041</v>
      </c>
      <c r="ER681" s="19"/>
      <c r="ES681" s="19" t="s">
        <v>13385</v>
      </c>
      <c r="ET681" s="19" t="s">
        <v>13385</v>
      </c>
      <c r="EU681" s="19" t="s">
        <v>13387</v>
      </c>
      <c r="EV681" s="19">
        <v>7694.0</v>
      </c>
      <c r="EW681" s="19" t="s">
        <v>16</v>
      </c>
      <c r="EX681" s="19">
        <v>3.0</v>
      </c>
      <c r="EY681" s="25" t="s">
        <v>13388</v>
      </c>
      <c r="EZ681" s="19" t="s">
        <v>2154</v>
      </c>
      <c r="FA681" s="5" t="s">
        <v>13400</v>
      </c>
      <c r="FB681" s="26" t="s">
        <v>2633</v>
      </c>
      <c r="FC681" s="26" t="s">
        <v>10773</v>
      </c>
    </row>
    <row r="682" hidden="1">
      <c r="A682" s="19" t="s">
        <v>2156</v>
      </c>
      <c r="B682" s="19" t="s">
        <v>2113</v>
      </c>
      <c r="C682" s="19" t="s">
        <v>2113</v>
      </c>
      <c r="D682" s="19" t="s">
        <v>13401</v>
      </c>
      <c r="E682" s="19" t="s">
        <v>13402</v>
      </c>
      <c r="F682" s="19" t="s">
        <v>13401</v>
      </c>
      <c r="G682" s="19"/>
      <c r="H682" s="19" t="s">
        <v>13401</v>
      </c>
      <c r="I682" s="19" t="s">
        <v>13403</v>
      </c>
      <c r="J682" s="19" t="s">
        <v>13404</v>
      </c>
      <c r="K682" s="19" t="s">
        <v>13405</v>
      </c>
      <c r="L682" s="20">
        <v>45460.0</v>
      </c>
      <c r="M682" s="20">
        <v>45462.0</v>
      </c>
      <c r="N682" s="20">
        <v>45462.0</v>
      </c>
      <c r="O682" s="19" t="s">
        <v>13406</v>
      </c>
      <c r="P682" s="19">
        <v>0.0</v>
      </c>
      <c r="Q682" s="19">
        <v>23.0</v>
      </c>
      <c r="R682" s="19">
        <v>8480.0</v>
      </c>
      <c r="S682" s="20" t="s">
        <v>13407</v>
      </c>
      <c r="T682" s="20">
        <v>45461.0</v>
      </c>
      <c r="U682" s="19" t="s">
        <v>13401</v>
      </c>
      <c r="V682" s="19"/>
      <c r="W682" s="19" t="s">
        <v>13408</v>
      </c>
      <c r="X682" s="21">
        <v>20.0</v>
      </c>
      <c r="Y682" s="21">
        <v>0.0</v>
      </c>
      <c r="Z682" s="21">
        <v>5.0</v>
      </c>
      <c r="AA682" s="21">
        <v>0.0</v>
      </c>
      <c r="AB682" s="5">
        <v>25.0</v>
      </c>
      <c r="AC682" s="19">
        <v>4.0</v>
      </c>
      <c r="AD682" s="19">
        <v>5.0</v>
      </c>
      <c r="AE682" s="19">
        <v>4.0</v>
      </c>
      <c r="AF682" s="19">
        <v>4.0</v>
      </c>
      <c r="AG682" s="19">
        <v>4.0</v>
      </c>
      <c r="AH682" s="19">
        <v>4.0</v>
      </c>
      <c r="AI682" s="22">
        <v>12.65625</v>
      </c>
      <c r="AJ682" s="19"/>
      <c r="AK682" s="19"/>
      <c r="AL682" s="19"/>
      <c r="AM682" s="19">
        <v>0.0</v>
      </c>
      <c r="AN682" s="19">
        <v>12.7</v>
      </c>
      <c r="AO682" s="19">
        <v>37.7</v>
      </c>
      <c r="AP682" s="19">
        <v>271.0</v>
      </c>
      <c r="AQ682" s="19">
        <v>681.0</v>
      </c>
      <c r="AR682" s="19">
        <v>95.0</v>
      </c>
      <c r="AS682" s="22"/>
      <c r="AT682" s="19" t="s">
        <v>2117</v>
      </c>
      <c r="AU682" s="19" t="s">
        <v>2571</v>
      </c>
      <c r="AV682" s="19" t="s">
        <v>13409</v>
      </c>
      <c r="AW682" s="19"/>
      <c r="AX682" s="20">
        <v>36981.0</v>
      </c>
      <c r="AY682" s="19" t="s">
        <v>2286</v>
      </c>
      <c r="AZ682" s="19" t="s">
        <v>2310</v>
      </c>
      <c r="BA682" s="19" t="s">
        <v>13410</v>
      </c>
      <c r="BB682" s="19" t="s">
        <v>13411</v>
      </c>
      <c r="BC682" s="19" t="s">
        <v>13412</v>
      </c>
      <c r="BD682" s="19" t="s">
        <v>13413</v>
      </c>
      <c r="BE682" s="19" t="s">
        <v>13404</v>
      </c>
      <c r="BF682" s="19">
        <v>1.198567938E9</v>
      </c>
      <c r="BG682" s="19" t="s">
        <v>4038</v>
      </c>
      <c r="BH682" s="19" t="s">
        <v>2128</v>
      </c>
      <c r="BI682" s="19"/>
      <c r="BJ682" s="19" t="s">
        <v>2128</v>
      </c>
      <c r="BK682" s="19" t="s">
        <v>17</v>
      </c>
      <c r="BL682" s="19"/>
      <c r="BM682" s="19" t="s">
        <v>2130</v>
      </c>
      <c r="BN682" s="19" t="s">
        <v>13414</v>
      </c>
      <c r="BO682" s="19" t="s">
        <v>2132</v>
      </c>
      <c r="BP682" s="19" t="s">
        <v>13415</v>
      </c>
      <c r="BQ682" s="19" t="s">
        <v>2133</v>
      </c>
      <c r="BR682" s="19" t="s">
        <v>2133</v>
      </c>
      <c r="BS682" s="19" t="s">
        <v>3521</v>
      </c>
      <c r="BT682" s="19" t="s">
        <v>38</v>
      </c>
      <c r="BU682" s="19" t="s">
        <v>13416</v>
      </c>
      <c r="BV682" s="19" t="s">
        <v>13417</v>
      </c>
      <c r="BW682" s="19"/>
      <c r="BX682" s="19"/>
      <c r="BY682" s="19"/>
      <c r="BZ682" s="19"/>
      <c r="CA682" s="19"/>
      <c r="CB682" s="19"/>
      <c r="CC682" s="19"/>
      <c r="CD682" s="19" t="s">
        <v>2137</v>
      </c>
      <c r="CE682" s="19" t="s">
        <v>16</v>
      </c>
      <c r="CF682" s="19"/>
      <c r="CG682" s="19"/>
      <c r="CH682" s="19" t="s">
        <v>16</v>
      </c>
      <c r="CI682" s="21">
        <v>0.0</v>
      </c>
      <c r="CJ682" s="19" t="s">
        <v>16</v>
      </c>
      <c r="CK682" s="19"/>
      <c r="CL682" s="19"/>
      <c r="CM682" s="19" t="s">
        <v>2138</v>
      </c>
      <c r="CN682" s="19" t="s">
        <v>2294</v>
      </c>
      <c r="CO682" s="19"/>
      <c r="CP682" s="19" t="s">
        <v>2246</v>
      </c>
      <c r="CQ682" s="19"/>
      <c r="CR682" s="19" t="s">
        <v>2113</v>
      </c>
      <c r="CS682" s="19" t="s">
        <v>2113</v>
      </c>
      <c r="CT682" s="19" t="s">
        <v>2113</v>
      </c>
      <c r="CU682" s="19" t="s">
        <v>2113</v>
      </c>
      <c r="CV682" s="19" t="s">
        <v>2141</v>
      </c>
      <c r="CW682" s="19"/>
      <c r="CX682" s="19"/>
      <c r="CY682" s="19" t="s">
        <v>2113</v>
      </c>
      <c r="CZ682" s="19" t="s">
        <v>2113</v>
      </c>
      <c r="DA682" s="19" t="s">
        <v>16</v>
      </c>
      <c r="DB682" s="19" t="s">
        <v>16</v>
      </c>
      <c r="DC682" s="19" t="s">
        <v>2296</v>
      </c>
      <c r="DD682" s="19"/>
      <c r="DE682" s="19"/>
      <c r="DF682" s="19" t="s">
        <v>2578</v>
      </c>
      <c r="DG682" s="19" t="s">
        <v>2407</v>
      </c>
      <c r="DH682" s="19" t="s">
        <v>2144</v>
      </c>
      <c r="DI682" s="24">
        <v>45518.0</v>
      </c>
      <c r="DJ682" s="19" t="s">
        <v>2133</v>
      </c>
      <c r="DK682" s="19" t="s">
        <v>2145</v>
      </c>
      <c r="DL682" s="19" t="s">
        <v>2146</v>
      </c>
      <c r="DM682" s="19" t="s">
        <v>2672</v>
      </c>
      <c r="DN682" s="19">
        <v>3.0</v>
      </c>
      <c r="DO682" s="19">
        <v>3.0</v>
      </c>
      <c r="DP682" s="19" t="s">
        <v>13418</v>
      </c>
      <c r="DQ682" s="19" t="s">
        <v>13419</v>
      </c>
      <c r="DR682" s="19" t="s">
        <v>13420</v>
      </c>
      <c r="DS682" s="19" t="s">
        <v>2185</v>
      </c>
      <c r="DT682" s="19" t="s">
        <v>2301</v>
      </c>
      <c r="DU682" s="19"/>
      <c r="DV682" s="19"/>
      <c r="DW682" s="19" t="s">
        <v>2153</v>
      </c>
      <c r="DX682" s="19">
        <v>1.0</v>
      </c>
      <c r="DY682" s="19">
        <v>0.0</v>
      </c>
      <c r="DZ682" s="19">
        <v>0.0</v>
      </c>
      <c r="EA682" s="19">
        <v>0.0</v>
      </c>
      <c r="EB682" s="19">
        <v>0.0</v>
      </c>
      <c r="EC682" s="19">
        <v>20.0</v>
      </c>
      <c r="ED682" s="19" t="s">
        <v>2133</v>
      </c>
      <c r="EE682" s="24">
        <v>45518.0</v>
      </c>
      <c r="EF682" s="19" t="s">
        <v>2133</v>
      </c>
      <c r="EG682" s="19" t="s">
        <v>2145</v>
      </c>
      <c r="EH682" s="19" t="s">
        <v>2146</v>
      </c>
      <c r="EI682" s="22">
        <v>12.65625</v>
      </c>
      <c r="EJ682" s="19">
        <v>0.0</v>
      </c>
      <c r="EK682" s="19"/>
      <c r="EL682" s="19" t="s">
        <v>2117</v>
      </c>
      <c r="EM682" s="19" t="s">
        <v>2571</v>
      </c>
      <c r="EN682" s="19" t="s">
        <v>13403</v>
      </c>
      <c r="EO682" s="19" t="s">
        <v>2286</v>
      </c>
      <c r="EP682" s="19" t="s">
        <v>2310</v>
      </c>
      <c r="EQ682" s="19" t="s">
        <v>2294</v>
      </c>
      <c r="ER682" s="19"/>
      <c r="ES682" s="19" t="s">
        <v>13403</v>
      </c>
      <c r="ET682" s="19" t="s">
        <v>13403</v>
      </c>
      <c r="EU682" s="19" t="s">
        <v>13405</v>
      </c>
      <c r="EV682" s="19">
        <v>8480.0</v>
      </c>
      <c r="EW682" s="19" t="s">
        <v>16</v>
      </c>
      <c r="EX682" s="19">
        <v>5.0</v>
      </c>
      <c r="EY682" s="25" t="s">
        <v>13406</v>
      </c>
      <c r="EZ682" s="19" t="s">
        <v>2154</v>
      </c>
      <c r="FA682" s="5" t="s">
        <v>13421</v>
      </c>
      <c r="FB682" s="26" t="s">
        <v>2633</v>
      </c>
      <c r="FC682" s="26" t="s">
        <v>10773</v>
      </c>
    </row>
    <row r="683" hidden="1">
      <c r="A683" s="19" t="s">
        <v>2112</v>
      </c>
      <c r="B683" s="19" t="s">
        <v>2113</v>
      </c>
      <c r="C683" s="19" t="s">
        <v>2113</v>
      </c>
      <c r="D683" s="19" t="s">
        <v>13422</v>
      </c>
      <c r="E683" s="19" t="s">
        <v>13423</v>
      </c>
      <c r="F683" s="19" t="s">
        <v>13424</v>
      </c>
      <c r="G683" s="19" t="s">
        <v>13425</v>
      </c>
      <c r="H683" s="19" t="s">
        <v>13426</v>
      </c>
      <c r="I683" s="19" t="s">
        <v>13427</v>
      </c>
      <c r="J683" s="19" t="s">
        <v>13428</v>
      </c>
      <c r="K683" s="19" t="s">
        <v>13429</v>
      </c>
      <c r="L683" s="20">
        <v>45460.0</v>
      </c>
      <c r="M683" s="20">
        <v>45462.0</v>
      </c>
      <c r="N683" s="20">
        <v>45462.0</v>
      </c>
      <c r="O683" s="19" t="s">
        <v>13430</v>
      </c>
      <c r="P683" s="19">
        <v>0.0</v>
      </c>
      <c r="Q683" s="19">
        <v>27.0</v>
      </c>
      <c r="R683" s="19">
        <v>10130.0</v>
      </c>
      <c r="S683" s="20" t="s">
        <v>13431</v>
      </c>
      <c r="T683" s="20">
        <v>45461.0</v>
      </c>
      <c r="U683" s="19" t="s">
        <v>13424</v>
      </c>
      <c r="V683" s="19"/>
      <c r="W683" s="19"/>
      <c r="X683" s="21">
        <v>20.0</v>
      </c>
      <c r="Y683" s="21">
        <v>0.0</v>
      </c>
      <c r="Z683" s="21">
        <v>4.0</v>
      </c>
      <c r="AA683" s="21">
        <v>0.0</v>
      </c>
      <c r="AB683" s="5">
        <v>24.0</v>
      </c>
      <c r="AC683" s="19">
        <v>4.6</v>
      </c>
      <c r="AD683" s="19">
        <v>4.6</v>
      </c>
      <c r="AE683" s="19">
        <v>4.6</v>
      </c>
      <c r="AF683" s="19">
        <v>4.5</v>
      </c>
      <c r="AG683" s="19">
        <v>4.5</v>
      </c>
      <c r="AH683" s="19">
        <v>4.5</v>
      </c>
      <c r="AI683" s="22">
        <v>13.6875</v>
      </c>
      <c r="AJ683" s="19"/>
      <c r="AK683" s="19"/>
      <c r="AL683" s="19"/>
      <c r="AM683" s="19">
        <v>0.0</v>
      </c>
      <c r="AN683" s="19">
        <v>13.7</v>
      </c>
      <c r="AO683" s="19">
        <v>37.7</v>
      </c>
      <c r="AP683" s="19">
        <v>284.0</v>
      </c>
      <c r="AQ683" s="19">
        <v>682.0</v>
      </c>
      <c r="AR683" s="19">
        <v>52.0</v>
      </c>
      <c r="AS683" s="22"/>
      <c r="AT683" s="19" t="s">
        <v>5281</v>
      </c>
      <c r="AU683" s="19" t="s">
        <v>13065</v>
      </c>
      <c r="AV683" s="19" t="s">
        <v>13066</v>
      </c>
      <c r="AW683" s="19" t="s">
        <v>3923</v>
      </c>
      <c r="AX683" s="20">
        <v>35331.0</v>
      </c>
      <c r="AY683" s="19" t="s">
        <v>2858</v>
      </c>
      <c r="AZ683" s="19" t="s">
        <v>2122</v>
      </c>
      <c r="BA683" s="19" t="s">
        <v>13067</v>
      </c>
      <c r="BB683" s="19" t="s">
        <v>13432</v>
      </c>
      <c r="BC683" s="19" t="s">
        <v>13433</v>
      </c>
      <c r="BD683" s="19" t="s">
        <v>13434</v>
      </c>
      <c r="BE683" s="19" t="s">
        <v>13435</v>
      </c>
      <c r="BF683" s="19">
        <v>1.1951728071E10</v>
      </c>
      <c r="BG683" s="19" t="s">
        <v>2127</v>
      </c>
      <c r="BH683" s="19" t="s">
        <v>2128</v>
      </c>
      <c r="BI683" s="19"/>
      <c r="BJ683" s="19"/>
      <c r="BK683" s="19" t="s">
        <v>16</v>
      </c>
      <c r="BL683" s="19"/>
      <c r="BM683" s="19" t="s">
        <v>2130</v>
      </c>
      <c r="BN683" s="19" t="s">
        <v>4223</v>
      </c>
      <c r="BO683" s="19" t="s">
        <v>2317</v>
      </c>
      <c r="BP683" s="19" t="s">
        <v>13436</v>
      </c>
      <c r="BQ683" s="19" t="s">
        <v>2325</v>
      </c>
      <c r="BR683" s="19" t="s">
        <v>2325</v>
      </c>
      <c r="BS683" s="19" t="s">
        <v>3521</v>
      </c>
      <c r="BT683" s="19" t="s">
        <v>118</v>
      </c>
      <c r="BU683" s="19" t="s">
        <v>13437</v>
      </c>
      <c r="BV683" s="19" t="s">
        <v>13073</v>
      </c>
      <c r="BW683" s="19" t="s">
        <v>2113</v>
      </c>
      <c r="BX683" s="19"/>
      <c r="BY683" s="19"/>
      <c r="BZ683" s="19"/>
      <c r="CA683" s="19"/>
      <c r="CB683" s="19" t="s">
        <v>2113</v>
      </c>
      <c r="CC683" s="19"/>
      <c r="CD683" s="19" t="s">
        <v>2137</v>
      </c>
      <c r="CE683" s="19" t="s">
        <v>16</v>
      </c>
      <c r="CF683" s="19"/>
      <c r="CG683" s="19"/>
      <c r="CH683" s="19" t="s">
        <v>16</v>
      </c>
      <c r="CI683" s="21">
        <v>0.0</v>
      </c>
      <c r="CJ683" s="19" t="s">
        <v>17</v>
      </c>
      <c r="CK683" s="19"/>
      <c r="CL683" s="19"/>
      <c r="CM683" s="19" t="s">
        <v>2138</v>
      </c>
      <c r="CN683" s="19" t="s">
        <v>2868</v>
      </c>
      <c r="CO683" s="19"/>
      <c r="CP683" s="19"/>
      <c r="CQ683" s="19"/>
      <c r="CR683" s="19"/>
      <c r="CS683" s="19"/>
      <c r="CT683" s="19" t="s">
        <v>2113</v>
      </c>
      <c r="CU683" s="19" t="s">
        <v>2113</v>
      </c>
      <c r="CV683" s="19" t="s">
        <v>2141</v>
      </c>
      <c r="CW683" s="19"/>
      <c r="CX683" s="19"/>
      <c r="CY683" s="19" t="s">
        <v>2113</v>
      </c>
      <c r="CZ683" s="19" t="s">
        <v>2113</v>
      </c>
      <c r="DA683" s="19" t="s">
        <v>16</v>
      </c>
      <c r="DB683" s="19" t="s">
        <v>17</v>
      </c>
      <c r="DC683" s="19" t="s">
        <v>4572</v>
      </c>
      <c r="DD683" s="19" t="s">
        <v>2113</v>
      </c>
      <c r="DE683" s="19" t="s">
        <v>2113</v>
      </c>
      <c r="DF683" s="19" t="s">
        <v>2870</v>
      </c>
      <c r="DG683" s="19" t="s">
        <v>2869</v>
      </c>
      <c r="DH683" s="19" t="s">
        <v>2144</v>
      </c>
      <c r="DI683" s="24">
        <v>45525.0</v>
      </c>
      <c r="DJ683" s="19" t="s">
        <v>2325</v>
      </c>
      <c r="DK683" s="19" t="s">
        <v>2271</v>
      </c>
      <c r="DL683" s="19" t="s">
        <v>2326</v>
      </c>
      <c r="DM683" s="19"/>
      <c r="DN683" s="19">
        <v>10.0</v>
      </c>
      <c r="DO683" s="19">
        <v>10.0</v>
      </c>
      <c r="DP683" s="19" t="s">
        <v>13438</v>
      </c>
      <c r="DQ683" s="19" t="s">
        <v>13439</v>
      </c>
      <c r="DR683" s="19" t="s">
        <v>13440</v>
      </c>
      <c r="DS683" s="19" t="s">
        <v>2365</v>
      </c>
      <c r="DT683" s="19" t="s">
        <v>2301</v>
      </c>
      <c r="DU683" s="19"/>
      <c r="DV683" s="19"/>
      <c r="DW683" s="19" t="s">
        <v>2479</v>
      </c>
      <c r="DX683" s="19">
        <v>11.0</v>
      </c>
      <c r="DY683" s="19">
        <v>0.0</v>
      </c>
      <c r="DZ683" s="19">
        <v>0.0</v>
      </c>
      <c r="EA683" s="19">
        <v>0.0</v>
      </c>
      <c r="EB683" s="19">
        <v>0.0</v>
      </c>
      <c r="EC683" s="19">
        <v>20.0</v>
      </c>
      <c r="ED683" s="19" t="s">
        <v>2325</v>
      </c>
      <c r="EE683" s="24">
        <v>45525.0</v>
      </c>
      <c r="EF683" s="19" t="s">
        <v>2325</v>
      </c>
      <c r="EG683" s="19" t="s">
        <v>2271</v>
      </c>
      <c r="EH683" s="19" t="s">
        <v>2326</v>
      </c>
      <c r="EI683" s="22">
        <v>13.6875</v>
      </c>
      <c r="EJ683" s="19">
        <v>0.0</v>
      </c>
      <c r="EK683" s="19" t="s">
        <v>2113</v>
      </c>
      <c r="EL683" s="19" t="s">
        <v>5281</v>
      </c>
      <c r="EM683" s="19" t="s">
        <v>13065</v>
      </c>
      <c r="EN683" s="19" t="s">
        <v>13427</v>
      </c>
      <c r="EO683" s="19" t="s">
        <v>2858</v>
      </c>
      <c r="EP683" s="19" t="s">
        <v>2122</v>
      </c>
      <c r="EQ683" s="19" t="s">
        <v>2868</v>
      </c>
      <c r="ER683" s="19"/>
      <c r="ES683" s="19" t="s">
        <v>13427</v>
      </c>
      <c r="ET683" s="19" t="s">
        <v>13427</v>
      </c>
      <c r="EU683" s="19" t="s">
        <v>13429</v>
      </c>
      <c r="EV683" s="19">
        <v>10130.0</v>
      </c>
      <c r="EW683" s="19" t="s">
        <v>16</v>
      </c>
      <c r="EX683" s="19">
        <v>4.0</v>
      </c>
      <c r="EY683" s="25" t="s">
        <v>13430</v>
      </c>
      <c r="EZ683" s="19" t="s">
        <v>2154</v>
      </c>
      <c r="FA683" s="5" t="s">
        <v>13441</v>
      </c>
      <c r="FB683" s="26" t="s">
        <v>2633</v>
      </c>
      <c r="FC683" s="26" t="s">
        <v>10773</v>
      </c>
    </row>
    <row r="684" hidden="1">
      <c r="A684" s="19" t="s">
        <v>2156</v>
      </c>
      <c r="B684" s="19" t="s">
        <v>2113</v>
      </c>
      <c r="C684" s="19" t="s">
        <v>2113</v>
      </c>
      <c r="D684" s="19" t="s">
        <v>13442</v>
      </c>
      <c r="E684" s="19" t="s">
        <v>13443</v>
      </c>
      <c r="F684" s="19" t="s">
        <v>13444</v>
      </c>
      <c r="G684" s="19" t="s">
        <v>13445</v>
      </c>
      <c r="H684" s="19" t="s">
        <v>13444</v>
      </c>
      <c r="I684" s="19" t="s">
        <v>13446</v>
      </c>
      <c r="J684" s="19" t="s">
        <v>13447</v>
      </c>
      <c r="K684" s="19" t="s">
        <v>13448</v>
      </c>
      <c r="L684" s="20">
        <v>45460.0</v>
      </c>
      <c r="M684" s="20">
        <v>45462.0</v>
      </c>
      <c r="N684" s="20">
        <v>45462.0</v>
      </c>
      <c r="O684" s="19" t="s">
        <v>13449</v>
      </c>
      <c r="P684" s="19">
        <v>0.0</v>
      </c>
      <c r="Q684" s="19">
        <v>20.0</v>
      </c>
      <c r="R684" s="19">
        <v>7358.0</v>
      </c>
      <c r="S684" s="20" t="s">
        <v>13450</v>
      </c>
      <c r="T684" s="20">
        <v>45461.0</v>
      </c>
      <c r="U684" s="19" t="s">
        <v>13444</v>
      </c>
      <c r="V684" s="19"/>
      <c r="W684" s="19"/>
      <c r="X684" s="21">
        <v>20.0</v>
      </c>
      <c r="Y684" s="21">
        <v>0.0</v>
      </c>
      <c r="Z684" s="21">
        <v>3.0</v>
      </c>
      <c r="AA684" s="21">
        <v>2.0</v>
      </c>
      <c r="AB684" s="5">
        <v>25.0</v>
      </c>
      <c r="AC684" s="19">
        <v>4.0</v>
      </c>
      <c r="AD684" s="19">
        <v>4.0</v>
      </c>
      <c r="AE684" s="19">
        <v>3.6666666666666665</v>
      </c>
      <c r="AF684" s="19">
        <v>3.0</v>
      </c>
      <c r="AG684" s="19">
        <v>3.0</v>
      </c>
      <c r="AH684" s="19">
        <v>4.333333333333333</v>
      </c>
      <c r="AI684" s="22">
        <v>11.124999999999998</v>
      </c>
      <c r="AJ684" s="19"/>
      <c r="AK684" s="19"/>
      <c r="AL684" s="19"/>
      <c r="AM684" s="19">
        <v>0.0</v>
      </c>
      <c r="AN684" s="19">
        <v>11.1</v>
      </c>
      <c r="AO684" s="19">
        <v>36.1</v>
      </c>
      <c r="AP684" s="19">
        <v>281.0</v>
      </c>
      <c r="AQ684" s="19">
        <v>683.0</v>
      </c>
      <c r="AR684" s="19">
        <v>48.0</v>
      </c>
      <c r="AS684" s="22"/>
      <c r="AT684" s="19" t="s">
        <v>2282</v>
      </c>
      <c r="AU684" s="19" t="s">
        <v>4072</v>
      </c>
      <c r="AV684" s="19" t="s">
        <v>13451</v>
      </c>
      <c r="AW684" s="19" t="s">
        <v>13452</v>
      </c>
      <c r="AX684" s="20">
        <v>38103.0</v>
      </c>
      <c r="AY684" s="19" t="s">
        <v>3826</v>
      </c>
      <c r="AZ684" s="19" t="s">
        <v>3849</v>
      </c>
      <c r="BA684" s="19" t="s">
        <v>13453</v>
      </c>
      <c r="BB684" s="19" t="s">
        <v>4076</v>
      </c>
      <c r="BC684" s="19" t="s">
        <v>13454</v>
      </c>
      <c r="BD684" s="19" t="s">
        <v>13455</v>
      </c>
      <c r="BE684" s="19" t="s">
        <v>13456</v>
      </c>
      <c r="BF684" s="19">
        <v>1.193144658E10</v>
      </c>
      <c r="BG684" s="19" t="s">
        <v>4038</v>
      </c>
      <c r="BH684" s="19" t="s">
        <v>2128</v>
      </c>
      <c r="BI684" s="19"/>
      <c r="BJ684" s="19" t="s">
        <v>2128</v>
      </c>
      <c r="BK684" s="19" t="s">
        <v>17</v>
      </c>
      <c r="BL684" s="19"/>
      <c r="BM684" s="19" t="s">
        <v>2130</v>
      </c>
      <c r="BN684" s="19" t="s">
        <v>17</v>
      </c>
      <c r="BO684" s="19" t="s">
        <v>2473</v>
      </c>
      <c r="BP684" s="19" t="s">
        <v>13457</v>
      </c>
      <c r="BQ684" s="19" t="s">
        <v>3832</v>
      </c>
      <c r="BR684" s="19" t="s">
        <v>3832</v>
      </c>
      <c r="BS684" s="19" t="s">
        <v>2243</v>
      </c>
      <c r="BT684" s="19" t="s">
        <v>268</v>
      </c>
      <c r="BU684" s="19" t="s">
        <v>12387</v>
      </c>
      <c r="BV684" s="19" t="s">
        <v>13458</v>
      </c>
      <c r="BW684" s="19"/>
      <c r="BX684" s="19"/>
      <c r="BY684" s="19"/>
      <c r="BZ684" s="19"/>
      <c r="CA684" s="19"/>
      <c r="CB684" s="19" t="s">
        <v>2113</v>
      </c>
      <c r="CC684" s="19" t="s">
        <v>2113</v>
      </c>
      <c r="CD684" s="19" t="s">
        <v>2137</v>
      </c>
      <c r="CE684" s="19" t="s">
        <v>16</v>
      </c>
      <c r="CF684" s="19"/>
      <c r="CG684" s="19"/>
      <c r="CH684" s="19" t="s">
        <v>16</v>
      </c>
      <c r="CI684" s="21">
        <v>0.0</v>
      </c>
      <c r="CJ684" s="19" t="s">
        <v>16</v>
      </c>
      <c r="CK684" s="19"/>
      <c r="CL684" s="19"/>
      <c r="CM684" s="19" t="s">
        <v>2138</v>
      </c>
      <c r="CN684" s="19" t="s">
        <v>3835</v>
      </c>
      <c r="CO684" s="19"/>
      <c r="CP684" s="19" t="s">
        <v>2246</v>
      </c>
      <c r="CQ684" s="19"/>
      <c r="CR684" s="19" t="s">
        <v>2113</v>
      </c>
      <c r="CS684" s="19" t="s">
        <v>2113</v>
      </c>
      <c r="CT684" s="19"/>
      <c r="CU684" s="19"/>
      <c r="CV684" s="19" t="s">
        <v>2141</v>
      </c>
      <c r="CW684" s="19"/>
      <c r="CX684" s="19"/>
      <c r="CY684" s="19" t="s">
        <v>2113</v>
      </c>
      <c r="CZ684" s="19" t="s">
        <v>2113</v>
      </c>
      <c r="DA684" s="19" t="s">
        <v>16</v>
      </c>
      <c r="DB684" s="19" t="s">
        <v>16</v>
      </c>
      <c r="DC684" s="19" t="s">
        <v>3836</v>
      </c>
      <c r="DD684" s="19" t="s">
        <v>2113</v>
      </c>
      <c r="DE684" s="19" t="s">
        <v>2113</v>
      </c>
      <c r="DF684" s="19" t="s">
        <v>3163</v>
      </c>
      <c r="DG684" s="19" t="s">
        <v>2207</v>
      </c>
      <c r="DH684" s="19" t="s">
        <v>2144</v>
      </c>
      <c r="DI684" s="24">
        <v>45525.0</v>
      </c>
      <c r="DJ684" s="19" t="s">
        <v>3257</v>
      </c>
      <c r="DK684" s="19" t="s">
        <v>2271</v>
      </c>
      <c r="DL684" s="19" t="s">
        <v>2207</v>
      </c>
      <c r="DM684" s="22" t="s">
        <v>7846</v>
      </c>
      <c r="DN684" s="19">
        <v>4.0</v>
      </c>
      <c r="DO684" s="19">
        <v>4.0</v>
      </c>
      <c r="DP684" s="19" t="s">
        <v>13459</v>
      </c>
      <c r="DQ684" s="19" t="s">
        <v>13460</v>
      </c>
      <c r="DR684" s="19" t="s">
        <v>13461</v>
      </c>
      <c r="DS684" s="19" t="s">
        <v>2365</v>
      </c>
      <c r="DT684" s="19" t="s">
        <v>2301</v>
      </c>
      <c r="DU684" s="19"/>
      <c r="DV684" s="19"/>
      <c r="DW684" s="19" t="s">
        <v>2188</v>
      </c>
      <c r="DX684" s="19">
        <v>10.0</v>
      </c>
      <c r="DY684" s="19">
        <v>0.0</v>
      </c>
      <c r="DZ684" s="19">
        <v>2.0</v>
      </c>
      <c r="EA684" s="19">
        <v>0.0</v>
      </c>
      <c r="EB684" s="19">
        <v>0.0</v>
      </c>
      <c r="EC684" s="19">
        <v>20.0</v>
      </c>
      <c r="ED684" s="19" t="s">
        <v>3257</v>
      </c>
      <c r="EE684" s="24">
        <v>45525.0</v>
      </c>
      <c r="EF684" s="19" t="s">
        <v>3257</v>
      </c>
      <c r="EG684" s="19" t="s">
        <v>2271</v>
      </c>
      <c r="EH684" s="19" t="s">
        <v>2207</v>
      </c>
      <c r="EI684" s="22">
        <v>11.124999999999998</v>
      </c>
      <c r="EJ684" s="19">
        <v>0.0</v>
      </c>
      <c r="EK684" s="19"/>
      <c r="EL684" s="19" t="s">
        <v>2282</v>
      </c>
      <c r="EM684" s="19" t="s">
        <v>4072</v>
      </c>
      <c r="EN684" s="19" t="s">
        <v>13446</v>
      </c>
      <c r="EO684" s="19" t="s">
        <v>3826</v>
      </c>
      <c r="EP684" s="19" t="s">
        <v>3849</v>
      </c>
      <c r="EQ684" s="19" t="s">
        <v>3835</v>
      </c>
      <c r="ER684" s="19"/>
      <c r="ES684" s="19" t="s">
        <v>13446</v>
      </c>
      <c r="ET684" s="19" t="s">
        <v>13446</v>
      </c>
      <c r="EU684" s="19" t="s">
        <v>13448</v>
      </c>
      <c r="EV684" s="19">
        <v>7358.0</v>
      </c>
      <c r="EW684" s="19" t="s">
        <v>16</v>
      </c>
      <c r="EX684" s="19">
        <v>3.0</v>
      </c>
      <c r="EY684" s="25" t="s">
        <v>13449</v>
      </c>
      <c r="EZ684" s="19" t="s">
        <v>2154</v>
      </c>
      <c r="FA684" s="5" t="s">
        <v>13462</v>
      </c>
      <c r="FB684" s="26" t="s">
        <v>2633</v>
      </c>
      <c r="FC684" s="26" t="s">
        <v>10773</v>
      </c>
    </row>
    <row r="685" hidden="1">
      <c r="A685" s="19" t="s">
        <v>2112</v>
      </c>
      <c r="B685" s="19" t="s">
        <v>2113</v>
      </c>
      <c r="C685" s="19" t="s">
        <v>2113</v>
      </c>
      <c r="D685" s="19" t="s">
        <v>13463</v>
      </c>
      <c r="E685" s="19" t="s">
        <v>13464</v>
      </c>
      <c r="F685" s="19" t="s">
        <v>13463</v>
      </c>
      <c r="G685" s="19" t="s">
        <v>13465</v>
      </c>
      <c r="H685" s="19" t="s">
        <v>13463</v>
      </c>
      <c r="I685" s="19" t="s">
        <v>13466</v>
      </c>
      <c r="J685" s="19" t="s">
        <v>13467</v>
      </c>
      <c r="K685" s="19" t="s">
        <v>13468</v>
      </c>
      <c r="L685" s="20">
        <v>45446.0</v>
      </c>
      <c r="M685" s="20">
        <v>45447.0</v>
      </c>
      <c r="N685" s="20">
        <v>45447.0</v>
      </c>
      <c r="O685" s="19" t="s">
        <v>13469</v>
      </c>
      <c r="P685" s="19">
        <v>0.0</v>
      </c>
      <c r="Q685" s="19">
        <v>24.0</v>
      </c>
      <c r="R685" s="19">
        <v>8933.0</v>
      </c>
      <c r="S685" s="20" t="s">
        <v>13470</v>
      </c>
      <c r="T685" s="20">
        <v>45461.0</v>
      </c>
      <c r="U685" s="19" t="s">
        <v>13471</v>
      </c>
      <c r="V685" s="19"/>
      <c r="W685" s="19"/>
      <c r="X685" s="21">
        <v>20.0</v>
      </c>
      <c r="Y685" s="21">
        <v>0.0</v>
      </c>
      <c r="Z685" s="21">
        <v>3.0</v>
      </c>
      <c r="AA685" s="21">
        <v>0.0</v>
      </c>
      <c r="AB685" s="5">
        <v>23.0</v>
      </c>
      <c r="AC685" s="19">
        <v>4.5</v>
      </c>
      <c r="AD685" s="19">
        <v>4.5</v>
      </c>
      <c r="AE685" s="19">
        <v>4.5</v>
      </c>
      <c r="AF685" s="19">
        <v>4.0</v>
      </c>
      <c r="AG685" s="19">
        <v>4.0</v>
      </c>
      <c r="AH685" s="19">
        <v>4.0</v>
      </c>
      <c r="AI685" s="22">
        <v>12.9375</v>
      </c>
      <c r="AJ685" s="19"/>
      <c r="AK685" s="19"/>
      <c r="AL685" s="19"/>
      <c r="AM685" s="19">
        <v>0.0</v>
      </c>
      <c r="AN685" s="19">
        <v>12.9</v>
      </c>
      <c r="AO685" s="19">
        <v>35.9</v>
      </c>
      <c r="AP685" s="19">
        <v>313.0</v>
      </c>
      <c r="AQ685" s="19">
        <v>684.0</v>
      </c>
      <c r="AR685" s="19">
        <v>60.0</v>
      </c>
      <c r="AS685" s="19"/>
      <c r="AT685" s="19" t="s">
        <v>2117</v>
      </c>
      <c r="AU685" s="19" t="s">
        <v>13472</v>
      </c>
      <c r="AV685" s="19" t="s">
        <v>13473</v>
      </c>
      <c r="AW685" s="19"/>
      <c r="AX685" s="20">
        <v>36528.0</v>
      </c>
      <c r="AY685" s="19" t="s">
        <v>5573</v>
      </c>
      <c r="AZ685" s="19" t="s">
        <v>2310</v>
      </c>
      <c r="BA685" s="19" t="s">
        <v>13474</v>
      </c>
      <c r="BB685" s="19" t="s">
        <v>13475</v>
      </c>
      <c r="BC685" s="19" t="s">
        <v>13476</v>
      </c>
      <c r="BD685" s="19" t="s">
        <v>13477</v>
      </c>
      <c r="BE685" s="19" t="s">
        <v>13478</v>
      </c>
      <c r="BF685" s="19">
        <v>9.198536793E10</v>
      </c>
      <c r="BG685" s="19" t="s">
        <v>4038</v>
      </c>
      <c r="BH685" s="19" t="s">
        <v>2128</v>
      </c>
      <c r="BI685" s="19"/>
      <c r="BJ685" s="19" t="s">
        <v>2128</v>
      </c>
      <c r="BK685" s="19" t="s">
        <v>17</v>
      </c>
      <c r="BL685" s="19"/>
      <c r="BM685" s="19" t="s">
        <v>2130</v>
      </c>
      <c r="BN685" s="19" t="s">
        <v>17</v>
      </c>
      <c r="BO685" s="19" t="s">
        <v>2473</v>
      </c>
      <c r="BP685" s="19" t="s">
        <v>13479</v>
      </c>
      <c r="BQ685" s="19" t="s">
        <v>2174</v>
      </c>
      <c r="BR685" s="19" t="s">
        <v>2174</v>
      </c>
      <c r="BS685" s="19" t="s">
        <v>3521</v>
      </c>
      <c r="BT685" s="19" t="s">
        <v>34</v>
      </c>
      <c r="BU685" s="19" t="s">
        <v>13480</v>
      </c>
      <c r="BV685" s="19" t="s">
        <v>13481</v>
      </c>
      <c r="BW685" s="19"/>
      <c r="BX685" s="19"/>
      <c r="BY685" s="19"/>
      <c r="BZ685" s="19"/>
      <c r="CA685" s="19"/>
      <c r="CB685" s="19" t="s">
        <v>2113</v>
      </c>
      <c r="CC685" s="19" t="s">
        <v>2113</v>
      </c>
      <c r="CD685" s="19" t="s">
        <v>2137</v>
      </c>
      <c r="CE685" s="19" t="s">
        <v>16</v>
      </c>
      <c r="CF685" s="19"/>
      <c r="CG685" s="19"/>
      <c r="CH685" s="19" t="s">
        <v>16</v>
      </c>
      <c r="CI685" s="21">
        <v>0.0</v>
      </c>
      <c r="CJ685" s="19" t="s">
        <v>16</v>
      </c>
      <c r="CK685" s="19"/>
      <c r="CL685" s="19"/>
      <c r="CM685" s="19" t="s">
        <v>2138</v>
      </c>
      <c r="CN685" s="19" t="s">
        <v>3041</v>
      </c>
      <c r="CO685" s="19"/>
      <c r="CP685" s="19" t="s">
        <v>2246</v>
      </c>
      <c r="CQ685" s="19"/>
      <c r="CR685" s="19" t="s">
        <v>2113</v>
      </c>
      <c r="CS685" s="19" t="s">
        <v>2113</v>
      </c>
      <c r="CT685" s="19"/>
      <c r="CU685" s="19"/>
      <c r="CV685" s="19" t="s">
        <v>2179</v>
      </c>
      <c r="CW685" s="19"/>
      <c r="CX685" s="19"/>
      <c r="CY685" s="19"/>
      <c r="CZ685" s="19"/>
      <c r="DA685" s="19" t="s">
        <v>16</v>
      </c>
      <c r="DB685" s="19" t="s">
        <v>16</v>
      </c>
      <c r="DC685" s="19" t="s">
        <v>3042</v>
      </c>
      <c r="DD685" s="19" t="s">
        <v>2113</v>
      </c>
      <c r="DE685" s="19" t="s">
        <v>2113</v>
      </c>
      <c r="DF685" s="19" t="s">
        <v>3163</v>
      </c>
      <c r="DG685" s="19" t="s">
        <v>2539</v>
      </c>
      <c r="DH685" s="19" t="s">
        <v>2144</v>
      </c>
      <c r="DI685" s="24">
        <v>45533.0</v>
      </c>
      <c r="DJ685" s="19" t="s">
        <v>2174</v>
      </c>
      <c r="DK685" s="19" t="s">
        <v>2271</v>
      </c>
      <c r="DL685" s="19" t="s">
        <v>2207</v>
      </c>
      <c r="DM685" s="19" t="s">
        <v>4927</v>
      </c>
      <c r="DN685" s="19">
        <v>10.0</v>
      </c>
      <c r="DO685" s="19">
        <v>10.0</v>
      </c>
      <c r="DP685" s="19"/>
      <c r="DQ685" s="19"/>
      <c r="DR685" s="19"/>
      <c r="DS685" s="19" t="s">
        <v>2151</v>
      </c>
      <c r="DT685" s="19" t="s">
        <v>2209</v>
      </c>
      <c r="DU685" s="19" t="s">
        <v>13482</v>
      </c>
      <c r="DV685" s="19" t="s">
        <v>13483</v>
      </c>
      <c r="DW685" s="19" t="s">
        <v>2479</v>
      </c>
      <c r="DX685" s="19">
        <v>16.0</v>
      </c>
      <c r="DY685" s="19">
        <v>0.0</v>
      </c>
      <c r="DZ685" s="19">
        <v>0.0</v>
      </c>
      <c r="EA685" s="19">
        <v>0.0</v>
      </c>
      <c r="EB685" s="19">
        <v>0.0</v>
      </c>
      <c r="EC685" s="19">
        <v>20.0</v>
      </c>
      <c r="ED685" s="19" t="s">
        <v>2174</v>
      </c>
      <c r="EE685" s="24">
        <v>45533.0</v>
      </c>
      <c r="EF685" s="19" t="s">
        <v>2174</v>
      </c>
      <c r="EG685" s="19" t="s">
        <v>2271</v>
      </c>
      <c r="EH685" s="19" t="s">
        <v>2207</v>
      </c>
      <c r="EI685" s="22">
        <v>12.9375</v>
      </c>
      <c r="EJ685" s="19">
        <v>0.0</v>
      </c>
      <c r="EK685" s="19"/>
      <c r="EL685" s="19" t="s">
        <v>2117</v>
      </c>
      <c r="EM685" s="19" t="s">
        <v>13472</v>
      </c>
      <c r="EN685" s="19" t="s">
        <v>13466</v>
      </c>
      <c r="EO685" s="19" t="s">
        <v>5573</v>
      </c>
      <c r="EP685" s="19" t="s">
        <v>2310</v>
      </c>
      <c r="EQ685" s="19" t="s">
        <v>3041</v>
      </c>
      <c r="ER685" s="19"/>
      <c r="ES685" s="19" t="s">
        <v>13466</v>
      </c>
      <c r="ET685" s="19" t="s">
        <v>13466</v>
      </c>
      <c r="EU685" s="19" t="s">
        <v>13468</v>
      </c>
      <c r="EV685" s="19">
        <v>8933.0</v>
      </c>
      <c r="EW685" s="19" t="s">
        <v>16</v>
      </c>
      <c r="EX685" s="19">
        <v>3.0</v>
      </c>
      <c r="EY685" s="25" t="s">
        <v>13469</v>
      </c>
      <c r="EZ685" s="19" t="s">
        <v>2154</v>
      </c>
      <c r="FA685" s="5" t="s">
        <v>13484</v>
      </c>
      <c r="FB685" s="26" t="s">
        <v>2633</v>
      </c>
      <c r="FC685" s="26" t="s">
        <v>10773</v>
      </c>
    </row>
    <row r="686" hidden="1">
      <c r="A686" s="19" t="s">
        <v>17</v>
      </c>
      <c r="B686" s="19" t="s">
        <v>2113</v>
      </c>
      <c r="C686" s="19" t="s">
        <v>2113</v>
      </c>
      <c r="D686" s="19" t="s">
        <v>13485</v>
      </c>
      <c r="E686" s="19" t="s">
        <v>13486</v>
      </c>
      <c r="F686" s="19" t="s">
        <v>13487</v>
      </c>
      <c r="G686" s="19" t="s">
        <v>13486</v>
      </c>
      <c r="H686" s="19" t="s">
        <v>13487</v>
      </c>
      <c r="I686" s="19" t="s">
        <v>13488</v>
      </c>
      <c r="J686" s="19" t="s">
        <v>13489</v>
      </c>
      <c r="K686" s="19" t="s">
        <v>13490</v>
      </c>
      <c r="L686" s="20">
        <v>45406.0</v>
      </c>
      <c r="M686" s="20">
        <v>45411.0</v>
      </c>
      <c r="N686" s="20">
        <v>45411.0</v>
      </c>
      <c r="O686" s="19" t="s">
        <v>13491</v>
      </c>
      <c r="P686" s="19">
        <v>0.0</v>
      </c>
      <c r="Q686" s="19">
        <v>26.0</v>
      </c>
      <c r="R686" s="19">
        <v>9727.0</v>
      </c>
      <c r="S686" s="20" t="s">
        <v>13492</v>
      </c>
      <c r="T686" s="20">
        <v>45461.0</v>
      </c>
      <c r="U686" s="19" t="s">
        <v>13487</v>
      </c>
      <c r="V686" s="19"/>
      <c r="W686" s="19"/>
      <c r="X686" s="21">
        <v>20.0</v>
      </c>
      <c r="Y686" s="21">
        <v>0.0</v>
      </c>
      <c r="Z686" s="21">
        <v>2.0</v>
      </c>
      <c r="AA686" s="21">
        <v>0.0</v>
      </c>
      <c r="AB686" s="5">
        <v>22.0</v>
      </c>
      <c r="AC686" s="19">
        <v>4.333333333333333</v>
      </c>
      <c r="AD686" s="19">
        <v>4.666666666666667</v>
      </c>
      <c r="AE686" s="19">
        <v>4.0</v>
      </c>
      <c r="AF686" s="19">
        <v>4.0</v>
      </c>
      <c r="AG686" s="19">
        <v>4.0</v>
      </c>
      <c r="AH686" s="19">
        <v>3.6666666666666665</v>
      </c>
      <c r="AI686" s="22">
        <v>12.46875</v>
      </c>
      <c r="AJ686" s="19"/>
      <c r="AK686" s="19"/>
      <c r="AL686" s="19"/>
      <c r="AM686" s="19">
        <v>0.0</v>
      </c>
      <c r="AN686" s="19">
        <v>12.5</v>
      </c>
      <c r="AO686" s="19">
        <v>34.5</v>
      </c>
      <c r="AP686" s="19">
        <v>333.0</v>
      </c>
      <c r="AQ686" s="19">
        <v>685.0</v>
      </c>
      <c r="AR686" s="19">
        <v>24.0</v>
      </c>
      <c r="AS686" s="22"/>
      <c r="AT686" s="19" t="s">
        <v>2163</v>
      </c>
      <c r="AU686" s="19" t="s">
        <v>7318</v>
      </c>
      <c r="AV686" s="19" t="s">
        <v>13493</v>
      </c>
      <c r="AW686" s="19" t="s">
        <v>13494</v>
      </c>
      <c r="AX686" s="20">
        <v>35734.0</v>
      </c>
      <c r="AY686" s="19" t="s">
        <v>3441</v>
      </c>
      <c r="AZ686" s="19" t="s">
        <v>2310</v>
      </c>
      <c r="BA686" s="19" t="s">
        <v>13495</v>
      </c>
      <c r="BB686" s="19" t="s">
        <v>13496</v>
      </c>
      <c r="BC686" s="19" t="s">
        <v>13497</v>
      </c>
      <c r="BD686" s="19" t="s">
        <v>13498</v>
      </c>
      <c r="BE686" s="19" t="s">
        <v>13489</v>
      </c>
      <c r="BF686" s="19">
        <v>1.1981036484E10</v>
      </c>
      <c r="BG686" s="19" t="s">
        <v>2127</v>
      </c>
      <c r="BH686" s="19" t="s">
        <v>2128</v>
      </c>
      <c r="BI686" s="19"/>
      <c r="BJ686" s="19"/>
      <c r="BK686" s="19" t="s">
        <v>16</v>
      </c>
      <c r="BL686" s="19"/>
      <c r="BM686" s="19" t="s">
        <v>2130</v>
      </c>
      <c r="BN686" s="19" t="s">
        <v>5055</v>
      </c>
      <c r="BO686" s="19" t="s">
        <v>3199</v>
      </c>
      <c r="BP686" s="19" t="s">
        <v>13499</v>
      </c>
      <c r="BQ686" s="19" t="s">
        <v>3251</v>
      </c>
      <c r="BR686" s="19" t="s">
        <v>3251</v>
      </c>
      <c r="BS686" s="19" t="s">
        <v>3521</v>
      </c>
      <c r="BT686" s="19" t="s">
        <v>177</v>
      </c>
      <c r="BU686" s="19" t="s">
        <v>13500</v>
      </c>
      <c r="BV686" s="19" t="s">
        <v>13501</v>
      </c>
      <c r="BW686" s="19" t="s">
        <v>2113</v>
      </c>
      <c r="BX686" s="19"/>
      <c r="BY686" s="19"/>
      <c r="BZ686" s="19"/>
      <c r="CA686" s="19"/>
      <c r="CB686" s="19" t="s">
        <v>2113</v>
      </c>
      <c r="CC686" s="19"/>
      <c r="CD686" s="19" t="s">
        <v>2137</v>
      </c>
      <c r="CE686" s="19" t="s">
        <v>16</v>
      </c>
      <c r="CF686" s="19"/>
      <c r="CG686" s="19"/>
      <c r="CH686" s="19" t="s">
        <v>16</v>
      </c>
      <c r="CI686" s="21">
        <v>0.0</v>
      </c>
      <c r="CJ686" s="19" t="s">
        <v>17</v>
      </c>
      <c r="CK686" s="19"/>
      <c r="CL686" s="19"/>
      <c r="CM686" s="19" t="s">
        <v>2138</v>
      </c>
      <c r="CN686" s="19" t="s">
        <v>3253</v>
      </c>
      <c r="CO686" s="19"/>
      <c r="CP686" s="19" t="s">
        <v>2225</v>
      </c>
      <c r="CQ686" s="19"/>
      <c r="CR686" s="19"/>
      <c r="CS686" s="19"/>
      <c r="CT686" s="19"/>
      <c r="CU686" s="19"/>
      <c r="CV686" s="19" t="s">
        <v>2141</v>
      </c>
      <c r="CW686" s="19"/>
      <c r="CX686" s="19"/>
      <c r="CY686" s="19" t="s">
        <v>2113</v>
      </c>
      <c r="CZ686" s="19" t="s">
        <v>2113</v>
      </c>
      <c r="DA686" s="19" t="s">
        <v>16</v>
      </c>
      <c r="DB686" s="19" t="s">
        <v>17</v>
      </c>
      <c r="DC686" s="19" t="s">
        <v>2433</v>
      </c>
      <c r="DD686" s="19" t="s">
        <v>2113</v>
      </c>
      <c r="DE686" s="19" t="s">
        <v>2113</v>
      </c>
      <c r="DF686" s="19" t="s">
        <v>3255</v>
      </c>
      <c r="DG686" s="19" t="s">
        <v>4466</v>
      </c>
      <c r="DH686" s="19" t="s">
        <v>2144</v>
      </c>
      <c r="DI686" s="24">
        <v>45525.0</v>
      </c>
      <c r="DJ686" s="19" t="s">
        <v>3257</v>
      </c>
      <c r="DK686" s="19" t="s">
        <v>2271</v>
      </c>
      <c r="DL686" s="19" t="s">
        <v>2207</v>
      </c>
      <c r="DM686" s="22" t="s">
        <v>7846</v>
      </c>
      <c r="DN686" s="19">
        <v>4.0</v>
      </c>
      <c r="DO686" s="19">
        <v>4.0</v>
      </c>
      <c r="DP686" s="19" t="s">
        <v>13502</v>
      </c>
      <c r="DQ686" s="19" t="s">
        <v>13503</v>
      </c>
      <c r="DR686" s="19" t="s">
        <v>13504</v>
      </c>
      <c r="DS686" s="19" t="s">
        <v>2151</v>
      </c>
      <c r="DT686" s="19" t="s">
        <v>2152</v>
      </c>
      <c r="DU686" s="19"/>
      <c r="DV686" s="19"/>
      <c r="DW686" s="19" t="s">
        <v>2479</v>
      </c>
      <c r="DX686" s="19">
        <v>16.0</v>
      </c>
      <c r="DY686" s="19">
        <v>0.0</v>
      </c>
      <c r="DZ686" s="19">
        <v>0.0</v>
      </c>
      <c r="EA686" s="19">
        <v>0.0</v>
      </c>
      <c r="EB686" s="19">
        <v>0.0</v>
      </c>
      <c r="EC686" s="19">
        <v>20.0</v>
      </c>
      <c r="ED686" s="19" t="s">
        <v>3257</v>
      </c>
      <c r="EE686" s="24">
        <v>45525.0</v>
      </c>
      <c r="EF686" s="19" t="s">
        <v>3257</v>
      </c>
      <c r="EG686" s="19" t="s">
        <v>2271</v>
      </c>
      <c r="EH686" s="19" t="s">
        <v>2207</v>
      </c>
      <c r="EI686" s="22">
        <v>12.46875</v>
      </c>
      <c r="EJ686" s="19">
        <v>0.0</v>
      </c>
      <c r="EK686" s="19" t="s">
        <v>2113</v>
      </c>
      <c r="EL686" s="19" t="s">
        <v>2163</v>
      </c>
      <c r="EM686" s="19" t="s">
        <v>7318</v>
      </c>
      <c r="EN686" s="19" t="s">
        <v>13488</v>
      </c>
      <c r="EO686" s="19" t="s">
        <v>3441</v>
      </c>
      <c r="EP686" s="19" t="s">
        <v>2310</v>
      </c>
      <c r="EQ686" s="19" t="s">
        <v>3253</v>
      </c>
      <c r="ER686" s="19"/>
      <c r="ES686" s="19" t="s">
        <v>13488</v>
      </c>
      <c r="ET686" s="19" t="s">
        <v>13488</v>
      </c>
      <c r="EU686" s="19" t="s">
        <v>13490</v>
      </c>
      <c r="EV686" s="19">
        <v>9727.0</v>
      </c>
      <c r="EW686" s="19" t="s">
        <v>16</v>
      </c>
      <c r="EX686" s="19">
        <v>2.0</v>
      </c>
      <c r="EY686" s="25" t="s">
        <v>13491</v>
      </c>
      <c r="EZ686" s="19" t="s">
        <v>2154</v>
      </c>
      <c r="FA686" s="5" t="s">
        <v>13505</v>
      </c>
      <c r="FB686" s="26" t="s">
        <v>2633</v>
      </c>
      <c r="FC686" s="26" t="s">
        <v>10773</v>
      </c>
    </row>
    <row r="687">
      <c r="A687" s="19" t="s">
        <v>2112</v>
      </c>
      <c r="B687" s="19"/>
      <c r="C687" s="19" t="s">
        <v>2113</v>
      </c>
      <c r="D687" s="19" t="s">
        <v>1950</v>
      </c>
      <c r="E687" s="19" t="s">
        <v>13506</v>
      </c>
      <c r="F687" s="19" t="s">
        <v>13507</v>
      </c>
      <c r="G687" s="19" t="s">
        <v>13508</v>
      </c>
      <c r="H687" s="19" t="s">
        <v>1950</v>
      </c>
      <c r="I687" s="19" t="s">
        <v>1952</v>
      </c>
      <c r="J687" s="19" t="s">
        <v>13509</v>
      </c>
      <c r="K687" s="19" t="s">
        <v>13510</v>
      </c>
      <c r="L687" s="20">
        <v>45399.0</v>
      </c>
      <c r="M687" s="20">
        <v>45411.0</v>
      </c>
      <c r="N687" s="20">
        <v>45411.0</v>
      </c>
      <c r="O687" s="19" t="s">
        <v>1951</v>
      </c>
      <c r="P687" s="19">
        <v>0.0</v>
      </c>
      <c r="Q687" s="19">
        <v>20.0</v>
      </c>
      <c r="R687" s="19">
        <v>7657.0</v>
      </c>
      <c r="S687" s="20" t="s">
        <v>13511</v>
      </c>
      <c r="T687" s="20">
        <v>45461.0</v>
      </c>
      <c r="U687" s="19" t="s">
        <v>13507</v>
      </c>
      <c r="V687" s="19"/>
      <c r="W687" s="19"/>
      <c r="X687" s="21">
        <v>0.0</v>
      </c>
      <c r="Y687" s="21">
        <v>0.0</v>
      </c>
      <c r="Z687" s="21">
        <v>3.0</v>
      </c>
      <c r="AA687" s="21">
        <v>0.0</v>
      </c>
      <c r="AB687" s="5">
        <v>3.0</v>
      </c>
      <c r="AC687" s="19">
        <v>4.0</v>
      </c>
      <c r="AD687" s="19">
        <v>4.0</v>
      </c>
      <c r="AE687" s="19">
        <v>4.0</v>
      </c>
      <c r="AF687" s="19">
        <v>4.0</v>
      </c>
      <c r="AG687" s="19">
        <v>4.0</v>
      </c>
      <c r="AH687" s="19">
        <v>4.0</v>
      </c>
      <c r="AI687" s="22">
        <v>12.0</v>
      </c>
      <c r="AJ687" s="19">
        <v>6.0</v>
      </c>
      <c r="AK687" s="19">
        <v>6.0</v>
      </c>
      <c r="AL687" s="19">
        <v>6.0</v>
      </c>
      <c r="AM687" s="19">
        <v>18.0</v>
      </c>
      <c r="AN687" s="19">
        <v>30.0</v>
      </c>
      <c r="AO687" s="19">
        <v>33.0</v>
      </c>
      <c r="AP687" s="19">
        <v>1298.0</v>
      </c>
      <c r="AQ687" s="23">
        <v>652.0</v>
      </c>
      <c r="AR687" s="23">
        <v>94.0</v>
      </c>
      <c r="AS687" s="22"/>
      <c r="AT687" s="19" t="s">
        <v>2117</v>
      </c>
      <c r="AU687" s="19" t="s">
        <v>13512</v>
      </c>
      <c r="AV687" s="19" t="s">
        <v>13513</v>
      </c>
      <c r="AW687" s="19" t="s">
        <v>2166</v>
      </c>
      <c r="AX687" s="20">
        <v>37804.0</v>
      </c>
      <c r="AY687" s="19" t="s">
        <v>3015</v>
      </c>
      <c r="AZ687" s="19" t="s">
        <v>2122</v>
      </c>
      <c r="BA687" s="19" t="s">
        <v>13514</v>
      </c>
      <c r="BB687" s="19" t="s">
        <v>13515</v>
      </c>
      <c r="BC687" s="19" t="s">
        <v>13516</v>
      </c>
      <c r="BD687" s="19" t="s">
        <v>13517</v>
      </c>
      <c r="BE687" s="19" t="s">
        <v>13518</v>
      </c>
      <c r="BF687" s="19">
        <v>1.1985351623E10</v>
      </c>
      <c r="BG687" s="19" t="s">
        <v>4038</v>
      </c>
      <c r="BH687" s="19" t="s">
        <v>2128</v>
      </c>
      <c r="BI687" s="19"/>
      <c r="BJ687" s="19" t="s">
        <v>2129</v>
      </c>
      <c r="BK687" s="19" t="s">
        <v>17</v>
      </c>
      <c r="BL687" s="19"/>
      <c r="BM687" s="19" t="s">
        <v>5411</v>
      </c>
      <c r="BN687" s="19" t="s">
        <v>13519</v>
      </c>
      <c r="BO687" s="19" t="s">
        <v>2473</v>
      </c>
      <c r="BP687" s="19"/>
      <c r="BQ687" s="19" t="s">
        <v>2133</v>
      </c>
      <c r="BR687" s="19" t="s">
        <v>2133</v>
      </c>
      <c r="BS687" s="19" t="s">
        <v>2134</v>
      </c>
      <c r="BT687" s="19" t="s">
        <v>38</v>
      </c>
      <c r="BU687" s="19" t="s">
        <v>4538</v>
      </c>
      <c r="BV687" s="19"/>
      <c r="BW687" s="19" t="s">
        <v>2113</v>
      </c>
      <c r="BX687" s="19"/>
      <c r="BY687" s="19"/>
      <c r="BZ687" s="19"/>
      <c r="CA687" s="19"/>
      <c r="CB687" s="19" t="s">
        <v>2113</v>
      </c>
      <c r="CC687" s="19"/>
      <c r="CD687" s="19" t="s">
        <v>2137</v>
      </c>
      <c r="CE687" s="19" t="s">
        <v>16</v>
      </c>
      <c r="CF687" s="19"/>
      <c r="CG687" s="19"/>
      <c r="CH687" s="19" t="s">
        <v>16</v>
      </c>
      <c r="CI687" s="21">
        <v>0.0</v>
      </c>
      <c r="CJ687" s="19" t="s">
        <v>16</v>
      </c>
      <c r="CK687" s="19"/>
      <c r="CL687" s="19"/>
      <c r="CM687" s="19" t="s">
        <v>2138</v>
      </c>
      <c r="CN687" s="19" t="s">
        <v>3020</v>
      </c>
      <c r="CO687" s="19"/>
      <c r="CP687" s="19" t="s">
        <v>2246</v>
      </c>
      <c r="CQ687" s="19"/>
      <c r="CR687" s="19"/>
      <c r="CS687" s="19"/>
      <c r="CT687" s="19" t="s">
        <v>2113</v>
      </c>
      <c r="CU687" s="19" t="s">
        <v>2113</v>
      </c>
      <c r="CV687" s="19" t="s">
        <v>2141</v>
      </c>
      <c r="CW687" s="19"/>
      <c r="CX687" s="19"/>
      <c r="CY687" s="19" t="s">
        <v>2113</v>
      </c>
      <c r="CZ687" s="19" t="s">
        <v>2113</v>
      </c>
      <c r="DA687" s="19" t="s">
        <v>16</v>
      </c>
      <c r="DB687" s="19" t="s">
        <v>16</v>
      </c>
      <c r="DC687" s="19" t="s">
        <v>4425</v>
      </c>
      <c r="DD687" s="19" t="s">
        <v>2113</v>
      </c>
      <c r="DE687" s="19" t="s">
        <v>2113</v>
      </c>
      <c r="DF687" s="19" t="s">
        <v>2601</v>
      </c>
      <c r="DG687" s="19" t="s">
        <v>4425</v>
      </c>
      <c r="DH687" s="19" t="s">
        <v>2144</v>
      </c>
      <c r="DI687" s="24">
        <v>45533.0</v>
      </c>
      <c r="DJ687" s="19" t="s">
        <v>2133</v>
      </c>
      <c r="DK687" s="19" t="s">
        <v>2145</v>
      </c>
      <c r="DL687" s="19" t="s">
        <v>2146</v>
      </c>
      <c r="DM687" s="19" t="s">
        <v>2147</v>
      </c>
      <c r="DN687" s="19">
        <v>17.0</v>
      </c>
      <c r="DO687" s="19">
        <v>17.0</v>
      </c>
      <c r="DP687" s="19" t="s">
        <v>13520</v>
      </c>
      <c r="DQ687" s="19" t="s">
        <v>13521</v>
      </c>
      <c r="DR687" s="19" t="s">
        <v>13522</v>
      </c>
      <c r="DS687" s="19" t="s">
        <v>2365</v>
      </c>
      <c r="DT687" s="19" t="s">
        <v>2350</v>
      </c>
      <c r="DU687" s="19"/>
      <c r="DV687" s="19"/>
      <c r="DW687" s="19" t="s">
        <v>2153</v>
      </c>
      <c r="DX687" s="19">
        <v>8.0</v>
      </c>
      <c r="DY687" s="19">
        <v>0.0</v>
      </c>
      <c r="DZ687" s="19">
        <v>0.0</v>
      </c>
      <c r="EA687" s="19">
        <v>0.0</v>
      </c>
      <c r="EB687" s="19">
        <v>0.0</v>
      </c>
      <c r="EC687" s="19">
        <v>0.0</v>
      </c>
      <c r="ED687" s="19" t="s">
        <v>2133</v>
      </c>
      <c r="EE687" s="24">
        <v>45533.0</v>
      </c>
      <c r="EF687" s="19" t="s">
        <v>2133</v>
      </c>
      <c r="EG687" s="19" t="s">
        <v>2145</v>
      </c>
      <c r="EH687" s="19" t="s">
        <v>2146</v>
      </c>
      <c r="EI687" s="22">
        <v>12.0</v>
      </c>
      <c r="EJ687" s="19">
        <v>18.0</v>
      </c>
      <c r="EK687" s="19"/>
      <c r="EL687" s="19" t="s">
        <v>2117</v>
      </c>
      <c r="EM687" s="19" t="s">
        <v>13512</v>
      </c>
      <c r="EN687" s="19" t="s">
        <v>1952</v>
      </c>
      <c r="EO687" s="19" t="s">
        <v>3015</v>
      </c>
      <c r="EP687" s="19" t="s">
        <v>2122</v>
      </c>
      <c r="EQ687" s="19" t="s">
        <v>3020</v>
      </c>
      <c r="ER687" s="19"/>
      <c r="ES687" s="19" t="s">
        <v>1952</v>
      </c>
      <c r="ET687" s="19" t="s">
        <v>1952</v>
      </c>
      <c r="EU687" s="19" t="s">
        <v>13510</v>
      </c>
      <c r="EV687" s="19">
        <v>7657.0</v>
      </c>
      <c r="EW687" s="19" t="s">
        <v>16</v>
      </c>
      <c r="EX687" s="19">
        <v>3.0</v>
      </c>
      <c r="EY687" s="25" t="s">
        <v>1951</v>
      </c>
      <c r="EZ687" s="19" t="s">
        <v>2154</v>
      </c>
      <c r="FA687" s="5" t="s">
        <v>13523</v>
      </c>
      <c r="FB687" s="26" t="s">
        <v>2156</v>
      </c>
      <c r="FC687" s="26"/>
    </row>
    <row r="688" hidden="1">
      <c r="A688" s="19" t="s">
        <v>2112</v>
      </c>
      <c r="B688" s="19"/>
      <c r="C688" s="19" t="s">
        <v>2113</v>
      </c>
      <c r="D688" s="19" t="s">
        <v>13524</v>
      </c>
      <c r="E688" s="19" t="s">
        <v>13525</v>
      </c>
      <c r="F688" s="19" t="s">
        <v>13526</v>
      </c>
      <c r="G688" s="19" t="s">
        <v>13527</v>
      </c>
      <c r="H688" s="19" t="s">
        <v>13526</v>
      </c>
      <c r="I688" s="19" t="s">
        <v>13528</v>
      </c>
      <c r="J688" s="19" t="s">
        <v>13529</v>
      </c>
      <c r="K688" s="19" t="s">
        <v>13530</v>
      </c>
      <c r="L688" s="20">
        <v>45446.0</v>
      </c>
      <c r="M688" s="20">
        <v>45447.0</v>
      </c>
      <c r="N688" s="20">
        <v>45447.0</v>
      </c>
      <c r="O688" s="19" t="s">
        <v>13531</v>
      </c>
      <c r="P688" s="19">
        <v>0.0</v>
      </c>
      <c r="Q688" s="19">
        <v>21.0</v>
      </c>
      <c r="R688" s="19">
        <v>7741.0</v>
      </c>
      <c r="S688" s="20" t="s">
        <v>6226</v>
      </c>
      <c r="T688" s="20">
        <v>45461.0</v>
      </c>
      <c r="U688" s="19" t="s">
        <v>13526</v>
      </c>
      <c r="V688" s="19"/>
      <c r="W688" s="19"/>
      <c r="X688" s="21">
        <v>0.0</v>
      </c>
      <c r="Y688" s="21">
        <v>10.0</v>
      </c>
      <c r="Z688" s="21">
        <v>4.0</v>
      </c>
      <c r="AA688" s="21">
        <v>2.0</v>
      </c>
      <c r="AB688" s="5">
        <v>16.0</v>
      </c>
      <c r="AC688" s="19">
        <v>5.0</v>
      </c>
      <c r="AD688" s="19">
        <v>5.0</v>
      </c>
      <c r="AE688" s="19">
        <v>5.0</v>
      </c>
      <c r="AF688" s="19">
        <v>5.0</v>
      </c>
      <c r="AG688" s="19">
        <v>5.0</v>
      </c>
      <c r="AH688" s="19">
        <v>5.0</v>
      </c>
      <c r="AI688" s="22">
        <v>15.0</v>
      </c>
      <c r="AJ688" s="19"/>
      <c r="AK688" s="19"/>
      <c r="AL688" s="19"/>
      <c r="AM688" s="19">
        <v>0.0</v>
      </c>
      <c r="AN688" s="19">
        <v>15.0</v>
      </c>
      <c r="AO688" s="19">
        <v>31.0</v>
      </c>
      <c r="AP688" s="19">
        <v>382.0</v>
      </c>
      <c r="AQ688" s="19">
        <v>687.0</v>
      </c>
      <c r="AR688" s="19">
        <v>67.0</v>
      </c>
      <c r="AS688" s="22"/>
      <c r="AT688" s="19" t="s">
        <v>2282</v>
      </c>
      <c r="AU688" s="19" t="s">
        <v>11085</v>
      </c>
      <c r="AV688" s="19" t="s">
        <v>13532</v>
      </c>
      <c r="AW688" s="19"/>
      <c r="AX688" s="20">
        <v>37720.0</v>
      </c>
      <c r="AY688" s="19" t="s">
        <v>6083</v>
      </c>
      <c r="AZ688" s="19" t="s">
        <v>2422</v>
      </c>
      <c r="BA688" s="19" t="s">
        <v>13533</v>
      </c>
      <c r="BB688" s="19" t="s">
        <v>13534</v>
      </c>
      <c r="BC688" s="19" t="s">
        <v>13535</v>
      </c>
      <c r="BD688" s="19" t="s">
        <v>13536</v>
      </c>
      <c r="BE688" s="19" t="s">
        <v>13537</v>
      </c>
      <c r="BF688" s="19">
        <v>1.19536266911E11</v>
      </c>
      <c r="BG688" s="19" t="s">
        <v>2127</v>
      </c>
      <c r="BH688" s="19" t="s">
        <v>2649</v>
      </c>
      <c r="BI688" s="19"/>
      <c r="BJ688" s="19"/>
      <c r="BK688" s="19" t="s">
        <v>16</v>
      </c>
      <c r="BL688" s="19"/>
      <c r="BM688" s="19" t="s">
        <v>5796</v>
      </c>
      <c r="BN688" s="19" t="s">
        <v>2172</v>
      </c>
      <c r="BO688" s="19" t="s">
        <v>2317</v>
      </c>
      <c r="BP688" s="19"/>
      <c r="BQ688" s="19" t="s">
        <v>2133</v>
      </c>
      <c r="BR688" s="19" t="s">
        <v>2133</v>
      </c>
      <c r="BS688" s="19" t="s">
        <v>2134</v>
      </c>
      <c r="BT688" s="19" t="s">
        <v>52</v>
      </c>
      <c r="BU688" s="19"/>
      <c r="BV688" s="19"/>
      <c r="BW688" s="19" t="s">
        <v>2113</v>
      </c>
      <c r="BX688" s="19"/>
      <c r="BY688" s="19"/>
      <c r="BZ688" s="19"/>
      <c r="CA688" s="19"/>
      <c r="CB688" s="19"/>
      <c r="CC688" s="19"/>
      <c r="CD688" s="19" t="s">
        <v>2137</v>
      </c>
      <c r="CE688" s="19" t="s">
        <v>16</v>
      </c>
      <c r="CF688" s="19"/>
      <c r="CG688" s="19"/>
      <c r="CH688" s="19" t="s">
        <v>16</v>
      </c>
      <c r="CI688" s="21">
        <v>0.0</v>
      </c>
      <c r="CJ688" s="19" t="s">
        <v>16</v>
      </c>
      <c r="CK688" s="19"/>
      <c r="CL688" s="19"/>
      <c r="CM688" s="19"/>
      <c r="CN688" s="19" t="s">
        <v>2626</v>
      </c>
      <c r="CO688" s="19"/>
      <c r="CP688" s="19"/>
      <c r="CQ688" s="19"/>
      <c r="CR688" s="19" t="s">
        <v>2113</v>
      </c>
      <c r="CS688" s="19" t="s">
        <v>2113</v>
      </c>
      <c r="CT688" s="19" t="s">
        <v>2113</v>
      </c>
      <c r="CU688" s="19" t="s">
        <v>2113</v>
      </c>
      <c r="CV688" s="19" t="s">
        <v>2141</v>
      </c>
      <c r="CW688" s="19" t="s">
        <v>2113</v>
      </c>
      <c r="CX688" s="19" t="s">
        <v>2113</v>
      </c>
      <c r="CY688" s="19"/>
      <c r="CZ688" s="19"/>
      <c r="DA688" s="19" t="s">
        <v>16</v>
      </c>
      <c r="DB688" s="19" t="s">
        <v>16</v>
      </c>
      <c r="DC688" s="19" t="s">
        <v>6005</v>
      </c>
      <c r="DD688" s="19" t="s">
        <v>2113</v>
      </c>
      <c r="DE688" s="19" t="s">
        <v>2113</v>
      </c>
      <c r="DF688" s="19" t="s">
        <v>2297</v>
      </c>
      <c r="DG688" s="19" t="s">
        <v>2627</v>
      </c>
      <c r="DH688" s="19" t="s">
        <v>2144</v>
      </c>
      <c r="DI688" s="24">
        <v>45531.0</v>
      </c>
      <c r="DJ688" s="19" t="s">
        <v>2133</v>
      </c>
      <c r="DK688" s="19" t="s">
        <v>2145</v>
      </c>
      <c r="DL688" s="19" t="s">
        <v>2146</v>
      </c>
      <c r="DM688" s="19" t="s">
        <v>3183</v>
      </c>
      <c r="DN688" s="19">
        <v>13.0</v>
      </c>
      <c r="DO688" s="19">
        <v>13.0</v>
      </c>
      <c r="DP688" s="19" t="s">
        <v>13538</v>
      </c>
      <c r="DQ688" s="19" t="s">
        <v>13539</v>
      </c>
      <c r="DR688" s="19" t="s">
        <v>13540</v>
      </c>
      <c r="DS688" s="19" t="s">
        <v>2365</v>
      </c>
      <c r="DT688" s="19" t="s">
        <v>2229</v>
      </c>
      <c r="DU688" s="19"/>
      <c r="DV688" s="19"/>
      <c r="DW688" s="19" t="s">
        <v>2188</v>
      </c>
      <c r="DX688" s="19">
        <v>10.0</v>
      </c>
      <c r="DY688" s="19">
        <v>10.0</v>
      </c>
      <c r="DZ688" s="19">
        <v>2.0</v>
      </c>
      <c r="EA688" s="19">
        <v>10.0</v>
      </c>
      <c r="EB688" s="19">
        <v>0.0</v>
      </c>
      <c r="EC688" s="19">
        <v>0.0</v>
      </c>
      <c r="ED688" s="19" t="s">
        <v>2133</v>
      </c>
      <c r="EE688" s="24">
        <v>45531.0</v>
      </c>
      <c r="EF688" s="19" t="s">
        <v>2133</v>
      </c>
      <c r="EG688" s="19" t="s">
        <v>2145</v>
      </c>
      <c r="EH688" s="19" t="s">
        <v>2146</v>
      </c>
      <c r="EI688" s="22">
        <v>15.0</v>
      </c>
      <c r="EJ688" s="19">
        <v>0.0</v>
      </c>
      <c r="EK688" s="19"/>
      <c r="EL688" s="19" t="s">
        <v>2282</v>
      </c>
      <c r="EM688" s="19" t="s">
        <v>11085</v>
      </c>
      <c r="EN688" s="19" t="s">
        <v>13528</v>
      </c>
      <c r="EO688" s="19" t="s">
        <v>6083</v>
      </c>
      <c r="EP688" s="19" t="s">
        <v>2422</v>
      </c>
      <c r="EQ688" s="19" t="s">
        <v>2626</v>
      </c>
      <c r="ER688" s="19"/>
      <c r="ES688" s="19" t="s">
        <v>13528</v>
      </c>
      <c r="ET688" s="19" t="s">
        <v>13528</v>
      </c>
      <c r="EU688" s="19" t="s">
        <v>13530</v>
      </c>
      <c r="EV688" s="19">
        <v>7741.0</v>
      </c>
      <c r="EW688" s="19" t="s">
        <v>16</v>
      </c>
      <c r="EX688" s="19">
        <v>4.0</v>
      </c>
      <c r="EY688" s="25" t="s">
        <v>13531</v>
      </c>
      <c r="EZ688" s="19" t="s">
        <v>2154</v>
      </c>
      <c r="FA688" s="5" t="s">
        <v>13541</v>
      </c>
      <c r="FB688" s="26" t="s">
        <v>2633</v>
      </c>
      <c r="FC688" s="26" t="s">
        <v>10773</v>
      </c>
    </row>
    <row r="689" hidden="1">
      <c r="A689" s="19" t="s">
        <v>2112</v>
      </c>
      <c r="B689" s="19"/>
      <c r="C689" s="19" t="s">
        <v>2113</v>
      </c>
      <c r="D689" s="19" t="s">
        <v>13542</v>
      </c>
      <c r="E689" s="19" t="s">
        <v>13543</v>
      </c>
      <c r="F689" s="19" t="s">
        <v>13542</v>
      </c>
      <c r="G689" s="19"/>
      <c r="H689" s="19" t="s">
        <v>13542</v>
      </c>
      <c r="I689" s="19" t="s">
        <v>13544</v>
      </c>
      <c r="J689" s="19" t="s">
        <v>13545</v>
      </c>
      <c r="K689" s="19" t="s">
        <v>13546</v>
      </c>
      <c r="L689" s="20">
        <v>45420.0</v>
      </c>
      <c r="M689" s="20">
        <v>45428.0</v>
      </c>
      <c r="N689" s="20">
        <v>45428.0</v>
      </c>
      <c r="O689" s="19" t="s">
        <v>13547</v>
      </c>
      <c r="P689" s="19">
        <v>0.0</v>
      </c>
      <c r="Q689" s="19">
        <v>23.0</v>
      </c>
      <c r="R689" s="19">
        <v>8478.0</v>
      </c>
      <c r="S689" s="20" t="s">
        <v>13285</v>
      </c>
      <c r="T689" s="20">
        <v>45461.0</v>
      </c>
      <c r="U689" s="19" t="s">
        <v>13542</v>
      </c>
      <c r="V689" s="19"/>
      <c r="W689" s="19"/>
      <c r="X689" s="21">
        <v>0.0</v>
      </c>
      <c r="Y689" s="21">
        <v>10.0</v>
      </c>
      <c r="Z689" s="21">
        <v>5.0</v>
      </c>
      <c r="AA689" s="21">
        <v>0.0</v>
      </c>
      <c r="AB689" s="5">
        <v>15.0</v>
      </c>
      <c r="AC689" s="19">
        <v>5.0</v>
      </c>
      <c r="AD689" s="19">
        <v>5.0</v>
      </c>
      <c r="AE689" s="19">
        <v>5.0</v>
      </c>
      <c r="AF689" s="19">
        <v>5.0</v>
      </c>
      <c r="AG689" s="19">
        <v>5.0</v>
      </c>
      <c r="AH689" s="19">
        <v>5.0</v>
      </c>
      <c r="AI689" s="22">
        <v>15.0</v>
      </c>
      <c r="AJ689" s="19"/>
      <c r="AK689" s="19"/>
      <c r="AL689" s="19"/>
      <c r="AM689" s="19">
        <v>0.0</v>
      </c>
      <c r="AN689" s="19">
        <v>15.0</v>
      </c>
      <c r="AO689" s="19">
        <v>30.0</v>
      </c>
      <c r="AP689" s="19">
        <v>451.0</v>
      </c>
      <c r="AQ689" s="19">
        <v>688.0</v>
      </c>
      <c r="AR689" s="19">
        <v>52.0</v>
      </c>
      <c r="AS689" s="22"/>
      <c r="AT689" s="19" t="s">
        <v>2117</v>
      </c>
      <c r="AU689" s="19" t="s">
        <v>8317</v>
      </c>
      <c r="AV689" s="19" t="s">
        <v>13548</v>
      </c>
      <c r="AW689" s="19" t="s">
        <v>13549</v>
      </c>
      <c r="AX689" s="20">
        <v>36983.0</v>
      </c>
      <c r="AY689" s="19" t="s">
        <v>2529</v>
      </c>
      <c r="AZ689" s="19" t="s">
        <v>2310</v>
      </c>
      <c r="BA689" s="19" t="s">
        <v>13550</v>
      </c>
      <c r="BB689" s="19" t="s">
        <v>13551</v>
      </c>
      <c r="BC689" s="19" t="s">
        <v>13552</v>
      </c>
      <c r="BD689" s="19" t="s">
        <v>13553</v>
      </c>
      <c r="BE689" s="19" t="s">
        <v>13545</v>
      </c>
      <c r="BF689" s="19">
        <v>1.1988218465E10</v>
      </c>
      <c r="BG689" s="19" t="s">
        <v>2127</v>
      </c>
      <c r="BH689" s="19" t="s">
        <v>2128</v>
      </c>
      <c r="BI689" s="19"/>
      <c r="BJ689" s="19"/>
      <c r="BK689" s="19" t="s">
        <v>17</v>
      </c>
      <c r="BL689" s="19"/>
      <c r="BM689" s="19" t="s">
        <v>5563</v>
      </c>
      <c r="BN689" s="19" t="s">
        <v>17</v>
      </c>
      <c r="BO689" s="19" t="s">
        <v>2132</v>
      </c>
      <c r="BP689" s="19" t="s">
        <v>13554</v>
      </c>
      <c r="BQ689" s="19" t="s">
        <v>2174</v>
      </c>
      <c r="BR689" s="19" t="s">
        <v>2174</v>
      </c>
      <c r="BS689" s="19" t="s">
        <v>2134</v>
      </c>
      <c r="BT689" s="19" t="s">
        <v>75</v>
      </c>
      <c r="BU689" s="19" t="s">
        <v>4705</v>
      </c>
      <c r="BV689" s="19"/>
      <c r="BW689" s="19"/>
      <c r="BX689" s="19"/>
      <c r="BY689" s="19"/>
      <c r="BZ689" s="19"/>
      <c r="CA689" s="19"/>
      <c r="CB689" s="19" t="s">
        <v>2113</v>
      </c>
      <c r="CC689" s="19"/>
      <c r="CD689" s="19" t="s">
        <v>2137</v>
      </c>
      <c r="CE689" s="19" t="s">
        <v>16</v>
      </c>
      <c r="CF689" s="19"/>
      <c r="CG689" s="19"/>
      <c r="CH689" s="19" t="s">
        <v>16</v>
      </c>
      <c r="CI689" s="21">
        <v>0.0</v>
      </c>
      <c r="CJ689" s="19" t="s">
        <v>17</v>
      </c>
      <c r="CK689" s="19"/>
      <c r="CL689" s="19"/>
      <c r="CM689" s="19" t="s">
        <v>2344</v>
      </c>
      <c r="CN689" s="19" t="s">
        <v>2537</v>
      </c>
      <c r="CO689" s="19"/>
      <c r="CP689" s="19" t="s">
        <v>2246</v>
      </c>
      <c r="CQ689" s="19"/>
      <c r="CR689" s="19"/>
      <c r="CS689" s="19"/>
      <c r="CT689" s="19"/>
      <c r="CU689" s="19"/>
      <c r="CV689" s="19" t="s">
        <v>2141</v>
      </c>
      <c r="CW689" s="19" t="s">
        <v>2113</v>
      </c>
      <c r="CX689" s="19" t="s">
        <v>2113</v>
      </c>
      <c r="CY689" s="19" t="s">
        <v>2113</v>
      </c>
      <c r="CZ689" s="19" t="s">
        <v>2113</v>
      </c>
      <c r="DA689" s="19" t="s">
        <v>16</v>
      </c>
      <c r="DB689" s="19" t="s">
        <v>17</v>
      </c>
      <c r="DC689" s="19" t="s">
        <v>2270</v>
      </c>
      <c r="DD689" s="19" t="s">
        <v>2113</v>
      </c>
      <c r="DE689" s="19" t="s">
        <v>2113</v>
      </c>
      <c r="DF689" s="19" t="s">
        <v>2433</v>
      </c>
      <c r="DG689" s="19" t="s">
        <v>2804</v>
      </c>
      <c r="DH689" s="19" t="s">
        <v>2144</v>
      </c>
      <c r="DI689" s="24">
        <v>45518.0</v>
      </c>
      <c r="DJ689" s="19" t="s">
        <v>2174</v>
      </c>
      <c r="DK689" s="19" t="s">
        <v>2271</v>
      </c>
      <c r="DL689" s="19" t="s">
        <v>2183</v>
      </c>
      <c r="DM689" s="19" t="s">
        <v>2346</v>
      </c>
      <c r="DN689" s="19">
        <v>4.0</v>
      </c>
      <c r="DO689" s="19">
        <v>4.0</v>
      </c>
      <c r="DP689" s="19" t="s">
        <v>13555</v>
      </c>
      <c r="DQ689" s="19" t="s">
        <v>13556</v>
      </c>
      <c r="DR689" s="19" t="s">
        <v>13557</v>
      </c>
      <c r="DS689" s="19" t="s">
        <v>2151</v>
      </c>
      <c r="DT689" s="19" t="s">
        <v>2186</v>
      </c>
      <c r="DU689" s="19"/>
      <c r="DV689" s="19"/>
      <c r="DW689" s="19" t="s">
        <v>2153</v>
      </c>
      <c r="DX689" s="19">
        <v>13.0</v>
      </c>
      <c r="DY689" s="19">
        <v>10.0</v>
      </c>
      <c r="DZ689" s="19">
        <v>0.0</v>
      </c>
      <c r="EA689" s="19">
        <v>10.0</v>
      </c>
      <c r="EB689" s="19">
        <v>0.0</v>
      </c>
      <c r="EC689" s="19">
        <v>0.0</v>
      </c>
      <c r="ED689" s="19" t="s">
        <v>2174</v>
      </c>
      <c r="EE689" s="24">
        <v>45518.0</v>
      </c>
      <c r="EF689" s="19" t="s">
        <v>2174</v>
      </c>
      <c r="EG689" s="19" t="s">
        <v>2271</v>
      </c>
      <c r="EH689" s="19" t="s">
        <v>2183</v>
      </c>
      <c r="EI689" s="22">
        <v>15.0</v>
      </c>
      <c r="EJ689" s="19">
        <v>0.0</v>
      </c>
      <c r="EK689" s="19" t="s">
        <v>2113</v>
      </c>
      <c r="EL689" s="19" t="s">
        <v>2117</v>
      </c>
      <c r="EM689" s="19" t="s">
        <v>8317</v>
      </c>
      <c r="EN689" s="19" t="s">
        <v>13544</v>
      </c>
      <c r="EO689" s="19" t="s">
        <v>2529</v>
      </c>
      <c r="EP689" s="19" t="s">
        <v>2310</v>
      </c>
      <c r="EQ689" s="19" t="s">
        <v>2537</v>
      </c>
      <c r="ER689" s="19"/>
      <c r="ES689" s="19" t="s">
        <v>13544</v>
      </c>
      <c r="ET689" s="19" t="s">
        <v>13544</v>
      </c>
      <c r="EU689" s="19" t="s">
        <v>13546</v>
      </c>
      <c r="EV689" s="19">
        <v>8478.0</v>
      </c>
      <c r="EW689" s="19" t="s">
        <v>16</v>
      </c>
      <c r="EX689" s="19">
        <v>5.0</v>
      </c>
      <c r="EY689" s="25" t="s">
        <v>13547</v>
      </c>
      <c r="EZ689" s="19" t="s">
        <v>2154</v>
      </c>
      <c r="FA689" s="5" t="s">
        <v>13558</v>
      </c>
      <c r="FB689" s="26" t="s">
        <v>2633</v>
      </c>
      <c r="FC689" s="26" t="s">
        <v>10773</v>
      </c>
    </row>
    <row r="690" hidden="1">
      <c r="A690" s="19" t="s">
        <v>2112</v>
      </c>
      <c r="B690" s="19"/>
      <c r="C690" s="19" t="s">
        <v>2113</v>
      </c>
      <c r="D690" s="19" t="s">
        <v>13559</v>
      </c>
      <c r="E690" s="19" t="s">
        <v>13560</v>
      </c>
      <c r="F690" s="19" t="s">
        <v>13559</v>
      </c>
      <c r="G690" s="19" t="s">
        <v>13560</v>
      </c>
      <c r="H690" s="19" t="s">
        <v>13559</v>
      </c>
      <c r="I690" s="19" t="s">
        <v>13561</v>
      </c>
      <c r="J690" s="19" t="s">
        <v>13562</v>
      </c>
      <c r="K690" s="19" t="s">
        <v>13563</v>
      </c>
      <c r="L690" s="20">
        <v>45394.0</v>
      </c>
      <c r="M690" s="20">
        <v>45404.0</v>
      </c>
      <c r="N690" s="20">
        <v>45404.0</v>
      </c>
      <c r="O690" s="19" t="s">
        <v>13564</v>
      </c>
      <c r="P690" s="19">
        <v>0.0</v>
      </c>
      <c r="Q690" s="19">
        <v>29.0</v>
      </c>
      <c r="R690" s="19">
        <v>10738.0</v>
      </c>
      <c r="S690" s="20" t="s">
        <v>13565</v>
      </c>
      <c r="T690" s="20">
        <v>45461.0</v>
      </c>
      <c r="U690" s="19" t="s">
        <v>13559</v>
      </c>
      <c r="V690" s="19"/>
      <c r="W690" s="19" t="s">
        <v>13566</v>
      </c>
      <c r="X690" s="21">
        <v>0.0</v>
      </c>
      <c r="Y690" s="21">
        <v>10.0</v>
      </c>
      <c r="Z690" s="21">
        <v>5.0</v>
      </c>
      <c r="AA690" s="21">
        <v>3.0</v>
      </c>
      <c r="AB690" s="5">
        <v>18.0</v>
      </c>
      <c r="AC690" s="19">
        <v>3.8</v>
      </c>
      <c r="AD690" s="19">
        <v>4.0</v>
      </c>
      <c r="AE690" s="19">
        <v>3.8</v>
      </c>
      <c r="AF690" s="19">
        <v>4.2</v>
      </c>
      <c r="AG690" s="19">
        <v>3.8</v>
      </c>
      <c r="AH690" s="19">
        <v>4.0</v>
      </c>
      <c r="AI690" s="22">
        <v>11.756250000000001</v>
      </c>
      <c r="AJ690" s="19"/>
      <c r="AK690" s="19"/>
      <c r="AL690" s="19"/>
      <c r="AM690" s="19">
        <v>0.0</v>
      </c>
      <c r="AN690" s="19">
        <v>11.8</v>
      </c>
      <c r="AO690" s="19">
        <v>29.8</v>
      </c>
      <c r="AP690" s="19">
        <v>345.0</v>
      </c>
      <c r="AQ690" s="19">
        <v>689.0</v>
      </c>
      <c r="AR690" s="19">
        <v>53.0</v>
      </c>
      <c r="AS690" s="22"/>
      <c r="AT690" s="19" t="s">
        <v>2282</v>
      </c>
      <c r="AU690" s="19" t="s">
        <v>13567</v>
      </c>
      <c r="AV690" s="19" t="s">
        <v>13568</v>
      </c>
      <c r="AW690" s="19"/>
      <c r="AX690" s="20">
        <v>34723.0</v>
      </c>
      <c r="AY690" s="19" t="s">
        <v>6195</v>
      </c>
      <c r="AZ690" s="19" t="s">
        <v>2310</v>
      </c>
      <c r="BA690" s="19" t="s">
        <v>13569</v>
      </c>
      <c r="BB690" s="19" t="s">
        <v>2132</v>
      </c>
      <c r="BC690" s="19" t="s">
        <v>13570</v>
      </c>
      <c r="BD690" s="19" t="s">
        <v>13571</v>
      </c>
      <c r="BE690" s="19" t="s">
        <v>13572</v>
      </c>
      <c r="BF690" s="19">
        <v>1.1918781408E10</v>
      </c>
      <c r="BG690" s="19" t="s">
        <v>2127</v>
      </c>
      <c r="BH690" s="19" t="s">
        <v>2128</v>
      </c>
      <c r="BI690" s="19"/>
      <c r="BJ690" s="19"/>
      <c r="BK690" s="19" t="s">
        <v>16</v>
      </c>
      <c r="BL690" s="19" t="s">
        <v>2113</v>
      </c>
      <c r="BM690" s="19" t="s">
        <v>5411</v>
      </c>
      <c r="BN690" s="19" t="s">
        <v>17</v>
      </c>
      <c r="BO690" s="19" t="s">
        <v>2132</v>
      </c>
      <c r="BP690" s="19" t="s">
        <v>13573</v>
      </c>
      <c r="BQ690" s="19" t="s">
        <v>2174</v>
      </c>
      <c r="BR690" s="19" t="s">
        <v>2174</v>
      </c>
      <c r="BS690" s="19" t="s">
        <v>2243</v>
      </c>
      <c r="BT690" s="19" t="s">
        <v>75</v>
      </c>
      <c r="BU690" s="19" t="s">
        <v>13574</v>
      </c>
      <c r="BV690" s="19"/>
      <c r="BW690" s="19"/>
      <c r="BX690" s="19"/>
      <c r="BY690" s="19" t="s">
        <v>2113</v>
      </c>
      <c r="BZ690" s="19"/>
      <c r="CA690" s="19"/>
      <c r="CB690" s="19"/>
      <c r="CC690" s="19" t="s">
        <v>2113</v>
      </c>
      <c r="CD690" s="19" t="s">
        <v>2137</v>
      </c>
      <c r="CE690" s="19" t="s">
        <v>16</v>
      </c>
      <c r="CF690" s="19"/>
      <c r="CG690" s="19"/>
      <c r="CH690" s="19" t="s">
        <v>17</v>
      </c>
      <c r="CI690" s="21">
        <v>3.0</v>
      </c>
      <c r="CJ690" s="19" t="s">
        <v>16</v>
      </c>
      <c r="CK690" s="19"/>
      <c r="CL690" s="19"/>
      <c r="CM690" s="19" t="s">
        <v>2138</v>
      </c>
      <c r="CN690" s="19" t="s">
        <v>2537</v>
      </c>
      <c r="CO690" s="19"/>
      <c r="CP690" s="19" t="s">
        <v>2140</v>
      </c>
      <c r="CQ690" s="19"/>
      <c r="CR690" s="19"/>
      <c r="CS690" s="19"/>
      <c r="CT690" s="19" t="s">
        <v>2113</v>
      </c>
      <c r="CU690" s="19" t="s">
        <v>2113</v>
      </c>
      <c r="CV690" s="19" t="s">
        <v>2141</v>
      </c>
      <c r="CW690" s="19" t="s">
        <v>2113</v>
      </c>
      <c r="CX690" s="19" t="s">
        <v>2113</v>
      </c>
      <c r="CY690" s="19" t="s">
        <v>2113</v>
      </c>
      <c r="CZ690" s="19" t="s">
        <v>2113</v>
      </c>
      <c r="DA690" s="19" t="s">
        <v>16</v>
      </c>
      <c r="DB690" s="19" t="s">
        <v>16</v>
      </c>
      <c r="DC690" s="19" t="s">
        <v>2181</v>
      </c>
      <c r="DD690" s="19" t="s">
        <v>2113</v>
      </c>
      <c r="DE690" s="19" t="s">
        <v>2113</v>
      </c>
      <c r="DF690" s="19" t="s">
        <v>2227</v>
      </c>
      <c r="DG690" s="19" t="s">
        <v>2540</v>
      </c>
      <c r="DH690" s="19" t="s">
        <v>2144</v>
      </c>
      <c r="DI690" s="24">
        <v>45531.0</v>
      </c>
      <c r="DJ690" s="19" t="s">
        <v>2174</v>
      </c>
      <c r="DK690" s="19" t="s">
        <v>2271</v>
      </c>
      <c r="DL690" s="19" t="s">
        <v>2183</v>
      </c>
      <c r="DM690" s="19"/>
      <c r="DN690" s="19">
        <v>8.0</v>
      </c>
      <c r="DO690" s="19">
        <v>8.0</v>
      </c>
      <c r="DP690" s="19" t="s">
        <v>13575</v>
      </c>
      <c r="DQ690" s="19" t="s">
        <v>13576</v>
      </c>
      <c r="DR690" s="19" t="s">
        <v>13577</v>
      </c>
      <c r="DS690" s="19" t="s">
        <v>2151</v>
      </c>
      <c r="DT690" s="19" t="s">
        <v>2186</v>
      </c>
      <c r="DU690" s="19"/>
      <c r="DV690" s="19"/>
      <c r="DW690" s="19" t="s">
        <v>2188</v>
      </c>
      <c r="DX690" s="19">
        <v>15.0</v>
      </c>
      <c r="DY690" s="19">
        <v>10.0</v>
      </c>
      <c r="DZ690" s="19">
        <v>0.0</v>
      </c>
      <c r="EA690" s="19">
        <v>10.0</v>
      </c>
      <c r="EB690" s="19">
        <v>3.0</v>
      </c>
      <c r="EC690" s="19">
        <v>0.0</v>
      </c>
      <c r="ED690" s="19" t="s">
        <v>2174</v>
      </c>
      <c r="EE690" s="24">
        <v>45531.0</v>
      </c>
      <c r="EF690" s="19" t="s">
        <v>2174</v>
      </c>
      <c r="EG690" s="19" t="s">
        <v>2271</v>
      </c>
      <c r="EH690" s="19" t="s">
        <v>2183</v>
      </c>
      <c r="EI690" s="22">
        <v>11.756250000000001</v>
      </c>
      <c r="EJ690" s="19">
        <v>0.0</v>
      </c>
      <c r="EK690" s="19"/>
      <c r="EL690" s="19" t="s">
        <v>2282</v>
      </c>
      <c r="EM690" s="19" t="s">
        <v>13567</v>
      </c>
      <c r="EN690" s="19" t="s">
        <v>13561</v>
      </c>
      <c r="EO690" s="19" t="s">
        <v>6195</v>
      </c>
      <c r="EP690" s="19" t="s">
        <v>2310</v>
      </c>
      <c r="EQ690" s="19" t="s">
        <v>2537</v>
      </c>
      <c r="ER690" s="19"/>
      <c r="ES690" s="19" t="s">
        <v>13561</v>
      </c>
      <c r="ET690" s="19" t="s">
        <v>13561</v>
      </c>
      <c r="EU690" s="19" t="s">
        <v>13563</v>
      </c>
      <c r="EV690" s="19">
        <v>10738.0</v>
      </c>
      <c r="EW690" s="19" t="s">
        <v>16</v>
      </c>
      <c r="EX690" s="19">
        <v>5.0</v>
      </c>
      <c r="EY690" s="25" t="s">
        <v>13564</v>
      </c>
      <c r="EZ690" s="19" t="s">
        <v>2154</v>
      </c>
      <c r="FA690" s="5" t="s">
        <v>13578</v>
      </c>
      <c r="FB690" s="26" t="s">
        <v>2633</v>
      </c>
      <c r="FC690" s="26" t="s">
        <v>10773</v>
      </c>
    </row>
    <row r="691" hidden="1">
      <c r="A691" s="19" t="s">
        <v>2112</v>
      </c>
      <c r="B691" s="19"/>
      <c r="C691" s="19" t="s">
        <v>2113</v>
      </c>
      <c r="D691" s="19" t="s">
        <v>13579</v>
      </c>
      <c r="E691" s="19" t="s">
        <v>13580</v>
      </c>
      <c r="F691" s="19" t="s">
        <v>13579</v>
      </c>
      <c r="G691" s="19"/>
      <c r="H691" s="19" t="s">
        <v>13579</v>
      </c>
      <c r="I691" s="19" t="s">
        <v>13581</v>
      </c>
      <c r="J691" s="19" t="s">
        <v>13582</v>
      </c>
      <c r="K691" s="19" t="s">
        <v>13583</v>
      </c>
      <c r="L691" s="20">
        <v>45460.0</v>
      </c>
      <c r="M691" s="20">
        <v>45462.0</v>
      </c>
      <c r="N691" s="20">
        <v>45462.0</v>
      </c>
      <c r="O691" s="19" t="s">
        <v>13584</v>
      </c>
      <c r="P691" s="19">
        <v>0.0</v>
      </c>
      <c r="Q691" s="19">
        <v>25.0</v>
      </c>
      <c r="R691" s="19">
        <v>9377.0</v>
      </c>
      <c r="S691" s="20" t="s">
        <v>13585</v>
      </c>
      <c r="T691" s="20">
        <v>45461.0</v>
      </c>
      <c r="U691" s="19" t="s">
        <v>13579</v>
      </c>
      <c r="V691" s="19"/>
      <c r="W691" s="19"/>
      <c r="X691" s="21">
        <v>0.0</v>
      </c>
      <c r="Y691" s="21">
        <v>10.0</v>
      </c>
      <c r="Z691" s="21">
        <v>5.0</v>
      </c>
      <c r="AA691" s="21">
        <v>3.0</v>
      </c>
      <c r="AB691" s="5">
        <v>18.0</v>
      </c>
      <c r="AC691" s="19">
        <v>3.8</v>
      </c>
      <c r="AD691" s="19">
        <v>4.2</v>
      </c>
      <c r="AE691" s="19">
        <v>3.6</v>
      </c>
      <c r="AF691" s="19">
        <v>3.6</v>
      </c>
      <c r="AG691" s="19">
        <v>3.4</v>
      </c>
      <c r="AH691" s="19">
        <v>4.0</v>
      </c>
      <c r="AI691" s="22">
        <v>11.3625</v>
      </c>
      <c r="AJ691" s="19"/>
      <c r="AK691" s="19"/>
      <c r="AL691" s="19"/>
      <c r="AM691" s="19">
        <v>0.0</v>
      </c>
      <c r="AN691" s="19">
        <v>11.4</v>
      </c>
      <c r="AO691" s="19">
        <v>29.4</v>
      </c>
      <c r="AP691" s="19">
        <v>350.0</v>
      </c>
      <c r="AQ691" s="19">
        <v>690.0</v>
      </c>
      <c r="AR691" s="19">
        <v>77.0</v>
      </c>
      <c r="AS691" s="22"/>
      <c r="AT691" s="19" t="s">
        <v>2163</v>
      </c>
      <c r="AU691" s="19" t="s">
        <v>4017</v>
      </c>
      <c r="AV691" s="19" t="s">
        <v>13586</v>
      </c>
      <c r="AW691" s="19" t="s">
        <v>3923</v>
      </c>
      <c r="AX691" s="20">
        <v>36084.0</v>
      </c>
      <c r="AY691" s="19" t="s">
        <v>2196</v>
      </c>
      <c r="AZ691" s="19" t="s">
        <v>2122</v>
      </c>
      <c r="BA691" s="19" t="s">
        <v>13587</v>
      </c>
      <c r="BB691" s="19" t="s">
        <v>4516</v>
      </c>
      <c r="BC691" s="19" t="s">
        <v>13588</v>
      </c>
      <c r="BD691" s="19" t="s">
        <v>13589</v>
      </c>
      <c r="BE691" s="19" t="s">
        <v>13582</v>
      </c>
      <c r="BF691" s="19">
        <v>1.1970484637E10</v>
      </c>
      <c r="BG691" s="19" t="s">
        <v>2127</v>
      </c>
      <c r="BH691" s="19" t="s">
        <v>2128</v>
      </c>
      <c r="BI691" s="19"/>
      <c r="BJ691" s="19"/>
      <c r="BK691" s="19" t="s">
        <v>16</v>
      </c>
      <c r="BL691" s="19" t="s">
        <v>2113</v>
      </c>
      <c r="BM691" s="19" t="s">
        <v>5563</v>
      </c>
      <c r="BN691" s="19" t="s">
        <v>2172</v>
      </c>
      <c r="BO691" s="19" t="s">
        <v>2132</v>
      </c>
      <c r="BP691" s="19" t="s">
        <v>13590</v>
      </c>
      <c r="BQ691" s="19" t="s">
        <v>2174</v>
      </c>
      <c r="BR691" s="19" t="s">
        <v>2174</v>
      </c>
      <c r="BS691" s="19" t="s">
        <v>2134</v>
      </c>
      <c r="BT691" s="19" t="s">
        <v>21</v>
      </c>
      <c r="BU691" s="19"/>
      <c r="BV691" s="19"/>
      <c r="BW691" s="19"/>
      <c r="BX691" s="19" t="s">
        <v>2113</v>
      </c>
      <c r="BY691" s="19" t="s">
        <v>2113</v>
      </c>
      <c r="BZ691" s="19" t="s">
        <v>2113</v>
      </c>
      <c r="CA691" s="19" t="s">
        <v>2113</v>
      </c>
      <c r="CB691" s="19" t="s">
        <v>2113</v>
      </c>
      <c r="CC691" s="19" t="s">
        <v>2113</v>
      </c>
      <c r="CD691" s="19" t="s">
        <v>2137</v>
      </c>
      <c r="CE691" s="19" t="s">
        <v>16</v>
      </c>
      <c r="CF691" s="19"/>
      <c r="CG691" s="19"/>
      <c r="CH691" s="19" t="s">
        <v>17</v>
      </c>
      <c r="CI691" s="21">
        <v>3.0</v>
      </c>
      <c r="CJ691" s="19" t="s">
        <v>17</v>
      </c>
      <c r="CK691" s="19"/>
      <c r="CL691" s="19"/>
      <c r="CM691" s="19" t="s">
        <v>2344</v>
      </c>
      <c r="CN691" s="19" t="s">
        <v>2204</v>
      </c>
      <c r="CO691" s="19"/>
      <c r="CP691" s="19"/>
      <c r="CQ691" s="19" t="s">
        <v>2113</v>
      </c>
      <c r="CR691" s="19" t="s">
        <v>2113</v>
      </c>
      <c r="CS691" s="19" t="s">
        <v>2113</v>
      </c>
      <c r="CT691" s="19"/>
      <c r="CU691" s="19"/>
      <c r="CV691" s="19" t="s">
        <v>2179</v>
      </c>
      <c r="CW691" s="19" t="s">
        <v>2113</v>
      </c>
      <c r="CX691" s="19" t="s">
        <v>2113</v>
      </c>
      <c r="CY691" s="19"/>
      <c r="CZ691" s="19"/>
      <c r="DA691" s="19" t="s">
        <v>16</v>
      </c>
      <c r="DB691" s="19" t="s">
        <v>17</v>
      </c>
      <c r="DC691" s="19" t="s">
        <v>2181</v>
      </c>
      <c r="DD691" s="19" t="s">
        <v>2113</v>
      </c>
      <c r="DE691" s="19" t="s">
        <v>2113</v>
      </c>
      <c r="DF691" s="19" t="s">
        <v>10275</v>
      </c>
      <c r="DG691" s="19" t="s">
        <v>2270</v>
      </c>
      <c r="DH691" s="19" t="s">
        <v>2144</v>
      </c>
      <c r="DI691" s="24">
        <v>45531.0</v>
      </c>
      <c r="DJ691" s="19" t="s">
        <v>2174</v>
      </c>
      <c r="DK691" s="19" t="s">
        <v>2271</v>
      </c>
      <c r="DL691" s="19" t="s">
        <v>2183</v>
      </c>
      <c r="DM691" s="19"/>
      <c r="DN691" s="19">
        <v>8.0</v>
      </c>
      <c r="DO691" s="19">
        <v>8.0</v>
      </c>
      <c r="DP691" s="19"/>
      <c r="DQ691" s="19"/>
      <c r="DR691" s="19"/>
      <c r="DS691" s="19" t="s">
        <v>2151</v>
      </c>
      <c r="DT691" s="19" t="s">
        <v>2229</v>
      </c>
      <c r="DU691" s="19" t="s">
        <v>13591</v>
      </c>
      <c r="DV691" s="19"/>
      <c r="DW691" s="19" t="s">
        <v>2188</v>
      </c>
      <c r="DX691" s="19">
        <v>15.0</v>
      </c>
      <c r="DY691" s="19">
        <v>10.0</v>
      </c>
      <c r="DZ691" s="19">
        <v>0.0</v>
      </c>
      <c r="EA691" s="19">
        <v>10.0</v>
      </c>
      <c r="EB691" s="19">
        <v>3.0</v>
      </c>
      <c r="EC691" s="19">
        <v>0.0</v>
      </c>
      <c r="ED691" s="19" t="s">
        <v>2174</v>
      </c>
      <c r="EE691" s="24">
        <v>45531.0</v>
      </c>
      <c r="EF691" s="19" t="s">
        <v>2174</v>
      </c>
      <c r="EG691" s="19" t="s">
        <v>2271</v>
      </c>
      <c r="EH691" s="19" t="s">
        <v>2183</v>
      </c>
      <c r="EI691" s="22">
        <v>11.3625</v>
      </c>
      <c r="EJ691" s="19">
        <v>0.0</v>
      </c>
      <c r="EK691" s="19" t="s">
        <v>2113</v>
      </c>
      <c r="EL691" s="19" t="s">
        <v>2163</v>
      </c>
      <c r="EM691" s="19" t="s">
        <v>4017</v>
      </c>
      <c r="EN691" s="19" t="s">
        <v>13581</v>
      </c>
      <c r="EO691" s="19" t="s">
        <v>2196</v>
      </c>
      <c r="EP691" s="19" t="s">
        <v>2122</v>
      </c>
      <c r="EQ691" s="19" t="s">
        <v>2204</v>
      </c>
      <c r="ER691" s="19"/>
      <c r="ES691" s="19" t="s">
        <v>13581</v>
      </c>
      <c r="ET691" s="19" t="s">
        <v>13581</v>
      </c>
      <c r="EU691" s="19" t="s">
        <v>13583</v>
      </c>
      <c r="EV691" s="19">
        <v>9377.0</v>
      </c>
      <c r="EW691" s="19" t="s">
        <v>16</v>
      </c>
      <c r="EX691" s="19">
        <v>5.0</v>
      </c>
      <c r="EY691" s="25" t="s">
        <v>13584</v>
      </c>
      <c r="EZ691" s="19" t="s">
        <v>2154</v>
      </c>
      <c r="FA691" s="5" t="s">
        <v>13592</v>
      </c>
      <c r="FB691" s="26" t="s">
        <v>2633</v>
      </c>
      <c r="FC691" s="26" t="s">
        <v>10773</v>
      </c>
    </row>
    <row r="692" hidden="1">
      <c r="A692" s="19" t="s">
        <v>2112</v>
      </c>
      <c r="B692" s="19"/>
      <c r="C692" s="19" t="s">
        <v>2113</v>
      </c>
      <c r="D692" s="19" t="s">
        <v>13593</v>
      </c>
      <c r="E692" s="19" t="s">
        <v>13594</v>
      </c>
      <c r="F692" s="19" t="s">
        <v>13593</v>
      </c>
      <c r="G692" s="19"/>
      <c r="H692" s="19" t="s">
        <v>13593</v>
      </c>
      <c r="I692" s="19" t="s">
        <v>13595</v>
      </c>
      <c r="J692" s="19" t="s">
        <v>13596</v>
      </c>
      <c r="K692" s="19" t="s">
        <v>13597</v>
      </c>
      <c r="L692" s="20">
        <v>45416.0</v>
      </c>
      <c r="M692" s="20">
        <v>45428.0</v>
      </c>
      <c r="N692" s="20">
        <v>45428.0</v>
      </c>
      <c r="O692" s="19" t="s">
        <v>13598</v>
      </c>
      <c r="P692" s="19">
        <v>0.0</v>
      </c>
      <c r="Q692" s="19">
        <v>20.0</v>
      </c>
      <c r="R692" s="19">
        <v>7577.0</v>
      </c>
      <c r="S692" s="20" t="s">
        <v>13599</v>
      </c>
      <c r="T692" s="20">
        <v>45461.0</v>
      </c>
      <c r="U692" s="19" t="s">
        <v>13593</v>
      </c>
      <c r="V692" s="19"/>
      <c r="W692" s="19"/>
      <c r="X692" s="21">
        <v>0.0</v>
      </c>
      <c r="Y692" s="21">
        <v>10.0</v>
      </c>
      <c r="Z692" s="21">
        <v>5.0</v>
      </c>
      <c r="AA692" s="21">
        <v>0.0</v>
      </c>
      <c r="AB692" s="5">
        <v>15.0</v>
      </c>
      <c r="AC692" s="19">
        <v>5.0</v>
      </c>
      <c r="AD692" s="19">
        <v>5.0</v>
      </c>
      <c r="AE692" s="19">
        <v>5.0</v>
      </c>
      <c r="AF692" s="19">
        <v>4.0</v>
      </c>
      <c r="AG692" s="19">
        <v>5.0</v>
      </c>
      <c r="AH692" s="19">
        <v>4.0</v>
      </c>
      <c r="AI692" s="22">
        <v>14.25</v>
      </c>
      <c r="AJ692" s="19"/>
      <c r="AK692" s="19"/>
      <c r="AL692" s="19"/>
      <c r="AM692" s="19">
        <v>0.0</v>
      </c>
      <c r="AN692" s="19">
        <v>14.3</v>
      </c>
      <c r="AO692" s="19">
        <v>29.3</v>
      </c>
      <c r="AP692" s="19">
        <v>496.0</v>
      </c>
      <c r="AQ692" s="19">
        <v>691.0</v>
      </c>
      <c r="AR692" s="19">
        <v>97.0</v>
      </c>
      <c r="AS692" s="22"/>
      <c r="AT692" s="19" t="s">
        <v>2163</v>
      </c>
      <c r="AU692" s="19" t="s">
        <v>10449</v>
      </c>
      <c r="AV692" s="19" t="s">
        <v>13600</v>
      </c>
      <c r="AW692" s="19"/>
      <c r="AX692" s="20">
        <v>37884.0</v>
      </c>
      <c r="AY692" s="19" t="s">
        <v>2286</v>
      </c>
      <c r="AZ692" s="19" t="s">
        <v>2122</v>
      </c>
      <c r="BA692" s="19" t="s">
        <v>13601</v>
      </c>
      <c r="BB692" s="19" t="s">
        <v>6052</v>
      </c>
      <c r="BC692" s="19" t="s">
        <v>13602</v>
      </c>
      <c r="BD692" s="19" t="s">
        <v>13603</v>
      </c>
      <c r="BE692" s="19" t="s">
        <v>13604</v>
      </c>
      <c r="BF692" s="19">
        <v>1.1999618984E10</v>
      </c>
      <c r="BG692" s="19" t="s">
        <v>2127</v>
      </c>
      <c r="BH692" s="19" t="s">
        <v>2128</v>
      </c>
      <c r="BI692" s="19"/>
      <c r="BJ692" s="19"/>
      <c r="BK692" s="19" t="s">
        <v>16</v>
      </c>
      <c r="BL692" s="19"/>
      <c r="BM692" s="19" t="s">
        <v>5411</v>
      </c>
      <c r="BN692" s="19" t="s">
        <v>2172</v>
      </c>
      <c r="BO692" s="19" t="s">
        <v>2132</v>
      </c>
      <c r="BP692" s="19" t="s">
        <v>13605</v>
      </c>
      <c r="BQ692" s="19" t="s">
        <v>2133</v>
      </c>
      <c r="BR692" s="19" t="s">
        <v>2133</v>
      </c>
      <c r="BS692" s="19" t="s">
        <v>2134</v>
      </c>
      <c r="BT692" s="19" t="s">
        <v>38</v>
      </c>
      <c r="BU692" s="19"/>
      <c r="BV692" s="19"/>
      <c r="BW692" s="19" t="s">
        <v>2113</v>
      </c>
      <c r="BX692" s="19"/>
      <c r="BY692" s="19"/>
      <c r="BZ692" s="19"/>
      <c r="CA692" s="19"/>
      <c r="CB692" s="19" t="s">
        <v>2113</v>
      </c>
      <c r="CC692" s="19"/>
      <c r="CD692" s="19" t="s">
        <v>2137</v>
      </c>
      <c r="CE692" s="19" t="s">
        <v>16</v>
      </c>
      <c r="CF692" s="19"/>
      <c r="CG692" s="19"/>
      <c r="CH692" s="19" t="s">
        <v>16</v>
      </c>
      <c r="CI692" s="21">
        <v>0.0</v>
      </c>
      <c r="CJ692" s="19" t="s">
        <v>17</v>
      </c>
      <c r="CK692" s="19"/>
      <c r="CL692" s="19"/>
      <c r="CM692" s="19" t="s">
        <v>2138</v>
      </c>
      <c r="CN692" s="19" t="s">
        <v>2294</v>
      </c>
      <c r="CO692" s="19"/>
      <c r="CP692" s="19"/>
      <c r="CQ692" s="19"/>
      <c r="CR692" s="19"/>
      <c r="CS692" s="19"/>
      <c r="CT692" s="19"/>
      <c r="CU692" s="19"/>
      <c r="CV692" s="19" t="s">
        <v>2179</v>
      </c>
      <c r="CW692" s="19" t="s">
        <v>2113</v>
      </c>
      <c r="CX692" s="19" t="s">
        <v>2113</v>
      </c>
      <c r="CY692" s="19"/>
      <c r="CZ692" s="19"/>
      <c r="DA692" s="19" t="s">
        <v>16</v>
      </c>
      <c r="DB692" s="19" t="s">
        <v>17</v>
      </c>
      <c r="DC692" s="19" t="s">
        <v>2578</v>
      </c>
      <c r="DD692" s="19" t="s">
        <v>2113</v>
      </c>
      <c r="DE692" s="19" t="s">
        <v>2113</v>
      </c>
      <c r="DF692" s="19" t="s">
        <v>2433</v>
      </c>
      <c r="DG692" s="19" t="s">
        <v>2297</v>
      </c>
      <c r="DH692" s="19" t="s">
        <v>2144</v>
      </c>
      <c r="DI692" s="24">
        <v>45525.0</v>
      </c>
      <c r="DJ692" s="19" t="s">
        <v>2133</v>
      </c>
      <c r="DK692" s="19" t="s">
        <v>2145</v>
      </c>
      <c r="DL692" s="19" t="s">
        <v>2146</v>
      </c>
      <c r="DM692" s="19" t="s">
        <v>3003</v>
      </c>
      <c r="DN692" s="19">
        <v>9.0</v>
      </c>
      <c r="DO692" s="19">
        <v>9.0</v>
      </c>
      <c r="DP692" s="19"/>
      <c r="DQ692" s="19"/>
      <c r="DR692" s="19"/>
      <c r="DS692" s="19" t="s">
        <v>2185</v>
      </c>
      <c r="DT692" s="19" t="s">
        <v>2301</v>
      </c>
      <c r="DU692" s="19" t="s">
        <v>13606</v>
      </c>
      <c r="DV692" s="19"/>
      <c r="DW692" s="19" t="s">
        <v>2479</v>
      </c>
      <c r="DX692" s="19">
        <v>6.0</v>
      </c>
      <c r="DY692" s="19">
        <v>10.0</v>
      </c>
      <c r="DZ692" s="19">
        <v>0.0</v>
      </c>
      <c r="EA692" s="19">
        <v>10.0</v>
      </c>
      <c r="EB692" s="19">
        <v>0.0</v>
      </c>
      <c r="EC692" s="19">
        <v>0.0</v>
      </c>
      <c r="ED692" s="19" t="s">
        <v>2133</v>
      </c>
      <c r="EE692" s="24">
        <v>45525.0</v>
      </c>
      <c r="EF692" s="19" t="s">
        <v>2133</v>
      </c>
      <c r="EG692" s="19" t="s">
        <v>2145</v>
      </c>
      <c r="EH692" s="19" t="s">
        <v>2146</v>
      </c>
      <c r="EI692" s="22">
        <v>14.25</v>
      </c>
      <c r="EJ692" s="19">
        <v>0.0</v>
      </c>
      <c r="EK692" s="19" t="s">
        <v>2113</v>
      </c>
      <c r="EL692" s="19" t="s">
        <v>2163</v>
      </c>
      <c r="EM692" s="19" t="s">
        <v>10449</v>
      </c>
      <c r="EN692" s="19" t="s">
        <v>13595</v>
      </c>
      <c r="EO692" s="19" t="s">
        <v>2286</v>
      </c>
      <c r="EP692" s="19" t="s">
        <v>2122</v>
      </c>
      <c r="EQ692" s="19" t="s">
        <v>2294</v>
      </c>
      <c r="ER692" s="19"/>
      <c r="ES692" s="19" t="s">
        <v>13595</v>
      </c>
      <c r="ET692" s="19" t="s">
        <v>13595</v>
      </c>
      <c r="EU692" s="19" t="s">
        <v>13597</v>
      </c>
      <c r="EV692" s="19">
        <v>7577.0</v>
      </c>
      <c r="EW692" s="19" t="s">
        <v>16</v>
      </c>
      <c r="EX692" s="19">
        <v>5.0</v>
      </c>
      <c r="EY692" s="25" t="s">
        <v>13598</v>
      </c>
      <c r="EZ692" s="19" t="s">
        <v>2154</v>
      </c>
      <c r="FA692" s="5" t="s">
        <v>13607</v>
      </c>
      <c r="FB692" s="26" t="s">
        <v>2633</v>
      </c>
      <c r="FC692" s="26" t="s">
        <v>11913</v>
      </c>
    </row>
    <row r="693" hidden="1">
      <c r="A693" s="19" t="s">
        <v>2112</v>
      </c>
      <c r="B693" s="19"/>
      <c r="C693" s="19" t="s">
        <v>2113</v>
      </c>
      <c r="D693" s="19" t="s">
        <v>13608</v>
      </c>
      <c r="E693" s="19" t="s">
        <v>13609</v>
      </c>
      <c r="F693" s="19" t="s">
        <v>13608</v>
      </c>
      <c r="G693" s="19"/>
      <c r="H693" s="19" t="s">
        <v>13608</v>
      </c>
      <c r="I693" s="19" t="s">
        <v>13610</v>
      </c>
      <c r="J693" s="19" t="s">
        <v>13611</v>
      </c>
      <c r="K693" s="19" t="s">
        <v>13612</v>
      </c>
      <c r="L693" s="20">
        <v>45445.0</v>
      </c>
      <c r="M693" s="20">
        <v>45446.0</v>
      </c>
      <c r="N693" s="20">
        <v>45446.0</v>
      </c>
      <c r="O693" s="19" t="s">
        <v>13613</v>
      </c>
      <c r="P693" s="19">
        <v>0.0</v>
      </c>
      <c r="Q693" s="19">
        <v>21.0</v>
      </c>
      <c r="R693" s="19">
        <v>8021.0</v>
      </c>
      <c r="S693" s="20" t="s">
        <v>13614</v>
      </c>
      <c r="T693" s="20">
        <v>45461.0</v>
      </c>
      <c r="U693" s="19" t="s">
        <v>13608</v>
      </c>
      <c r="V693" s="19"/>
      <c r="W693" s="19"/>
      <c r="X693" s="21">
        <v>0.0</v>
      </c>
      <c r="Y693" s="21">
        <v>10.0</v>
      </c>
      <c r="Z693" s="21">
        <v>2.0</v>
      </c>
      <c r="AA693" s="21">
        <v>3.0</v>
      </c>
      <c r="AB693" s="5">
        <v>15.0</v>
      </c>
      <c r="AC693" s="19">
        <v>4.0</v>
      </c>
      <c r="AD693" s="19">
        <v>5.0</v>
      </c>
      <c r="AE693" s="19">
        <v>5.0</v>
      </c>
      <c r="AF693" s="19">
        <v>5.0</v>
      </c>
      <c r="AG693" s="19">
        <v>4.0</v>
      </c>
      <c r="AH693" s="19">
        <v>4.5</v>
      </c>
      <c r="AI693" s="22">
        <v>13.96875</v>
      </c>
      <c r="AJ693" s="19">
        <v>0.0</v>
      </c>
      <c r="AK693" s="19">
        <v>0.0</v>
      </c>
      <c r="AL693" s="19">
        <v>0.0</v>
      </c>
      <c r="AM693" s="19">
        <v>0.0</v>
      </c>
      <c r="AN693" s="19">
        <v>14.0</v>
      </c>
      <c r="AO693" s="19">
        <v>29.0</v>
      </c>
      <c r="AP693" s="19">
        <v>572.0</v>
      </c>
      <c r="AQ693" s="19">
        <v>692.0</v>
      </c>
      <c r="AR693" s="19">
        <v>53.0</v>
      </c>
      <c r="AS693" s="22"/>
      <c r="AT693" s="19" t="s">
        <v>2163</v>
      </c>
      <c r="AU693" s="19" t="s">
        <v>3230</v>
      </c>
      <c r="AV693" s="19" t="s">
        <v>13615</v>
      </c>
      <c r="AW693" s="19" t="s">
        <v>4717</v>
      </c>
      <c r="AX693" s="20">
        <v>37440.0</v>
      </c>
      <c r="AY693" s="19" t="s">
        <v>4564</v>
      </c>
      <c r="AZ693" s="19" t="s">
        <v>2310</v>
      </c>
      <c r="BA693" s="19" t="s">
        <v>13616</v>
      </c>
      <c r="BB693" s="19" t="s">
        <v>13617</v>
      </c>
      <c r="BC693" s="19" t="s">
        <v>13618</v>
      </c>
      <c r="BD693" s="19" t="s">
        <v>13619</v>
      </c>
      <c r="BE693" s="19" t="s">
        <v>13620</v>
      </c>
      <c r="BF693" s="19">
        <v>1.1992930493E10</v>
      </c>
      <c r="BG693" s="19" t="s">
        <v>2127</v>
      </c>
      <c r="BH693" s="19" t="s">
        <v>2128</v>
      </c>
      <c r="BI693" s="19"/>
      <c r="BJ693" s="19" t="s">
        <v>2128</v>
      </c>
      <c r="BK693" s="19" t="s">
        <v>16</v>
      </c>
      <c r="BL693" s="19"/>
      <c r="BM693" s="19" t="s">
        <v>5411</v>
      </c>
      <c r="BN693" s="19" t="s">
        <v>2708</v>
      </c>
      <c r="BO693" s="19" t="s">
        <v>3199</v>
      </c>
      <c r="BP693" s="19" t="s">
        <v>13621</v>
      </c>
      <c r="BQ693" s="19" t="s">
        <v>2325</v>
      </c>
      <c r="BR693" s="19" t="s">
        <v>2325</v>
      </c>
      <c r="BS693" s="19" t="s">
        <v>2134</v>
      </c>
      <c r="BT693" s="19" t="s">
        <v>118</v>
      </c>
      <c r="BU693" s="19" t="s">
        <v>13622</v>
      </c>
      <c r="BV693" s="19"/>
      <c r="BW693" s="19"/>
      <c r="BX693" s="19"/>
      <c r="BY693" s="19"/>
      <c r="BZ693" s="19"/>
      <c r="CA693" s="19"/>
      <c r="CB693" s="19" t="s">
        <v>2113</v>
      </c>
      <c r="CC693" s="19"/>
      <c r="CD693" s="19" t="s">
        <v>2137</v>
      </c>
      <c r="CE693" s="19" t="s">
        <v>16</v>
      </c>
      <c r="CF693" s="19"/>
      <c r="CG693" s="19"/>
      <c r="CH693" s="19" t="s">
        <v>17</v>
      </c>
      <c r="CI693" s="21">
        <v>3.0</v>
      </c>
      <c r="CJ693" s="19" t="s">
        <v>17</v>
      </c>
      <c r="CK693" s="19"/>
      <c r="CL693" s="19"/>
      <c r="CM693" s="19" t="s">
        <v>2138</v>
      </c>
      <c r="CN693" s="19" t="s">
        <v>3220</v>
      </c>
      <c r="CO693" s="19"/>
      <c r="CP693" s="19" t="s">
        <v>2134</v>
      </c>
      <c r="CQ693" s="19"/>
      <c r="CR693" s="19" t="s">
        <v>2113</v>
      </c>
      <c r="CS693" s="19" t="s">
        <v>2113</v>
      </c>
      <c r="CT693" s="19" t="s">
        <v>2113</v>
      </c>
      <c r="CU693" s="19" t="s">
        <v>2113</v>
      </c>
      <c r="CV693" s="19" t="s">
        <v>2141</v>
      </c>
      <c r="CW693" s="19" t="s">
        <v>2113</v>
      </c>
      <c r="CX693" s="19" t="s">
        <v>2113</v>
      </c>
      <c r="CY693" s="19" t="s">
        <v>2113</v>
      </c>
      <c r="CZ693" s="19" t="s">
        <v>2113</v>
      </c>
      <c r="DA693" s="19" t="s">
        <v>16</v>
      </c>
      <c r="DB693" s="19" t="s">
        <v>17</v>
      </c>
      <c r="DC693" s="19" t="s">
        <v>2869</v>
      </c>
      <c r="DD693" s="19" t="s">
        <v>2113</v>
      </c>
      <c r="DE693" s="19" t="s">
        <v>2113</v>
      </c>
      <c r="DF693" s="19" t="s">
        <v>3892</v>
      </c>
      <c r="DG693" s="19" t="s">
        <v>4572</v>
      </c>
      <c r="DH693" s="19" t="s">
        <v>2144</v>
      </c>
      <c r="DI693" s="24">
        <v>45524.0</v>
      </c>
      <c r="DJ693" s="19" t="s">
        <v>2325</v>
      </c>
      <c r="DK693" s="19" t="s">
        <v>2145</v>
      </c>
      <c r="DL693" s="19" t="s">
        <v>2326</v>
      </c>
      <c r="DM693" s="19"/>
      <c r="DN693" s="19">
        <v>7.0</v>
      </c>
      <c r="DO693" s="19">
        <v>7.0</v>
      </c>
      <c r="DP693" s="19" t="s">
        <v>13623</v>
      </c>
      <c r="DQ693" s="19" t="s">
        <v>13624</v>
      </c>
      <c r="DR693" s="19" t="s">
        <v>13625</v>
      </c>
      <c r="DS693" s="19" t="s">
        <v>2185</v>
      </c>
      <c r="DT693" s="19" t="s">
        <v>2350</v>
      </c>
      <c r="DU693" s="19"/>
      <c r="DV693" s="19"/>
      <c r="DW693" s="19" t="s">
        <v>3306</v>
      </c>
      <c r="DX693" s="19">
        <v>4.0</v>
      </c>
      <c r="DY693" s="19">
        <v>10.0</v>
      </c>
      <c r="DZ693" s="19">
        <v>0.0</v>
      </c>
      <c r="EA693" s="19">
        <v>10.0</v>
      </c>
      <c r="EB693" s="19">
        <v>3.0</v>
      </c>
      <c r="EC693" s="19">
        <v>0.0</v>
      </c>
      <c r="ED693" s="19" t="s">
        <v>2325</v>
      </c>
      <c r="EE693" s="24">
        <v>45524.0</v>
      </c>
      <c r="EF693" s="19" t="s">
        <v>2325</v>
      </c>
      <c r="EG693" s="19" t="s">
        <v>2145</v>
      </c>
      <c r="EH693" s="19" t="s">
        <v>2326</v>
      </c>
      <c r="EI693" s="22">
        <v>13.96875</v>
      </c>
      <c r="EJ693" s="19">
        <v>0.0</v>
      </c>
      <c r="EK693" s="19" t="s">
        <v>2113</v>
      </c>
      <c r="EL693" s="19" t="s">
        <v>2163</v>
      </c>
      <c r="EM693" s="19" t="s">
        <v>3230</v>
      </c>
      <c r="EN693" s="19" t="s">
        <v>13610</v>
      </c>
      <c r="EO693" s="19" t="s">
        <v>4564</v>
      </c>
      <c r="EP693" s="19" t="s">
        <v>2310</v>
      </c>
      <c r="EQ693" s="19" t="s">
        <v>3220</v>
      </c>
      <c r="ER693" s="19"/>
      <c r="ES693" s="19" t="s">
        <v>13610</v>
      </c>
      <c r="ET693" s="19" t="s">
        <v>13610</v>
      </c>
      <c r="EU693" s="19" t="s">
        <v>13612</v>
      </c>
      <c r="EV693" s="19">
        <v>8021.0</v>
      </c>
      <c r="EW693" s="19" t="s">
        <v>16</v>
      </c>
      <c r="EX693" s="19">
        <v>2.0</v>
      </c>
      <c r="EY693" s="25" t="s">
        <v>13613</v>
      </c>
      <c r="EZ693" s="19" t="s">
        <v>2154</v>
      </c>
      <c r="FA693" s="5" t="s">
        <v>13626</v>
      </c>
      <c r="FB693" s="26" t="s">
        <v>2633</v>
      </c>
      <c r="FC693" s="26" t="s">
        <v>11913</v>
      </c>
    </row>
    <row r="694" hidden="1">
      <c r="A694" s="19" t="s">
        <v>2112</v>
      </c>
      <c r="B694" s="19"/>
      <c r="C694" s="19" t="s">
        <v>2113</v>
      </c>
      <c r="D694" s="19" t="s">
        <v>13627</v>
      </c>
      <c r="E694" s="19" t="s">
        <v>13627</v>
      </c>
      <c r="F694" s="19" t="s">
        <v>13628</v>
      </c>
      <c r="G694" s="19"/>
      <c r="H694" s="19" t="s">
        <v>13628</v>
      </c>
      <c r="I694" s="19" t="s">
        <v>13629</v>
      </c>
      <c r="J694" s="19" t="s">
        <v>13630</v>
      </c>
      <c r="K694" s="19" t="s">
        <v>13631</v>
      </c>
      <c r="L694" s="20">
        <v>45460.0</v>
      </c>
      <c r="M694" s="20">
        <v>45462.0</v>
      </c>
      <c r="N694" s="20">
        <v>45462.0</v>
      </c>
      <c r="O694" s="19" t="s">
        <v>13632</v>
      </c>
      <c r="P694" s="19">
        <v>0.0</v>
      </c>
      <c r="Q694" s="19">
        <v>22.0</v>
      </c>
      <c r="R694" s="19">
        <v>8294.0</v>
      </c>
      <c r="S694" s="20" t="s">
        <v>13633</v>
      </c>
      <c r="T694" s="20">
        <v>45461.0</v>
      </c>
      <c r="U694" s="19" t="s">
        <v>13628</v>
      </c>
      <c r="V694" s="19"/>
      <c r="W694" s="19" t="s">
        <v>2131</v>
      </c>
      <c r="X694" s="21">
        <v>0.0</v>
      </c>
      <c r="Y694" s="21">
        <v>10.0</v>
      </c>
      <c r="Z694" s="21">
        <v>5.0</v>
      </c>
      <c r="AA694" s="21">
        <v>0.0</v>
      </c>
      <c r="AB694" s="5">
        <v>15.0</v>
      </c>
      <c r="AC694" s="19">
        <v>4.6</v>
      </c>
      <c r="AD694" s="19">
        <v>4.4</v>
      </c>
      <c r="AE694" s="19">
        <v>4.8</v>
      </c>
      <c r="AF694" s="19">
        <v>4.2</v>
      </c>
      <c r="AG694" s="19">
        <v>4.8</v>
      </c>
      <c r="AH694" s="19">
        <v>4.0</v>
      </c>
      <c r="AI694" s="22">
        <v>13.51875</v>
      </c>
      <c r="AJ694" s="19"/>
      <c r="AK694" s="19"/>
      <c r="AL694" s="19"/>
      <c r="AM694" s="19">
        <v>0.0</v>
      </c>
      <c r="AN694" s="19">
        <v>13.5</v>
      </c>
      <c r="AO694" s="19">
        <v>28.5</v>
      </c>
      <c r="AP694" s="19">
        <v>458.0</v>
      </c>
      <c r="AQ694" s="19">
        <v>693.0</v>
      </c>
      <c r="AR694" s="19">
        <v>78.0</v>
      </c>
      <c r="AS694" s="22"/>
      <c r="AT694" s="19" t="s">
        <v>2117</v>
      </c>
      <c r="AU694" s="19" t="s">
        <v>13634</v>
      </c>
      <c r="AV694" s="19" t="s">
        <v>13635</v>
      </c>
      <c r="AW694" s="19"/>
      <c r="AX694" s="20">
        <v>37167.0</v>
      </c>
      <c r="AY694" s="19" t="s">
        <v>2196</v>
      </c>
      <c r="AZ694" s="19" t="s">
        <v>2122</v>
      </c>
      <c r="BA694" s="19" t="s">
        <v>13636</v>
      </c>
      <c r="BB694" s="19" t="s">
        <v>13637</v>
      </c>
      <c r="BC694" s="19" t="s">
        <v>13638</v>
      </c>
      <c r="BD694" s="19" t="s">
        <v>13639</v>
      </c>
      <c r="BE694" s="19" t="s">
        <v>13640</v>
      </c>
      <c r="BF694" s="19">
        <v>1.1933959027E10</v>
      </c>
      <c r="BG694" s="19" t="s">
        <v>2127</v>
      </c>
      <c r="BH694" s="19" t="s">
        <v>2649</v>
      </c>
      <c r="BI694" s="19"/>
      <c r="BJ694" s="19"/>
      <c r="BK694" s="19" t="s">
        <v>16</v>
      </c>
      <c r="BL694" s="19" t="s">
        <v>2113</v>
      </c>
      <c r="BM694" s="19" t="s">
        <v>5796</v>
      </c>
      <c r="BN694" s="19" t="s">
        <v>17</v>
      </c>
      <c r="BO694" s="19" t="s">
        <v>2132</v>
      </c>
      <c r="BP694" s="19" t="s">
        <v>13641</v>
      </c>
      <c r="BQ694" s="19" t="s">
        <v>2174</v>
      </c>
      <c r="BR694" s="19" t="s">
        <v>2174</v>
      </c>
      <c r="BS694" s="19" t="s">
        <v>2134</v>
      </c>
      <c r="BT694" s="19" t="s">
        <v>21</v>
      </c>
      <c r="BU694" s="19" t="s">
        <v>4060</v>
      </c>
      <c r="BV694" s="19"/>
      <c r="BW694" s="19"/>
      <c r="BX694" s="19"/>
      <c r="BY694" s="19" t="s">
        <v>2113</v>
      </c>
      <c r="BZ694" s="19"/>
      <c r="CA694" s="19" t="s">
        <v>2113</v>
      </c>
      <c r="CB694" s="19" t="s">
        <v>2113</v>
      </c>
      <c r="CC694" s="19"/>
      <c r="CD694" s="19" t="s">
        <v>2137</v>
      </c>
      <c r="CE694" s="19" t="s">
        <v>16</v>
      </c>
      <c r="CF694" s="19"/>
      <c r="CG694" s="19"/>
      <c r="CH694" s="19" t="s">
        <v>16</v>
      </c>
      <c r="CI694" s="21">
        <v>0.0</v>
      </c>
      <c r="CJ694" s="19" t="s">
        <v>17</v>
      </c>
      <c r="CK694" s="19"/>
      <c r="CL694" s="19"/>
      <c r="CM694" s="19" t="s">
        <v>2344</v>
      </c>
      <c r="CN694" s="19" t="s">
        <v>2204</v>
      </c>
      <c r="CO694" s="19"/>
      <c r="CP694" s="19"/>
      <c r="CQ694" s="19" t="s">
        <v>2113</v>
      </c>
      <c r="CR694" s="19"/>
      <c r="CS694" s="19"/>
      <c r="CT694" s="19" t="s">
        <v>2113</v>
      </c>
      <c r="CU694" s="19" t="s">
        <v>2113</v>
      </c>
      <c r="CV694" s="19" t="s">
        <v>2141</v>
      </c>
      <c r="CW694" s="19" t="s">
        <v>2113</v>
      </c>
      <c r="CX694" s="19" t="s">
        <v>2113</v>
      </c>
      <c r="CY694" s="19" t="s">
        <v>2113</v>
      </c>
      <c r="CZ694" s="19" t="s">
        <v>2113</v>
      </c>
      <c r="DA694" s="19" t="s">
        <v>16</v>
      </c>
      <c r="DB694" s="19" t="s">
        <v>17</v>
      </c>
      <c r="DC694" s="19" t="s">
        <v>2181</v>
      </c>
      <c r="DD694" s="19" t="s">
        <v>2113</v>
      </c>
      <c r="DE694" s="19" t="s">
        <v>2113</v>
      </c>
      <c r="DF694" s="19" t="s">
        <v>2514</v>
      </c>
      <c r="DG694" s="19" t="s">
        <v>2602</v>
      </c>
      <c r="DH694" s="19" t="s">
        <v>2144</v>
      </c>
      <c r="DI694" s="24">
        <v>45519.0</v>
      </c>
      <c r="DJ694" s="19" t="s">
        <v>2174</v>
      </c>
      <c r="DK694" s="19" t="s">
        <v>2145</v>
      </c>
      <c r="DL694" s="19" t="s">
        <v>2183</v>
      </c>
      <c r="DM694" s="19" t="s">
        <v>4885</v>
      </c>
      <c r="DN694" s="19">
        <v>5.0</v>
      </c>
      <c r="DO694" s="19">
        <v>5.0</v>
      </c>
      <c r="DP694" s="19" t="s">
        <v>13642</v>
      </c>
      <c r="DQ694" s="19" t="s">
        <v>13643</v>
      </c>
      <c r="DR694" s="19" t="s">
        <v>13644</v>
      </c>
      <c r="DS694" s="19" t="s">
        <v>2151</v>
      </c>
      <c r="DT694" s="19" t="s">
        <v>2209</v>
      </c>
      <c r="DU694" s="19"/>
      <c r="DV694" s="19"/>
      <c r="DW694" s="19" t="s">
        <v>2153</v>
      </c>
      <c r="DX694" s="19">
        <v>13.0</v>
      </c>
      <c r="DY694" s="19">
        <v>10.0</v>
      </c>
      <c r="DZ694" s="19">
        <v>0.0</v>
      </c>
      <c r="EA694" s="19">
        <v>10.0</v>
      </c>
      <c r="EB694" s="19">
        <v>0.0</v>
      </c>
      <c r="EC694" s="19">
        <v>0.0</v>
      </c>
      <c r="ED694" s="19" t="s">
        <v>2174</v>
      </c>
      <c r="EE694" s="24">
        <v>45519.0</v>
      </c>
      <c r="EF694" s="19" t="s">
        <v>2174</v>
      </c>
      <c r="EG694" s="19" t="s">
        <v>2145</v>
      </c>
      <c r="EH694" s="19" t="s">
        <v>2183</v>
      </c>
      <c r="EI694" s="22">
        <v>13.51875</v>
      </c>
      <c r="EJ694" s="19">
        <v>0.0</v>
      </c>
      <c r="EK694" s="19" t="s">
        <v>2113</v>
      </c>
      <c r="EL694" s="19" t="s">
        <v>2117</v>
      </c>
      <c r="EM694" s="19" t="s">
        <v>13634</v>
      </c>
      <c r="EN694" s="19" t="s">
        <v>13629</v>
      </c>
      <c r="EO694" s="19" t="s">
        <v>2196</v>
      </c>
      <c r="EP694" s="19" t="s">
        <v>2122</v>
      </c>
      <c r="EQ694" s="19" t="s">
        <v>2204</v>
      </c>
      <c r="ER694" s="19"/>
      <c r="ES694" s="19" t="s">
        <v>13629</v>
      </c>
      <c r="ET694" s="19" t="s">
        <v>13629</v>
      </c>
      <c r="EU694" s="19" t="s">
        <v>13631</v>
      </c>
      <c r="EV694" s="19">
        <v>8294.0</v>
      </c>
      <c r="EW694" s="19" t="s">
        <v>16</v>
      </c>
      <c r="EX694" s="19">
        <v>5.0</v>
      </c>
      <c r="EY694" s="25" t="s">
        <v>13632</v>
      </c>
      <c r="EZ694" s="19" t="s">
        <v>2154</v>
      </c>
      <c r="FA694" s="5" t="s">
        <v>13645</v>
      </c>
      <c r="FB694" s="26" t="s">
        <v>2633</v>
      </c>
      <c r="FC694" s="26" t="s">
        <v>10773</v>
      </c>
    </row>
    <row r="695" hidden="1">
      <c r="A695" s="19" t="s">
        <v>2112</v>
      </c>
      <c r="B695" s="19"/>
      <c r="C695" s="19" t="s">
        <v>2113</v>
      </c>
      <c r="D695" s="19" t="s">
        <v>13646</v>
      </c>
      <c r="E695" s="19" t="s">
        <v>13647</v>
      </c>
      <c r="F695" s="19" t="s">
        <v>13648</v>
      </c>
      <c r="G695" s="19" t="s">
        <v>13649</v>
      </c>
      <c r="H695" s="19" t="s">
        <v>13648</v>
      </c>
      <c r="I695" s="19" t="s">
        <v>13650</v>
      </c>
      <c r="J695" s="19" t="s">
        <v>13651</v>
      </c>
      <c r="K695" s="19" t="s">
        <v>13652</v>
      </c>
      <c r="L695" s="20">
        <v>45434.0</v>
      </c>
      <c r="M695" s="20">
        <v>45435.0</v>
      </c>
      <c r="N695" s="20">
        <v>45435.0</v>
      </c>
      <c r="O695" s="19" t="s">
        <v>13653</v>
      </c>
      <c r="P695" s="19">
        <v>0.0</v>
      </c>
      <c r="Q695" s="19">
        <v>24.0</v>
      </c>
      <c r="R695" s="19">
        <v>8827.0</v>
      </c>
      <c r="S695" s="20" t="s">
        <v>13654</v>
      </c>
      <c r="T695" s="20">
        <v>45461.0</v>
      </c>
      <c r="U695" s="19" t="s">
        <v>13648</v>
      </c>
      <c r="V695" s="19"/>
      <c r="W695" s="19" t="s">
        <v>13655</v>
      </c>
      <c r="X695" s="21">
        <v>0.0</v>
      </c>
      <c r="Y695" s="21">
        <v>10.0</v>
      </c>
      <c r="Z695" s="21">
        <v>5.0</v>
      </c>
      <c r="AA695" s="21">
        <v>0.0</v>
      </c>
      <c r="AB695" s="5">
        <v>15.0</v>
      </c>
      <c r="AC695" s="19">
        <v>4.8</v>
      </c>
      <c r="AD695" s="19">
        <v>4.6</v>
      </c>
      <c r="AE695" s="19">
        <v>4.8</v>
      </c>
      <c r="AF695" s="19">
        <v>4.0</v>
      </c>
      <c r="AG695" s="19">
        <v>4.0</v>
      </c>
      <c r="AH695" s="19">
        <v>4.4</v>
      </c>
      <c r="AI695" s="22">
        <v>13.518749999999999</v>
      </c>
      <c r="AJ695" s="19"/>
      <c r="AK695" s="19"/>
      <c r="AL695" s="19"/>
      <c r="AM695" s="19">
        <v>0.0</v>
      </c>
      <c r="AN695" s="19">
        <v>13.5</v>
      </c>
      <c r="AO695" s="19">
        <v>28.5</v>
      </c>
      <c r="AP695" s="19">
        <v>438.0</v>
      </c>
      <c r="AQ695" s="19">
        <v>694.0</v>
      </c>
      <c r="AR695" s="19">
        <v>54.0</v>
      </c>
      <c r="AS695" s="22"/>
      <c r="AT695" s="19" t="s">
        <v>2117</v>
      </c>
      <c r="AU695" s="19" t="s">
        <v>6847</v>
      </c>
      <c r="AV695" s="19" t="s">
        <v>13656</v>
      </c>
      <c r="AW695" s="19" t="s">
        <v>13657</v>
      </c>
      <c r="AX695" s="20">
        <v>36634.0</v>
      </c>
      <c r="AY695" s="19" t="s">
        <v>2529</v>
      </c>
      <c r="AZ695" s="19" t="s">
        <v>2310</v>
      </c>
      <c r="BA695" s="19" t="s">
        <v>13658</v>
      </c>
      <c r="BB695" s="19" t="s">
        <v>3793</v>
      </c>
      <c r="BC695" s="19" t="s">
        <v>13659</v>
      </c>
      <c r="BD695" s="19" t="s">
        <v>13660</v>
      </c>
      <c r="BE695" s="19" t="s">
        <v>13651</v>
      </c>
      <c r="BF695" s="19">
        <v>1.1973043894E10</v>
      </c>
      <c r="BG695" s="19" t="s">
        <v>2127</v>
      </c>
      <c r="BH695" s="19" t="s">
        <v>2128</v>
      </c>
      <c r="BI695" s="19"/>
      <c r="BJ695" s="19"/>
      <c r="BK695" s="19" t="s">
        <v>16</v>
      </c>
      <c r="BL695" s="19"/>
      <c r="BM695" s="19" t="s">
        <v>5411</v>
      </c>
      <c r="BN695" s="19" t="s">
        <v>17</v>
      </c>
      <c r="BO695" s="19" t="s">
        <v>2132</v>
      </c>
      <c r="BP695" s="19" t="s">
        <v>13661</v>
      </c>
      <c r="BQ695" s="19" t="s">
        <v>2174</v>
      </c>
      <c r="BR695" s="19" t="s">
        <v>2174</v>
      </c>
      <c r="BS695" s="19" t="s">
        <v>2243</v>
      </c>
      <c r="BT695" s="19" t="s">
        <v>75</v>
      </c>
      <c r="BU695" s="19" t="s">
        <v>13662</v>
      </c>
      <c r="BV695" s="19"/>
      <c r="BW695" s="19"/>
      <c r="BX695" s="19" t="s">
        <v>2113</v>
      </c>
      <c r="BY695" s="19" t="s">
        <v>2113</v>
      </c>
      <c r="BZ695" s="19" t="s">
        <v>2113</v>
      </c>
      <c r="CA695" s="19" t="s">
        <v>2113</v>
      </c>
      <c r="CB695" s="19" t="s">
        <v>2113</v>
      </c>
      <c r="CC695" s="19"/>
      <c r="CD695" s="19" t="s">
        <v>2137</v>
      </c>
      <c r="CE695" s="19" t="s">
        <v>17</v>
      </c>
      <c r="CF695" s="19"/>
      <c r="CG695" s="19"/>
      <c r="CH695" s="19" t="s">
        <v>16</v>
      </c>
      <c r="CI695" s="21">
        <v>0.0</v>
      </c>
      <c r="CJ695" s="19" t="s">
        <v>16</v>
      </c>
      <c r="CK695" s="19"/>
      <c r="CL695" s="19"/>
      <c r="CM695" s="19" t="s">
        <v>2138</v>
      </c>
      <c r="CN695" s="19" t="s">
        <v>2537</v>
      </c>
      <c r="CO695" s="19" t="s">
        <v>4986</v>
      </c>
      <c r="CP695" s="19"/>
      <c r="CQ695" s="19" t="s">
        <v>2113</v>
      </c>
      <c r="CR695" s="19"/>
      <c r="CS695" s="19"/>
      <c r="CT695" s="19" t="s">
        <v>2113</v>
      </c>
      <c r="CU695" s="19" t="s">
        <v>2113</v>
      </c>
      <c r="CV695" s="19" t="s">
        <v>2141</v>
      </c>
      <c r="CW695" s="19"/>
      <c r="CX695" s="19"/>
      <c r="CY695" s="19" t="s">
        <v>2113</v>
      </c>
      <c r="CZ695" s="19" t="s">
        <v>2113</v>
      </c>
      <c r="DA695" s="19" t="s">
        <v>17</v>
      </c>
      <c r="DB695" s="19" t="s">
        <v>16</v>
      </c>
      <c r="DC695" s="19" t="s">
        <v>4043</v>
      </c>
      <c r="DD695" s="19" t="s">
        <v>2113</v>
      </c>
      <c r="DE695" s="19" t="s">
        <v>2113</v>
      </c>
      <c r="DF695" s="19" t="s">
        <v>2247</v>
      </c>
      <c r="DG695" s="19" t="s">
        <v>4042</v>
      </c>
      <c r="DH695" s="19" t="s">
        <v>2144</v>
      </c>
      <c r="DI695" s="24">
        <v>45519.0</v>
      </c>
      <c r="DJ695" s="19" t="s">
        <v>2174</v>
      </c>
      <c r="DK695" s="19" t="s">
        <v>2145</v>
      </c>
      <c r="DL695" s="19" t="s">
        <v>2183</v>
      </c>
      <c r="DM695" s="19" t="s">
        <v>4885</v>
      </c>
      <c r="DN695" s="19">
        <v>5.0</v>
      </c>
      <c r="DO695" s="19">
        <v>5.0</v>
      </c>
      <c r="DP695" s="19" t="s">
        <v>13663</v>
      </c>
      <c r="DQ695" s="19" t="s">
        <v>13664</v>
      </c>
      <c r="DR695" s="19" t="s">
        <v>13665</v>
      </c>
      <c r="DS695" s="19" t="s">
        <v>2151</v>
      </c>
      <c r="DT695" s="19" t="s">
        <v>2186</v>
      </c>
      <c r="DU695" s="19"/>
      <c r="DV695" s="19"/>
      <c r="DW695" s="19" t="s">
        <v>2153</v>
      </c>
      <c r="DX695" s="19">
        <v>13.0</v>
      </c>
      <c r="DY695" s="19">
        <v>10.0</v>
      </c>
      <c r="DZ695" s="19">
        <v>0.0</v>
      </c>
      <c r="EA695" s="19">
        <v>10.0</v>
      </c>
      <c r="EB695" s="19">
        <v>0.0</v>
      </c>
      <c r="EC695" s="19">
        <v>0.0</v>
      </c>
      <c r="ED695" s="19" t="s">
        <v>2174</v>
      </c>
      <c r="EE695" s="24">
        <v>45519.0</v>
      </c>
      <c r="EF695" s="19" t="s">
        <v>2174</v>
      </c>
      <c r="EG695" s="19" t="s">
        <v>2145</v>
      </c>
      <c r="EH695" s="19" t="s">
        <v>2183</v>
      </c>
      <c r="EI695" s="22">
        <v>13.518749999999999</v>
      </c>
      <c r="EJ695" s="19">
        <v>0.0</v>
      </c>
      <c r="EK695" s="19"/>
      <c r="EL695" s="19" t="s">
        <v>2117</v>
      </c>
      <c r="EM695" s="19" t="s">
        <v>6847</v>
      </c>
      <c r="EN695" s="19" t="s">
        <v>13650</v>
      </c>
      <c r="EO695" s="19" t="s">
        <v>2529</v>
      </c>
      <c r="EP695" s="19" t="s">
        <v>2310</v>
      </c>
      <c r="EQ695" s="19" t="s">
        <v>2537</v>
      </c>
      <c r="ER695" s="19" t="s">
        <v>4986</v>
      </c>
      <c r="ES695" s="19" t="s">
        <v>13650</v>
      </c>
      <c r="ET695" s="19" t="s">
        <v>13650</v>
      </c>
      <c r="EU695" s="19" t="s">
        <v>13652</v>
      </c>
      <c r="EV695" s="19">
        <v>8827.0</v>
      </c>
      <c r="EW695" s="19" t="s">
        <v>17</v>
      </c>
      <c r="EX695" s="19">
        <v>5.0</v>
      </c>
      <c r="EY695" s="25" t="s">
        <v>13653</v>
      </c>
      <c r="EZ695" s="19" t="s">
        <v>13666</v>
      </c>
      <c r="FA695" s="5" t="s">
        <v>13667</v>
      </c>
      <c r="FB695" s="26" t="s">
        <v>2633</v>
      </c>
      <c r="FC695" s="26" t="s">
        <v>10773</v>
      </c>
    </row>
    <row r="696" hidden="1">
      <c r="A696" s="19" t="s">
        <v>2112</v>
      </c>
      <c r="B696" s="19"/>
      <c r="C696" s="19" t="s">
        <v>2113</v>
      </c>
      <c r="D696" s="19" t="s">
        <v>13668</v>
      </c>
      <c r="E696" s="19" t="s">
        <v>13669</v>
      </c>
      <c r="F696" s="19" t="s">
        <v>13668</v>
      </c>
      <c r="G696" s="19"/>
      <c r="H696" s="19" t="s">
        <v>13668</v>
      </c>
      <c r="I696" s="19" t="s">
        <v>13670</v>
      </c>
      <c r="J696" s="19" t="s">
        <v>13671</v>
      </c>
      <c r="K696" s="19" t="s">
        <v>13672</v>
      </c>
      <c r="L696" s="20">
        <v>45445.0</v>
      </c>
      <c r="M696" s="20">
        <v>45446.0</v>
      </c>
      <c r="N696" s="20">
        <v>45446.0</v>
      </c>
      <c r="O696" s="19" t="s">
        <v>13673</v>
      </c>
      <c r="P696" s="19">
        <v>0.0</v>
      </c>
      <c r="Q696" s="19">
        <v>18.0</v>
      </c>
      <c r="R696" s="19">
        <v>6927.0</v>
      </c>
      <c r="S696" s="20" t="s">
        <v>13674</v>
      </c>
      <c r="T696" s="20">
        <v>45461.0</v>
      </c>
      <c r="U696" s="19" t="s">
        <v>13668</v>
      </c>
      <c r="V696" s="19"/>
      <c r="W696" s="19"/>
      <c r="X696" s="21">
        <v>0.0</v>
      </c>
      <c r="Y696" s="21">
        <v>10.0</v>
      </c>
      <c r="Z696" s="21">
        <v>5.0</v>
      </c>
      <c r="AA696" s="21">
        <v>0.0</v>
      </c>
      <c r="AB696" s="5">
        <v>15.0</v>
      </c>
      <c r="AC696" s="19">
        <v>4.6</v>
      </c>
      <c r="AD696" s="19">
        <v>4.6</v>
      </c>
      <c r="AE696" s="19">
        <v>4.6</v>
      </c>
      <c r="AF696" s="19">
        <v>4.3</v>
      </c>
      <c r="AG696" s="19">
        <v>4.1</v>
      </c>
      <c r="AH696" s="19">
        <v>4.1</v>
      </c>
      <c r="AI696" s="22">
        <v>13.312499999999998</v>
      </c>
      <c r="AJ696" s="19"/>
      <c r="AK696" s="19"/>
      <c r="AL696" s="19"/>
      <c r="AM696" s="19">
        <v>0.0</v>
      </c>
      <c r="AN696" s="19">
        <v>13.3</v>
      </c>
      <c r="AO696" s="19">
        <v>28.3</v>
      </c>
      <c r="AP696" s="19">
        <v>538.0</v>
      </c>
      <c r="AQ696" s="19">
        <v>695.0</v>
      </c>
      <c r="AR696" s="19">
        <v>79.0</v>
      </c>
      <c r="AS696" s="22"/>
      <c r="AT696" s="19" t="s">
        <v>2282</v>
      </c>
      <c r="AU696" s="19" t="s">
        <v>13675</v>
      </c>
      <c r="AV696" s="19" t="s">
        <v>13676</v>
      </c>
      <c r="AW696" s="19" t="s">
        <v>13677</v>
      </c>
      <c r="AX696" s="20">
        <v>38534.0</v>
      </c>
      <c r="AY696" s="19" t="s">
        <v>5516</v>
      </c>
      <c r="AZ696" s="19" t="s">
        <v>2122</v>
      </c>
      <c r="BA696" s="19" t="s">
        <v>13678</v>
      </c>
      <c r="BB696" s="19" t="s">
        <v>2132</v>
      </c>
      <c r="BC696" s="19" t="s">
        <v>13679</v>
      </c>
      <c r="BD696" s="19" t="s">
        <v>13680</v>
      </c>
      <c r="BE696" s="19" t="s">
        <v>13681</v>
      </c>
      <c r="BF696" s="19">
        <v>1.19766366E10</v>
      </c>
      <c r="BG696" s="19" t="s">
        <v>2127</v>
      </c>
      <c r="BH696" s="19" t="s">
        <v>2649</v>
      </c>
      <c r="BI696" s="19"/>
      <c r="BJ696" s="19"/>
      <c r="BK696" s="19" t="s">
        <v>16</v>
      </c>
      <c r="BL696" s="19"/>
      <c r="BM696" s="19" t="s">
        <v>5796</v>
      </c>
      <c r="BN696" s="19" t="s">
        <v>17</v>
      </c>
      <c r="BO696" s="19" t="s">
        <v>2132</v>
      </c>
      <c r="BP696" s="19"/>
      <c r="BQ696" s="19" t="s">
        <v>2174</v>
      </c>
      <c r="BR696" s="19" t="s">
        <v>2174</v>
      </c>
      <c r="BS696" s="19" t="s">
        <v>2243</v>
      </c>
      <c r="BT696" s="19" t="s">
        <v>21</v>
      </c>
      <c r="BU696" s="19" t="s">
        <v>5521</v>
      </c>
      <c r="BV696" s="19"/>
      <c r="BW696" s="19"/>
      <c r="BX696" s="19"/>
      <c r="BY696" s="19"/>
      <c r="BZ696" s="19"/>
      <c r="CA696" s="19"/>
      <c r="CB696" s="19" t="s">
        <v>2113</v>
      </c>
      <c r="CC696" s="19"/>
      <c r="CD696" s="19" t="s">
        <v>2137</v>
      </c>
      <c r="CE696" s="19" t="s">
        <v>16</v>
      </c>
      <c r="CF696" s="19"/>
      <c r="CG696" s="19"/>
      <c r="CH696" s="19" t="s">
        <v>16</v>
      </c>
      <c r="CI696" s="21">
        <v>0.0</v>
      </c>
      <c r="CJ696" s="19" t="s">
        <v>16</v>
      </c>
      <c r="CK696" s="19"/>
      <c r="CL696" s="19"/>
      <c r="CM696" s="19"/>
      <c r="CN696" s="19" t="s">
        <v>2176</v>
      </c>
      <c r="CO696" s="19"/>
      <c r="CP696" s="19"/>
      <c r="CQ696" s="19"/>
      <c r="CR696" s="19" t="s">
        <v>2113</v>
      </c>
      <c r="CS696" s="19" t="s">
        <v>2113</v>
      </c>
      <c r="CT696" s="19"/>
      <c r="CU696" s="19"/>
      <c r="CV696" s="19" t="s">
        <v>2141</v>
      </c>
      <c r="CW696" s="19"/>
      <c r="CX696" s="19"/>
      <c r="CY696" s="19"/>
      <c r="CZ696" s="19"/>
      <c r="DA696" s="19" t="s">
        <v>16</v>
      </c>
      <c r="DB696" s="19" t="s">
        <v>16</v>
      </c>
      <c r="DC696" s="19" t="s">
        <v>2180</v>
      </c>
      <c r="DD696" s="19" t="s">
        <v>2113</v>
      </c>
      <c r="DE696" s="19" t="s">
        <v>2113</v>
      </c>
      <c r="DF696" s="19" t="s">
        <v>7081</v>
      </c>
      <c r="DG696" s="19" t="s">
        <v>2248</v>
      </c>
      <c r="DH696" s="19" t="s">
        <v>2144</v>
      </c>
      <c r="DI696" s="24">
        <v>45526.0</v>
      </c>
      <c r="DJ696" s="19" t="s">
        <v>2174</v>
      </c>
      <c r="DK696" s="19" t="s">
        <v>2145</v>
      </c>
      <c r="DL696" s="19" t="s">
        <v>2183</v>
      </c>
      <c r="DM696" s="19"/>
      <c r="DN696" s="19">
        <v>11.0</v>
      </c>
      <c r="DO696" s="19">
        <v>11.0</v>
      </c>
      <c r="DP696" s="19" t="s">
        <v>13682</v>
      </c>
      <c r="DQ696" s="19" t="s">
        <v>13683</v>
      </c>
      <c r="DR696" s="19" t="s">
        <v>13684</v>
      </c>
      <c r="DS696" s="19" t="s">
        <v>2151</v>
      </c>
      <c r="DT696" s="19" t="s">
        <v>2209</v>
      </c>
      <c r="DU696" s="19"/>
      <c r="DV696" s="19"/>
      <c r="DW696" s="19" t="s">
        <v>2188</v>
      </c>
      <c r="DX696" s="19">
        <v>15.0</v>
      </c>
      <c r="DY696" s="19">
        <v>10.0</v>
      </c>
      <c r="DZ696" s="19">
        <v>0.0</v>
      </c>
      <c r="EA696" s="19">
        <v>10.0</v>
      </c>
      <c r="EB696" s="19">
        <v>0.0</v>
      </c>
      <c r="EC696" s="19">
        <v>0.0</v>
      </c>
      <c r="ED696" s="19" t="s">
        <v>2174</v>
      </c>
      <c r="EE696" s="24">
        <v>45526.0</v>
      </c>
      <c r="EF696" s="19" t="s">
        <v>2174</v>
      </c>
      <c r="EG696" s="19" t="s">
        <v>2145</v>
      </c>
      <c r="EH696" s="19" t="s">
        <v>2183</v>
      </c>
      <c r="EI696" s="22">
        <v>13.312499999999998</v>
      </c>
      <c r="EJ696" s="19">
        <v>0.0</v>
      </c>
      <c r="EK696" s="19"/>
      <c r="EL696" s="19" t="s">
        <v>2282</v>
      </c>
      <c r="EM696" s="19" t="s">
        <v>13675</v>
      </c>
      <c r="EN696" s="19" t="s">
        <v>13670</v>
      </c>
      <c r="EO696" s="19" t="s">
        <v>5516</v>
      </c>
      <c r="EP696" s="19" t="s">
        <v>2122</v>
      </c>
      <c r="EQ696" s="19" t="s">
        <v>2176</v>
      </c>
      <c r="ER696" s="19"/>
      <c r="ES696" s="19" t="s">
        <v>13670</v>
      </c>
      <c r="ET696" s="19" t="s">
        <v>13670</v>
      </c>
      <c r="EU696" s="19" t="s">
        <v>13672</v>
      </c>
      <c r="EV696" s="19">
        <v>6927.0</v>
      </c>
      <c r="EW696" s="19" t="s">
        <v>16</v>
      </c>
      <c r="EX696" s="19">
        <v>5.0</v>
      </c>
      <c r="EY696" s="25" t="s">
        <v>13673</v>
      </c>
      <c r="EZ696" s="19" t="s">
        <v>2154</v>
      </c>
      <c r="FA696" s="5" t="s">
        <v>13685</v>
      </c>
      <c r="FB696" s="26" t="s">
        <v>2633</v>
      </c>
      <c r="FC696" s="26" t="s">
        <v>10773</v>
      </c>
    </row>
    <row r="697" hidden="1">
      <c r="A697" s="19" t="s">
        <v>2156</v>
      </c>
      <c r="B697" s="19"/>
      <c r="C697" s="19" t="s">
        <v>2113</v>
      </c>
      <c r="D697" s="19" t="s">
        <v>13686</v>
      </c>
      <c r="E697" s="19" t="s">
        <v>13687</v>
      </c>
      <c r="F697" s="19" t="s">
        <v>13686</v>
      </c>
      <c r="G697" s="19"/>
      <c r="H697" s="19" t="s">
        <v>13686</v>
      </c>
      <c r="I697" s="19" t="s">
        <v>13688</v>
      </c>
      <c r="J697" s="19" t="s">
        <v>13689</v>
      </c>
      <c r="K697" s="19" t="s">
        <v>13690</v>
      </c>
      <c r="L697" s="20">
        <v>45407.0</v>
      </c>
      <c r="M697" s="20">
        <v>45411.0</v>
      </c>
      <c r="N697" s="20">
        <v>45411.0</v>
      </c>
      <c r="O697" s="19" t="s">
        <v>13691</v>
      </c>
      <c r="P697" s="19">
        <v>1.0</v>
      </c>
      <c r="Q697" s="19">
        <v>19.0</v>
      </c>
      <c r="R697" s="19">
        <v>7031.0</v>
      </c>
      <c r="S697" s="20" t="s">
        <v>13692</v>
      </c>
      <c r="T697" s="20">
        <v>45461.0</v>
      </c>
      <c r="U697" s="19" t="s">
        <v>13686</v>
      </c>
      <c r="V697" s="19"/>
      <c r="W697" s="19"/>
      <c r="X697" s="21">
        <v>0.0</v>
      </c>
      <c r="Y697" s="21">
        <v>10.0</v>
      </c>
      <c r="Z697" s="21">
        <v>5.0</v>
      </c>
      <c r="AA697" s="21">
        <v>0.0</v>
      </c>
      <c r="AB697" s="5">
        <v>15.0</v>
      </c>
      <c r="AC697" s="19">
        <v>4.0</v>
      </c>
      <c r="AD697" s="19">
        <v>4.0</v>
      </c>
      <c r="AE697" s="19">
        <v>5.0</v>
      </c>
      <c r="AF697" s="19">
        <v>4.0</v>
      </c>
      <c r="AG697" s="19">
        <v>4.0</v>
      </c>
      <c r="AH697" s="19">
        <v>5.0</v>
      </c>
      <c r="AI697" s="22">
        <v>13.125</v>
      </c>
      <c r="AJ697" s="19">
        <v>0.0</v>
      </c>
      <c r="AK697" s="19">
        <v>0.0</v>
      </c>
      <c r="AL697" s="19">
        <v>0.0</v>
      </c>
      <c r="AM697" s="19">
        <v>0.0</v>
      </c>
      <c r="AN697" s="19">
        <v>13.1</v>
      </c>
      <c r="AO697" s="19">
        <v>28.1</v>
      </c>
      <c r="AP697" s="19">
        <v>533.0</v>
      </c>
      <c r="AQ697" s="19">
        <v>696.0</v>
      </c>
      <c r="AR697" s="19">
        <v>62.0</v>
      </c>
      <c r="AS697" s="22"/>
      <c r="AT697" s="19" t="s">
        <v>2282</v>
      </c>
      <c r="AU697" s="19" t="s">
        <v>3172</v>
      </c>
      <c r="AV697" s="19" t="s">
        <v>13693</v>
      </c>
      <c r="AW697" s="19" t="s">
        <v>13694</v>
      </c>
      <c r="AX697" s="20">
        <v>38430.0</v>
      </c>
      <c r="AY697" s="19" t="s">
        <v>2121</v>
      </c>
      <c r="AZ697" s="19" t="s">
        <v>2310</v>
      </c>
      <c r="BA697" s="19" t="s">
        <v>13695</v>
      </c>
      <c r="BB697" s="19" t="s">
        <v>13696</v>
      </c>
      <c r="BC697" s="19" t="s">
        <v>13697</v>
      </c>
      <c r="BD697" s="19" t="s">
        <v>13698</v>
      </c>
      <c r="BE697" s="19" t="s">
        <v>13689</v>
      </c>
      <c r="BF697" s="19">
        <v>1.1962519886E10</v>
      </c>
      <c r="BG697" s="19" t="s">
        <v>2127</v>
      </c>
      <c r="BH697" s="19" t="s">
        <v>2649</v>
      </c>
      <c r="BI697" s="19"/>
      <c r="BJ697" s="19"/>
      <c r="BK697" s="19" t="s">
        <v>16</v>
      </c>
      <c r="BL697" s="19" t="s">
        <v>2113</v>
      </c>
      <c r="BM697" s="19" t="s">
        <v>5411</v>
      </c>
      <c r="BN697" s="19" t="s">
        <v>2172</v>
      </c>
      <c r="BO697" s="19" t="s">
        <v>2132</v>
      </c>
      <c r="BP697" s="19"/>
      <c r="BQ697" s="19" t="s">
        <v>2133</v>
      </c>
      <c r="BR697" s="19" t="s">
        <v>2133</v>
      </c>
      <c r="BS697" s="19" t="s">
        <v>2134</v>
      </c>
      <c r="BT697" s="19" t="s">
        <v>15</v>
      </c>
      <c r="BU697" s="19"/>
      <c r="BV697" s="19"/>
      <c r="BW697" s="19"/>
      <c r="BX697" s="19"/>
      <c r="BY697" s="19"/>
      <c r="BZ697" s="19"/>
      <c r="CA697" s="19"/>
      <c r="CB697" s="19"/>
      <c r="CC697" s="19"/>
      <c r="CD697" s="19" t="s">
        <v>2137</v>
      </c>
      <c r="CE697" s="19" t="s">
        <v>16</v>
      </c>
      <c r="CF697" s="19"/>
      <c r="CG697" s="19"/>
      <c r="CH697" s="19" t="s">
        <v>16</v>
      </c>
      <c r="CI697" s="21">
        <v>0.0</v>
      </c>
      <c r="CJ697" s="19" t="s">
        <v>16</v>
      </c>
      <c r="CK697" s="19"/>
      <c r="CL697" s="19"/>
      <c r="CM697" s="19" t="s">
        <v>2344</v>
      </c>
      <c r="CN697" s="19" t="s">
        <v>2139</v>
      </c>
      <c r="CO697" s="19"/>
      <c r="CP697" s="19"/>
      <c r="CQ697" s="19"/>
      <c r="CR697" s="19" t="s">
        <v>2113</v>
      </c>
      <c r="CS697" s="19" t="s">
        <v>2113</v>
      </c>
      <c r="CT697" s="19"/>
      <c r="CU697" s="19"/>
      <c r="CV697" s="19" t="s">
        <v>2141</v>
      </c>
      <c r="CW697" s="19" t="s">
        <v>2113</v>
      </c>
      <c r="CX697" s="19" t="s">
        <v>2113</v>
      </c>
      <c r="CY697" s="19" t="s">
        <v>2113</v>
      </c>
      <c r="CZ697" s="19" t="s">
        <v>2113</v>
      </c>
      <c r="DA697" s="19" t="s">
        <v>16</v>
      </c>
      <c r="DB697" s="19" t="s">
        <v>16</v>
      </c>
      <c r="DC697" s="19" t="s">
        <v>2406</v>
      </c>
      <c r="DD697" s="19"/>
      <c r="DE697" s="19"/>
      <c r="DF697" s="19" t="s">
        <v>7449</v>
      </c>
      <c r="DG697" s="19" t="s">
        <v>2826</v>
      </c>
      <c r="DH697" s="19" t="s">
        <v>2144</v>
      </c>
      <c r="DI697" s="24">
        <v>45518.0</v>
      </c>
      <c r="DJ697" s="19" t="s">
        <v>2133</v>
      </c>
      <c r="DK697" s="19" t="s">
        <v>2271</v>
      </c>
      <c r="DL697" s="19" t="s">
        <v>2146</v>
      </c>
      <c r="DM697" s="19"/>
      <c r="DN697" s="19">
        <v>4.0</v>
      </c>
      <c r="DO697" s="19">
        <v>4.0</v>
      </c>
      <c r="DP697" s="19" t="s">
        <v>13699</v>
      </c>
      <c r="DQ697" s="19" t="s">
        <v>13700</v>
      </c>
      <c r="DR697" s="19" t="s">
        <v>13701</v>
      </c>
      <c r="DS697" s="19" t="s">
        <v>2365</v>
      </c>
      <c r="DT697" s="19" t="s">
        <v>2229</v>
      </c>
      <c r="DU697" s="19"/>
      <c r="DV697" s="19"/>
      <c r="DW697" s="19" t="s">
        <v>2153</v>
      </c>
      <c r="DX697" s="19">
        <v>7.0</v>
      </c>
      <c r="DY697" s="19">
        <v>10.0</v>
      </c>
      <c r="DZ697" s="19">
        <v>0.0</v>
      </c>
      <c r="EA697" s="19">
        <v>10.0</v>
      </c>
      <c r="EB697" s="19">
        <v>0.0</v>
      </c>
      <c r="EC697" s="19">
        <v>0.0</v>
      </c>
      <c r="ED697" s="19" t="s">
        <v>2133</v>
      </c>
      <c r="EE697" s="24">
        <v>45518.0</v>
      </c>
      <c r="EF697" s="19" t="s">
        <v>2133</v>
      </c>
      <c r="EG697" s="19" t="s">
        <v>2271</v>
      </c>
      <c r="EH697" s="19" t="s">
        <v>2146</v>
      </c>
      <c r="EI697" s="22">
        <v>13.125</v>
      </c>
      <c r="EJ697" s="19">
        <v>0.0</v>
      </c>
      <c r="EK697" s="19"/>
      <c r="EL697" s="19" t="s">
        <v>2282</v>
      </c>
      <c r="EM697" s="19" t="s">
        <v>3172</v>
      </c>
      <c r="EN697" s="19" t="s">
        <v>13688</v>
      </c>
      <c r="EO697" s="19" t="s">
        <v>2121</v>
      </c>
      <c r="EP697" s="19" t="s">
        <v>2310</v>
      </c>
      <c r="EQ697" s="19" t="s">
        <v>2139</v>
      </c>
      <c r="ER697" s="19"/>
      <c r="ES697" s="19" t="s">
        <v>13688</v>
      </c>
      <c r="ET697" s="19" t="s">
        <v>13688</v>
      </c>
      <c r="EU697" s="19" t="s">
        <v>13690</v>
      </c>
      <c r="EV697" s="19">
        <v>7031.0</v>
      </c>
      <c r="EW697" s="19" t="s">
        <v>16</v>
      </c>
      <c r="EX697" s="19">
        <v>5.0</v>
      </c>
      <c r="EY697" s="25" t="s">
        <v>13691</v>
      </c>
      <c r="EZ697" s="19" t="s">
        <v>2154</v>
      </c>
      <c r="FA697" s="5" t="s">
        <v>13702</v>
      </c>
      <c r="FB697" s="26" t="s">
        <v>2633</v>
      </c>
      <c r="FC697" s="26" t="s">
        <v>10773</v>
      </c>
    </row>
    <row r="698" hidden="1">
      <c r="A698" s="19" t="s">
        <v>2156</v>
      </c>
      <c r="B698" s="19"/>
      <c r="C698" s="19" t="s">
        <v>2113</v>
      </c>
      <c r="D698" s="19" t="s">
        <v>13703</v>
      </c>
      <c r="E698" s="19" t="s">
        <v>13704</v>
      </c>
      <c r="F698" s="19" t="s">
        <v>13703</v>
      </c>
      <c r="G698" s="19"/>
      <c r="H698" s="19" t="s">
        <v>13703</v>
      </c>
      <c r="I698" s="19" t="s">
        <v>13705</v>
      </c>
      <c r="J698" s="19" t="s">
        <v>13706</v>
      </c>
      <c r="K698" s="19" t="s">
        <v>13707</v>
      </c>
      <c r="L698" s="20">
        <v>45460.0</v>
      </c>
      <c r="M698" s="20">
        <v>45462.0</v>
      </c>
      <c r="N698" s="20">
        <v>45462.0</v>
      </c>
      <c r="O698" s="19" t="s">
        <v>13708</v>
      </c>
      <c r="P698" s="19">
        <v>0.0</v>
      </c>
      <c r="Q698" s="19">
        <v>20.0</v>
      </c>
      <c r="R698" s="19">
        <v>7631.0</v>
      </c>
      <c r="S698" s="20" t="s">
        <v>13709</v>
      </c>
      <c r="T698" s="20">
        <v>45461.0</v>
      </c>
      <c r="U698" s="19" t="s">
        <v>13703</v>
      </c>
      <c r="V698" s="19"/>
      <c r="W698" s="19"/>
      <c r="X698" s="21">
        <v>0.0</v>
      </c>
      <c r="Y698" s="21">
        <v>10.0</v>
      </c>
      <c r="Z698" s="21">
        <v>3.0</v>
      </c>
      <c r="AA698" s="21">
        <v>0.0</v>
      </c>
      <c r="AB698" s="5">
        <v>13.0</v>
      </c>
      <c r="AC698" s="19">
        <v>5.0</v>
      </c>
      <c r="AD698" s="19">
        <v>5.0</v>
      </c>
      <c r="AE698" s="19">
        <v>5.0</v>
      </c>
      <c r="AF698" s="19">
        <v>5.0</v>
      </c>
      <c r="AG698" s="19">
        <v>5.0</v>
      </c>
      <c r="AH698" s="19">
        <v>5.0</v>
      </c>
      <c r="AI698" s="22">
        <v>15.0</v>
      </c>
      <c r="AJ698" s="19">
        <v>0.0</v>
      </c>
      <c r="AK698" s="19">
        <v>0.0</v>
      </c>
      <c r="AL698" s="19">
        <v>0.0</v>
      </c>
      <c r="AM698" s="19">
        <v>0.0</v>
      </c>
      <c r="AN698" s="19">
        <v>15.0</v>
      </c>
      <c r="AO698" s="19">
        <v>28.0</v>
      </c>
      <c r="AP698" s="19">
        <v>761.0</v>
      </c>
      <c r="AQ698" s="19">
        <v>697.0</v>
      </c>
      <c r="AR698" s="19">
        <v>68.0</v>
      </c>
      <c r="AS698" s="22"/>
      <c r="AT698" s="19" t="s">
        <v>2163</v>
      </c>
      <c r="AU698" s="19" t="s">
        <v>8039</v>
      </c>
      <c r="AV698" s="19" t="s">
        <v>13710</v>
      </c>
      <c r="AW698" s="19" t="s">
        <v>2166</v>
      </c>
      <c r="AX698" s="20">
        <v>37830.0</v>
      </c>
      <c r="AY698" s="19" t="s">
        <v>6385</v>
      </c>
      <c r="AZ698" s="19" t="s">
        <v>2122</v>
      </c>
      <c r="BA698" s="19" t="s">
        <v>13711</v>
      </c>
      <c r="BB698" s="19" t="s">
        <v>6884</v>
      </c>
      <c r="BC698" s="19" t="s">
        <v>13712</v>
      </c>
      <c r="BD698" s="19" t="s">
        <v>13713</v>
      </c>
      <c r="BE698" s="19" t="s">
        <v>13714</v>
      </c>
      <c r="BF698" s="19">
        <v>1.194880766E10</v>
      </c>
      <c r="BG698" s="19" t="s">
        <v>2127</v>
      </c>
      <c r="BH698" s="19" t="s">
        <v>2128</v>
      </c>
      <c r="BI698" s="19"/>
      <c r="BJ698" s="19" t="s">
        <v>2128</v>
      </c>
      <c r="BK698" s="19" t="s">
        <v>17</v>
      </c>
      <c r="BL698" s="19" t="s">
        <v>2113</v>
      </c>
      <c r="BM698" s="19" t="s">
        <v>5411</v>
      </c>
      <c r="BN698" s="19" t="s">
        <v>13715</v>
      </c>
      <c r="BO698" s="19" t="s">
        <v>2473</v>
      </c>
      <c r="BP698" s="19" t="s">
        <v>13716</v>
      </c>
      <c r="BQ698" s="19" t="s">
        <v>2133</v>
      </c>
      <c r="BR698" s="19" t="s">
        <v>2133</v>
      </c>
      <c r="BS698" s="19" t="s">
        <v>2134</v>
      </c>
      <c r="BT698" s="19" t="s">
        <v>52</v>
      </c>
      <c r="BU698" s="19" t="s">
        <v>13717</v>
      </c>
      <c r="BV698" s="19"/>
      <c r="BW698" s="19"/>
      <c r="BX698" s="19"/>
      <c r="BY698" s="19" t="s">
        <v>2113</v>
      </c>
      <c r="BZ698" s="19"/>
      <c r="CA698" s="19"/>
      <c r="CB698" s="19"/>
      <c r="CC698" s="19"/>
      <c r="CD698" s="19" t="s">
        <v>2137</v>
      </c>
      <c r="CE698" s="19" t="s">
        <v>16</v>
      </c>
      <c r="CF698" s="19"/>
      <c r="CG698" s="19"/>
      <c r="CH698" s="19" t="s">
        <v>16</v>
      </c>
      <c r="CI698" s="21">
        <v>0.0</v>
      </c>
      <c r="CJ698" s="19" t="s">
        <v>17</v>
      </c>
      <c r="CK698" s="19"/>
      <c r="CL698" s="19"/>
      <c r="CM698" s="19" t="s">
        <v>2344</v>
      </c>
      <c r="CN698" s="19" t="s">
        <v>6390</v>
      </c>
      <c r="CO698" s="19"/>
      <c r="CP698" s="19" t="s">
        <v>2267</v>
      </c>
      <c r="CQ698" s="19"/>
      <c r="CR698" s="19" t="s">
        <v>2113</v>
      </c>
      <c r="CS698" s="19" t="s">
        <v>2113</v>
      </c>
      <c r="CT698" s="19" t="s">
        <v>2113</v>
      </c>
      <c r="CU698" s="19" t="s">
        <v>2113</v>
      </c>
      <c r="CV698" s="19" t="s">
        <v>2179</v>
      </c>
      <c r="CW698" s="19"/>
      <c r="CX698" s="19"/>
      <c r="CY698" s="19"/>
      <c r="CZ698" s="19"/>
      <c r="DA698" s="19" t="s">
        <v>16</v>
      </c>
      <c r="DB698" s="19" t="s">
        <v>17</v>
      </c>
      <c r="DC698" s="19" t="s">
        <v>2146</v>
      </c>
      <c r="DD698" s="19" t="s">
        <v>2113</v>
      </c>
      <c r="DE698" s="19" t="s">
        <v>2113</v>
      </c>
      <c r="DF698" s="19" t="s">
        <v>11259</v>
      </c>
      <c r="DG698" s="19" t="s">
        <v>2579</v>
      </c>
      <c r="DH698" s="19" t="s">
        <v>2144</v>
      </c>
      <c r="DI698" s="24">
        <v>45518.0</v>
      </c>
      <c r="DJ698" s="19" t="s">
        <v>2133</v>
      </c>
      <c r="DK698" s="19" t="s">
        <v>2145</v>
      </c>
      <c r="DL698" s="19" t="s">
        <v>2146</v>
      </c>
      <c r="DM698" s="19" t="s">
        <v>2672</v>
      </c>
      <c r="DN698" s="19">
        <v>3.0</v>
      </c>
      <c r="DO698" s="19">
        <v>3.0</v>
      </c>
      <c r="DP698" s="19"/>
      <c r="DQ698" s="19"/>
      <c r="DR698" s="19"/>
      <c r="DS698" s="19" t="s">
        <v>2365</v>
      </c>
      <c r="DT698" s="19" t="s">
        <v>2350</v>
      </c>
      <c r="DU698" s="19" t="s">
        <v>13718</v>
      </c>
      <c r="DV698" s="19"/>
      <c r="DW698" s="19" t="s">
        <v>2153</v>
      </c>
      <c r="DX698" s="19">
        <v>7.0</v>
      </c>
      <c r="DY698" s="19">
        <v>10.0</v>
      </c>
      <c r="DZ698" s="19">
        <v>0.0</v>
      </c>
      <c r="EA698" s="19">
        <v>10.0</v>
      </c>
      <c r="EB698" s="19">
        <v>0.0</v>
      </c>
      <c r="EC698" s="19">
        <v>0.0</v>
      </c>
      <c r="ED698" s="19" t="s">
        <v>2133</v>
      </c>
      <c r="EE698" s="24">
        <v>45518.0</v>
      </c>
      <c r="EF698" s="19" t="s">
        <v>2133</v>
      </c>
      <c r="EG698" s="19" t="s">
        <v>2145</v>
      </c>
      <c r="EH698" s="19" t="s">
        <v>2146</v>
      </c>
      <c r="EI698" s="22">
        <v>15.0</v>
      </c>
      <c r="EJ698" s="19">
        <v>0.0</v>
      </c>
      <c r="EK698" s="19" t="s">
        <v>2113</v>
      </c>
      <c r="EL698" s="19" t="s">
        <v>2163</v>
      </c>
      <c r="EM698" s="19" t="s">
        <v>8039</v>
      </c>
      <c r="EN698" s="19" t="s">
        <v>13705</v>
      </c>
      <c r="EO698" s="19" t="s">
        <v>6385</v>
      </c>
      <c r="EP698" s="19" t="s">
        <v>2122</v>
      </c>
      <c r="EQ698" s="19" t="s">
        <v>6390</v>
      </c>
      <c r="ER698" s="19"/>
      <c r="ES698" s="19" t="s">
        <v>13705</v>
      </c>
      <c r="ET698" s="19" t="s">
        <v>13705</v>
      </c>
      <c r="EU698" s="19" t="s">
        <v>13707</v>
      </c>
      <c r="EV698" s="19">
        <v>7631.0</v>
      </c>
      <c r="EW698" s="19" t="s">
        <v>16</v>
      </c>
      <c r="EX698" s="19">
        <v>3.0</v>
      </c>
      <c r="EY698" s="25" t="s">
        <v>13708</v>
      </c>
      <c r="EZ698" s="19" t="s">
        <v>2154</v>
      </c>
      <c r="FA698" s="5" t="s">
        <v>13719</v>
      </c>
      <c r="FB698" s="26" t="s">
        <v>2633</v>
      </c>
      <c r="FC698" s="26" t="s">
        <v>10773</v>
      </c>
    </row>
    <row r="699" hidden="1">
      <c r="A699" s="19" t="s">
        <v>2112</v>
      </c>
      <c r="B699" s="19"/>
      <c r="C699" s="19" t="s">
        <v>2113</v>
      </c>
      <c r="D699" s="19" t="s">
        <v>13720</v>
      </c>
      <c r="E699" s="19" t="s">
        <v>13721</v>
      </c>
      <c r="F699" s="19" t="s">
        <v>13720</v>
      </c>
      <c r="G699" s="19"/>
      <c r="H699" s="19" t="s">
        <v>13722</v>
      </c>
      <c r="I699" s="19" t="s">
        <v>13723</v>
      </c>
      <c r="J699" s="19" t="s">
        <v>13724</v>
      </c>
      <c r="K699" s="19" t="s">
        <v>13725</v>
      </c>
      <c r="L699" s="20">
        <v>45443.0</v>
      </c>
      <c r="M699" s="20">
        <v>45446.0</v>
      </c>
      <c r="N699" s="20">
        <v>45446.0</v>
      </c>
      <c r="O699" s="19" t="s">
        <v>13726</v>
      </c>
      <c r="P699" s="19">
        <v>0.0</v>
      </c>
      <c r="Q699" s="19">
        <v>18.0</v>
      </c>
      <c r="R699" s="19">
        <v>6907.0</v>
      </c>
      <c r="S699" s="20" t="s">
        <v>13727</v>
      </c>
      <c r="T699" s="20">
        <v>45461.0</v>
      </c>
      <c r="U699" s="19" t="s">
        <v>13720</v>
      </c>
      <c r="V699" s="19"/>
      <c r="W699" s="19" t="s">
        <v>13728</v>
      </c>
      <c r="X699" s="21">
        <v>0.0</v>
      </c>
      <c r="Y699" s="21">
        <v>10.0</v>
      </c>
      <c r="Z699" s="21">
        <v>3.0</v>
      </c>
      <c r="AA699" s="21">
        <v>0.0</v>
      </c>
      <c r="AB699" s="5">
        <v>13.0</v>
      </c>
      <c r="AC699" s="19">
        <v>5.0</v>
      </c>
      <c r="AD699" s="19">
        <v>5.0</v>
      </c>
      <c r="AE699" s="19">
        <v>5.0</v>
      </c>
      <c r="AF699" s="19">
        <v>5.0</v>
      </c>
      <c r="AG699" s="19">
        <v>5.0</v>
      </c>
      <c r="AH699" s="19">
        <v>5.0</v>
      </c>
      <c r="AI699" s="22">
        <v>15.0</v>
      </c>
      <c r="AJ699" s="19">
        <v>0.0</v>
      </c>
      <c r="AK699" s="19">
        <v>0.0</v>
      </c>
      <c r="AL699" s="19">
        <v>0.0</v>
      </c>
      <c r="AM699" s="19">
        <v>0.0</v>
      </c>
      <c r="AN699" s="19">
        <v>15.0</v>
      </c>
      <c r="AO699" s="19">
        <v>28.0</v>
      </c>
      <c r="AP699" s="19">
        <v>804.0</v>
      </c>
      <c r="AQ699" s="19">
        <v>698.0</v>
      </c>
      <c r="AR699" s="19">
        <v>69.0</v>
      </c>
      <c r="AS699" s="22" t="s">
        <v>13729</v>
      </c>
      <c r="AT699" s="19" t="s">
        <v>2282</v>
      </c>
      <c r="AU699" s="19" t="s">
        <v>11220</v>
      </c>
      <c r="AV699" s="19" t="s">
        <v>13730</v>
      </c>
      <c r="AW699" s="19" t="s">
        <v>2166</v>
      </c>
      <c r="AX699" s="20">
        <v>38554.0</v>
      </c>
      <c r="AY699" s="19" t="s">
        <v>12214</v>
      </c>
      <c r="AZ699" s="19" t="s">
        <v>2122</v>
      </c>
      <c r="BA699" s="19" t="s">
        <v>13731</v>
      </c>
      <c r="BB699" s="19" t="s">
        <v>8195</v>
      </c>
      <c r="BC699" s="19" t="s">
        <v>13732</v>
      </c>
      <c r="BD699" s="19" t="s">
        <v>13733</v>
      </c>
      <c r="BE699" s="19" t="s">
        <v>13734</v>
      </c>
      <c r="BF699" s="19">
        <v>1.1950646629E10</v>
      </c>
      <c r="BG699" s="19" t="s">
        <v>2127</v>
      </c>
      <c r="BH699" s="19" t="s">
        <v>2128</v>
      </c>
      <c r="BI699" s="19"/>
      <c r="BJ699" s="19"/>
      <c r="BK699" s="19" t="s">
        <v>16</v>
      </c>
      <c r="BL699" s="19"/>
      <c r="BM699" s="19" t="s">
        <v>5563</v>
      </c>
      <c r="BN699" s="19" t="s">
        <v>2401</v>
      </c>
      <c r="BO699" s="19" t="s">
        <v>2473</v>
      </c>
      <c r="BP699" s="19" t="s">
        <v>13735</v>
      </c>
      <c r="BQ699" s="19" t="s">
        <v>2133</v>
      </c>
      <c r="BR699" s="19" t="s">
        <v>2133</v>
      </c>
      <c r="BS699" s="19" t="s">
        <v>2134</v>
      </c>
      <c r="BT699" s="19" t="s">
        <v>52</v>
      </c>
      <c r="BU699" s="19" t="s">
        <v>4422</v>
      </c>
      <c r="BV699" s="19"/>
      <c r="BW699" s="19" t="s">
        <v>2113</v>
      </c>
      <c r="BX699" s="19"/>
      <c r="BY699" s="19"/>
      <c r="BZ699" s="19"/>
      <c r="CA699" s="19"/>
      <c r="CB699" s="19" t="s">
        <v>2113</v>
      </c>
      <c r="CC699" s="19"/>
      <c r="CD699" s="19" t="s">
        <v>2137</v>
      </c>
      <c r="CE699" s="19" t="s">
        <v>16</v>
      </c>
      <c r="CF699" s="19"/>
      <c r="CG699" s="19"/>
      <c r="CH699" s="19" t="s">
        <v>16</v>
      </c>
      <c r="CI699" s="21">
        <v>0.0</v>
      </c>
      <c r="CJ699" s="19" t="s">
        <v>16</v>
      </c>
      <c r="CK699" s="19"/>
      <c r="CL699" s="19"/>
      <c r="CM699" s="19" t="s">
        <v>2926</v>
      </c>
      <c r="CN699" s="19" t="s">
        <v>6390</v>
      </c>
      <c r="CO699" s="19"/>
      <c r="CP699" s="19" t="s">
        <v>2134</v>
      </c>
      <c r="CQ699" s="19"/>
      <c r="CR699" s="19" t="s">
        <v>2113</v>
      </c>
      <c r="CS699" s="19" t="s">
        <v>2113</v>
      </c>
      <c r="CT699" s="19" t="s">
        <v>2113</v>
      </c>
      <c r="CU699" s="19" t="s">
        <v>2113</v>
      </c>
      <c r="CV699" s="19" t="s">
        <v>2141</v>
      </c>
      <c r="CW699" s="19"/>
      <c r="CX699" s="19"/>
      <c r="CY699" s="19" t="s">
        <v>2113</v>
      </c>
      <c r="CZ699" s="19" t="s">
        <v>2113</v>
      </c>
      <c r="DA699" s="19" t="s">
        <v>16</v>
      </c>
      <c r="DB699" s="19" t="s">
        <v>16</v>
      </c>
      <c r="DC699" s="19" t="s">
        <v>2146</v>
      </c>
      <c r="DD699" s="19" t="s">
        <v>2113</v>
      </c>
      <c r="DE699" s="19" t="s">
        <v>2113</v>
      </c>
      <c r="DF699" s="19" t="s">
        <v>2297</v>
      </c>
      <c r="DG699" s="19" t="s">
        <v>3545</v>
      </c>
      <c r="DH699" s="19" t="s">
        <v>2144</v>
      </c>
      <c r="DI699" s="24">
        <v>45533.0</v>
      </c>
      <c r="DJ699" s="19" t="s">
        <v>2133</v>
      </c>
      <c r="DK699" s="19" t="s">
        <v>2145</v>
      </c>
      <c r="DL699" s="19" t="s">
        <v>2146</v>
      </c>
      <c r="DM699" s="19" t="s">
        <v>2147</v>
      </c>
      <c r="DN699" s="19">
        <v>17.0</v>
      </c>
      <c r="DO699" s="19">
        <v>17.0</v>
      </c>
      <c r="DP699" s="19" t="s">
        <v>13736</v>
      </c>
      <c r="DQ699" s="19" t="s">
        <v>13737</v>
      </c>
      <c r="DR699" s="19" t="s">
        <v>13738</v>
      </c>
      <c r="DS699" s="19" t="s">
        <v>2151</v>
      </c>
      <c r="DT699" s="19" t="s">
        <v>2209</v>
      </c>
      <c r="DU699" s="19"/>
      <c r="DV699" s="19"/>
      <c r="DW699" s="19" t="s">
        <v>2153</v>
      </c>
      <c r="DX699" s="19">
        <v>12.0</v>
      </c>
      <c r="DY699" s="19">
        <v>10.0</v>
      </c>
      <c r="DZ699" s="19">
        <v>0.0</v>
      </c>
      <c r="EA699" s="19">
        <v>10.0</v>
      </c>
      <c r="EB699" s="19">
        <v>0.0</v>
      </c>
      <c r="EC699" s="19">
        <v>0.0</v>
      </c>
      <c r="ED699" s="19" t="s">
        <v>2133</v>
      </c>
      <c r="EE699" s="24">
        <v>45533.0</v>
      </c>
      <c r="EF699" s="19" t="s">
        <v>2133</v>
      </c>
      <c r="EG699" s="19" t="s">
        <v>2145</v>
      </c>
      <c r="EH699" s="19" t="s">
        <v>2146</v>
      </c>
      <c r="EI699" s="22">
        <v>15.0</v>
      </c>
      <c r="EJ699" s="19">
        <v>0.0</v>
      </c>
      <c r="EK699" s="19"/>
      <c r="EL699" s="19" t="s">
        <v>2282</v>
      </c>
      <c r="EM699" s="19" t="s">
        <v>11220</v>
      </c>
      <c r="EN699" s="19" t="s">
        <v>13723</v>
      </c>
      <c r="EO699" s="19" t="s">
        <v>12214</v>
      </c>
      <c r="EP699" s="19" t="s">
        <v>2122</v>
      </c>
      <c r="EQ699" s="19" t="s">
        <v>6390</v>
      </c>
      <c r="ER699" s="19"/>
      <c r="ES699" s="19" t="s">
        <v>13723</v>
      </c>
      <c r="ET699" s="19" t="s">
        <v>13723</v>
      </c>
      <c r="EU699" s="19" t="s">
        <v>13725</v>
      </c>
      <c r="EV699" s="19">
        <v>6907.0</v>
      </c>
      <c r="EW699" s="19" t="s">
        <v>16</v>
      </c>
      <c r="EX699" s="19">
        <v>3.0</v>
      </c>
      <c r="EY699" s="25" t="s">
        <v>13726</v>
      </c>
      <c r="EZ699" s="19" t="s">
        <v>2154</v>
      </c>
      <c r="FA699" s="5" t="s">
        <v>13739</v>
      </c>
      <c r="FB699" s="26" t="s">
        <v>2633</v>
      </c>
      <c r="FC699" s="26" t="s">
        <v>10773</v>
      </c>
    </row>
    <row r="700" hidden="1">
      <c r="A700" s="19" t="s">
        <v>2156</v>
      </c>
      <c r="B700" s="19"/>
      <c r="C700" s="19" t="s">
        <v>2113</v>
      </c>
      <c r="D700" s="19" t="s">
        <v>13740</v>
      </c>
      <c r="E700" s="19" t="s">
        <v>13740</v>
      </c>
      <c r="F700" s="19" t="s">
        <v>13740</v>
      </c>
      <c r="G700" s="19"/>
      <c r="H700" s="19" t="s">
        <v>13740</v>
      </c>
      <c r="I700" s="19" t="s">
        <v>13741</v>
      </c>
      <c r="J700" s="19" t="s">
        <v>13742</v>
      </c>
      <c r="K700" s="19" t="s">
        <v>13743</v>
      </c>
      <c r="L700" s="20">
        <v>45446.0</v>
      </c>
      <c r="M700" s="20">
        <v>45446.0</v>
      </c>
      <c r="N700" s="20">
        <v>45446.0</v>
      </c>
      <c r="O700" s="19" t="s">
        <v>13744</v>
      </c>
      <c r="P700" s="19">
        <v>0.0</v>
      </c>
      <c r="Q700" s="19">
        <v>26.0</v>
      </c>
      <c r="R700" s="19">
        <v>9816.0</v>
      </c>
      <c r="S700" s="20" t="s">
        <v>13745</v>
      </c>
      <c r="T700" s="20">
        <v>45461.0</v>
      </c>
      <c r="U700" s="19" t="s">
        <v>13740</v>
      </c>
      <c r="V700" s="19"/>
      <c r="W700" s="19"/>
      <c r="X700" s="21">
        <v>0.0</v>
      </c>
      <c r="Y700" s="21">
        <v>10.0</v>
      </c>
      <c r="Z700" s="21">
        <v>1.0</v>
      </c>
      <c r="AA700" s="21">
        <v>3.0</v>
      </c>
      <c r="AB700" s="5">
        <v>14.0</v>
      </c>
      <c r="AC700" s="19">
        <v>4.5</v>
      </c>
      <c r="AD700" s="19">
        <v>5.0</v>
      </c>
      <c r="AE700" s="19">
        <v>5.0</v>
      </c>
      <c r="AF700" s="19">
        <v>4.0</v>
      </c>
      <c r="AG700" s="19">
        <v>4.0</v>
      </c>
      <c r="AH700" s="19">
        <v>5.0</v>
      </c>
      <c r="AI700" s="22">
        <v>14.015625</v>
      </c>
      <c r="AJ700" s="19"/>
      <c r="AK700" s="19"/>
      <c r="AL700" s="19"/>
      <c r="AM700" s="19">
        <v>0.0</v>
      </c>
      <c r="AN700" s="19">
        <v>14.0</v>
      </c>
      <c r="AO700" s="19">
        <v>28.0</v>
      </c>
      <c r="AP700" s="19">
        <v>660.0</v>
      </c>
      <c r="AQ700" s="19">
        <v>699.0</v>
      </c>
      <c r="AR700" s="19">
        <v>54.0</v>
      </c>
      <c r="AS700" s="22"/>
      <c r="AT700" s="19" t="s">
        <v>2163</v>
      </c>
      <c r="AU700" s="19" t="s">
        <v>13746</v>
      </c>
      <c r="AV700" s="19" t="s">
        <v>13747</v>
      </c>
      <c r="AW700" s="19" t="s">
        <v>13748</v>
      </c>
      <c r="AX700" s="20">
        <v>35645.0</v>
      </c>
      <c r="AY700" s="19" t="s">
        <v>9021</v>
      </c>
      <c r="AZ700" s="19" t="s">
        <v>2310</v>
      </c>
      <c r="BA700" s="19" t="s">
        <v>13749</v>
      </c>
      <c r="BB700" s="19" t="s">
        <v>3925</v>
      </c>
      <c r="BC700" s="19" t="s">
        <v>13750</v>
      </c>
      <c r="BD700" s="19" t="s">
        <v>13751</v>
      </c>
      <c r="BE700" s="19"/>
      <c r="BF700" s="19"/>
      <c r="BG700" s="19" t="s">
        <v>2127</v>
      </c>
      <c r="BH700" s="19" t="s">
        <v>2128</v>
      </c>
      <c r="BI700" s="19"/>
      <c r="BJ700" s="19" t="s">
        <v>2128</v>
      </c>
      <c r="BK700" s="19" t="s">
        <v>16</v>
      </c>
      <c r="BL700" s="19" t="s">
        <v>2113</v>
      </c>
      <c r="BM700" s="19" t="s">
        <v>5563</v>
      </c>
      <c r="BN700" s="19" t="s">
        <v>17</v>
      </c>
      <c r="BO700" s="19" t="s">
        <v>3082</v>
      </c>
      <c r="BP700" s="19"/>
      <c r="BQ700" s="19" t="s">
        <v>2325</v>
      </c>
      <c r="BR700" s="19" t="s">
        <v>2325</v>
      </c>
      <c r="BS700" s="19" t="s">
        <v>2134</v>
      </c>
      <c r="BT700" s="19" t="s">
        <v>118</v>
      </c>
      <c r="BU700" s="19" t="s">
        <v>13752</v>
      </c>
      <c r="BV700" s="19"/>
      <c r="BW700" s="19"/>
      <c r="BX700" s="19"/>
      <c r="BY700" s="19"/>
      <c r="BZ700" s="19"/>
      <c r="CA700" s="19"/>
      <c r="CB700" s="19" t="s">
        <v>2113</v>
      </c>
      <c r="CC700" s="19"/>
      <c r="CD700" s="19" t="s">
        <v>2137</v>
      </c>
      <c r="CE700" s="19" t="s">
        <v>16</v>
      </c>
      <c r="CF700" s="19"/>
      <c r="CG700" s="19"/>
      <c r="CH700" s="19" t="s">
        <v>17</v>
      </c>
      <c r="CI700" s="21">
        <v>3.0</v>
      </c>
      <c r="CJ700" s="19" t="s">
        <v>17</v>
      </c>
      <c r="CK700" s="19"/>
      <c r="CL700" s="19"/>
      <c r="CM700" s="19" t="s">
        <v>2344</v>
      </c>
      <c r="CN700" s="19" t="s">
        <v>3503</v>
      </c>
      <c r="CO700" s="19"/>
      <c r="CP700" s="19" t="s">
        <v>2225</v>
      </c>
      <c r="CQ700" s="19"/>
      <c r="CR700" s="19" t="s">
        <v>2113</v>
      </c>
      <c r="CS700" s="19" t="s">
        <v>2113</v>
      </c>
      <c r="CT700" s="19" t="s">
        <v>2113</v>
      </c>
      <c r="CU700" s="19" t="s">
        <v>2113</v>
      </c>
      <c r="CV700" s="19" t="s">
        <v>2179</v>
      </c>
      <c r="CW700" s="19" t="s">
        <v>2113</v>
      </c>
      <c r="CX700" s="19" t="s">
        <v>2113</v>
      </c>
      <c r="CY700" s="19" t="s">
        <v>2113</v>
      </c>
      <c r="CZ700" s="19" t="s">
        <v>2113</v>
      </c>
      <c r="DA700" s="19" t="s">
        <v>16</v>
      </c>
      <c r="DB700" s="19" t="s">
        <v>17</v>
      </c>
      <c r="DC700" s="19" t="s">
        <v>4903</v>
      </c>
      <c r="DD700" s="19" t="s">
        <v>2113</v>
      </c>
      <c r="DE700" s="19" t="s">
        <v>2113</v>
      </c>
      <c r="DF700" s="19" t="s">
        <v>3221</v>
      </c>
      <c r="DG700" s="19" t="s">
        <v>2498</v>
      </c>
      <c r="DH700" s="19" t="s">
        <v>2144</v>
      </c>
      <c r="DI700" s="24">
        <v>45517.0</v>
      </c>
      <c r="DJ700" s="19" t="s">
        <v>2325</v>
      </c>
      <c r="DK700" s="19" t="s">
        <v>2271</v>
      </c>
      <c r="DL700" s="19" t="s">
        <v>2326</v>
      </c>
      <c r="DM700" s="19"/>
      <c r="DN700" s="19">
        <v>2.0</v>
      </c>
      <c r="DO700" s="19">
        <v>2.0</v>
      </c>
      <c r="DP700" s="19"/>
      <c r="DQ700" s="19"/>
      <c r="DR700" s="19"/>
      <c r="DS700" s="19" t="s">
        <v>2185</v>
      </c>
      <c r="DT700" s="19" t="s">
        <v>2229</v>
      </c>
      <c r="DU700" s="19" t="s">
        <v>13753</v>
      </c>
      <c r="DV700" s="19"/>
      <c r="DW700" s="19" t="s">
        <v>2153</v>
      </c>
      <c r="DX700" s="19">
        <v>3.0</v>
      </c>
      <c r="DY700" s="19">
        <v>10.0</v>
      </c>
      <c r="DZ700" s="19">
        <v>0.0</v>
      </c>
      <c r="EA700" s="19">
        <v>10.0</v>
      </c>
      <c r="EB700" s="19">
        <v>3.0</v>
      </c>
      <c r="EC700" s="19">
        <v>0.0</v>
      </c>
      <c r="ED700" s="19" t="s">
        <v>2325</v>
      </c>
      <c r="EE700" s="24">
        <v>45517.0</v>
      </c>
      <c r="EF700" s="19" t="s">
        <v>2325</v>
      </c>
      <c r="EG700" s="19" t="s">
        <v>2271</v>
      </c>
      <c r="EH700" s="19" t="s">
        <v>2326</v>
      </c>
      <c r="EI700" s="22">
        <v>14.015625</v>
      </c>
      <c r="EJ700" s="19">
        <v>0.0</v>
      </c>
      <c r="EK700" s="19" t="s">
        <v>2113</v>
      </c>
      <c r="EL700" s="19" t="s">
        <v>2163</v>
      </c>
      <c r="EM700" s="19" t="s">
        <v>13746</v>
      </c>
      <c r="EN700" s="19" t="s">
        <v>13741</v>
      </c>
      <c r="EO700" s="19" t="s">
        <v>9021</v>
      </c>
      <c r="EP700" s="19" t="s">
        <v>2310</v>
      </c>
      <c r="EQ700" s="19" t="s">
        <v>3503</v>
      </c>
      <c r="ER700" s="19"/>
      <c r="ES700" s="19" t="s">
        <v>13741</v>
      </c>
      <c r="ET700" s="19" t="s">
        <v>13741</v>
      </c>
      <c r="EU700" s="19" t="s">
        <v>13743</v>
      </c>
      <c r="EV700" s="19">
        <v>9816.0</v>
      </c>
      <c r="EW700" s="19" t="s">
        <v>16</v>
      </c>
      <c r="EX700" s="19">
        <v>1.0</v>
      </c>
      <c r="EY700" s="25" t="s">
        <v>13744</v>
      </c>
      <c r="EZ700" s="19" t="s">
        <v>2154</v>
      </c>
      <c r="FA700" s="5" t="s">
        <v>13754</v>
      </c>
      <c r="FB700" s="26" t="s">
        <v>2633</v>
      </c>
      <c r="FC700" s="26" t="s">
        <v>11913</v>
      </c>
    </row>
    <row r="701" hidden="1">
      <c r="A701" s="19" t="s">
        <v>2112</v>
      </c>
      <c r="B701" s="19"/>
      <c r="C701" s="19" t="s">
        <v>2113</v>
      </c>
      <c r="D701" s="19" t="s">
        <v>13755</v>
      </c>
      <c r="E701" s="19" t="s">
        <v>13756</v>
      </c>
      <c r="F701" s="19" t="s">
        <v>13755</v>
      </c>
      <c r="G701" s="19"/>
      <c r="H701" s="19" t="s">
        <v>13755</v>
      </c>
      <c r="I701" s="19" t="s">
        <v>13757</v>
      </c>
      <c r="J701" s="19" t="s">
        <v>13758</v>
      </c>
      <c r="K701" s="19" t="s">
        <v>13759</v>
      </c>
      <c r="L701" s="20">
        <v>45408.0</v>
      </c>
      <c r="M701" s="20">
        <v>45411.0</v>
      </c>
      <c r="N701" s="20">
        <v>45411.0</v>
      </c>
      <c r="O701" s="19" t="s">
        <v>13760</v>
      </c>
      <c r="P701" s="19">
        <v>0.0</v>
      </c>
      <c r="Q701" s="19">
        <v>25.0</v>
      </c>
      <c r="R701" s="19">
        <v>9132.0</v>
      </c>
      <c r="S701" s="20" t="s">
        <v>13761</v>
      </c>
      <c r="T701" s="20">
        <v>45461.0</v>
      </c>
      <c r="U701" s="19" t="s">
        <v>13755</v>
      </c>
      <c r="V701" s="19"/>
      <c r="W701" s="19"/>
      <c r="X701" s="21">
        <v>0.0</v>
      </c>
      <c r="Y701" s="21">
        <v>10.0</v>
      </c>
      <c r="Z701" s="21">
        <v>5.0</v>
      </c>
      <c r="AA701" s="21">
        <v>0.0</v>
      </c>
      <c r="AB701" s="5">
        <v>15.0</v>
      </c>
      <c r="AC701" s="19">
        <v>4.2</v>
      </c>
      <c r="AD701" s="19">
        <v>4.0</v>
      </c>
      <c r="AE701" s="19">
        <v>4.4</v>
      </c>
      <c r="AF701" s="19">
        <v>4.6</v>
      </c>
      <c r="AG701" s="19">
        <v>3.4</v>
      </c>
      <c r="AH701" s="19">
        <v>4.8</v>
      </c>
      <c r="AI701" s="22">
        <v>12.693750000000001</v>
      </c>
      <c r="AJ701" s="19"/>
      <c r="AK701" s="19"/>
      <c r="AL701" s="19"/>
      <c r="AM701" s="19">
        <v>0.0</v>
      </c>
      <c r="AN701" s="19">
        <v>12.7</v>
      </c>
      <c r="AO701" s="19">
        <v>27.7</v>
      </c>
      <c r="AP701" s="19">
        <v>427.0</v>
      </c>
      <c r="AQ701" s="19">
        <v>700.0</v>
      </c>
      <c r="AR701" s="19">
        <v>80.0</v>
      </c>
      <c r="AS701" s="22"/>
      <c r="AT701" s="19" t="s">
        <v>2282</v>
      </c>
      <c r="AU701" s="19" t="s">
        <v>13762</v>
      </c>
      <c r="AV701" s="19" t="s">
        <v>13763</v>
      </c>
      <c r="AW701" s="19"/>
      <c r="AX701" s="20">
        <v>36329.0</v>
      </c>
      <c r="AY701" s="19" t="s">
        <v>2196</v>
      </c>
      <c r="AZ701" s="19" t="s">
        <v>2310</v>
      </c>
      <c r="BA701" s="19" t="s">
        <v>13764</v>
      </c>
      <c r="BB701" s="19" t="s">
        <v>4056</v>
      </c>
      <c r="BC701" s="19" t="s">
        <v>13765</v>
      </c>
      <c r="BD701" s="19" t="s">
        <v>13766</v>
      </c>
      <c r="BE701" s="19" t="s">
        <v>13767</v>
      </c>
      <c r="BF701" s="19">
        <v>1.1962046593E10</v>
      </c>
      <c r="BG701" s="19" t="s">
        <v>2127</v>
      </c>
      <c r="BH701" s="19" t="s">
        <v>2128</v>
      </c>
      <c r="BI701" s="19"/>
      <c r="BJ701" s="19"/>
      <c r="BK701" s="19" t="s">
        <v>16</v>
      </c>
      <c r="BL701" s="19"/>
      <c r="BM701" s="19" t="s">
        <v>5411</v>
      </c>
      <c r="BN701" s="19" t="s">
        <v>2172</v>
      </c>
      <c r="BO701" s="19" t="s">
        <v>2132</v>
      </c>
      <c r="BP701" s="19"/>
      <c r="BQ701" s="19" t="s">
        <v>2174</v>
      </c>
      <c r="BR701" s="19" t="s">
        <v>2174</v>
      </c>
      <c r="BS701" s="19" t="s">
        <v>2134</v>
      </c>
      <c r="BT701" s="19" t="s">
        <v>21</v>
      </c>
      <c r="BU701" s="19"/>
      <c r="BV701" s="19"/>
      <c r="BW701" s="19" t="s">
        <v>2113</v>
      </c>
      <c r="BX701" s="19"/>
      <c r="BY701" s="19"/>
      <c r="BZ701" s="19"/>
      <c r="CA701" s="19"/>
      <c r="CB701" s="19"/>
      <c r="CC701" s="19"/>
      <c r="CD701" s="19" t="s">
        <v>2137</v>
      </c>
      <c r="CE701" s="19" t="s">
        <v>16</v>
      </c>
      <c r="CF701" s="19"/>
      <c r="CG701" s="19"/>
      <c r="CH701" s="19" t="s">
        <v>16</v>
      </c>
      <c r="CI701" s="21">
        <v>0.0</v>
      </c>
      <c r="CJ701" s="19" t="s">
        <v>16</v>
      </c>
      <c r="CK701" s="19"/>
      <c r="CL701" s="19"/>
      <c r="CM701" s="19" t="s">
        <v>2138</v>
      </c>
      <c r="CN701" s="19" t="s">
        <v>2204</v>
      </c>
      <c r="CO701" s="19"/>
      <c r="CP701" s="19" t="s">
        <v>2134</v>
      </c>
      <c r="CQ701" s="19"/>
      <c r="CR701" s="19"/>
      <c r="CS701" s="19"/>
      <c r="CT701" s="19"/>
      <c r="CU701" s="19"/>
      <c r="CV701" s="19" t="s">
        <v>2141</v>
      </c>
      <c r="CW701" s="19"/>
      <c r="CX701" s="19"/>
      <c r="CY701" s="19"/>
      <c r="CZ701" s="19"/>
      <c r="DA701" s="19" t="s">
        <v>16</v>
      </c>
      <c r="DB701" s="19" t="s">
        <v>16</v>
      </c>
      <c r="DC701" s="19" t="s">
        <v>2181</v>
      </c>
      <c r="DD701" s="19" t="s">
        <v>2113</v>
      </c>
      <c r="DE701" s="19" t="s">
        <v>2113</v>
      </c>
      <c r="DF701" s="19" t="s">
        <v>2247</v>
      </c>
      <c r="DG701" s="19" t="s">
        <v>2769</v>
      </c>
      <c r="DH701" s="19" t="s">
        <v>2144</v>
      </c>
      <c r="DI701" s="24">
        <v>45518.0</v>
      </c>
      <c r="DJ701" s="19" t="s">
        <v>2174</v>
      </c>
      <c r="DK701" s="19" t="s">
        <v>2145</v>
      </c>
      <c r="DL701" s="19" t="s">
        <v>2183</v>
      </c>
      <c r="DM701" s="19" t="s">
        <v>2228</v>
      </c>
      <c r="DN701" s="19">
        <v>3.0</v>
      </c>
      <c r="DO701" s="19">
        <v>3.0</v>
      </c>
      <c r="DP701" s="19" t="s">
        <v>13768</v>
      </c>
      <c r="DQ701" s="19" t="s">
        <v>13769</v>
      </c>
      <c r="DR701" s="19" t="s">
        <v>13770</v>
      </c>
      <c r="DS701" s="19" t="s">
        <v>2151</v>
      </c>
      <c r="DT701" s="19" t="s">
        <v>2229</v>
      </c>
      <c r="DU701" s="19"/>
      <c r="DV701" s="19"/>
      <c r="DW701" s="19" t="s">
        <v>2153</v>
      </c>
      <c r="DX701" s="19">
        <v>13.0</v>
      </c>
      <c r="DY701" s="19">
        <v>10.0</v>
      </c>
      <c r="DZ701" s="19">
        <v>0.0</v>
      </c>
      <c r="EA701" s="19">
        <v>10.0</v>
      </c>
      <c r="EB701" s="19">
        <v>0.0</v>
      </c>
      <c r="EC701" s="19">
        <v>0.0</v>
      </c>
      <c r="ED701" s="19" t="s">
        <v>2174</v>
      </c>
      <c r="EE701" s="24">
        <v>45518.0</v>
      </c>
      <c r="EF701" s="19" t="s">
        <v>2174</v>
      </c>
      <c r="EG701" s="19" t="s">
        <v>2145</v>
      </c>
      <c r="EH701" s="19" t="s">
        <v>2183</v>
      </c>
      <c r="EI701" s="22">
        <v>12.693750000000001</v>
      </c>
      <c r="EJ701" s="19">
        <v>0.0</v>
      </c>
      <c r="EK701" s="19"/>
      <c r="EL701" s="19" t="s">
        <v>2282</v>
      </c>
      <c r="EM701" s="19" t="s">
        <v>13762</v>
      </c>
      <c r="EN701" s="19" t="s">
        <v>13757</v>
      </c>
      <c r="EO701" s="19" t="s">
        <v>2196</v>
      </c>
      <c r="EP701" s="19" t="s">
        <v>2310</v>
      </c>
      <c r="EQ701" s="19" t="s">
        <v>2204</v>
      </c>
      <c r="ER701" s="19"/>
      <c r="ES701" s="19" t="s">
        <v>13757</v>
      </c>
      <c r="ET701" s="19" t="s">
        <v>13757</v>
      </c>
      <c r="EU701" s="19" t="s">
        <v>13759</v>
      </c>
      <c r="EV701" s="19">
        <v>9132.0</v>
      </c>
      <c r="EW701" s="19" t="s">
        <v>16</v>
      </c>
      <c r="EX701" s="19">
        <v>5.0</v>
      </c>
      <c r="EY701" s="25" t="s">
        <v>13760</v>
      </c>
      <c r="EZ701" s="19" t="s">
        <v>2154</v>
      </c>
      <c r="FA701" s="5" t="s">
        <v>13771</v>
      </c>
      <c r="FB701" s="26" t="s">
        <v>2633</v>
      </c>
      <c r="FC701" s="26" t="s">
        <v>10773</v>
      </c>
    </row>
    <row r="702" hidden="1">
      <c r="A702" s="19" t="s">
        <v>2112</v>
      </c>
      <c r="B702" s="19"/>
      <c r="C702" s="19" t="s">
        <v>2113</v>
      </c>
      <c r="D702" s="19" t="s">
        <v>13772</v>
      </c>
      <c r="E702" s="19" t="s">
        <v>13773</v>
      </c>
      <c r="F702" s="19" t="s">
        <v>13772</v>
      </c>
      <c r="G702" s="19"/>
      <c r="H702" s="19" t="s">
        <v>13772</v>
      </c>
      <c r="I702" s="19" t="s">
        <v>13774</v>
      </c>
      <c r="J702" s="19" t="s">
        <v>13775</v>
      </c>
      <c r="K702" s="19" t="s">
        <v>13776</v>
      </c>
      <c r="L702" s="20">
        <v>45394.0</v>
      </c>
      <c r="M702" s="20">
        <v>45404.0</v>
      </c>
      <c r="N702" s="20">
        <v>45404.0</v>
      </c>
      <c r="O702" s="19" t="s">
        <v>13777</v>
      </c>
      <c r="P702" s="19">
        <v>0.0</v>
      </c>
      <c r="Q702" s="19">
        <v>22.0</v>
      </c>
      <c r="R702" s="19">
        <v>8270.0</v>
      </c>
      <c r="S702" s="20" t="s">
        <v>5774</v>
      </c>
      <c r="T702" s="20">
        <v>45461.0</v>
      </c>
      <c r="U702" s="19" t="s">
        <v>13772</v>
      </c>
      <c r="V702" s="19"/>
      <c r="W702" s="19"/>
      <c r="X702" s="21">
        <v>0.0</v>
      </c>
      <c r="Y702" s="21">
        <v>10.0</v>
      </c>
      <c r="Z702" s="21">
        <v>5.0</v>
      </c>
      <c r="AA702" s="21">
        <v>0.0</v>
      </c>
      <c r="AB702" s="5">
        <v>15.0</v>
      </c>
      <c r="AC702" s="19">
        <v>4.0</v>
      </c>
      <c r="AD702" s="19">
        <v>4.0</v>
      </c>
      <c r="AE702" s="19">
        <v>4.5</v>
      </c>
      <c r="AF702" s="19">
        <v>4.5</v>
      </c>
      <c r="AG702" s="19">
        <v>3.25</v>
      </c>
      <c r="AH702" s="19">
        <v>4.75</v>
      </c>
      <c r="AI702" s="22">
        <v>12.5625</v>
      </c>
      <c r="AJ702" s="19"/>
      <c r="AK702" s="19"/>
      <c r="AL702" s="19"/>
      <c r="AM702" s="19">
        <v>0.0</v>
      </c>
      <c r="AN702" s="19">
        <v>12.6</v>
      </c>
      <c r="AO702" s="19">
        <v>27.6</v>
      </c>
      <c r="AP702" s="19">
        <v>460.0</v>
      </c>
      <c r="AQ702" s="19">
        <v>701.0</v>
      </c>
      <c r="AR702" s="19">
        <v>55.0</v>
      </c>
      <c r="AS702" s="22"/>
      <c r="AT702" s="19" t="s">
        <v>2163</v>
      </c>
      <c r="AU702" s="19" t="s">
        <v>13778</v>
      </c>
      <c r="AV702" s="19" t="s">
        <v>13779</v>
      </c>
      <c r="AW702" s="19"/>
      <c r="AX702" s="20">
        <v>37191.0</v>
      </c>
      <c r="AY702" s="19" t="s">
        <v>2529</v>
      </c>
      <c r="AZ702" s="19" t="s">
        <v>2122</v>
      </c>
      <c r="BA702" s="19" t="s">
        <v>13780</v>
      </c>
      <c r="BB702" s="19" t="s">
        <v>7759</v>
      </c>
      <c r="BC702" s="19" t="s">
        <v>13781</v>
      </c>
      <c r="BD702" s="19" t="s">
        <v>13782</v>
      </c>
      <c r="BE702" s="19"/>
      <c r="BF702" s="19"/>
      <c r="BG702" s="19" t="s">
        <v>2127</v>
      </c>
      <c r="BH702" s="19" t="s">
        <v>2128</v>
      </c>
      <c r="BI702" s="19"/>
      <c r="BJ702" s="19"/>
      <c r="BK702" s="19" t="s">
        <v>16</v>
      </c>
      <c r="BL702" s="19"/>
      <c r="BM702" s="19" t="s">
        <v>5411</v>
      </c>
      <c r="BN702" s="19" t="s">
        <v>17</v>
      </c>
      <c r="BO702" s="19" t="s">
        <v>2132</v>
      </c>
      <c r="BP702" s="19" t="s">
        <v>13783</v>
      </c>
      <c r="BQ702" s="19" t="s">
        <v>2174</v>
      </c>
      <c r="BR702" s="19" t="s">
        <v>2174</v>
      </c>
      <c r="BS702" s="19" t="s">
        <v>2134</v>
      </c>
      <c r="BT702" s="19" t="s">
        <v>75</v>
      </c>
      <c r="BU702" s="19" t="s">
        <v>13784</v>
      </c>
      <c r="BV702" s="19"/>
      <c r="BW702" s="19" t="s">
        <v>2113</v>
      </c>
      <c r="BX702" s="19"/>
      <c r="BY702" s="19"/>
      <c r="BZ702" s="19"/>
      <c r="CA702" s="19"/>
      <c r="CB702" s="19" t="s">
        <v>2113</v>
      </c>
      <c r="CC702" s="19"/>
      <c r="CD702" s="19" t="s">
        <v>2137</v>
      </c>
      <c r="CE702" s="19" t="s">
        <v>16</v>
      </c>
      <c r="CF702" s="19"/>
      <c r="CG702" s="19"/>
      <c r="CH702" s="19" t="s">
        <v>16</v>
      </c>
      <c r="CI702" s="21">
        <v>0.0</v>
      </c>
      <c r="CJ702" s="19" t="s">
        <v>17</v>
      </c>
      <c r="CK702" s="19"/>
      <c r="CL702" s="19"/>
      <c r="CM702" s="19" t="s">
        <v>2344</v>
      </c>
      <c r="CN702" s="19" t="s">
        <v>2537</v>
      </c>
      <c r="CO702" s="19" t="s">
        <v>2177</v>
      </c>
      <c r="CP702" s="19"/>
      <c r="CQ702" s="19"/>
      <c r="CR702" s="19" t="s">
        <v>2113</v>
      </c>
      <c r="CS702" s="19" t="s">
        <v>2113</v>
      </c>
      <c r="CT702" s="19"/>
      <c r="CU702" s="19"/>
      <c r="CV702" s="19" t="s">
        <v>2141</v>
      </c>
      <c r="CW702" s="19"/>
      <c r="CX702" s="19"/>
      <c r="CY702" s="19"/>
      <c r="CZ702" s="19"/>
      <c r="DA702" s="19" t="s">
        <v>16</v>
      </c>
      <c r="DB702" s="19" t="s">
        <v>17</v>
      </c>
      <c r="DC702" s="19" t="s">
        <v>2538</v>
      </c>
      <c r="DD702" s="19" t="s">
        <v>2113</v>
      </c>
      <c r="DE702" s="19" t="s">
        <v>2113</v>
      </c>
      <c r="DF702" s="19" t="s">
        <v>2207</v>
      </c>
      <c r="DG702" s="19" t="s">
        <v>2433</v>
      </c>
      <c r="DH702" s="19" t="s">
        <v>2144</v>
      </c>
      <c r="DI702" s="24">
        <v>45517.0</v>
      </c>
      <c r="DJ702" s="19" t="s">
        <v>2174</v>
      </c>
      <c r="DK702" s="19" t="s">
        <v>2271</v>
      </c>
      <c r="DL702" s="19" t="s">
        <v>2183</v>
      </c>
      <c r="DM702" s="19" t="s">
        <v>2515</v>
      </c>
      <c r="DN702" s="19">
        <v>2.0</v>
      </c>
      <c r="DO702" s="19">
        <v>2.0</v>
      </c>
      <c r="DP702" s="19" t="s">
        <v>13785</v>
      </c>
      <c r="DQ702" s="19" t="s">
        <v>13786</v>
      </c>
      <c r="DR702" s="19" t="s">
        <v>13787</v>
      </c>
      <c r="DS702" s="19" t="s">
        <v>2365</v>
      </c>
      <c r="DT702" s="19" t="s">
        <v>2366</v>
      </c>
      <c r="DU702" s="19"/>
      <c r="DV702" s="19"/>
      <c r="DW702" s="19" t="s">
        <v>2479</v>
      </c>
      <c r="DX702" s="19">
        <v>11.0</v>
      </c>
      <c r="DY702" s="19">
        <v>10.0</v>
      </c>
      <c r="DZ702" s="19">
        <v>0.0</v>
      </c>
      <c r="EA702" s="19">
        <v>10.0</v>
      </c>
      <c r="EB702" s="19">
        <v>0.0</v>
      </c>
      <c r="EC702" s="19">
        <v>0.0</v>
      </c>
      <c r="ED702" s="19" t="s">
        <v>2174</v>
      </c>
      <c r="EE702" s="24">
        <v>45517.0</v>
      </c>
      <c r="EF702" s="19" t="s">
        <v>2174</v>
      </c>
      <c r="EG702" s="19" t="s">
        <v>2271</v>
      </c>
      <c r="EH702" s="19" t="s">
        <v>2183</v>
      </c>
      <c r="EI702" s="22">
        <v>12.5625</v>
      </c>
      <c r="EJ702" s="19">
        <v>0.0</v>
      </c>
      <c r="EK702" s="19" t="s">
        <v>2113</v>
      </c>
      <c r="EL702" s="19" t="s">
        <v>2163</v>
      </c>
      <c r="EM702" s="19" t="s">
        <v>13778</v>
      </c>
      <c r="EN702" s="19" t="s">
        <v>13774</v>
      </c>
      <c r="EO702" s="19" t="s">
        <v>2529</v>
      </c>
      <c r="EP702" s="19" t="s">
        <v>2122</v>
      </c>
      <c r="EQ702" s="19" t="s">
        <v>2537</v>
      </c>
      <c r="ER702" s="19" t="s">
        <v>2177</v>
      </c>
      <c r="ES702" s="19" t="s">
        <v>13774</v>
      </c>
      <c r="ET702" s="19" t="s">
        <v>13774</v>
      </c>
      <c r="EU702" s="19" t="s">
        <v>13776</v>
      </c>
      <c r="EV702" s="19">
        <v>8270.0</v>
      </c>
      <c r="EW702" s="19" t="s">
        <v>16</v>
      </c>
      <c r="EX702" s="19">
        <v>5.0</v>
      </c>
      <c r="EY702" s="25" t="s">
        <v>13777</v>
      </c>
      <c r="EZ702" s="19" t="s">
        <v>2154</v>
      </c>
      <c r="FA702" s="5" t="s">
        <v>13788</v>
      </c>
      <c r="FB702" s="26" t="s">
        <v>2633</v>
      </c>
      <c r="FC702" s="26" t="s">
        <v>10773</v>
      </c>
    </row>
    <row r="703" hidden="1">
      <c r="A703" s="19" t="s">
        <v>2112</v>
      </c>
      <c r="B703" s="19"/>
      <c r="C703" s="19" t="s">
        <v>2113</v>
      </c>
      <c r="D703" s="19" t="s">
        <v>13789</v>
      </c>
      <c r="E703" s="19" t="s">
        <v>13790</v>
      </c>
      <c r="F703" s="19" t="s">
        <v>13789</v>
      </c>
      <c r="G703" s="19"/>
      <c r="H703" s="19" t="s">
        <v>13789</v>
      </c>
      <c r="I703" s="19" t="s">
        <v>13791</v>
      </c>
      <c r="J703" s="19" t="s">
        <v>13792</v>
      </c>
      <c r="K703" s="19" t="s">
        <v>13793</v>
      </c>
      <c r="L703" s="20">
        <v>45427.0</v>
      </c>
      <c r="M703" s="20">
        <v>45428.0</v>
      </c>
      <c r="N703" s="20">
        <v>45428.0</v>
      </c>
      <c r="O703" s="19" t="s">
        <v>13794</v>
      </c>
      <c r="P703" s="19">
        <v>0.0</v>
      </c>
      <c r="Q703" s="19">
        <v>22.0</v>
      </c>
      <c r="R703" s="19">
        <v>8096.0</v>
      </c>
      <c r="S703" s="20" t="s">
        <v>13795</v>
      </c>
      <c r="T703" s="20">
        <v>45461.0</v>
      </c>
      <c r="U703" s="19" t="s">
        <v>13789</v>
      </c>
      <c r="V703" s="19"/>
      <c r="W703" s="19"/>
      <c r="X703" s="21">
        <v>0.0</v>
      </c>
      <c r="Y703" s="21">
        <v>10.0</v>
      </c>
      <c r="Z703" s="21">
        <v>4.0</v>
      </c>
      <c r="AA703" s="21">
        <v>3.0</v>
      </c>
      <c r="AB703" s="5">
        <v>17.0</v>
      </c>
      <c r="AC703" s="19">
        <v>4.0</v>
      </c>
      <c r="AD703" s="19">
        <v>3.0</v>
      </c>
      <c r="AE703" s="19">
        <v>4.0</v>
      </c>
      <c r="AF703" s="19">
        <v>4.0</v>
      </c>
      <c r="AG703" s="19">
        <v>3.0</v>
      </c>
      <c r="AH703" s="19">
        <v>3.0</v>
      </c>
      <c r="AI703" s="22">
        <v>10.59375</v>
      </c>
      <c r="AJ703" s="19"/>
      <c r="AK703" s="19"/>
      <c r="AL703" s="19"/>
      <c r="AM703" s="19">
        <v>0.0</v>
      </c>
      <c r="AN703" s="19">
        <v>10.6</v>
      </c>
      <c r="AO703" s="19">
        <v>27.6</v>
      </c>
      <c r="AP703" s="19">
        <v>379.0</v>
      </c>
      <c r="AQ703" s="19">
        <v>702.0</v>
      </c>
      <c r="AR703" s="19">
        <v>70.0</v>
      </c>
      <c r="AS703" s="22"/>
      <c r="AT703" s="19" t="s">
        <v>2117</v>
      </c>
      <c r="AU703" s="19" t="s">
        <v>11085</v>
      </c>
      <c r="AV703" s="19" t="s">
        <v>13796</v>
      </c>
      <c r="AW703" s="19" t="s">
        <v>2166</v>
      </c>
      <c r="AX703" s="20">
        <v>37365.0</v>
      </c>
      <c r="AY703" s="19" t="s">
        <v>2375</v>
      </c>
      <c r="AZ703" s="19" t="s">
        <v>2122</v>
      </c>
      <c r="BA703" s="19" t="s">
        <v>13797</v>
      </c>
      <c r="BB703" s="19" t="s">
        <v>9780</v>
      </c>
      <c r="BC703" s="19" t="s">
        <v>13798</v>
      </c>
      <c r="BD703" s="19" t="s">
        <v>13799</v>
      </c>
      <c r="BE703" s="19" t="s">
        <v>13800</v>
      </c>
      <c r="BF703" s="19">
        <v>1.1952985486E10</v>
      </c>
      <c r="BG703" s="19" t="s">
        <v>2127</v>
      </c>
      <c r="BH703" s="19" t="s">
        <v>2649</v>
      </c>
      <c r="BI703" s="19"/>
      <c r="BJ703" s="19" t="s">
        <v>2129</v>
      </c>
      <c r="BK703" s="19" t="s">
        <v>16</v>
      </c>
      <c r="BL703" s="19"/>
      <c r="BM703" s="19" t="s">
        <v>5411</v>
      </c>
      <c r="BN703" s="19" t="s">
        <v>17</v>
      </c>
      <c r="BO703" s="19" t="s">
        <v>2317</v>
      </c>
      <c r="BP703" s="19"/>
      <c r="BQ703" s="19" t="s">
        <v>2133</v>
      </c>
      <c r="BR703" s="19" t="s">
        <v>2133</v>
      </c>
      <c r="BS703" s="19" t="s">
        <v>2134</v>
      </c>
      <c r="BT703" s="19" t="s">
        <v>52</v>
      </c>
      <c r="BU703" s="19" t="s">
        <v>13801</v>
      </c>
      <c r="BV703" s="19"/>
      <c r="BW703" s="19" t="s">
        <v>2113</v>
      </c>
      <c r="BX703" s="19"/>
      <c r="BY703" s="19"/>
      <c r="BZ703" s="19"/>
      <c r="CA703" s="19"/>
      <c r="CB703" s="19"/>
      <c r="CC703" s="19"/>
      <c r="CD703" s="19" t="s">
        <v>2137</v>
      </c>
      <c r="CE703" s="19" t="s">
        <v>17</v>
      </c>
      <c r="CF703" s="19"/>
      <c r="CG703" s="19"/>
      <c r="CH703" s="19" t="s">
        <v>17</v>
      </c>
      <c r="CI703" s="21">
        <v>3.0</v>
      </c>
      <c r="CJ703" s="19" t="s">
        <v>17</v>
      </c>
      <c r="CK703" s="19"/>
      <c r="CL703" s="19"/>
      <c r="CM703" s="19" t="s">
        <v>2344</v>
      </c>
      <c r="CN703" s="19" t="s">
        <v>2382</v>
      </c>
      <c r="CO703" s="19"/>
      <c r="CP703" s="19" t="s">
        <v>2134</v>
      </c>
      <c r="CQ703" s="19"/>
      <c r="CR703" s="19" t="s">
        <v>2113</v>
      </c>
      <c r="CS703" s="19" t="s">
        <v>2113</v>
      </c>
      <c r="CT703" s="19" t="s">
        <v>2113</v>
      </c>
      <c r="CU703" s="19" t="s">
        <v>2113</v>
      </c>
      <c r="CV703" s="19" t="s">
        <v>2141</v>
      </c>
      <c r="CW703" s="19" t="s">
        <v>2113</v>
      </c>
      <c r="CX703" s="19" t="s">
        <v>2113</v>
      </c>
      <c r="CY703" s="19" t="s">
        <v>2113</v>
      </c>
      <c r="CZ703" s="19" t="s">
        <v>2113</v>
      </c>
      <c r="DA703" s="19" t="s">
        <v>17</v>
      </c>
      <c r="DB703" s="19" t="s">
        <v>17</v>
      </c>
      <c r="DC703" s="19" t="s">
        <v>2383</v>
      </c>
      <c r="DD703" s="19" t="s">
        <v>2113</v>
      </c>
      <c r="DE703" s="19" t="s">
        <v>2113</v>
      </c>
      <c r="DF703" s="19" t="s">
        <v>2804</v>
      </c>
      <c r="DG703" s="19" t="s">
        <v>5129</v>
      </c>
      <c r="DH703" s="19" t="s">
        <v>2144</v>
      </c>
      <c r="DI703" s="24">
        <v>45531.0</v>
      </c>
      <c r="DJ703" s="19" t="s">
        <v>2133</v>
      </c>
      <c r="DK703" s="19" t="s">
        <v>2271</v>
      </c>
      <c r="DL703" s="19" t="s">
        <v>2146</v>
      </c>
      <c r="DM703" s="19" t="s">
        <v>2827</v>
      </c>
      <c r="DN703" s="19">
        <v>14.0</v>
      </c>
      <c r="DO703" s="19">
        <v>14.0</v>
      </c>
      <c r="DP703" s="19" t="s">
        <v>13802</v>
      </c>
      <c r="DQ703" s="19" t="s">
        <v>13803</v>
      </c>
      <c r="DR703" s="19" t="s">
        <v>13804</v>
      </c>
      <c r="DS703" s="19" t="s">
        <v>2365</v>
      </c>
      <c r="DT703" s="19" t="s">
        <v>2229</v>
      </c>
      <c r="DU703" s="19"/>
      <c r="DV703" s="19"/>
      <c r="DW703" s="19" t="s">
        <v>2188</v>
      </c>
      <c r="DX703" s="19">
        <v>10.0</v>
      </c>
      <c r="DY703" s="19">
        <v>10.0</v>
      </c>
      <c r="DZ703" s="19">
        <v>0.0</v>
      </c>
      <c r="EA703" s="19">
        <v>10.0</v>
      </c>
      <c r="EB703" s="19">
        <v>3.0</v>
      </c>
      <c r="EC703" s="19">
        <v>0.0</v>
      </c>
      <c r="ED703" s="19" t="s">
        <v>2133</v>
      </c>
      <c r="EE703" s="24">
        <v>45531.0</v>
      </c>
      <c r="EF703" s="19" t="s">
        <v>2133</v>
      </c>
      <c r="EG703" s="19" t="s">
        <v>2271</v>
      </c>
      <c r="EH703" s="19" t="s">
        <v>2146</v>
      </c>
      <c r="EI703" s="22">
        <v>10.59375</v>
      </c>
      <c r="EJ703" s="19">
        <v>0.0</v>
      </c>
      <c r="EK703" s="19"/>
      <c r="EL703" s="19" t="s">
        <v>2117</v>
      </c>
      <c r="EM703" s="19" t="s">
        <v>11085</v>
      </c>
      <c r="EN703" s="19" t="s">
        <v>13791</v>
      </c>
      <c r="EO703" s="19" t="s">
        <v>2375</v>
      </c>
      <c r="EP703" s="19" t="s">
        <v>2122</v>
      </c>
      <c r="EQ703" s="19" t="s">
        <v>2382</v>
      </c>
      <c r="ER703" s="19"/>
      <c r="ES703" s="19" t="s">
        <v>13791</v>
      </c>
      <c r="ET703" s="19" t="s">
        <v>13791</v>
      </c>
      <c r="EU703" s="19" t="s">
        <v>13793</v>
      </c>
      <c r="EV703" s="19">
        <v>8096.0</v>
      </c>
      <c r="EW703" s="19" t="s">
        <v>17</v>
      </c>
      <c r="EX703" s="19">
        <v>4.0</v>
      </c>
      <c r="EY703" s="25" t="s">
        <v>13794</v>
      </c>
      <c r="EZ703" s="19" t="s">
        <v>2154</v>
      </c>
      <c r="FA703" s="5" t="s">
        <v>13805</v>
      </c>
      <c r="FB703" s="26" t="s">
        <v>2633</v>
      </c>
      <c r="FC703" s="26" t="s">
        <v>10773</v>
      </c>
    </row>
    <row r="704" hidden="1">
      <c r="A704" s="19" t="s">
        <v>2112</v>
      </c>
      <c r="B704" s="19"/>
      <c r="C704" s="19" t="s">
        <v>2113</v>
      </c>
      <c r="D704" s="19" t="s">
        <v>13806</v>
      </c>
      <c r="E704" s="19" t="s">
        <v>13807</v>
      </c>
      <c r="F704" s="19" t="s">
        <v>13806</v>
      </c>
      <c r="G704" s="19"/>
      <c r="H704" s="19" t="s">
        <v>13806</v>
      </c>
      <c r="I704" s="19" t="s">
        <v>13808</v>
      </c>
      <c r="J704" s="19" t="s">
        <v>13809</v>
      </c>
      <c r="K704" s="19" t="s">
        <v>13810</v>
      </c>
      <c r="L704" s="20">
        <v>45406.0</v>
      </c>
      <c r="M704" s="20">
        <v>45411.0</v>
      </c>
      <c r="N704" s="20">
        <v>45411.0</v>
      </c>
      <c r="O704" s="19" t="s">
        <v>13811</v>
      </c>
      <c r="P704" s="19">
        <v>0.0</v>
      </c>
      <c r="Q704" s="19">
        <v>19.0</v>
      </c>
      <c r="R704" s="19">
        <v>7014.0</v>
      </c>
      <c r="S704" s="20" t="s">
        <v>13812</v>
      </c>
      <c r="T704" s="20">
        <v>45461.0</v>
      </c>
      <c r="U704" s="19" t="s">
        <v>13806</v>
      </c>
      <c r="V704" s="19"/>
      <c r="W704" s="19" t="s">
        <v>13813</v>
      </c>
      <c r="X704" s="21">
        <v>0.0</v>
      </c>
      <c r="Y704" s="21">
        <v>10.0</v>
      </c>
      <c r="Z704" s="21">
        <v>3.0</v>
      </c>
      <c r="AA704" s="21">
        <v>0.0</v>
      </c>
      <c r="AB704" s="5">
        <v>13.0</v>
      </c>
      <c r="AC704" s="19">
        <v>5.0</v>
      </c>
      <c r="AD704" s="19">
        <v>5.0</v>
      </c>
      <c r="AE704" s="19">
        <v>5.0</v>
      </c>
      <c r="AF704" s="19">
        <v>5.0</v>
      </c>
      <c r="AG704" s="19">
        <v>4.0</v>
      </c>
      <c r="AH704" s="19">
        <v>5.0</v>
      </c>
      <c r="AI704" s="22">
        <v>14.625</v>
      </c>
      <c r="AJ704" s="19"/>
      <c r="AK704" s="19"/>
      <c r="AL704" s="19"/>
      <c r="AM704" s="19">
        <v>0.0</v>
      </c>
      <c r="AN704" s="19">
        <v>14.6</v>
      </c>
      <c r="AO704" s="19">
        <v>27.6</v>
      </c>
      <c r="AP704" s="19">
        <v>793.0</v>
      </c>
      <c r="AQ704" s="19">
        <v>703.0</v>
      </c>
      <c r="AR704" s="19">
        <v>46.0</v>
      </c>
      <c r="AS704" s="22"/>
      <c r="AT704" s="19" t="s">
        <v>2117</v>
      </c>
      <c r="AU704" s="19" t="s">
        <v>2815</v>
      </c>
      <c r="AV704" s="19" t="s">
        <v>13814</v>
      </c>
      <c r="AW704" s="19" t="s">
        <v>3923</v>
      </c>
      <c r="AX704" s="20">
        <v>38447.0</v>
      </c>
      <c r="AY704" s="19" t="s">
        <v>3537</v>
      </c>
      <c r="AZ704" s="19" t="s">
        <v>2122</v>
      </c>
      <c r="BA704" s="19" t="s">
        <v>13815</v>
      </c>
      <c r="BB704" s="19" t="s">
        <v>2685</v>
      </c>
      <c r="BC704" s="19" t="s">
        <v>13816</v>
      </c>
      <c r="BD704" s="19" t="s">
        <v>13817</v>
      </c>
      <c r="BE704" s="19" t="s">
        <v>13818</v>
      </c>
      <c r="BF704" s="19">
        <v>1.1943285134E10</v>
      </c>
      <c r="BG704" s="19" t="s">
        <v>2127</v>
      </c>
      <c r="BH704" s="19" t="s">
        <v>2128</v>
      </c>
      <c r="BI704" s="19"/>
      <c r="BJ704" s="19"/>
      <c r="BK704" s="19" t="s">
        <v>16</v>
      </c>
      <c r="BL704" s="19"/>
      <c r="BM704" s="19" t="s">
        <v>5411</v>
      </c>
      <c r="BN704" s="19" t="s">
        <v>5646</v>
      </c>
      <c r="BO704" s="19" t="s">
        <v>2473</v>
      </c>
      <c r="BP704" s="19"/>
      <c r="BQ704" s="19" t="s">
        <v>2133</v>
      </c>
      <c r="BR704" s="19" t="s">
        <v>2133</v>
      </c>
      <c r="BS704" s="19" t="s">
        <v>2243</v>
      </c>
      <c r="BT704" s="19" t="s">
        <v>222</v>
      </c>
      <c r="BU704" s="19" t="s">
        <v>13819</v>
      </c>
      <c r="BV704" s="19"/>
      <c r="BW704" s="19"/>
      <c r="BX704" s="19"/>
      <c r="BY704" s="19"/>
      <c r="BZ704" s="19"/>
      <c r="CA704" s="19"/>
      <c r="CB704" s="19" t="s">
        <v>2113</v>
      </c>
      <c r="CC704" s="19" t="s">
        <v>2113</v>
      </c>
      <c r="CD704" s="19" t="s">
        <v>2137</v>
      </c>
      <c r="CE704" s="19" t="s">
        <v>16</v>
      </c>
      <c r="CF704" s="19"/>
      <c r="CG704" s="19"/>
      <c r="CH704" s="19" t="s">
        <v>16</v>
      </c>
      <c r="CI704" s="21">
        <v>0.0</v>
      </c>
      <c r="CJ704" s="19" t="s">
        <v>16</v>
      </c>
      <c r="CK704" s="19"/>
      <c r="CL704" s="19"/>
      <c r="CM704" s="19" t="s">
        <v>2926</v>
      </c>
      <c r="CN704" s="19" t="s">
        <v>3544</v>
      </c>
      <c r="CO704" s="19"/>
      <c r="CP704" s="19"/>
      <c r="CQ704" s="19"/>
      <c r="CR704" s="19" t="s">
        <v>2113</v>
      </c>
      <c r="CS704" s="19" t="s">
        <v>2113</v>
      </c>
      <c r="CT704" s="19" t="s">
        <v>2113</v>
      </c>
      <c r="CU704" s="19" t="s">
        <v>2113</v>
      </c>
      <c r="CV704" s="19" t="s">
        <v>2141</v>
      </c>
      <c r="CW704" s="19" t="s">
        <v>2113</v>
      </c>
      <c r="CX704" s="19" t="s">
        <v>2113</v>
      </c>
      <c r="CY704" s="19" t="s">
        <v>2113</v>
      </c>
      <c r="CZ704" s="19" t="s">
        <v>2113</v>
      </c>
      <c r="DA704" s="19" t="s">
        <v>16</v>
      </c>
      <c r="DB704" s="19" t="s">
        <v>16</v>
      </c>
      <c r="DC704" s="19" t="s">
        <v>2407</v>
      </c>
      <c r="DD704" s="19" t="s">
        <v>2113</v>
      </c>
      <c r="DE704" s="19" t="s">
        <v>2113</v>
      </c>
      <c r="DF704" s="19" t="s">
        <v>2433</v>
      </c>
      <c r="DG704" s="19" t="s">
        <v>2248</v>
      </c>
      <c r="DH704" s="19" t="s">
        <v>2144</v>
      </c>
      <c r="DI704" s="24">
        <v>45525.0</v>
      </c>
      <c r="DJ704" s="19" t="s">
        <v>2133</v>
      </c>
      <c r="DK704" s="19" t="s">
        <v>2145</v>
      </c>
      <c r="DL704" s="19" t="s">
        <v>2146</v>
      </c>
      <c r="DM704" s="19" t="s">
        <v>3003</v>
      </c>
      <c r="DN704" s="19">
        <v>9.0</v>
      </c>
      <c r="DO704" s="19">
        <v>9.0</v>
      </c>
      <c r="DP704" s="19" t="s">
        <v>13820</v>
      </c>
      <c r="DQ704" s="19" t="s">
        <v>13821</v>
      </c>
      <c r="DR704" s="19" t="s">
        <v>13822</v>
      </c>
      <c r="DS704" s="19" t="s">
        <v>2365</v>
      </c>
      <c r="DT704" s="19" t="s">
        <v>2229</v>
      </c>
      <c r="DU704" s="19"/>
      <c r="DV704" s="19"/>
      <c r="DW704" s="19" t="s">
        <v>2153</v>
      </c>
      <c r="DX704" s="19">
        <v>8.0</v>
      </c>
      <c r="DY704" s="19">
        <v>10.0</v>
      </c>
      <c r="DZ704" s="19">
        <v>0.0</v>
      </c>
      <c r="EA704" s="19">
        <v>10.0</v>
      </c>
      <c r="EB704" s="19">
        <v>0.0</v>
      </c>
      <c r="EC704" s="19">
        <v>0.0</v>
      </c>
      <c r="ED704" s="19" t="s">
        <v>2133</v>
      </c>
      <c r="EE704" s="24">
        <v>45525.0</v>
      </c>
      <c r="EF704" s="19" t="s">
        <v>2133</v>
      </c>
      <c r="EG704" s="19" t="s">
        <v>2145</v>
      </c>
      <c r="EH704" s="19" t="s">
        <v>2146</v>
      </c>
      <c r="EI704" s="22">
        <v>14.625</v>
      </c>
      <c r="EJ704" s="19">
        <v>0.0</v>
      </c>
      <c r="EK704" s="19"/>
      <c r="EL704" s="19" t="s">
        <v>2117</v>
      </c>
      <c r="EM704" s="19" t="s">
        <v>2815</v>
      </c>
      <c r="EN704" s="19" t="s">
        <v>13808</v>
      </c>
      <c r="EO704" s="19" t="s">
        <v>3537</v>
      </c>
      <c r="EP704" s="19" t="s">
        <v>2122</v>
      </c>
      <c r="EQ704" s="19" t="s">
        <v>3544</v>
      </c>
      <c r="ER704" s="19"/>
      <c r="ES704" s="19" t="s">
        <v>13808</v>
      </c>
      <c r="ET704" s="19" t="s">
        <v>13808</v>
      </c>
      <c r="EU704" s="19" t="s">
        <v>13810</v>
      </c>
      <c r="EV704" s="19">
        <v>7014.0</v>
      </c>
      <c r="EW704" s="19" t="s">
        <v>16</v>
      </c>
      <c r="EX704" s="19">
        <v>3.0</v>
      </c>
      <c r="EY704" s="25" t="s">
        <v>13811</v>
      </c>
      <c r="EZ704" s="19" t="s">
        <v>2154</v>
      </c>
      <c r="FA704" s="5" t="s">
        <v>13823</v>
      </c>
      <c r="FB704" s="26" t="s">
        <v>2633</v>
      </c>
      <c r="FC704" s="26" t="s">
        <v>10773</v>
      </c>
    </row>
    <row r="705" hidden="1">
      <c r="A705" s="19" t="s">
        <v>2112</v>
      </c>
      <c r="B705" s="19"/>
      <c r="C705" s="19" t="s">
        <v>2113</v>
      </c>
      <c r="D705" s="19" t="s">
        <v>13824</v>
      </c>
      <c r="E705" s="19" t="s">
        <v>13825</v>
      </c>
      <c r="F705" s="19" t="s">
        <v>13826</v>
      </c>
      <c r="G705" s="19" t="s">
        <v>13827</v>
      </c>
      <c r="H705" s="19" t="s">
        <v>13824</v>
      </c>
      <c r="I705" s="19" t="s">
        <v>13828</v>
      </c>
      <c r="J705" s="19" t="s">
        <v>13829</v>
      </c>
      <c r="K705" s="19" t="s">
        <v>13830</v>
      </c>
      <c r="L705" s="20">
        <v>45449.0</v>
      </c>
      <c r="M705" s="20">
        <v>45450.0</v>
      </c>
      <c r="N705" s="20">
        <v>45450.0</v>
      </c>
      <c r="O705" s="19" t="s">
        <v>13831</v>
      </c>
      <c r="P705" s="19">
        <v>0.0</v>
      </c>
      <c r="Q705" s="19">
        <v>26.0</v>
      </c>
      <c r="R705" s="19">
        <v>9511.0</v>
      </c>
      <c r="S705" s="20" t="s">
        <v>13832</v>
      </c>
      <c r="T705" s="20">
        <v>45461.0</v>
      </c>
      <c r="U705" s="19" t="s">
        <v>13826</v>
      </c>
      <c r="V705" s="19"/>
      <c r="W705" s="19"/>
      <c r="X705" s="21">
        <v>0.0</v>
      </c>
      <c r="Y705" s="21">
        <v>10.0</v>
      </c>
      <c r="Z705" s="21">
        <v>5.0</v>
      </c>
      <c r="AA705" s="21">
        <v>0.0</v>
      </c>
      <c r="AB705" s="5">
        <v>15.0</v>
      </c>
      <c r="AC705" s="19">
        <v>3.6</v>
      </c>
      <c r="AD705" s="19">
        <v>4.6</v>
      </c>
      <c r="AE705" s="19">
        <v>4.3</v>
      </c>
      <c r="AF705" s="19">
        <v>4.3</v>
      </c>
      <c r="AG705" s="19">
        <v>3.3</v>
      </c>
      <c r="AH705" s="19">
        <v>4.6</v>
      </c>
      <c r="AI705" s="22">
        <v>12.50625</v>
      </c>
      <c r="AJ705" s="19"/>
      <c r="AK705" s="19"/>
      <c r="AL705" s="19"/>
      <c r="AM705" s="19">
        <v>0.0</v>
      </c>
      <c r="AN705" s="19">
        <v>12.5</v>
      </c>
      <c r="AO705" s="19">
        <v>27.5</v>
      </c>
      <c r="AP705" s="19">
        <v>419.0</v>
      </c>
      <c r="AQ705" s="19">
        <v>704.0</v>
      </c>
      <c r="AR705" s="19">
        <v>56.0</v>
      </c>
      <c r="AS705" s="22"/>
      <c r="AT705" s="19" t="s">
        <v>2163</v>
      </c>
      <c r="AU705" s="19" t="s">
        <v>4698</v>
      </c>
      <c r="AV705" s="19" t="s">
        <v>4699</v>
      </c>
      <c r="AW705" s="19"/>
      <c r="AX705" s="20">
        <v>35950.0</v>
      </c>
      <c r="AY705" s="19" t="s">
        <v>2529</v>
      </c>
      <c r="AZ705" s="19" t="s">
        <v>2310</v>
      </c>
      <c r="BA705" s="19" t="s">
        <v>4700</v>
      </c>
      <c r="BB705" s="19" t="s">
        <v>8700</v>
      </c>
      <c r="BC705" s="19" t="s">
        <v>13833</v>
      </c>
      <c r="BD705" s="19" t="s">
        <v>13834</v>
      </c>
      <c r="BE705" s="19" t="s">
        <v>13829</v>
      </c>
      <c r="BF705" s="19">
        <v>1.1984610278E10</v>
      </c>
      <c r="BG705" s="19" t="s">
        <v>2127</v>
      </c>
      <c r="BH705" s="19" t="s">
        <v>2128</v>
      </c>
      <c r="BI705" s="19"/>
      <c r="BJ705" s="19"/>
      <c r="BK705" s="19" t="s">
        <v>16</v>
      </c>
      <c r="BL705" s="19" t="s">
        <v>2113</v>
      </c>
      <c r="BM705" s="19" t="s">
        <v>5411</v>
      </c>
      <c r="BN705" s="19" t="s">
        <v>2172</v>
      </c>
      <c r="BO705" s="19" t="s">
        <v>2132</v>
      </c>
      <c r="BP705" s="19"/>
      <c r="BQ705" s="19" t="s">
        <v>2174</v>
      </c>
      <c r="BR705" s="19" t="s">
        <v>2174</v>
      </c>
      <c r="BS705" s="19" t="s">
        <v>2134</v>
      </c>
      <c r="BT705" s="19" t="s">
        <v>75</v>
      </c>
      <c r="BU705" s="19"/>
      <c r="BV705" s="19"/>
      <c r="BW705" s="19"/>
      <c r="BX705" s="19"/>
      <c r="BY705" s="19" t="s">
        <v>2113</v>
      </c>
      <c r="BZ705" s="19" t="s">
        <v>2113</v>
      </c>
      <c r="CA705" s="19"/>
      <c r="CB705" s="19" t="s">
        <v>2113</v>
      </c>
      <c r="CC705" s="19"/>
      <c r="CD705" s="19" t="s">
        <v>2137</v>
      </c>
      <c r="CE705" s="19" t="s">
        <v>16</v>
      </c>
      <c r="CF705" s="19"/>
      <c r="CG705" s="19"/>
      <c r="CH705" s="19" t="s">
        <v>16</v>
      </c>
      <c r="CI705" s="21">
        <v>0.0</v>
      </c>
      <c r="CJ705" s="19" t="s">
        <v>17</v>
      </c>
      <c r="CK705" s="19"/>
      <c r="CL705" s="19"/>
      <c r="CM705" s="19" t="s">
        <v>2138</v>
      </c>
      <c r="CN705" s="19" t="s">
        <v>2537</v>
      </c>
      <c r="CO705" s="19"/>
      <c r="CP705" s="19"/>
      <c r="CQ705" s="19" t="s">
        <v>2113</v>
      </c>
      <c r="CR705" s="19" t="s">
        <v>2113</v>
      </c>
      <c r="CS705" s="19" t="s">
        <v>2113</v>
      </c>
      <c r="CT705" s="19"/>
      <c r="CU705" s="19"/>
      <c r="CV705" s="19" t="s">
        <v>2141</v>
      </c>
      <c r="CW705" s="19" t="s">
        <v>2113</v>
      </c>
      <c r="CX705" s="19" t="s">
        <v>2113</v>
      </c>
      <c r="CY705" s="19" t="s">
        <v>2113</v>
      </c>
      <c r="CZ705" s="19" t="s">
        <v>2113</v>
      </c>
      <c r="DA705" s="19" t="s">
        <v>16</v>
      </c>
      <c r="DB705" s="19" t="s">
        <v>17</v>
      </c>
      <c r="DC705" s="19" t="s">
        <v>4044</v>
      </c>
      <c r="DD705" s="19" t="s">
        <v>2113</v>
      </c>
      <c r="DE705" s="19" t="s">
        <v>2113</v>
      </c>
      <c r="DF705" s="19" t="s">
        <v>3042</v>
      </c>
      <c r="DG705" s="19" t="s">
        <v>2181</v>
      </c>
      <c r="DH705" s="19" t="s">
        <v>2144</v>
      </c>
      <c r="DI705" s="24">
        <v>45525.0</v>
      </c>
      <c r="DJ705" s="19" t="s">
        <v>2174</v>
      </c>
      <c r="DK705" s="19" t="s">
        <v>2145</v>
      </c>
      <c r="DL705" s="19" t="s">
        <v>2183</v>
      </c>
      <c r="DM705" s="19" t="s">
        <v>2249</v>
      </c>
      <c r="DN705" s="19">
        <v>9.0</v>
      </c>
      <c r="DO705" s="19">
        <v>9.0</v>
      </c>
      <c r="DP705" s="19" t="s">
        <v>13835</v>
      </c>
      <c r="DQ705" s="19" t="s">
        <v>13836</v>
      </c>
      <c r="DR705" s="19" t="s">
        <v>13837</v>
      </c>
      <c r="DS705" s="19" t="s">
        <v>2151</v>
      </c>
      <c r="DT705" s="19" t="s">
        <v>2301</v>
      </c>
      <c r="DU705" s="19"/>
      <c r="DV705" s="19"/>
      <c r="DW705" s="19" t="s">
        <v>2479</v>
      </c>
      <c r="DX705" s="19">
        <v>16.0</v>
      </c>
      <c r="DY705" s="19">
        <v>10.0</v>
      </c>
      <c r="DZ705" s="19">
        <v>0.0</v>
      </c>
      <c r="EA705" s="19">
        <v>10.0</v>
      </c>
      <c r="EB705" s="19">
        <v>0.0</v>
      </c>
      <c r="EC705" s="19">
        <v>0.0</v>
      </c>
      <c r="ED705" s="19" t="s">
        <v>2174</v>
      </c>
      <c r="EE705" s="24">
        <v>45525.0</v>
      </c>
      <c r="EF705" s="19" t="s">
        <v>2174</v>
      </c>
      <c r="EG705" s="19" t="s">
        <v>2145</v>
      </c>
      <c r="EH705" s="19" t="s">
        <v>2183</v>
      </c>
      <c r="EI705" s="22">
        <v>12.50625</v>
      </c>
      <c r="EJ705" s="19">
        <v>0.0</v>
      </c>
      <c r="EK705" s="19" t="s">
        <v>2113</v>
      </c>
      <c r="EL705" s="19" t="s">
        <v>2163</v>
      </c>
      <c r="EM705" s="19" t="s">
        <v>4698</v>
      </c>
      <c r="EN705" s="19" t="s">
        <v>13828</v>
      </c>
      <c r="EO705" s="19" t="s">
        <v>2529</v>
      </c>
      <c r="EP705" s="19" t="s">
        <v>2310</v>
      </c>
      <c r="EQ705" s="19" t="s">
        <v>2537</v>
      </c>
      <c r="ER705" s="19"/>
      <c r="ES705" s="19" t="s">
        <v>13828</v>
      </c>
      <c r="ET705" s="19" t="s">
        <v>13828</v>
      </c>
      <c r="EU705" s="19" t="s">
        <v>13830</v>
      </c>
      <c r="EV705" s="19">
        <v>9511.0</v>
      </c>
      <c r="EW705" s="19" t="s">
        <v>16</v>
      </c>
      <c r="EX705" s="19">
        <v>5.0</v>
      </c>
      <c r="EY705" s="25" t="s">
        <v>13831</v>
      </c>
      <c r="EZ705" s="19" t="s">
        <v>2154</v>
      </c>
      <c r="FA705" s="5" t="s">
        <v>13838</v>
      </c>
      <c r="FB705" s="26" t="s">
        <v>2633</v>
      </c>
      <c r="FC705" s="26" t="s">
        <v>10773</v>
      </c>
    </row>
    <row r="706" hidden="1">
      <c r="A706" s="19" t="s">
        <v>2156</v>
      </c>
      <c r="B706" s="19"/>
      <c r="C706" s="19" t="s">
        <v>2113</v>
      </c>
      <c r="D706" s="19" t="s">
        <v>13839</v>
      </c>
      <c r="E706" s="19" t="s">
        <v>13840</v>
      </c>
      <c r="F706" s="19" t="s">
        <v>13841</v>
      </c>
      <c r="G706" s="19" t="s">
        <v>13842</v>
      </c>
      <c r="H706" s="19" t="s">
        <v>13839</v>
      </c>
      <c r="I706" s="19" t="s">
        <v>13843</v>
      </c>
      <c r="J706" s="19" t="s">
        <v>13844</v>
      </c>
      <c r="K706" s="19" t="s">
        <v>13845</v>
      </c>
      <c r="L706" s="20">
        <v>45394.0</v>
      </c>
      <c r="M706" s="20">
        <v>45404.0</v>
      </c>
      <c r="N706" s="20">
        <v>45404.0</v>
      </c>
      <c r="O706" s="19" t="s">
        <v>13846</v>
      </c>
      <c r="P706" s="19">
        <v>0.0</v>
      </c>
      <c r="Q706" s="19">
        <v>24.0</v>
      </c>
      <c r="R706" s="19">
        <v>8897.0</v>
      </c>
      <c r="S706" s="20" t="s">
        <v>13847</v>
      </c>
      <c r="T706" s="20">
        <v>45461.0</v>
      </c>
      <c r="U706" s="19" t="s">
        <v>13841</v>
      </c>
      <c r="V706" s="19"/>
      <c r="W706" s="19"/>
      <c r="X706" s="21">
        <v>0.0</v>
      </c>
      <c r="Y706" s="21">
        <v>10.0</v>
      </c>
      <c r="Z706" s="21">
        <v>3.0</v>
      </c>
      <c r="AA706" s="21">
        <v>0.0</v>
      </c>
      <c r="AB706" s="5">
        <v>13.0</v>
      </c>
      <c r="AC706" s="19">
        <v>4.0</v>
      </c>
      <c r="AD706" s="19">
        <v>5.0</v>
      </c>
      <c r="AE706" s="19">
        <v>5.0</v>
      </c>
      <c r="AF706" s="19">
        <v>5.0</v>
      </c>
      <c r="AG706" s="19">
        <v>5.0</v>
      </c>
      <c r="AH706" s="19">
        <v>5.0</v>
      </c>
      <c r="AI706" s="22">
        <v>14.53125</v>
      </c>
      <c r="AJ706" s="19">
        <v>0.0</v>
      </c>
      <c r="AK706" s="19">
        <v>0.0</v>
      </c>
      <c r="AL706" s="19">
        <v>0.0</v>
      </c>
      <c r="AM706" s="19">
        <v>0.0</v>
      </c>
      <c r="AN706" s="19">
        <v>14.5</v>
      </c>
      <c r="AO706" s="19">
        <v>27.5</v>
      </c>
      <c r="AP706" s="19">
        <v>703.0</v>
      </c>
      <c r="AQ706" s="19">
        <v>705.0</v>
      </c>
      <c r="AR706" s="19">
        <v>47.0</v>
      </c>
      <c r="AS706" s="22"/>
      <c r="AT706" s="19" t="s">
        <v>2282</v>
      </c>
      <c r="AU706" s="19" t="s">
        <v>13848</v>
      </c>
      <c r="AV706" s="19" t="s">
        <v>13849</v>
      </c>
      <c r="AW706" s="19"/>
      <c r="AX706" s="20">
        <v>36564.0</v>
      </c>
      <c r="AY706" s="19" t="s">
        <v>3537</v>
      </c>
      <c r="AZ706" s="19" t="s">
        <v>2445</v>
      </c>
      <c r="BA706" s="19" t="s">
        <v>13850</v>
      </c>
      <c r="BB706" s="19" t="s">
        <v>13851</v>
      </c>
      <c r="BC706" s="19" t="s">
        <v>13852</v>
      </c>
      <c r="BD706" s="19" t="s">
        <v>13853</v>
      </c>
      <c r="BE706" s="19"/>
      <c r="BF706" s="19"/>
      <c r="BG706" s="19" t="s">
        <v>2127</v>
      </c>
      <c r="BH706" s="19" t="s">
        <v>2128</v>
      </c>
      <c r="BI706" s="19"/>
      <c r="BJ706" s="19"/>
      <c r="BK706" s="19" t="s">
        <v>16</v>
      </c>
      <c r="BL706" s="19" t="s">
        <v>2113</v>
      </c>
      <c r="BM706" s="19" t="s">
        <v>5411</v>
      </c>
      <c r="BN706" s="19" t="s">
        <v>2172</v>
      </c>
      <c r="BO706" s="19" t="s">
        <v>2473</v>
      </c>
      <c r="BP706" s="19" t="s">
        <v>13854</v>
      </c>
      <c r="BQ706" s="19" t="s">
        <v>2133</v>
      </c>
      <c r="BR706" s="19" t="s">
        <v>2133</v>
      </c>
      <c r="BS706" s="19" t="s">
        <v>2134</v>
      </c>
      <c r="BT706" s="19" t="s">
        <v>222</v>
      </c>
      <c r="BU706" s="19" t="s">
        <v>3501</v>
      </c>
      <c r="BV706" s="19"/>
      <c r="BW706" s="19"/>
      <c r="BX706" s="19" t="s">
        <v>2113</v>
      </c>
      <c r="BY706" s="19"/>
      <c r="BZ706" s="19"/>
      <c r="CA706" s="19"/>
      <c r="CB706" s="19" t="s">
        <v>2113</v>
      </c>
      <c r="CC706" s="19" t="s">
        <v>2113</v>
      </c>
      <c r="CD706" s="19" t="s">
        <v>2137</v>
      </c>
      <c r="CE706" s="19" t="s">
        <v>16</v>
      </c>
      <c r="CF706" s="19"/>
      <c r="CG706" s="19"/>
      <c r="CH706" s="19" t="s">
        <v>16</v>
      </c>
      <c r="CI706" s="21">
        <v>0.0</v>
      </c>
      <c r="CJ706" s="19" t="s">
        <v>16</v>
      </c>
      <c r="CK706" s="19"/>
      <c r="CL706" s="19"/>
      <c r="CM706" s="19" t="s">
        <v>2138</v>
      </c>
      <c r="CN706" s="19" t="s">
        <v>3544</v>
      </c>
      <c r="CO706" s="19"/>
      <c r="CP706" s="19"/>
      <c r="CQ706" s="19"/>
      <c r="CR706" s="19" t="s">
        <v>2113</v>
      </c>
      <c r="CS706" s="19" t="s">
        <v>2113</v>
      </c>
      <c r="CT706" s="19" t="s">
        <v>2113</v>
      </c>
      <c r="CU706" s="19" t="s">
        <v>2113</v>
      </c>
      <c r="CV706" s="19" t="s">
        <v>2141</v>
      </c>
      <c r="CW706" s="19" t="s">
        <v>2113</v>
      </c>
      <c r="CX706" s="19" t="s">
        <v>2113</v>
      </c>
      <c r="CY706" s="19" t="s">
        <v>2113</v>
      </c>
      <c r="CZ706" s="19" t="s">
        <v>2113</v>
      </c>
      <c r="DA706" s="19" t="s">
        <v>16</v>
      </c>
      <c r="DB706" s="19" t="s">
        <v>16</v>
      </c>
      <c r="DC706" s="19" t="s">
        <v>2146</v>
      </c>
      <c r="DD706" s="19" t="s">
        <v>2113</v>
      </c>
      <c r="DE706" s="19" t="s">
        <v>2113</v>
      </c>
      <c r="DF706" s="19" t="s">
        <v>6592</v>
      </c>
      <c r="DG706" s="19" t="s">
        <v>5270</v>
      </c>
      <c r="DH706" s="19" t="s">
        <v>2580</v>
      </c>
      <c r="DI706" s="24">
        <v>45517.0</v>
      </c>
      <c r="DJ706" s="19" t="s">
        <v>2133</v>
      </c>
      <c r="DK706" s="19" t="s">
        <v>2271</v>
      </c>
      <c r="DL706" s="19" t="s">
        <v>2146</v>
      </c>
      <c r="DM706" s="19"/>
      <c r="DN706" s="19">
        <v>2.0</v>
      </c>
      <c r="DO706" s="19">
        <v>2.0</v>
      </c>
      <c r="DP706" s="19" t="s">
        <v>13855</v>
      </c>
      <c r="DQ706" s="19" t="s">
        <v>13856</v>
      </c>
      <c r="DR706" s="19" t="s">
        <v>13857</v>
      </c>
      <c r="DS706" s="19" t="s">
        <v>2185</v>
      </c>
      <c r="DT706" s="19" t="s">
        <v>2301</v>
      </c>
      <c r="DU706" s="19"/>
      <c r="DV706" s="19"/>
      <c r="DW706" s="19" t="s">
        <v>3306</v>
      </c>
      <c r="DX706" s="19">
        <v>4.0</v>
      </c>
      <c r="DY706" s="19">
        <v>10.0</v>
      </c>
      <c r="DZ706" s="19">
        <v>0.0</v>
      </c>
      <c r="EA706" s="19">
        <v>10.0</v>
      </c>
      <c r="EB706" s="19">
        <v>0.0</v>
      </c>
      <c r="EC706" s="19">
        <v>0.0</v>
      </c>
      <c r="ED706" s="19" t="s">
        <v>2133</v>
      </c>
      <c r="EE706" s="24">
        <v>45517.0</v>
      </c>
      <c r="EF706" s="19" t="s">
        <v>2133</v>
      </c>
      <c r="EG706" s="19" t="s">
        <v>2271</v>
      </c>
      <c r="EH706" s="19" t="s">
        <v>2146</v>
      </c>
      <c r="EI706" s="22">
        <v>14.53125</v>
      </c>
      <c r="EJ706" s="19">
        <v>0.0</v>
      </c>
      <c r="EK706" s="19"/>
      <c r="EL706" s="19" t="s">
        <v>2282</v>
      </c>
      <c r="EM706" s="19" t="s">
        <v>13848</v>
      </c>
      <c r="EN706" s="19" t="s">
        <v>13843</v>
      </c>
      <c r="EO706" s="19" t="s">
        <v>3537</v>
      </c>
      <c r="EP706" s="19" t="s">
        <v>2445</v>
      </c>
      <c r="EQ706" s="19" t="s">
        <v>3544</v>
      </c>
      <c r="ER706" s="19"/>
      <c r="ES706" s="19" t="s">
        <v>13843</v>
      </c>
      <c r="ET706" s="19" t="s">
        <v>13843</v>
      </c>
      <c r="EU706" s="19" t="s">
        <v>13845</v>
      </c>
      <c r="EV706" s="19">
        <v>8897.0</v>
      </c>
      <c r="EW706" s="19" t="s">
        <v>16</v>
      </c>
      <c r="EX706" s="19">
        <v>3.0</v>
      </c>
      <c r="EY706" s="25" t="s">
        <v>13846</v>
      </c>
      <c r="EZ706" s="19" t="s">
        <v>2154</v>
      </c>
      <c r="FA706" s="5" t="s">
        <v>13858</v>
      </c>
      <c r="FB706" s="26" t="s">
        <v>2633</v>
      </c>
      <c r="FC706" s="26" t="s">
        <v>11913</v>
      </c>
    </row>
    <row r="707" hidden="1">
      <c r="A707" s="19" t="s">
        <v>2112</v>
      </c>
      <c r="B707" s="19"/>
      <c r="C707" s="19" t="s">
        <v>2113</v>
      </c>
      <c r="D707" s="19" t="s">
        <v>13859</v>
      </c>
      <c r="E707" s="19" t="s">
        <v>13860</v>
      </c>
      <c r="F707" s="19" t="s">
        <v>13859</v>
      </c>
      <c r="G707" s="19"/>
      <c r="H707" s="19" t="s">
        <v>13859</v>
      </c>
      <c r="I707" s="19" t="s">
        <v>13861</v>
      </c>
      <c r="J707" s="19" t="s">
        <v>13862</v>
      </c>
      <c r="K707" s="19" t="s">
        <v>13863</v>
      </c>
      <c r="L707" s="20">
        <v>45394.0</v>
      </c>
      <c r="M707" s="20">
        <v>45404.0</v>
      </c>
      <c r="N707" s="20">
        <v>45404.0</v>
      </c>
      <c r="O707" s="19" t="s">
        <v>13864</v>
      </c>
      <c r="P707" s="19">
        <v>0.0</v>
      </c>
      <c r="Q707" s="19">
        <v>18.0</v>
      </c>
      <c r="R707" s="19">
        <v>6768.0</v>
      </c>
      <c r="S707" s="20" t="s">
        <v>2738</v>
      </c>
      <c r="T707" s="20">
        <v>45461.0</v>
      </c>
      <c r="U707" s="19" t="s">
        <v>13859</v>
      </c>
      <c r="V707" s="19"/>
      <c r="W707" s="19"/>
      <c r="X707" s="21">
        <v>0.0</v>
      </c>
      <c r="Y707" s="21">
        <v>10.0</v>
      </c>
      <c r="Z707" s="21">
        <v>5.0</v>
      </c>
      <c r="AA707" s="21">
        <v>0.0</v>
      </c>
      <c r="AB707" s="5">
        <v>15.0</v>
      </c>
      <c r="AC707" s="19">
        <v>4.4</v>
      </c>
      <c r="AD707" s="19">
        <v>3.8</v>
      </c>
      <c r="AE707" s="19">
        <v>4.0</v>
      </c>
      <c r="AF707" s="19">
        <v>4.4</v>
      </c>
      <c r="AG707" s="19">
        <v>3.6</v>
      </c>
      <c r="AH707" s="19">
        <v>4.8</v>
      </c>
      <c r="AI707" s="22">
        <v>12.356249999999998</v>
      </c>
      <c r="AJ707" s="19"/>
      <c r="AK707" s="19"/>
      <c r="AL707" s="19"/>
      <c r="AM707" s="19">
        <v>0.0</v>
      </c>
      <c r="AN707" s="19">
        <v>12.4</v>
      </c>
      <c r="AO707" s="19">
        <v>27.4</v>
      </c>
      <c r="AP707" s="19">
        <v>549.0</v>
      </c>
      <c r="AQ707" s="19">
        <v>706.0</v>
      </c>
      <c r="AR707" s="19">
        <v>61.0</v>
      </c>
      <c r="AS707" s="22"/>
      <c r="AT707" s="19" t="s">
        <v>2282</v>
      </c>
      <c r="AU707" s="19" t="s">
        <v>12609</v>
      </c>
      <c r="AV707" s="19" t="s">
        <v>13865</v>
      </c>
      <c r="AW707" s="19" t="s">
        <v>3331</v>
      </c>
      <c r="AX707" s="20">
        <v>38693.0</v>
      </c>
      <c r="AY707" s="19" t="s">
        <v>2258</v>
      </c>
      <c r="AZ707" s="19" t="s">
        <v>2122</v>
      </c>
      <c r="BA707" s="19" t="s">
        <v>13866</v>
      </c>
      <c r="BB707" s="19" t="s">
        <v>2397</v>
      </c>
      <c r="BC707" s="19" t="s">
        <v>13867</v>
      </c>
      <c r="BD707" s="19" t="s">
        <v>13868</v>
      </c>
      <c r="BE707" s="19" t="s">
        <v>13862</v>
      </c>
      <c r="BF707" s="19">
        <v>1.1962403159E10</v>
      </c>
      <c r="BG707" s="19" t="s">
        <v>2127</v>
      </c>
      <c r="BH707" s="19" t="s">
        <v>2128</v>
      </c>
      <c r="BI707" s="19"/>
      <c r="BJ707" s="19"/>
      <c r="BK707" s="19" t="s">
        <v>16</v>
      </c>
      <c r="BL707" s="19"/>
      <c r="BM707" s="19" t="s">
        <v>5411</v>
      </c>
      <c r="BN707" s="19" t="s">
        <v>2172</v>
      </c>
      <c r="BO707" s="19" t="s">
        <v>2132</v>
      </c>
      <c r="BP707" s="19" t="s">
        <v>13869</v>
      </c>
      <c r="BQ707" s="19" t="s">
        <v>2174</v>
      </c>
      <c r="BR707" s="19" t="s">
        <v>2174</v>
      </c>
      <c r="BS707" s="19" t="s">
        <v>2134</v>
      </c>
      <c r="BT707" s="19" t="s">
        <v>34</v>
      </c>
      <c r="BU707" s="19"/>
      <c r="BV707" s="19"/>
      <c r="BW707" s="19" t="s">
        <v>2113</v>
      </c>
      <c r="BX707" s="19"/>
      <c r="BY707" s="19"/>
      <c r="BZ707" s="19"/>
      <c r="CA707" s="19"/>
      <c r="CB707" s="19" t="s">
        <v>2113</v>
      </c>
      <c r="CC707" s="19"/>
      <c r="CD707" s="19" t="s">
        <v>2137</v>
      </c>
      <c r="CE707" s="19" t="s">
        <v>16</v>
      </c>
      <c r="CF707" s="19"/>
      <c r="CG707" s="19"/>
      <c r="CH707" s="19" t="s">
        <v>16</v>
      </c>
      <c r="CI707" s="21">
        <v>0.0</v>
      </c>
      <c r="CJ707" s="19" t="s">
        <v>16</v>
      </c>
      <c r="CK707" s="19"/>
      <c r="CL707" s="19"/>
      <c r="CM707" s="19" t="s">
        <v>2138</v>
      </c>
      <c r="CN707" s="19" t="s">
        <v>2266</v>
      </c>
      <c r="CO707" s="19"/>
      <c r="CP707" s="19"/>
      <c r="CQ707" s="19"/>
      <c r="CR707" s="19" t="s">
        <v>2113</v>
      </c>
      <c r="CS707" s="19" t="s">
        <v>2113</v>
      </c>
      <c r="CT707" s="19"/>
      <c r="CU707" s="19"/>
      <c r="CV707" s="19" t="s">
        <v>2141</v>
      </c>
      <c r="CW707" s="19" t="s">
        <v>2113</v>
      </c>
      <c r="CX707" s="19" t="s">
        <v>2113</v>
      </c>
      <c r="CY707" s="19" t="s">
        <v>2113</v>
      </c>
      <c r="CZ707" s="19" t="s">
        <v>2113</v>
      </c>
      <c r="DA707" s="19" t="s">
        <v>16</v>
      </c>
      <c r="DB707" s="19" t="s">
        <v>16</v>
      </c>
      <c r="DC707" s="19" t="s">
        <v>5450</v>
      </c>
      <c r="DD707" s="19" t="s">
        <v>2113</v>
      </c>
      <c r="DE707" s="19" t="s">
        <v>2113</v>
      </c>
      <c r="DF707" s="19" t="s">
        <v>2269</v>
      </c>
      <c r="DG707" s="19" t="s">
        <v>2364</v>
      </c>
      <c r="DH707" s="19" t="s">
        <v>2144</v>
      </c>
      <c r="DI707" s="24">
        <v>45518.0</v>
      </c>
      <c r="DJ707" s="19" t="s">
        <v>2174</v>
      </c>
      <c r="DK707" s="19" t="s">
        <v>2271</v>
      </c>
      <c r="DL707" s="19" t="s">
        <v>2183</v>
      </c>
      <c r="DM707" s="19" t="s">
        <v>2346</v>
      </c>
      <c r="DN707" s="19">
        <v>4.0</v>
      </c>
      <c r="DO707" s="19">
        <v>4.0</v>
      </c>
      <c r="DP707" s="19" t="s">
        <v>13870</v>
      </c>
      <c r="DQ707" s="19" t="s">
        <v>13871</v>
      </c>
      <c r="DR707" s="19" t="s">
        <v>13872</v>
      </c>
      <c r="DS707" s="19" t="s">
        <v>2365</v>
      </c>
      <c r="DT707" s="19" t="s">
        <v>2152</v>
      </c>
      <c r="DU707" s="19"/>
      <c r="DV707" s="19"/>
      <c r="DW707" s="19" t="s">
        <v>2188</v>
      </c>
      <c r="DX707" s="19">
        <v>10.0</v>
      </c>
      <c r="DY707" s="19">
        <v>10.0</v>
      </c>
      <c r="DZ707" s="19">
        <v>0.0</v>
      </c>
      <c r="EA707" s="19">
        <v>10.0</v>
      </c>
      <c r="EB707" s="19">
        <v>0.0</v>
      </c>
      <c r="EC707" s="19">
        <v>0.0</v>
      </c>
      <c r="ED707" s="19" t="s">
        <v>2174</v>
      </c>
      <c r="EE707" s="24">
        <v>45518.0</v>
      </c>
      <c r="EF707" s="19" t="s">
        <v>2174</v>
      </c>
      <c r="EG707" s="19" t="s">
        <v>2271</v>
      </c>
      <c r="EH707" s="19" t="s">
        <v>2183</v>
      </c>
      <c r="EI707" s="22">
        <v>12.356249999999998</v>
      </c>
      <c r="EJ707" s="19">
        <v>0.0</v>
      </c>
      <c r="EK707" s="19"/>
      <c r="EL707" s="19" t="s">
        <v>2282</v>
      </c>
      <c r="EM707" s="19" t="s">
        <v>12609</v>
      </c>
      <c r="EN707" s="19" t="s">
        <v>13861</v>
      </c>
      <c r="EO707" s="19" t="s">
        <v>2258</v>
      </c>
      <c r="EP707" s="19" t="s">
        <v>2122</v>
      </c>
      <c r="EQ707" s="19" t="s">
        <v>2266</v>
      </c>
      <c r="ER707" s="19"/>
      <c r="ES707" s="19" t="s">
        <v>13861</v>
      </c>
      <c r="ET707" s="19" t="s">
        <v>13861</v>
      </c>
      <c r="EU707" s="19" t="s">
        <v>13863</v>
      </c>
      <c r="EV707" s="19">
        <v>6768.0</v>
      </c>
      <c r="EW707" s="19" t="s">
        <v>16</v>
      </c>
      <c r="EX707" s="19">
        <v>5.0</v>
      </c>
      <c r="EY707" s="25" t="s">
        <v>13864</v>
      </c>
      <c r="EZ707" s="19" t="s">
        <v>2154</v>
      </c>
      <c r="FA707" s="5" t="s">
        <v>13873</v>
      </c>
      <c r="FB707" s="26" t="s">
        <v>2633</v>
      </c>
      <c r="FC707" s="26" t="s">
        <v>10773</v>
      </c>
    </row>
    <row r="708" hidden="1">
      <c r="A708" s="19" t="s">
        <v>2156</v>
      </c>
      <c r="B708" s="19"/>
      <c r="C708" s="19" t="s">
        <v>2113</v>
      </c>
      <c r="D708" s="19" t="s">
        <v>13874</v>
      </c>
      <c r="E708" s="19" t="s">
        <v>13874</v>
      </c>
      <c r="F708" s="19" t="s">
        <v>13875</v>
      </c>
      <c r="G708" s="19" t="s">
        <v>13875</v>
      </c>
      <c r="H708" s="19" t="s">
        <v>13875</v>
      </c>
      <c r="I708" s="19" t="s">
        <v>13876</v>
      </c>
      <c r="J708" s="19" t="s">
        <v>13877</v>
      </c>
      <c r="K708" s="19" t="s">
        <v>13878</v>
      </c>
      <c r="L708" s="20">
        <v>45446.0</v>
      </c>
      <c r="M708" s="20">
        <v>45446.0</v>
      </c>
      <c r="N708" s="20">
        <v>45446.0</v>
      </c>
      <c r="O708" s="19" t="s">
        <v>13879</v>
      </c>
      <c r="P708" s="19">
        <v>0.0</v>
      </c>
      <c r="Q708" s="19">
        <v>22.0</v>
      </c>
      <c r="R708" s="19">
        <v>8051.0</v>
      </c>
      <c r="S708" s="20" t="s">
        <v>13880</v>
      </c>
      <c r="T708" s="20">
        <v>45461.0</v>
      </c>
      <c r="U708" s="19" t="s">
        <v>13875</v>
      </c>
      <c r="V708" s="19"/>
      <c r="W708" s="19"/>
      <c r="X708" s="21">
        <v>0.0</v>
      </c>
      <c r="Y708" s="21">
        <v>10.0</v>
      </c>
      <c r="Z708" s="21">
        <v>3.0</v>
      </c>
      <c r="AA708" s="21">
        <v>0.0</v>
      </c>
      <c r="AB708" s="5">
        <v>13.0</v>
      </c>
      <c r="AC708" s="19">
        <v>5.0</v>
      </c>
      <c r="AD708" s="19">
        <v>5.0</v>
      </c>
      <c r="AE708" s="19">
        <v>5.0</v>
      </c>
      <c r="AF708" s="19">
        <v>5.0</v>
      </c>
      <c r="AG708" s="19">
        <v>4.0</v>
      </c>
      <c r="AH708" s="19">
        <v>4.0</v>
      </c>
      <c r="AI708" s="22">
        <v>14.25</v>
      </c>
      <c r="AJ708" s="19"/>
      <c r="AK708" s="19"/>
      <c r="AL708" s="19"/>
      <c r="AM708" s="19">
        <v>0.0</v>
      </c>
      <c r="AN708" s="19">
        <v>14.3</v>
      </c>
      <c r="AO708" s="19">
        <v>27.3</v>
      </c>
      <c r="AP708" s="19">
        <v>738.0</v>
      </c>
      <c r="AQ708" s="19">
        <v>707.0</v>
      </c>
      <c r="AR708" s="19">
        <v>48.0</v>
      </c>
      <c r="AS708" s="22"/>
      <c r="AT708" s="19" t="s">
        <v>2117</v>
      </c>
      <c r="AU708" s="19" t="s">
        <v>7423</v>
      </c>
      <c r="AV708" s="19" t="s">
        <v>7424</v>
      </c>
      <c r="AW708" s="19" t="s">
        <v>13881</v>
      </c>
      <c r="AX708" s="20">
        <v>37410.0</v>
      </c>
      <c r="AY708" s="19" t="s">
        <v>3905</v>
      </c>
      <c r="AZ708" s="19" t="s">
        <v>2122</v>
      </c>
      <c r="BA708" s="19" t="s">
        <v>7426</v>
      </c>
      <c r="BB708" s="19" t="s">
        <v>13882</v>
      </c>
      <c r="BC708" s="19" t="s">
        <v>13883</v>
      </c>
      <c r="BD708" s="19" t="s">
        <v>13884</v>
      </c>
      <c r="BE708" s="19" t="s">
        <v>13877</v>
      </c>
      <c r="BF708" s="19">
        <v>1.1911353885E10</v>
      </c>
      <c r="BG708" s="19" t="s">
        <v>2127</v>
      </c>
      <c r="BH708" s="19" t="s">
        <v>4080</v>
      </c>
      <c r="BI708" s="19"/>
      <c r="BJ708" s="19"/>
      <c r="BK708" s="19" t="s">
        <v>16</v>
      </c>
      <c r="BL708" s="19" t="s">
        <v>2113</v>
      </c>
      <c r="BM708" s="19" t="s">
        <v>5411</v>
      </c>
      <c r="BN708" s="19" t="s">
        <v>17</v>
      </c>
      <c r="BO708" s="19" t="s">
        <v>2473</v>
      </c>
      <c r="BP708" s="19" t="s">
        <v>13885</v>
      </c>
      <c r="BQ708" s="19" t="s">
        <v>2133</v>
      </c>
      <c r="BR708" s="19" t="s">
        <v>2133</v>
      </c>
      <c r="BS708" s="19" t="s">
        <v>2134</v>
      </c>
      <c r="BT708" s="19" t="s">
        <v>222</v>
      </c>
      <c r="BU708" s="19" t="s">
        <v>9605</v>
      </c>
      <c r="BV708" s="19"/>
      <c r="BW708" s="19"/>
      <c r="BX708" s="19"/>
      <c r="BY708" s="19" t="s">
        <v>2113</v>
      </c>
      <c r="BZ708" s="19"/>
      <c r="CA708" s="19"/>
      <c r="CB708" s="19" t="s">
        <v>2113</v>
      </c>
      <c r="CC708" s="19" t="s">
        <v>2113</v>
      </c>
      <c r="CD708" s="19" t="s">
        <v>2137</v>
      </c>
      <c r="CE708" s="19" t="s">
        <v>16</v>
      </c>
      <c r="CF708" s="19"/>
      <c r="CG708" s="19"/>
      <c r="CH708" s="19" t="s">
        <v>16</v>
      </c>
      <c r="CI708" s="21">
        <v>0.0</v>
      </c>
      <c r="CJ708" s="19" t="s">
        <v>17</v>
      </c>
      <c r="CK708" s="19"/>
      <c r="CL708" s="19"/>
      <c r="CM708" s="19" t="s">
        <v>2138</v>
      </c>
      <c r="CN708" s="19" t="s">
        <v>3544</v>
      </c>
      <c r="CO708" s="19"/>
      <c r="CP708" s="19"/>
      <c r="CQ708" s="19"/>
      <c r="CR708" s="19"/>
      <c r="CS708" s="19"/>
      <c r="CT708" s="19" t="s">
        <v>2113</v>
      </c>
      <c r="CU708" s="19" t="s">
        <v>2113</v>
      </c>
      <c r="CV708" s="19" t="s">
        <v>2141</v>
      </c>
      <c r="CW708" s="19"/>
      <c r="CX708" s="19"/>
      <c r="CY708" s="19"/>
      <c r="CZ708" s="19"/>
      <c r="DA708" s="19" t="s">
        <v>16</v>
      </c>
      <c r="DB708" s="19" t="s">
        <v>17</v>
      </c>
      <c r="DC708" s="19" t="s">
        <v>2142</v>
      </c>
      <c r="DD708" s="19" t="s">
        <v>2113</v>
      </c>
      <c r="DE708" s="19" t="s">
        <v>2113</v>
      </c>
      <c r="DF708" s="19" t="s">
        <v>2602</v>
      </c>
      <c r="DG708" s="19" t="s">
        <v>2578</v>
      </c>
      <c r="DH708" s="19" t="s">
        <v>2144</v>
      </c>
      <c r="DI708" s="24">
        <v>45519.0</v>
      </c>
      <c r="DJ708" s="19" t="s">
        <v>2133</v>
      </c>
      <c r="DK708" s="19" t="s">
        <v>2145</v>
      </c>
      <c r="DL708" s="19" t="s">
        <v>2146</v>
      </c>
      <c r="DM708" s="19"/>
      <c r="DN708" s="19">
        <v>5.0</v>
      </c>
      <c r="DO708" s="19">
        <v>5.0</v>
      </c>
      <c r="DP708" s="19" t="s">
        <v>13886</v>
      </c>
      <c r="DQ708" s="19" t="s">
        <v>13887</v>
      </c>
      <c r="DR708" s="19" t="s">
        <v>13888</v>
      </c>
      <c r="DS708" s="19" t="s">
        <v>2185</v>
      </c>
      <c r="DT708" s="19" t="s">
        <v>2350</v>
      </c>
      <c r="DU708" s="19"/>
      <c r="DV708" s="19"/>
      <c r="DW708" s="19" t="s">
        <v>2188</v>
      </c>
      <c r="DX708" s="19">
        <v>5.0</v>
      </c>
      <c r="DY708" s="19">
        <v>10.0</v>
      </c>
      <c r="DZ708" s="19">
        <v>0.0</v>
      </c>
      <c r="EA708" s="19">
        <v>10.0</v>
      </c>
      <c r="EB708" s="19">
        <v>0.0</v>
      </c>
      <c r="EC708" s="19">
        <v>0.0</v>
      </c>
      <c r="ED708" s="19" t="s">
        <v>2133</v>
      </c>
      <c r="EE708" s="24">
        <v>45519.0</v>
      </c>
      <c r="EF708" s="19" t="s">
        <v>2133</v>
      </c>
      <c r="EG708" s="19" t="s">
        <v>2145</v>
      </c>
      <c r="EH708" s="19" t="s">
        <v>2146</v>
      </c>
      <c r="EI708" s="22">
        <v>14.25</v>
      </c>
      <c r="EJ708" s="19">
        <v>0.0</v>
      </c>
      <c r="EK708" s="19" t="s">
        <v>2113</v>
      </c>
      <c r="EL708" s="19" t="s">
        <v>2117</v>
      </c>
      <c r="EM708" s="19" t="s">
        <v>7423</v>
      </c>
      <c r="EN708" s="19" t="s">
        <v>13876</v>
      </c>
      <c r="EO708" s="19" t="s">
        <v>3905</v>
      </c>
      <c r="EP708" s="19" t="s">
        <v>2122</v>
      </c>
      <c r="EQ708" s="19" t="s">
        <v>3544</v>
      </c>
      <c r="ER708" s="19"/>
      <c r="ES708" s="19" t="s">
        <v>13876</v>
      </c>
      <c r="ET708" s="19" t="s">
        <v>13876</v>
      </c>
      <c r="EU708" s="19" t="s">
        <v>13878</v>
      </c>
      <c r="EV708" s="19">
        <v>8051.0</v>
      </c>
      <c r="EW708" s="19" t="s">
        <v>16</v>
      </c>
      <c r="EX708" s="19">
        <v>3.0</v>
      </c>
      <c r="EY708" s="25" t="s">
        <v>13879</v>
      </c>
      <c r="EZ708" s="19" t="s">
        <v>2154</v>
      </c>
      <c r="FA708" s="5" t="s">
        <v>13889</v>
      </c>
      <c r="FB708" s="26" t="s">
        <v>2633</v>
      </c>
      <c r="FC708" s="26" t="s">
        <v>11913</v>
      </c>
    </row>
    <row r="709" hidden="1">
      <c r="A709" s="19" t="s">
        <v>2112</v>
      </c>
      <c r="B709" s="19"/>
      <c r="C709" s="19" t="s">
        <v>2113</v>
      </c>
      <c r="D709" s="19" t="s">
        <v>13890</v>
      </c>
      <c r="E709" s="19" t="s">
        <v>13891</v>
      </c>
      <c r="F709" s="19" t="s">
        <v>13892</v>
      </c>
      <c r="G709" s="19" t="s">
        <v>13893</v>
      </c>
      <c r="H709" s="19" t="s">
        <v>13894</v>
      </c>
      <c r="I709" s="19" t="s">
        <v>13895</v>
      </c>
      <c r="J709" s="19" t="s">
        <v>13896</v>
      </c>
      <c r="K709" s="19" t="s">
        <v>13897</v>
      </c>
      <c r="L709" s="20">
        <v>45424.0</v>
      </c>
      <c r="M709" s="20">
        <v>45428.0</v>
      </c>
      <c r="N709" s="20">
        <v>45428.0</v>
      </c>
      <c r="O709" s="19" t="s">
        <v>13898</v>
      </c>
      <c r="P709" s="19">
        <v>0.0</v>
      </c>
      <c r="Q709" s="19">
        <v>18.0</v>
      </c>
      <c r="R709" s="19">
        <v>6637.0</v>
      </c>
      <c r="S709" s="20" t="s">
        <v>9369</v>
      </c>
      <c r="T709" s="20">
        <v>45461.0</v>
      </c>
      <c r="U709" s="19" t="s">
        <v>13892</v>
      </c>
      <c r="V709" s="19"/>
      <c r="W709" s="19" t="s">
        <v>2112</v>
      </c>
      <c r="X709" s="21">
        <v>0.0</v>
      </c>
      <c r="Y709" s="21">
        <v>10.0</v>
      </c>
      <c r="Z709" s="21">
        <v>3.0</v>
      </c>
      <c r="AA709" s="21">
        <v>0.0</v>
      </c>
      <c r="AB709" s="5">
        <v>13.0</v>
      </c>
      <c r="AC709" s="19">
        <v>5.0</v>
      </c>
      <c r="AD709" s="19">
        <v>5.0</v>
      </c>
      <c r="AE709" s="19">
        <v>5.0</v>
      </c>
      <c r="AF709" s="19">
        <v>4.0</v>
      </c>
      <c r="AG709" s="19">
        <v>5.0</v>
      </c>
      <c r="AH709" s="19">
        <v>4.0</v>
      </c>
      <c r="AI709" s="22">
        <v>14.25</v>
      </c>
      <c r="AJ709" s="19">
        <v>0.0</v>
      </c>
      <c r="AK709" s="19">
        <v>0.0</v>
      </c>
      <c r="AL709" s="19">
        <v>0.0</v>
      </c>
      <c r="AM709" s="19">
        <v>0.0</v>
      </c>
      <c r="AN709" s="19">
        <v>14.3</v>
      </c>
      <c r="AO709" s="19">
        <v>27.3</v>
      </c>
      <c r="AP709" s="19">
        <v>822.0</v>
      </c>
      <c r="AQ709" s="19">
        <v>708.0</v>
      </c>
      <c r="AR709" s="19">
        <v>71.0</v>
      </c>
      <c r="AS709" s="22"/>
      <c r="AT709" s="19" t="s">
        <v>2282</v>
      </c>
      <c r="AU709" s="19" t="s">
        <v>13899</v>
      </c>
      <c r="AV709" s="19" t="s">
        <v>13900</v>
      </c>
      <c r="AW709" s="19" t="s">
        <v>2166</v>
      </c>
      <c r="AX709" s="20">
        <v>38824.0</v>
      </c>
      <c r="AY709" s="19" t="s">
        <v>6385</v>
      </c>
      <c r="AZ709" s="19" t="s">
        <v>2122</v>
      </c>
      <c r="BA709" s="19" t="s">
        <v>13901</v>
      </c>
      <c r="BB709" s="19" t="s">
        <v>6132</v>
      </c>
      <c r="BC709" s="19" t="s">
        <v>13902</v>
      </c>
      <c r="BD709" s="19" t="s">
        <v>13903</v>
      </c>
      <c r="BE709" s="19" t="s">
        <v>13904</v>
      </c>
      <c r="BF709" s="19">
        <v>1.193260568E10</v>
      </c>
      <c r="BG709" s="19" t="s">
        <v>2127</v>
      </c>
      <c r="BH709" s="19" t="s">
        <v>2128</v>
      </c>
      <c r="BI709" s="19"/>
      <c r="BJ709" s="19" t="s">
        <v>2128</v>
      </c>
      <c r="BK709" s="19" t="s">
        <v>17</v>
      </c>
      <c r="BL709" s="19" t="s">
        <v>2113</v>
      </c>
      <c r="BM709" s="19" t="s">
        <v>5563</v>
      </c>
      <c r="BN709" s="19" t="s">
        <v>17</v>
      </c>
      <c r="BO709" s="19" t="s">
        <v>2473</v>
      </c>
      <c r="BP709" s="19" t="s">
        <v>13905</v>
      </c>
      <c r="BQ709" s="19" t="s">
        <v>2133</v>
      </c>
      <c r="BR709" s="19" t="s">
        <v>2133</v>
      </c>
      <c r="BS709" s="19" t="s">
        <v>2243</v>
      </c>
      <c r="BT709" s="19" t="s">
        <v>52</v>
      </c>
      <c r="BU709" s="19" t="s">
        <v>13906</v>
      </c>
      <c r="BV709" s="19"/>
      <c r="BW709" s="19"/>
      <c r="BX709" s="19" t="s">
        <v>2113</v>
      </c>
      <c r="BY709" s="19" t="s">
        <v>2113</v>
      </c>
      <c r="BZ709" s="19" t="s">
        <v>2113</v>
      </c>
      <c r="CA709" s="19"/>
      <c r="CB709" s="19" t="s">
        <v>2113</v>
      </c>
      <c r="CC709" s="19"/>
      <c r="CD709" s="19" t="s">
        <v>2137</v>
      </c>
      <c r="CE709" s="19" t="s">
        <v>16</v>
      </c>
      <c r="CF709" s="19"/>
      <c r="CG709" s="19"/>
      <c r="CH709" s="19" t="s">
        <v>16</v>
      </c>
      <c r="CI709" s="21">
        <v>0.0</v>
      </c>
      <c r="CJ709" s="19" t="s">
        <v>16</v>
      </c>
      <c r="CK709" s="19"/>
      <c r="CL709" s="19"/>
      <c r="CM709" s="19" t="s">
        <v>2926</v>
      </c>
      <c r="CN709" s="19" t="s">
        <v>6390</v>
      </c>
      <c r="CO709" s="19"/>
      <c r="CP709" s="19" t="s">
        <v>2267</v>
      </c>
      <c r="CQ709" s="19"/>
      <c r="CR709" s="19"/>
      <c r="CS709" s="19"/>
      <c r="CT709" s="19" t="s">
        <v>2113</v>
      </c>
      <c r="CU709" s="19" t="s">
        <v>2113</v>
      </c>
      <c r="CV709" s="19" t="s">
        <v>2141</v>
      </c>
      <c r="CW709" s="19" t="s">
        <v>2113</v>
      </c>
      <c r="CX709" s="19" t="s">
        <v>2113</v>
      </c>
      <c r="CY709" s="19" t="s">
        <v>2113</v>
      </c>
      <c r="CZ709" s="19" t="s">
        <v>2113</v>
      </c>
      <c r="DA709" s="19" t="s">
        <v>16</v>
      </c>
      <c r="DB709" s="19" t="s">
        <v>16</v>
      </c>
      <c r="DC709" s="19" t="s">
        <v>2146</v>
      </c>
      <c r="DD709" s="19" t="s">
        <v>2113</v>
      </c>
      <c r="DE709" s="19" t="s">
        <v>2113</v>
      </c>
      <c r="DF709" s="19" t="s">
        <v>4540</v>
      </c>
      <c r="DG709" s="19" t="s">
        <v>2297</v>
      </c>
      <c r="DH709" s="19" t="s">
        <v>2144</v>
      </c>
      <c r="DI709" s="24">
        <v>45532.0</v>
      </c>
      <c r="DJ709" s="19" t="s">
        <v>2133</v>
      </c>
      <c r="DK709" s="19" t="s">
        <v>2271</v>
      </c>
      <c r="DL709" s="19" t="s">
        <v>2146</v>
      </c>
      <c r="DM709" s="19" t="s">
        <v>3526</v>
      </c>
      <c r="DN709" s="19">
        <v>16.0</v>
      </c>
      <c r="DO709" s="19">
        <v>16.0</v>
      </c>
      <c r="DP709" s="19" t="s">
        <v>13907</v>
      </c>
      <c r="DQ709" s="19" t="s">
        <v>13908</v>
      </c>
      <c r="DR709" s="19" t="s">
        <v>13909</v>
      </c>
      <c r="DS709" s="19" t="s">
        <v>2151</v>
      </c>
      <c r="DT709" s="19" t="s">
        <v>2209</v>
      </c>
      <c r="DU709" s="19"/>
      <c r="DV709" s="19"/>
      <c r="DW709" s="19" t="s">
        <v>2153</v>
      </c>
      <c r="DX709" s="19">
        <v>12.0</v>
      </c>
      <c r="DY709" s="19">
        <v>10.0</v>
      </c>
      <c r="DZ709" s="19">
        <v>0.0</v>
      </c>
      <c r="EA709" s="19">
        <v>10.0</v>
      </c>
      <c r="EB709" s="19">
        <v>0.0</v>
      </c>
      <c r="EC709" s="19">
        <v>0.0</v>
      </c>
      <c r="ED709" s="19" t="s">
        <v>2133</v>
      </c>
      <c r="EE709" s="24">
        <v>45532.0</v>
      </c>
      <c r="EF709" s="19" t="s">
        <v>2133</v>
      </c>
      <c r="EG709" s="19" t="s">
        <v>2271</v>
      </c>
      <c r="EH709" s="19" t="s">
        <v>2146</v>
      </c>
      <c r="EI709" s="22">
        <v>14.25</v>
      </c>
      <c r="EJ709" s="19">
        <v>0.0</v>
      </c>
      <c r="EK709" s="19"/>
      <c r="EL709" s="19" t="s">
        <v>2282</v>
      </c>
      <c r="EM709" s="19" t="s">
        <v>13899</v>
      </c>
      <c r="EN709" s="19" t="s">
        <v>13895</v>
      </c>
      <c r="EO709" s="19" t="s">
        <v>6385</v>
      </c>
      <c r="EP709" s="19" t="s">
        <v>2122</v>
      </c>
      <c r="EQ709" s="19" t="s">
        <v>6390</v>
      </c>
      <c r="ER709" s="19"/>
      <c r="ES709" s="19" t="s">
        <v>13895</v>
      </c>
      <c r="ET709" s="19" t="s">
        <v>13895</v>
      </c>
      <c r="EU709" s="19" t="s">
        <v>13897</v>
      </c>
      <c r="EV709" s="19">
        <v>6637.0</v>
      </c>
      <c r="EW709" s="19" t="s">
        <v>16</v>
      </c>
      <c r="EX709" s="19">
        <v>3.0</v>
      </c>
      <c r="EY709" s="25" t="s">
        <v>13898</v>
      </c>
      <c r="EZ709" s="19" t="s">
        <v>2154</v>
      </c>
      <c r="FA709" s="5" t="s">
        <v>13910</v>
      </c>
      <c r="FB709" s="26" t="s">
        <v>2633</v>
      </c>
      <c r="FC709" s="26" t="s">
        <v>10773</v>
      </c>
    </row>
    <row r="710" hidden="1">
      <c r="A710" s="19" t="s">
        <v>2112</v>
      </c>
      <c r="B710" s="19"/>
      <c r="C710" s="19" t="s">
        <v>2113</v>
      </c>
      <c r="D710" s="19" t="s">
        <v>13911</v>
      </c>
      <c r="E710" s="19" t="s">
        <v>13912</v>
      </c>
      <c r="F710" s="19" t="s">
        <v>9099</v>
      </c>
      <c r="G710" s="19" t="s">
        <v>9095</v>
      </c>
      <c r="H710" s="19" t="s">
        <v>13911</v>
      </c>
      <c r="I710" s="19" t="s">
        <v>13913</v>
      </c>
      <c r="J710" s="19" t="s">
        <v>13914</v>
      </c>
      <c r="K710" s="19" t="s">
        <v>13915</v>
      </c>
      <c r="L710" s="20">
        <v>45428.0</v>
      </c>
      <c r="M710" s="20">
        <v>45429.0</v>
      </c>
      <c r="N710" s="20">
        <v>45429.0</v>
      </c>
      <c r="O710" s="19" t="s">
        <v>13916</v>
      </c>
      <c r="P710" s="19">
        <v>0.0</v>
      </c>
      <c r="Q710" s="19">
        <v>24.0</v>
      </c>
      <c r="R710" s="19">
        <v>8840.0</v>
      </c>
      <c r="S710" s="20" t="s">
        <v>13917</v>
      </c>
      <c r="T710" s="20">
        <v>45461.0</v>
      </c>
      <c r="U710" s="19" t="s">
        <v>9099</v>
      </c>
      <c r="V710" s="19"/>
      <c r="W710" s="19"/>
      <c r="X710" s="21">
        <v>0.0</v>
      </c>
      <c r="Y710" s="21">
        <v>10.0</v>
      </c>
      <c r="Z710" s="21">
        <v>5.0</v>
      </c>
      <c r="AA710" s="21">
        <v>0.0</v>
      </c>
      <c r="AB710" s="5">
        <v>15.0</v>
      </c>
      <c r="AC710" s="19">
        <v>4.0</v>
      </c>
      <c r="AD710" s="19">
        <v>3.8</v>
      </c>
      <c r="AE710" s="19">
        <v>4.2</v>
      </c>
      <c r="AF710" s="19">
        <v>4.4</v>
      </c>
      <c r="AG710" s="19">
        <v>3.6</v>
      </c>
      <c r="AH710" s="19">
        <v>4.4</v>
      </c>
      <c r="AI710" s="22">
        <v>12.16875</v>
      </c>
      <c r="AJ710" s="19"/>
      <c r="AK710" s="19"/>
      <c r="AL710" s="19"/>
      <c r="AM710" s="19">
        <v>0.0</v>
      </c>
      <c r="AN710" s="19">
        <v>12.2</v>
      </c>
      <c r="AO710" s="19">
        <v>27.2</v>
      </c>
      <c r="AP710" s="19">
        <v>437.0</v>
      </c>
      <c r="AQ710" s="19">
        <v>709.0</v>
      </c>
      <c r="AR710" s="19">
        <v>81.0</v>
      </c>
      <c r="AS710" s="22"/>
      <c r="AT710" s="19" t="s">
        <v>2282</v>
      </c>
      <c r="AU710" s="19" t="s">
        <v>3401</v>
      </c>
      <c r="AV710" s="19" t="s">
        <v>13918</v>
      </c>
      <c r="AW710" s="19" t="s">
        <v>2857</v>
      </c>
      <c r="AX710" s="20">
        <v>36621.0</v>
      </c>
      <c r="AY710" s="19" t="s">
        <v>2167</v>
      </c>
      <c r="AZ710" s="19" t="s">
        <v>2310</v>
      </c>
      <c r="BA710" s="19" t="s">
        <v>13919</v>
      </c>
      <c r="BB710" s="19" t="s">
        <v>8428</v>
      </c>
      <c r="BC710" s="19" t="s">
        <v>13920</v>
      </c>
      <c r="BD710" s="19" t="s">
        <v>13921</v>
      </c>
      <c r="BE710" s="19" t="s">
        <v>13922</v>
      </c>
      <c r="BF710" s="19">
        <v>1.194893518E10</v>
      </c>
      <c r="BG710" s="19" t="s">
        <v>2127</v>
      </c>
      <c r="BH710" s="19" t="s">
        <v>2128</v>
      </c>
      <c r="BI710" s="19"/>
      <c r="BJ710" s="19"/>
      <c r="BK710" s="19" t="s">
        <v>16</v>
      </c>
      <c r="BL710" s="19"/>
      <c r="BM710" s="19" t="s">
        <v>5563</v>
      </c>
      <c r="BN710" s="19" t="s">
        <v>17</v>
      </c>
      <c r="BO710" s="19" t="s">
        <v>2132</v>
      </c>
      <c r="BP710" s="19" t="s">
        <v>13923</v>
      </c>
      <c r="BQ710" s="19" t="s">
        <v>2174</v>
      </c>
      <c r="BR710" s="19" t="s">
        <v>2174</v>
      </c>
      <c r="BS710" s="19" t="s">
        <v>2134</v>
      </c>
      <c r="BT710" s="19" t="s">
        <v>21</v>
      </c>
      <c r="BU710" s="19" t="s">
        <v>6136</v>
      </c>
      <c r="BV710" s="19"/>
      <c r="BW710" s="19" t="s">
        <v>2113</v>
      </c>
      <c r="BX710" s="19"/>
      <c r="BY710" s="19"/>
      <c r="BZ710" s="19"/>
      <c r="CA710" s="19"/>
      <c r="CB710" s="19" t="s">
        <v>2113</v>
      </c>
      <c r="CC710" s="19"/>
      <c r="CD710" s="19" t="s">
        <v>2137</v>
      </c>
      <c r="CE710" s="19" t="s">
        <v>16</v>
      </c>
      <c r="CF710" s="19"/>
      <c r="CG710" s="19"/>
      <c r="CH710" s="19" t="s">
        <v>16</v>
      </c>
      <c r="CI710" s="21">
        <v>0.0</v>
      </c>
      <c r="CJ710" s="19" t="s">
        <v>16</v>
      </c>
      <c r="CK710" s="19"/>
      <c r="CL710" s="19"/>
      <c r="CM710" s="19" t="s">
        <v>2344</v>
      </c>
      <c r="CN710" s="19" t="s">
        <v>2176</v>
      </c>
      <c r="CO710" s="19"/>
      <c r="CP710" s="19"/>
      <c r="CQ710" s="19"/>
      <c r="CR710" s="19" t="s">
        <v>2113</v>
      </c>
      <c r="CS710" s="19" t="s">
        <v>2113</v>
      </c>
      <c r="CT710" s="19" t="s">
        <v>2113</v>
      </c>
      <c r="CU710" s="19" t="s">
        <v>2113</v>
      </c>
      <c r="CV710" s="19" t="s">
        <v>2141</v>
      </c>
      <c r="CW710" s="19"/>
      <c r="CX710" s="19"/>
      <c r="CY710" s="19" t="s">
        <v>2113</v>
      </c>
      <c r="CZ710" s="19" t="s">
        <v>2113</v>
      </c>
      <c r="DA710" s="19" t="s">
        <v>16</v>
      </c>
      <c r="DB710" s="19" t="s">
        <v>16</v>
      </c>
      <c r="DC710" s="19" t="s">
        <v>2180</v>
      </c>
      <c r="DD710" s="19"/>
      <c r="DE710" s="19"/>
      <c r="DF710" s="19" t="s">
        <v>7359</v>
      </c>
      <c r="DG710" s="19" t="s">
        <v>7081</v>
      </c>
      <c r="DH710" s="19" t="s">
        <v>2144</v>
      </c>
      <c r="DI710" s="24">
        <v>45518.0</v>
      </c>
      <c r="DJ710" s="19" t="s">
        <v>2174</v>
      </c>
      <c r="DK710" s="19" t="s">
        <v>2145</v>
      </c>
      <c r="DL710" s="19" t="s">
        <v>2183</v>
      </c>
      <c r="DM710" s="19" t="s">
        <v>2228</v>
      </c>
      <c r="DN710" s="19">
        <v>3.0</v>
      </c>
      <c r="DO710" s="19">
        <v>3.0</v>
      </c>
      <c r="DP710" s="19" t="s">
        <v>13924</v>
      </c>
      <c r="DQ710" s="19" t="s">
        <v>13925</v>
      </c>
      <c r="DR710" s="19" t="s">
        <v>13926</v>
      </c>
      <c r="DS710" s="19" t="s">
        <v>2151</v>
      </c>
      <c r="DT710" s="19" t="s">
        <v>2301</v>
      </c>
      <c r="DU710" s="19"/>
      <c r="DV710" s="19"/>
      <c r="DW710" s="19" t="s">
        <v>2153</v>
      </c>
      <c r="DX710" s="19">
        <v>13.0</v>
      </c>
      <c r="DY710" s="19">
        <v>10.0</v>
      </c>
      <c r="DZ710" s="19">
        <v>0.0</v>
      </c>
      <c r="EA710" s="19">
        <v>10.0</v>
      </c>
      <c r="EB710" s="19">
        <v>0.0</v>
      </c>
      <c r="EC710" s="19">
        <v>0.0</v>
      </c>
      <c r="ED710" s="19" t="s">
        <v>2174</v>
      </c>
      <c r="EE710" s="24">
        <v>45518.0</v>
      </c>
      <c r="EF710" s="19" t="s">
        <v>2174</v>
      </c>
      <c r="EG710" s="19" t="s">
        <v>2145</v>
      </c>
      <c r="EH710" s="19" t="s">
        <v>2183</v>
      </c>
      <c r="EI710" s="22">
        <v>12.16875</v>
      </c>
      <c r="EJ710" s="19">
        <v>0.0</v>
      </c>
      <c r="EK710" s="19"/>
      <c r="EL710" s="19" t="s">
        <v>2282</v>
      </c>
      <c r="EM710" s="19" t="s">
        <v>3401</v>
      </c>
      <c r="EN710" s="19" t="s">
        <v>13913</v>
      </c>
      <c r="EO710" s="19" t="s">
        <v>2167</v>
      </c>
      <c r="EP710" s="19" t="s">
        <v>2310</v>
      </c>
      <c r="EQ710" s="19" t="s">
        <v>2176</v>
      </c>
      <c r="ER710" s="19"/>
      <c r="ES710" s="19" t="s">
        <v>13913</v>
      </c>
      <c r="ET710" s="19" t="s">
        <v>13913</v>
      </c>
      <c r="EU710" s="19" t="s">
        <v>13915</v>
      </c>
      <c r="EV710" s="19">
        <v>8840.0</v>
      </c>
      <c r="EW710" s="19" t="s">
        <v>16</v>
      </c>
      <c r="EX710" s="19">
        <v>5.0</v>
      </c>
      <c r="EY710" s="25" t="s">
        <v>13916</v>
      </c>
      <c r="EZ710" s="19" t="s">
        <v>2154</v>
      </c>
      <c r="FA710" s="5" t="s">
        <v>13927</v>
      </c>
      <c r="FB710" s="26" t="s">
        <v>2633</v>
      </c>
      <c r="FC710" s="26" t="s">
        <v>10773</v>
      </c>
    </row>
    <row r="711" hidden="1">
      <c r="A711" s="19" t="s">
        <v>2112</v>
      </c>
      <c r="B711" s="19"/>
      <c r="C711" s="19" t="s">
        <v>2113</v>
      </c>
      <c r="D711" s="19" t="s">
        <v>13928</v>
      </c>
      <c r="E711" s="19" t="s">
        <v>13929</v>
      </c>
      <c r="F711" s="19" t="s">
        <v>13928</v>
      </c>
      <c r="G711" s="19"/>
      <c r="H711" s="19" t="s">
        <v>13928</v>
      </c>
      <c r="I711" s="19" t="s">
        <v>1049</v>
      </c>
      <c r="J711" s="19" t="s">
        <v>13930</v>
      </c>
      <c r="K711" s="19" t="s">
        <v>13931</v>
      </c>
      <c r="L711" s="20">
        <v>45400.0</v>
      </c>
      <c r="M711" s="20">
        <v>45411.0</v>
      </c>
      <c r="N711" s="20">
        <v>45411.0</v>
      </c>
      <c r="O711" s="19" t="s">
        <v>13932</v>
      </c>
      <c r="P711" s="19">
        <v>0.0</v>
      </c>
      <c r="Q711" s="19">
        <v>22.0</v>
      </c>
      <c r="R711" s="19">
        <v>8184.0</v>
      </c>
      <c r="S711" s="20" t="s">
        <v>13933</v>
      </c>
      <c r="T711" s="20">
        <v>45461.0</v>
      </c>
      <c r="U711" s="19" t="s">
        <v>13928</v>
      </c>
      <c r="V711" s="19"/>
      <c r="W711" s="19"/>
      <c r="X711" s="21">
        <v>0.0</v>
      </c>
      <c r="Y711" s="21">
        <v>10.0</v>
      </c>
      <c r="Z711" s="21">
        <v>4.0</v>
      </c>
      <c r="AA711" s="21">
        <v>0.0</v>
      </c>
      <c r="AB711" s="5">
        <v>14.0</v>
      </c>
      <c r="AC711" s="19">
        <v>5.0</v>
      </c>
      <c r="AD711" s="19">
        <v>4.0</v>
      </c>
      <c r="AE711" s="19">
        <v>5.0</v>
      </c>
      <c r="AF711" s="19">
        <v>4.0</v>
      </c>
      <c r="AG711" s="19">
        <v>4.0</v>
      </c>
      <c r="AH711" s="19">
        <v>4.0</v>
      </c>
      <c r="AI711" s="22">
        <v>13.21875</v>
      </c>
      <c r="AJ711" s="19"/>
      <c r="AK711" s="19"/>
      <c r="AL711" s="19"/>
      <c r="AM711" s="19">
        <v>0.0</v>
      </c>
      <c r="AN711" s="19">
        <v>13.2</v>
      </c>
      <c r="AO711" s="19">
        <v>27.2</v>
      </c>
      <c r="AP711" s="19">
        <v>612.0</v>
      </c>
      <c r="AQ711" s="19">
        <v>710.0</v>
      </c>
      <c r="AR711" s="19">
        <v>72.0</v>
      </c>
      <c r="AS711" s="22"/>
      <c r="AT711" s="19" t="s">
        <v>2163</v>
      </c>
      <c r="AU711" s="19" t="s">
        <v>13934</v>
      </c>
      <c r="AV711" s="19" t="s">
        <v>13935</v>
      </c>
      <c r="AW711" s="19" t="s">
        <v>13936</v>
      </c>
      <c r="AX711" s="20">
        <v>37277.0</v>
      </c>
      <c r="AY711" s="19" t="s">
        <v>2619</v>
      </c>
      <c r="AZ711" s="19" t="s">
        <v>2310</v>
      </c>
      <c r="BA711" s="19" t="s">
        <v>13937</v>
      </c>
      <c r="BB711" s="19" t="s">
        <v>13938</v>
      </c>
      <c r="BC711" s="19" t="s">
        <v>13939</v>
      </c>
      <c r="BD711" s="19" t="s">
        <v>13940</v>
      </c>
      <c r="BE711" s="19" t="s">
        <v>13941</v>
      </c>
      <c r="BF711" s="19">
        <v>1.1978222025E10</v>
      </c>
      <c r="BG711" s="19" t="s">
        <v>2127</v>
      </c>
      <c r="BH711" s="19" t="s">
        <v>2128</v>
      </c>
      <c r="BI711" s="19"/>
      <c r="BJ711" s="19" t="s">
        <v>2128</v>
      </c>
      <c r="BK711" s="19" t="s">
        <v>16</v>
      </c>
      <c r="BL711" s="19"/>
      <c r="BM711" s="19" t="s">
        <v>5411</v>
      </c>
      <c r="BN711" s="19" t="s">
        <v>2172</v>
      </c>
      <c r="BO711" s="19" t="s">
        <v>2317</v>
      </c>
      <c r="BP711" s="19" t="s">
        <v>13942</v>
      </c>
      <c r="BQ711" s="19" t="s">
        <v>2133</v>
      </c>
      <c r="BR711" s="19" t="s">
        <v>2133</v>
      </c>
      <c r="BS711" s="19" t="s">
        <v>2243</v>
      </c>
      <c r="BT711" s="19" t="s">
        <v>52</v>
      </c>
      <c r="BU711" s="19" t="s">
        <v>2177</v>
      </c>
      <c r="BV711" s="19"/>
      <c r="BW711" s="19"/>
      <c r="BX711" s="19"/>
      <c r="BY711" s="19"/>
      <c r="BZ711" s="19"/>
      <c r="CA711" s="19"/>
      <c r="CB711" s="19" t="s">
        <v>2113</v>
      </c>
      <c r="CC711" s="19" t="s">
        <v>2113</v>
      </c>
      <c r="CD711" s="19" t="s">
        <v>2137</v>
      </c>
      <c r="CE711" s="19" t="s">
        <v>16</v>
      </c>
      <c r="CF711" s="19"/>
      <c r="CG711" s="19"/>
      <c r="CH711" s="19" t="s">
        <v>16</v>
      </c>
      <c r="CI711" s="21">
        <v>0.0</v>
      </c>
      <c r="CJ711" s="19" t="s">
        <v>17</v>
      </c>
      <c r="CK711" s="19"/>
      <c r="CL711" s="19"/>
      <c r="CM711" s="19" t="s">
        <v>2138</v>
      </c>
      <c r="CN711" s="19" t="s">
        <v>2626</v>
      </c>
      <c r="CO711" s="19"/>
      <c r="CP711" s="19" t="s">
        <v>2134</v>
      </c>
      <c r="CQ711" s="19"/>
      <c r="CR711" s="19"/>
      <c r="CS711" s="19"/>
      <c r="CT711" s="19"/>
      <c r="CU711" s="19"/>
      <c r="CV711" s="19" t="s">
        <v>2141</v>
      </c>
      <c r="CW711" s="19"/>
      <c r="CX711" s="19"/>
      <c r="CY711" s="19"/>
      <c r="CZ711" s="19"/>
      <c r="DA711" s="19" t="s">
        <v>16</v>
      </c>
      <c r="DB711" s="19" t="s">
        <v>17</v>
      </c>
      <c r="DC711" s="19" t="s">
        <v>2143</v>
      </c>
      <c r="DD711" s="19" t="s">
        <v>2113</v>
      </c>
      <c r="DE711" s="19" t="s">
        <v>2113</v>
      </c>
      <c r="DF711" s="19" t="s">
        <v>2601</v>
      </c>
      <c r="DG711" s="19" t="s">
        <v>2627</v>
      </c>
      <c r="DH711" s="19" t="s">
        <v>2144</v>
      </c>
      <c r="DI711" s="24">
        <v>45526.0</v>
      </c>
      <c r="DJ711" s="19" t="s">
        <v>2133</v>
      </c>
      <c r="DK711" s="19" t="s">
        <v>2271</v>
      </c>
      <c r="DL711" s="19" t="s">
        <v>2146</v>
      </c>
      <c r="DM711" s="19" t="s">
        <v>2805</v>
      </c>
      <c r="DN711" s="19">
        <v>12.0</v>
      </c>
      <c r="DO711" s="19">
        <v>12.0</v>
      </c>
      <c r="DP711" s="19" t="s">
        <v>13943</v>
      </c>
      <c r="DQ711" s="19" t="s">
        <v>13944</v>
      </c>
      <c r="DR711" s="19" t="s">
        <v>13945</v>
      </c>
      <c r="DS711" s="19" t="s">
        <v>2365</v>
      </c>
      <c r="DT711" s="19" t="s">
        <v>2186</v>
      </c>
      <c r="DU711" s="19"/>
      <c r="DV711" s="19"/>
      <c r="DW711" s="19" t="s">
        <v>2188</v>
      </c>
      <c r="DX711" s="19">
        <v>10.0</v>
      </c>
      <c r="DY711" s="19">
        <v>10.0</v>
      </c>
      <c r="DZ711" s="19">
        <v>0.0</v>
      </c>
      <c r="EA711" s="19">
        <v>10.0</v>
      </c>
      <c r="EB711" s="19">
        <v>0.0</v>
      </c>
      <c r="EC711" s="19">
        <v>0.0</v>
      </c>
      <c r="ED711" s="19" t="s">
        <v>2133</v>
      </c>
      <c r="EE711" s="24">
        <v>45526.0</v>
      </c>
      <c r="EF711" s="19" t="s">
        <v>2133</v>
      </c>
      <c r="EG711" s="19" t="s">
        <v>2271</v>
      </c>
      <c r="EH711" s="19" t="s">
        <v>2146</v>
      </c>
      <c r="EI711" s="22">
        <v>13.21875</v>
      </c>
      <c r="EJ711" s="19">
        <v>0.0</v>
      </c>
      <c r="EK711" s="19" t="s">
        <v>2113</v>
      </c>
      <c r="EL711" s="19" t="s">
        <v>2163</v>
      </c>
      <c r="EM711" s="19" t="s">
        <v>13934</v>
      </c>
      <c r="EN711" s="19" t="s">
        <v>1049</v>
      </c>
      <c r="EO711" s="19" t="s">
        <v>2619</v>
      </c>
      <c r="EP711" s="19" t="s">
        <v>2310</v>
      </c>
      <c r="EQ711" s="19" t="s">
        <v>2626</v>
      </c>
      <c r="ER711" s="19"/>
      <c r="ES711" s="19" t="s">
        <v>1049</v>
      </c>
      <c r="ET711" s="19" t="s">
        <v>1049</v>
      </c>
      <c r="EU711" s="19" t="s">
        <v>13931</v>
      </c>
      <c r="EV711" s="19">
        <v>8184.0</v>
      </c>
      <c r="EW711" s="19" t="s">
        <v>16</v>
      </c>
      <c r="EX711" s="19">
        <v>4.0</v>
      </c>
      <c r="EY711" s="25" t="s">
        <v>13932</v>
      </c>
      <c r="EZ711" s="19" t="s">
        <v>2154</v>
      </c>
      <c r="FA711" s="5" t="s">
        <v>13946</v>
      </c>
      <c r="FB711" s="26" t="s">
        <v>2633</v>
      </c>
      <c r="FC711" s="26" t="s">
        <v>10773</v>
      </c>
    </row>
    <row r="712" hidden="1">
      <c r="A712" s="19" t="s">
        <v>2156</v>
      </c>
      <c r="B712" s="19"/>
      <c r="C712" s="19" t="s">
        <v>2113</v>
      </c>
      <c r="D712" s="19" t="s">
        <v>13947</v>
      </c>
      <c r="E712" s="19" t="s">
        <v>13947</v>
      </c>
      <c r="F712" s="19" t="s">
        <v>13947</v>
      </c>
      <c r="G712" s="19"/>
      <c r="H712" s="19" t="s">
        <v>13947</v>
      </c>
      <c r="I712" s="19" t="s">
        <v>13948</v>
      </c>
      <c r="J712" s="19" t="s">
        <v>13949</v>
      </c>
      <c r="K712" s="19" t="s">
        <v>13950</v>
      </c>
      <c r="L712" s="20">
        <v>45460.0</v>
      </c>
      <c r="M712" s="20">
        <v>45462.0</v>
      </c>
      <c r="N712" s="20">
        <v>45462.0</v>
      </c>
      <c r="O712" s="19" t="s">
        <v>13951</v>
      </c>
      <c r="P712" s="19">
        <v>0.0</v>
      </c>
      <c r="Q712" s="19">
        <v>20.0</v>
      </c>
      <c r="R712" s="19">
        <v>7428.0</v>
      </c>
      <c r="S712" s="20" t="s">
        <v>5886</v>
      </c>
      <c r="T712" s="20">
        <v>45461.0</v>
      </c>
      <c r="U712" s="19" t="s">
        <v>13947</v>
      </c>
      <c r="V712" s="19"/>
      <c r="W712" s="19"/>
      <c r="X712" s="21">
        <v>0.0</v>
      </c>
      <c r="Y712" s="21">
        <v>10.0</v>
      </c>
      <c r="Z712" s="21">
        <v>5.0</v>
      </c>
      <c r="AA712" s="21">
        <v>0.0</v>
      </c>
      <c r="AB712" s="5">
        <v>15.0</v>
      </c>
      <c r="AC712" s="19">
        <v>4.0</v>
      </c>
      <c r="AD712" s="19">
        <v>4.0</v>
      </c>
      <c r="AE712" s="19">
        <v>4.0</v>
      </c>
      <c r="AF712" s="19">
        <v>4.0</v>
      </c>
      <c r="AG712" s="19">
        <v>4.0</v>
      </c>
      <c r="AH712" s="19">
        <v>4.0</v>
      </c>
      <c r="AI712" s="22">
        <v>12.0</v>
      </c>
      <c r="AJ712" s="19">
        <v>0.0</v>
      </c>
      <c r="AK712" s="19">
        <v>0.0</v>
      </c>
      <c r="AL712" s="19">
        <v>0.0</v>
      </c>
      <c r="AM712" s="19">
        <v>0.0</v>
      </c>
      <c r="AN712" s="19">
        <v>12.0</v>
      </c>
      <c r="AO712" s="19">
        <v>27.0</v>
      </c>
      <c r="AP712" s="19">
        <v>507.0</v>
      </c>
      <c r="AQ712" s="19">
        <v>711.0</v>
      </c>
      <c r="AR712" s="19">
        <v>63.0</v>
      </c>
      <c r="AS712" s="22"/>
      <c r="AT712" s="19" t="s">
        <v>2117</v>
      </c>
      <c r="AU712" s="19" t="s">
        <v>13952</v>
      </c>
      <c r="AV712" s="19" t="s">
        <v>13953</v>
      </c>
      <c r="AW712" s="19"/>
      <c r="AX712" s="20">
        <v>38033.0</v>
      </c>
      <c r="AY712" s="19" t="s">
        <v>8059</v>
      </c>
      <c r="AZ712" s="19" t="s">
        <v>2310</v>
      </c>
      <c r="BA712" s="19" t="s">
        <v>13954</v>
      </c>
      <c r="BB712" s="19" t="s">
        <v>7175</v>
      </c>
      <c r="BC712" s="19" t="s">
        <v>13955</v>
      </c>
      <c r="BD712" s="19" t="s">
        <v>13956</v>
      </c>
      <c r="BE712" s="19" t="s">
        <v>13949</v>
      </c>
      <c r="BF712" s="19">
        <v>1.1991795781E10</v>
      </c>
      <c r="BG712" s="19" t="s">
        <v>2127</v>
      </c>
      <c r="BH712" s="19" t="s">
        <v>2649</v>
      </c>
      <c r="BI712" s="19"/>
      <c r="BJ712" s="19"/>
      <c r="BK712" s="19" t="s">
        <v>16</v>
      </c>
      <c r="BL712" s="19"/>
      <c r="BM712" s="19" t="s">
        <v>5411</v>
      </c>
      <c r="BN712" s="19" t="s">
        <v>17</v>
      </c>
      <c r="BO712" s="19" t="s">
        <v>2132</v>
      </c>
      <c r="BP712" s="19" t="s">
        <v>13957</v>
      </c>
      <c r="BQ712" s="19" t="s">
        <v>2133</v>
      </c>
      <c r="BR712" s="19" t="s">
        <v>2133</v>
      </c>
      <c r="BS712" s="19" t="s">
        <v>2243</v>
      </c>
      <c r="BT712" s="19" t="s">
        <v>15</v>
      </c>
      <c r="BU712" s="19" t="s">
        <v>13958</v>
      </c>
      <c r="BV712" s="19"/>
      <c r="BW712" s="19" t="s">
        <v>2113</v>
      </c>
      <c r="BX712" s="19"/>
      <c r="BY712" s="19"/>
      <c r="BZ712" s="19"/>
      <c r="CA712" s="19"/>
      <c r="CB712" s="19" t="s">
        <v>2113</v>
      </c>
      <c r="CC712" s="19"/>
      <c r="CD712" s="19" t="s">
        <v>2137</v>
      </c>
      <c r="CE712" s="19" t="s">
        <v>16</v>
      </c>
      <c r="CF712" s="19"/>
      <c r="CG712" s="19"/>
      <c r="CH712" s="19" t="s">
        <v>16</v>
      </c>
      <c r="CI712" s="21">
        <v>0.0</v>
      </c>
      <c r="CJ712" s="19" t="s">
        <v>17</v>
      </c>
      <c r="CK712" s="19"/>
      <c r="CL712" s="19"/>
      <c r="CM712" s="19" t="s">
        <v>2344</v>
      </c>
      <c r="CN712" s="19" t="s">
        <v>2139</v>
      </c>
      <c r="CO712" s="19"/>
      <c r="CP712" s="19" t="s">
        <v>2140</v>
      </c>
      <c r="CQ712" s="19"/>
      <c r="CR712" s="19" t="s">
        <v>2113</v>
      </c>
      <c r="CS712" s="19" t="s">
        <v>2113</v>
      </c>
      <c r="CT712" s="19"/>
      <c r="CU712" s="19"/>
      <c r="CV712" s="19" t="s">
        <v>2141</v>
      </c>
      <c r="CW712" s="19"/>
      <c r="CX712" s="19"/>
      <c r="CY712" s="19"/>
      <c r="CZ712" s="19"/>
      <c r="DA712" s="19" t="s">
        <v>16</v>
      </c>
      <c r="DB712" s="19" t="s">
        <v>17</v>
      </c>
      <c r="DC712" s="19" t="s">
        <v>7449</v>
      </c>
      <c r="DD712" s="19" t="s">
        <v>2113</v>
      </c>
      <c r="DE712" s="19" t="s">
        <v>2113</v>
      </c>
      <c r="DF712" s="19" t="s">
        <v>3525</v>
      </c>
      <c r="DG712" s="19" t="s">
        <v>2405</v>
      </c>
      <c r="DH712" s="19" t="s">
        <v>2144</v>
      </c>
      <c r="DI712" s="24">
        <v>45519.0</v>
      </c>
      <c r="DJ712" s="19" t="s">
        <v>2133</v>
      </c>
      <c r="DK712" s="19" t="s">
        <v>2271</v>
      </c>
      <c r="DL712" s="19" t="s">
        <v>2146</v>
      </c>
      <c r="DM712" s="19" t="s">
        <v>2751</v>
      </c>
      <c r="DN712" s="19">
        <v>6.0</v>
      </c>
      <c r="DO712" s="19">
        <v>6.0</v>
      </c>
      <c r="DP712" s="19" t="s">
        <v>13959</v>
      </c>
      <c r="DQ712" s="19" t="s">
        <v>13960</v>
      </c>
      <c r="DR712" s="19" t="s">
        <v>13961</v>
      </c>
      <c r="DS712" s="19" t="s">
        <v>2365</v>
      </c>
      <c r="DT712" s="19" t="s">
        <v>2301</v>
      </c>
      <c r="DU712" s="19"/>
      <c r="DV712" s="19"/>
      <c r="DW712" s="19" t="s">
        <v>2153</v>
      </c>
      <c r="DX712" s="19">
        <v>7.0</v>
      </c>
      <c r="DY712" s="19">
        <v>10.0</v>
      </c>
      <c r="DZ712" s="19">
        <v>0.0</v>
      </c>
      <c r="EA712" s="19">
        <v>10.0</v>
      </c>
      <c r="EB712" s="19">
        <v>0.0</v>
      </c>
      <c r="EC712" s="19">
        <v>0.0</v>
      </c>
      <c r="ED712" s="19" t="s">
        <v>2133</v>
      </c>
      <c r="EE712" s="24">
        <v>45519.0</v>
      </c>
      <c r="EF712" s="19" t="s">
        <v>2133</v>
      </c>
      <c r="EG712" s="19" t="s">
        <v>2271</v>
      </c>
      <c r="EH712" s="19" t="s">
        <v>2146</v>
      </c>
      <c r="EI712" s="22">
        <v>12.0</v>
      </c>
      <c r="EJ712" s="19">
        <v>0.0</v>
      </c>
      <c r="EK712" s="19" t="s">
        <v>2113</v>
      </c>
      <c r="EL712" s="19" t="s">
        <v>2117</v>
      </c>
      <c r="EM712" s="19" t="s">
        <v>13952</v>
      </c>
      <c r="EN712" s="19" t="s">
        <v>13948</v>
      </c>
      <c r="EO712" s="19" t="s">
        <v>8059</v>
      </c>
      <c r="EP712" s="19" t="s">
        <v>2310</v>
      </c>
      <c r="EQ712" s="19" t="s">
        <v>2139</v>
      </c>
      <c r="ER712" s="19"/>
      <c r="ES712" s="19" t="s">
        <v>13948</v>
      </c>
      <c r="ET712" s="19" t="s">
        <v>13948</v>
      </c>
      <c r="EU712" s="19" t="s">
        <v>13950</v>
      </c>
      <c r="EV712" s="19">
        <v>7428.0</v>
      </c>
      <c r="EW712" s="19" t="s">
        <v>16</v>
      </c>
      <c r="EX712" s="19">
        <v>5.0</v>
      </c>
      <c r="EY712" s="25" t="s">
        <v>13951</v>
      </c>
      <c r="EZ712" s="19" t="s">
        <v>2154</v>
      </c>
      <c r="FA712" s="5" t="s">
        <v>13962</v>
      </c>
      <c r="FB712" s="26" t="s">
        <v>2633</v>
      </c>
      <c r="FC712" s="26" t="s">
        <v>10773</v>
      </c>
    </row>
    <row r="713" hidden="1">
      <c r="A713" s="19" t="s">
        <v>2112</v>
      </c>
      <c r="B713" s="19"/>
      <c r="C713" s="19" t="s">
        <v>2113</v>
      </c>
      <c r="D713" s="19" t="s">
        <v>13963</v>
      </c>
      <c r="E713" s="19" t="s">
        <v>13964</v>
      </c>
      <c r="F713" s="19" t="s">
        <v>13963</v>
      </c>
      <c r="G713" s="19"/>
      <c r="H713" s="19" t="s">
        <v>13965</v>
      </c>
      <c r="I713" s="19" t="s">
        <v>13966</v>
      </c>
      <c r="J713" s="19" t="s">
        <v>13967</v>
      </c>
      <c r="K713" s="19" t="s">
        <v>13968</v>
      </c>
      <c r="L713" s="20">
        <v>45418.0</v>
      </c>
      <c r="M713" s="20">
        <v>45428.0</v>
      </c>
      <c r="N713" s="20">
        <v>45428.0</v>
      </c>
      <c r="O713" s="19" t="s">
        <v>13969</v>
      </c>
      <c r="P713" s="19">
        <v>0.0</v>
      </c>
      <c r="Q713" s="19">
        <v>28.0</v>
      </c>
      <c r="R713" s="19">
        <v>10533.0</v>
      </c>
      <c r="S713" s="20" t="s">
        <v>13970</v>
      </c>
      <c r="T713" s="20">
        <v>45461.0</v>
      </c>
      <c r="U713" s="19" t="s">
        <v>13963</v>
      </c>
      <c r="V713" s="19"/>
      <c r="W713" s="19" t="s">
        <v>13971</v>
      </c>
      <c r="X713" s="21">
        <v>0.0</v>
      </c>
      <c r="Y713" s="21">
        <v>10.0</v>
      </c>
      <c r="Z713" s="21">
        <v>3.0</v>
      </c>
      <c r="AA713" s="21">
        <v>0.0</v>
      </c>
      <c r="AB713" s="5">
        <v>13.0</v>
      </c>
      <c r="AC713" s="19">
        <v>5.0</v>
      </c>
      <c r="AD713" s="19">
        <v>4.0</v>
      </c>
      <c r="AE713" s="19">
        <v>5.0</v>
      </c>
      <c r="AF713" s="19">
        <v>5.0</v>
      </c>
      <c r="AG713" s="19">
        <v>4.0</v>
      </c>
      <c r="AH713" s="19">
        <v>5.0</v>
      </c>
      <c r="AI713" s="22">
        <v>13.96875</v>
      </c>
      <c r="AJ713" s="19">
        <v>0.0</v>
      </c>
      <c r="AK713" s="19">
        <v>0.0</v>
      </c>
      <c r="AL713" s="19">
        <v>0.0</v>
      </c>
      <c r="AM713" s="19">
        <v>0.0</v>
      </c>
      <c r="AN713" s="19">
        <v>14.0</v>
      </c>
      <c r="AO713" s="19">
        <v>27.0</v>
      </c>
      <c r="AP713" s="19">
        <v>666.0</v>
      </c>
      <c r="AQ713" s="19">
        <v>712.0</v>
      </c>
      <c r="AR713" s="19">
        <v>49.0</v>
      </c>
      <c r="AS713" s="22"/>
      <c r="AT713" s="19" t="s">
        <v>2117</v>
      </c>
      <c r="AU713" s="19" t="s">
        <v>11681</v>
      </c>
      <c r="AV713" s="19" t="s">
        <v>11682</v>
      </c>
      <c r="AW713" s="19" t="s">
        <v>13972</v>
      </c>
      <c r="AX713" s="20">
        <v>34928.0</v>
      </c>
      <c r="AY713" s="19" t="s">
        <v>3905</v>
      </c>
      <c r="AZ713" s="19" t="s">
        <v>2310</v>
      </c>
      <c r="BA713" s="19" t="s">
        <v>11684</v>
      </c>
      <c r="BB713" s="19" t="s">
        <v>9388</v>
      </c>
      <c r="BC713" s="19" t="s">
        <v>13973</v>
      </c>
      <c r="BD713" s="19" t="s">
        <v>13974</v>
      </c>
      <c r="BE713" s="19" t="s">
        <v>13975</v>
      </c>
      <c r="BF713" s="19">
        <v>1.194816641E10</v>
      </c>
      <c r="BG713" s="19" t="s">
        <v>2127</v>
      </c>
      <c r="BH713" s="19" t="s">
        <v>2128</v>
      </c>
      <c r="BI713" s="19"/>
      <c r="BJ713" s="19"/>
      <c r="BK713" s="19" t="s">
        <v>16</v>
      </c>
      <c r="BL713" s="19"/>
      <c r="BM713" s="19" t="s">
        <v>5411</v>
      </c>
      <c r="BN713" s="19" t="s">
        <v>2401</v>
      </c>
      <c r="BO713" s="19" t="s">
        <v>2473</v>
      </c>
      <c r="BP713" s="19"/>
      <c r="BQ713" s="19" t="s">
        <v>2133</v>
      </c>
      <c r="BR713" s="19" t="s">
        <v>2133</v>
      </c>
      <c r="BS713" s="19" t="s">
        <v>2243</v>
      </c>
      <c r="BT713" s="19" t="s">
        <v>222</v>
      </c>
      <c r="BU713" s="19" t="s">
        <v>13976</v>
      </c>
      <c r="BV713" s="19"/>
      <c r="BW713" s="19"/>
      <c r="BX713" s="19" t="s">
        <v>2113</v>
      </c>
      <c r="BY713" s="19" t="s">
        <v>2113</v>
      </c>
      <c r="BZ713" s="19"/>
      <c r="CA713" s="19" t="s">
        <v>2113</v>
      </c>
      <c r="CB713" s="19"/>
      <c r="CC713" s="19"/>
      <c r="CD713" s="19" t="s">
        <v>2137</v>
      </c>
      <c r="CE713" s="19" t="s">
        <v>16</v>
      </c>
      <c r="CF713" s="19"/>
      <c r="CG713" s="19"/>
      <c r="CH713" s="19" t="s">
        <v>16</v>
      </c>
      <c r="CI713" s="21">
        <v>0.0</v>
      </c>
      <c r="CJ713" s="19" t="s">
        <v>17</v>
      </c>
      <c r="CK713" s="19"/>
      <c r="CL713" s="19"/>
      <c r="CM713" s="19" t="s">
        <v>2138</v>
      </c>
      <c r="CN713" s="19" t="s">
        <v>3544</v>
      </c>
      <c r="CO713" s="19"/>
      <c r="CP713" s="19"/>
      <c r="CQ713" s="19"/>
      <c r="CR713" s="19"/>
      <c r="CS713" s="19"/>
      <c r="CT713" s="19"/>
      <c r="CU713" s="19"/>
      <c r="CV713" s="19" t="s">
        <v>2179</v>
      </c>
      <c r="CW713" s="19" t="s">
        <v>2113</v>
      </c>
      <c r="CX713" s="19" t="s">
        <v>2113</v>
      </c>
      <c r="CY713" s="19" t="s">
        <v>2113</v>
      </c>
      <c r="CZ713" s="19" t="s">
        <v>2113</v>
      </c>
      <c r="DA713" s="19" t="s">
        <v>16</v>
      </c>
      <c r="DB713" s="19" t="s">
        <v>17</v>
      </c>
      <c r="DC713" s="19" t="s">
        <v>4541</v>
      </c>
      <c r="DD713" s="19" t="s">
        <v>2113</v>
      </c>
      <c r="DE713" s="19" t="s">
        <v>2113</v>
      </c>
      <c r="DF713" s="19" t="s">
        <v>3545</v>
      </c>
      <c r="DG713" s="19" t="s">
        <v>2146</v>
      </c>
      <c r="DH713" s="19" t="s">
        <v>2144</v>
      </c>
      <c r="DI713" s="24">
        <v>45532.0</v>
      </c>
      <c r="DJ713" s="19" t="s">
        <v>2133</v>
      </c>
      <c r="DK713" s="19" t="s">
        <v>2145</v>
      </c>
      <c r="DL713" s="19" t="s">
        <v>2146</v>
      </c>
      <c r="DM713" s="19" t="s">
        <v>4101</v>
      </c>
      <c r="DN713" s="19">
        <v>15.0</v>
      </c>
      <c r="DO713" s="19">
        <v>15.0</v>
      </c>
      <c r="DP713" s="19"/>
      <c r="DQ713" s="19"/>
      <c r="DR713" s="19"/>
      <c r="DS713" s="19" t="s">
        <v>2151</v>
      </c>
      <c r="DT713" s="19" t="s">
        <v>2350</v>
      </c>
      <c r="DU713" s="19" t="s">
        <v>13977</v>
      </c>
      <c r="DV713" s="19"/>
      <c r="DW713" s="19" t="s">
        <v>2153</v>
      </c>
      <c r="DX713" s="19">
        <v>12.0</v>
      </c>
      <c r="DY713" s="19">
        <v>10.0</v>
      </c>
      <c r="DZ713" s="19">
        <v>0.0</v>
      </c>
      <c r="EA713" s="19">
        <v>10.0</v>
      </c>
      <c r="EB713" s="19">
        <v>0.0</v>
      </c>
      <c r="EC713" s="19">
        <v>0.0</v>
      </c>
      <c r="ED713" s="19" t="s">
        <v>2133</v>
      </c>
      <c r="EE713" s="24">
        <v>45532.0</v>
      </c>
      <c r="EF713" s="19" t="s">
        <v>2133</v>
      </c>
      <c r="EG713" s="19" t="s">
        <v>2145</v>
      </c>
      <c r="EH713" s="19" t="s">
        <v>2146</v>
      </c>
      <c r="EI713" s="22">
        <v>13.96875</v>
      </c>
      <c r="EJ713" s="19">
        <v>0.0</v>
      </c>
      <c r="EK713" s="19" t="s">
        <v>2113</v>
      </c>
      <c r="EL713" s="19" t="s">
        <v>2117</v>
      </c>
      <c r="EM713" s="19" t="s">
        <v>11681</v>
      </c>
      <c r="EN713" s="19" t="s">
        <v>13966</v>
      </c>
      <c r="EO713" s="19" t="s">
        <v>3905</v>
      </c>
      <c r="EP713" s="19" t="s">
        <v>2310</v>
      </c>
      <c r="EQ713" s="19" t="s">
        <v>3544</v>
      </c>
      <c r="ER713" s="19"/>
      <c r="ES713" s="19" t="s">
        <v>13966</v>
      </c>
      <c r="ET713" s="19" t="s">
        <v>13966</v>
      </c>
      <c r="EU713" s="19" t="s">
        <v>13968</v>
      </c>
      <c r="EV713" s="19">
        <v>10533.0</v>
      </c>
      <c r="EW713" s="19" t="s">
        <v>16</v>
      </c>
      <c r="EX713" s="19">
        <v>3.0</v>
      </c>
      <c r="EY713" s="25" t="s">
        <v>13969</v>
      </c>
      <c r="EZ713" s="19" t="s">
        <v>2154</v>
      </c>
      <c r="FA713" s="5" t="s">
        <v>13978</v>
      </c>
      <c r="FB713" s="26" t="s">
        <v>2633</v>
      </c>
      <c r="FC713" s="26" t="s">
        <v>10773</v>
      </c>
    </row>
    <row r="714" hidden="1">
      <c r="A714" s="19" t="s">
        <v>2112</v>
      </c>
      <c r="B714" s="19"/>
      <c r="C714" s="19" t="s">
        <v>2113</v>
      </c>
      <c r="D714" s="19" t="s">
        <v>13979</v>
      </c>
      <c r="E714" s="19" t="s">
        <v>13980</v>
      </c>
      <c r="F714" s="19" t="s">
        <v>13979</v>
      </c>
      <c r="G714" s="19"/>
      <c r="H714" s="19" t="s">
        <v>13981</v>
      </c>
      <c r="I714" s="19" t="s">
        <v>13982</v>
      </c>
      <c r="J714" s="19" t="s">
        <v>13983</v>
      </c>
      <c r="K714" s="19" t="s">
        <v>13984</v>
      </c>
      <c r="L714" s="20">
        <v>45428.0</v>
      </c>
      <c r="M714" s="20">
        <v>45428.0</v>
      </c>
      <c r="N714" s="20">
        <v>45428.0</v>
      </c>
      <c r="O714" s="19" t="s">
        <v>13985</v>
      </c>
      <c r="P714" s="19">
        <v>0.0</v>
      </c>
      <c r="Q714" s="19">
        <v>25.0</v>
      </c>
      <c r="R714" s="19">
        <v>9273.0</v>
      </c>
      <c r="S714" s="20" t="s">
        <v>13986</v>
      </c>
      <c r="T714" s="20">
        <v>45461.0</v>
      </c>
      <c r="U714" s="19" t="s">
        <v>13979</v>
      </c>
      <c r="V714" s="19"/>
      <c r="W714" s="19" t="s">
        <v>8408</v>
      </c>
      <c r="X714" s="21">
        <v>0.0</v>
      </c>
      <c r="Y714" s="21">
        <v>10.0</v>
      </c>
      <c r="Z714" s="21">
        <v>2.0</v>
      </c>
      <c r="AA714" s="21">
        <v>0.0</v>
      </c>
      <c r="AB714" s="5">
        <v>12.0</v>
      </c>
      <c r="AC714" s="19">
        <v>5.0</v>
      </c>
      <c r="AD714" s="19">
        <v>5.0</v>
      </c>
      <c r="AE714" s="19">
        <v>5.0</v>
      </c>
      <c r="AF714" s="19">
        <v>5.0</v>
      </c>
      <c r="AG714" s="19">
        <v>5.0</v>
      </c>
      <c r="AH714" s="19">
        <v>5.0</v>
      </c>
      <c r="AI714" s="22">
        <v>15.0</v>
      </c>
      <c r="AJ714" s="19"/>
      <c r="AK714" s="19"/>
      <c r="AL714" s="19"/>
      <c r="AM714" s="19">
        <v>0.0</v>
      </c>
      <c r="AN714" s="19">
        <v>15.0</v>
      </c>
      <c r="AO714" s="19">
        <v>27.0</v>
      </c>
      <c r="AP714" s="19">
        <v>847.0</v>
      </c>
      <c r="AQ714" s="19">
        <v>713.0</v>
      </c>
      <c r="AR714" s="19">
        <v>64.0</v>
      </c>
      <c r="AS714" s="22"/>
      <c r="AT714" s="19" t="s">
        <v>2163</v>
      </c>
      <c r="AU714" s="19" t="s">
        <v>13987</v>
      </c>
      <c r="AV714" s="19" t="s">
        <v>13988</v>
      </c>
      <c r="AW714" s="19" t="s">
        <v>3907</v>
      </c>
      <c r="AX714" s="20">
        <v>36188.0</v>
      </c>
      <c r="AY714" s="19" t="s">
        <v>3773</v>
      </c>
      <c r="AZ714" s="19" t="s">
        <v>2310</v>
      </c>
      <c r="BA714" s="19" t="s">
        <v>13989</v>
      </c>
      <c r="BB714" s="19" t="s">
        <v>3907</v>
      </c>
      <c r="BC714" s="19" t="s">
        <v>13990</v>
      </c>
      <c r="BD714" s="19" t="s">
        <v>13991</v>
      </c>
      <c r="BE714" s="19" t="s">
        <v>13992</v>
      </c>
      <c r="BF714" s="19">
        <v>1.1988123912E10</v>
      </c>
      <c r="BG714" s="19" t="s">
        <v>2127</v>
      </c>
      <c r="BH714" s="19" t="s">
        <v>2128</v>
      </c>
      <c r="BI714" s="19"/>
      <c r="BJ714" s="19"/>
      <c r="BK714" s="19" t="s">
        <v>16</v>
      </c>
      <c r="BL714" s="19"/>
      <c r="BM714" s="19" t="s">
        <v>5411</v>
      </c>
      <c r="BN714" s="19" t="s">
        <v>2401</v>
      </c>
      <c r="BO714" s="19" t="s">
        <v>3199</v>
      </c>
      <c r="BP714" s="19" t="s">
        <v>13993</v>
      </c>
      <c r="BQ714" s="19" t="s">
        <v>2133</v>
      </c>
      <c r="BR714" s="19" t="s">
        <v>2133</v>
      </c>
      <c r="BS714" s="19" t="s">
        <v>2134</v>
      </c>
      <c r="BT714" s="19" t="s">
        <v>15</v>
      </c>
      <c r="BU714" s="19" t="s">
        <v>4830</v>
      </c>
      <c r="BV714" s="19"/>
      <c r="BW714" s="19"/>
      <c r="BX714" s="19"/>
      <c r="BY714" s="19"/>
      <c r="BZ714" s="19"/>
      <c r="CA714" s="19"/>
      <c r="CB714" s="19"/>
      <c r="CC714" s="19"/>
      <c r="CD714" s="19" t="s">
        <v>2137</v>
      </c>
      <c r="CE714" s="19" t="s">
        <v>16</v>
      </c>
      <c r="CF714" s="19"/>
      <c r="CG714" s="19"/>
      <c r="CH714" s="19" t="s">
        <v>16</v>
      </c>
      <c r="CI714" s="21">
        <v>0.0</v>
      </c>
      <c r="CJ714" s="19" t="s">
        <v>17</v>
      </c>
      <c r="CK714" s="19" t="s">
        <v>2113</v>
      </c>
      <c r="CL714" s="19"/>
      <c r="CM714" s="19" t="s">
        <v>2138</v>
      </c>
      <c r="CN714" s="19" t="s">
        <v>3202</v>
      </c>
      <c r="CO714" s="19"/>
      <c r="CP714" s="19"/>
      <c r="CQ714" s="19"/>
      <c r="CR714" s="19" t="s">
        <v>2113</v>
      </c>
      <c r="CS714" s="19" t="s">
        <v>2113</v>
      </c>
      <c r="CT714" s="19" t="s">
        <v>2113</v>
      </c>
      <c r="CU714" s="19" t="s">
        <v>2113</v>
      </c>
      <c r="CV714" s="19" t="s">
        <v>2179</v>
      </c>
      <c r="CW714" s="19"/>
      <c r="CX714" s="19"/>
      <c r="CY714" s="19" t="s">
        <v>2113</v>
      </c>
      <c r="CZ714" s="19" t="s">
        <v>2113</v>
      </c>
      <c r="DA714" s="19" t="s">
        <v>16</v>
      </c>
      <c r="DB714" s="19" t="s">
        <v>17</v>
      </c>
      <c r="DC714" s="19" t="s">
        <v>2146</v>
      </c>
      <c r="DD714" s="19" t="s">
        <v>2113</v>
      </c>
      <c r="DE714" s="19" t="s">
        <v>2113</v>
      </c>
      <c r="DF714" s="19" t="s">
        <v>2804</v>
      </c>
      <c r="DG714" s="19" t="s">
        <v>2323</v>
      </c>
      <c r="DH714" s="19" t="s">
        <v>2144</v>
      </c>
      <c r="DI714" s="24">
        <v>45532.0</v>
      </c>
      <c r="DJ714" s="19" t="s">
        <v>2133</v>
      </c>
      <c r="DK714" s="19" t="s">
        <v>2145</v>
      </c>
      <c r="DL714" s="19" t="s">
        <v>2146</v>
      </c>
      <c r="DM714" s="19" t="s">
        <v>4101</v>
      </c>
      <c r="DN714" s="19">
        <v>15.0</v>
      </c>
      <c r="DO714" s="19">
        <v>15.0</v>
      </c>
      <c r="DP714" s="19"/>
      <c r="DQ714" s="19"/>
      <c r="DR714" s="19"/>
      <c r="DS714" s="19" t="s">
        <v>2365</v>
      </c>
      <c r="DT714" s="19" t="s">
        <v>2152</v>
      </c>
      <c r="DU714" s="19" t="s">
        <v>13994</v>
      </c>
      <c r="DV714" s="19"/>
      <c r="DW714" s="19" t="s">
        <v>2479</v>
      </c>
      <c r="DX714" s="19">
        <v>11.0</v>
      </c>
      <c r="DY714" s="19">
        <v>10.0</v>
      </c>
      <c r="DZ714" s="19">
        <v>0.0</v>
      </c>
      <c r="EA714" s="19">
        <v>10.0</v>
      </c>
      <c r="EB714" s="19">
        <v>0.0</v>
      </c>
      <c r="EC714" s="19">
        <v>0.0</v>
      </c>
      <c r="ED714" s="19" t="s">
        <v>2133</v>
      </c>
      <c r="EE714" s="24">
        <v>45532.0</v>
      </c>
      <c r="EF714" s="19" t="s">
        <v>2133</v>
      </c>
      <c r="EG714" s="19" t="s">
        <v>2145</v>
      </c>
      <c r="EH714" s="19" t="s">
        <v>2146</v>
      </c>
      <c r="EI714" s="22">
        <v>15.0</v>
      </c>
      <c r="EJ714" s="19">
        <v>0.0</v>
      </c>
      <c r="EK714" s="19" t="s">
        <v>2113</v>
      </c>
      <c r="EL714" s="19" t="s">
        <v>2163</v>
      </c>
      <c r="EM714" s="19" t="s">
        <v>13987</v>
      </c>
      <c r="EN714" s="19" t="s">
        <v>13982</v>
      </c>
      <c r="EO714" s="19" t="s">
        <v>3773</v>
      </c>
      <c r="EP714" s="19" t="s">
        <v>2310</v>
      </c>
      <c r="EQ714" s="19" t="s">
        <v>3202</v>
      </c>
      <c r="ER714" s="19"/>
      <c r="ES714" s="19" t="s">
        <v>13982</v>
      </c>
      <c r="ET714" s="19" t="s">
        <v>13982</v>
      </c>
      <c r="EU714" s="19" t="s">
        <v>13984</v>
      </c>
      <c r="EV714" s="19">
        <v>9273.0</v>
      </c>
      <c r="EW714" s="19" t="s">
        <v>16</v>
      </c>
      <c r="EX714" s="19">
        <v>2.0</v>
      </c>
      <c r="EY714" s="25" t="s">
        <v>13985</v>
      </c>
      <c r="EZ714" s="19" t="s">
        <v>2154</v>
      </c>
      <c r="FA714" s="5" t="s">
        <v>13995</v>
      </c>
      <c r="FB714" s="26" t="s">
        <v>2633</v>
      </c>
      <c r="FC714" s="26" t="s">
        <v>10773</v>
      </c>
    </row>
    <row r="715" hidden="1">
      <c r="A715" s="19" t="s">
        <v>17</v>
      </c>
      <c r="B715" s="19"/>
      <c r="C715" s="19" t="s">
        <v>2113</v>
      </c>
      <c r="D715" s="19" t="s">
        <v>13996</v>
      </c>
      <c r="E715" s="19" t="s">
        <v>13997</v>
      </c>
      <c r="F715" s="19" t="s">
        <v>13996</v>
      </c>
      <c r="G715" s="19"/>
      <c r="H715" s="19" t="s">
        <v>13996</v>
      </c>
      <c r="I715" s="19" t="s">
        <v>13998</v>
      </c>
      <c r="J715" s="19" t="s">
        <v>13999</v>
      </c>
      <c r="K715" s="19" t="s">
        <v>14000</v>
      </c>
      <c r="L715" s="20">
        <v>45448.0</v>
      </c>
      <c r="M715" s="20">
        <v>45449.0</v>
      </c>
      <c r="N715" s="20">
        <v>45449.0</v>
      </c>
      <c r="O715" s="19" t="s">
        <v>14001</v>
      </c>
      <c r="P715" s="19">
        <v>1.0</v>
      </c>
      <c r="Q715" s="19">
        <v>21.0</v>
      </c>
      <c r="R715" s="19">
        <v>7692.0</v>
      </c>
      <c r="S715" s="20" t="s">
        <v>14002</v>
      </c>
      <c r="T715" s="20">
        <v>45461.0</v>
      </c>
      <c r="U715" s="19" t="s">
        <v>13996</v>
      </c>
      <c r="V715" s="19"/>
      <c r="W715" s="19"/>
      <c r="X715" s="21">
        <v>0.0</v>
      </c>
      <c r="Y715" s="21">
        <v>10.0</v>
      </c>
      <c r="Z715" s="21">
        <v>2.0</v>
      </c>
      <c r="AA715" s="21">
        <v>0.0</v>
      </c>
      <c r="AB715" s="5">
        <v>12.0</v>
      </c>
      <c r="AC715" s="19">
        <v>5.0</v>
      </c>
      <c r="AD715" s="19">
        <v>5.0</v>
      </c>
      <c r="AE715" s="19">
        <v>5.0</v>
      </c>
      <c r="AF715" s="19">
        <v>5.0</v>
      </c>
      <c r="AG715" s="19">
        <v>5.0</v>
      </c>
      <c r="AH715" s="19">
        <v>5.0</v>
      </c>
      <c r="AI715" s="22">
        <v>15.0</v>
      </c>
      <c r="AJ715" s="19"/>
      <c r="AK715" s="19"/>
      <c r="AL715" s="19"/>
      <c r="AM715" s="19">
        <v>0.0</v>
      </c>
      <c r="AN715" s="19">
        <v>15.0</v>
      </c>
      <c r="AO715" s="19">
        <v>27.0</v>
      </c>
      <c r="AP715" s="19">
        <v>872.0</v>
      </c>
      <c r="AQ715" s="19">
        <v>714.0</v>
      </c>
      <c r="AR715" s="19">
        <v>25.0</v>
      </c>
      <c r="AS715" s="22"/>
      <c r="AT715" s="19" t="s">
        <v>2282</v>
      </c>
      <c r="AU715" s="19" t="s">
        <v>7836</v>
      </c>
      <c r="AV715" s="19" t="s">
        <v>14003</v>
      </c>
      <c r="AW715" s="19"/>
      <c r="AX715" s="20">
        <v>37769.0</v>
      </c>
      <c r="AY715" s="19" t="s">
        <v>7839</v>
      </c>
      <c r="AZ715" s="19" t="s">
        <v>2122</v>
      </c>
      <c r="BA715" s="19" t="s">
        <v>14004</v>
      </c>
      <c r="BB715" s="19" t="s">
        <v>14005</v>
      </c>
      <c r="BC715" s="19" t="s">
        <v>14006</v>
      </c>
      <c r="BD715" s="19" t="s">
        <v>14007</v>
      </c>
      <c r="BE715" s="19" t="s">
        <v>13999</v>
      </c>
      <c r="BF715" s="19">
        <v>1.1982364405E10</v>
      </c>
      <c r="BG715" s="19" t="s">
        <v>2127</v>
      </c>
      <c r="BH715" s="19" t="s">
        <v>2128</v>
      </c>
      <c r="BI715" s="19"/>
      <c r="BJ715" s="19" t="s">
        <v>2128</v>
      </c>
      <c r="BK715" s="19" t="s">
        <v>17</v>
      </c>
      <c r="BL715" s="19" t="s">
        <v>2113</v>
      </c>
      <c r="BM715" s="19" t="s">
        <v>5411</v>
      </c>
      <c r="BN715" s="19" t="s">
        <v>7956</v>
      </c>
      <c r="BO715" s="19" t="s">
        <v>3199</v>
      </c>
      <c r="BP715" s="19"/>
      <c r="BQ715" s="19" t="s">
        <v>3251</v>
      </c>
      <c r="BR715" s="19" t="s">
        <v>3251</v>
      </c>
      <c r="BS715" s="19" t="s">
        <v>2134</v>
      </c>
      <c r="BT715" s="19" t="s">
        <v>177</v>
      </c>
      <c r="BU715" s="19" t="s">
        <v>3019</v>
      </c>
      <c r="BV715" s="19"/>
      <c r="BW715" s="19"/>
      <c r="BX715" s="19" t="s">
        <v>2113</v>
      </c>
      <c r="BY715" s="19" t="s">
        <v>2113</v>
      </c>
      <c r="BZ715" s="19" t="s">
        <v>2113</v>
      </c>
      <c r="CA715" s="19"/>
      <c r="CB715" s="19" t="s">
        <v>2113</v>
      </c>
      <c r="CC715" s="19"/>
      <c r="CD715" s="19" t="s">
        <v>2137</v>
      </c>
      <c r="CE715" s="19" t="s">
        <v>16</v>
      </c>
      <c r="CF715" s="19"/>
      <c r="CG715" s="19"/>
      <c r="CH715" s="19" t="s">
        <v>16</v>
      </c>
      <c r="CI715" s="21">
        <v>0.0</v>
      </c>
      <c r="CJ715" s="19" t="s">
        <v>16</v>
      </c>
      <c r="CK715" s="19"/>
      <c r="CL715" s="19"/>
      <c r="CM715" s="19" t="s">
        <v>2138</v>
      </c>
      <c r="CN715" s="19" t="s">
        <v>3253</v>
      </c>
      <c r="CO715" s="19"/>
      <c r="CP715" s="19" t="s">
        <v>2178</v>
      </c>
      <c r="CQ715" s="19"/>
      <c r="CR715" s="19"/>
      <c r="CS715" s="19"/>
      <c r="CT715" s="19" t="s">
        <v>2113</v>
      </c>
      <c r="CU715" s="19" t="s">
        <v>2113</v>
      </c>
      <c r="CV715" s="19" t="s">
        <v>2141</v>
      </c>
      <c r="CW715" s="19" t="s">
        <v>2113</v>
      </c>
      <c r="CX715" s="19" t="s">
        <v>2113</v>
      </c>
      <c r="CY715" s="19" t="s">
        <v>2113</v>
      </c>
      <c r="CZ715" s="19" t="s">
        <v>2113</v>
      </c>
      <c r="DA715" s="19" t="s">
        <v>16</v>
      </c>
      <c r="DB715" s="19" t="s">
        <v>16</v>
      </c>
      <c r="DC715" s="19" t="s">
        <v>2433</v>
      </c>
      <c r="DD715" s="19" t="s">
        <v>2113</v>
      </c>
      <c r="DE715" s="19" t="s">
        <v>2113</v>
      </c>
      <c r="DF715" s="19" t="s">
        <v>3163</v>
      </c>
      <c r="DG715" s="19" t="s">
        <v>2323</v>
      </c>
      <c r="DH715" s="19" t="s">
        <v>2144</v>
      </c>
      <c r="DI715" s="24">
        <v>45518.0</v>
      </c>
      <c r="DJ715" s="19" t="s">
        <v>3257</v>
      </c>
      <c r="DK715" s="19" t="s">
        <v>2271</v>
      </c>
      <c r="DL715" s="19" t="s">
        <v>2207</v>
      </c>
      <c r="DM715" s="22" t="s">
        <v>5599</v>
      </c>
      <c r="DN715" s="19">
        <v>1.0</v>
      </c>
      <c r="DO715" s="19">
        <v>1.0</v>
      </c>
      <c r="DP715" s="19" t="s">
        <v>14008</v>
      </c>
      <c r="DQ715" s="19" t="s">
        <v>14009</v>
      </c>
      <c r="DR715" s="19" t="s">
        <v>14010</v>
      </c>
      <c r="DS715" s="19" t="s">
        <v>2365</v>
      </c>
      <c r="DT715" s="19" t="s">
        <v>2350</v>
      </c>
      <c r="DU715" s="19"/>
      <c r="DV715" s="19"/>
      <c r="DW715" s="19" t="s">
        <v>2188</v>
      </c>
      <c r="DX715" s="19">
        <v>10.0</v>
      </c>
      <c r="DY715" s="19">
        <v>10.0</v>
      </c>
      <c r="DZ715" s="19">
        <v>0.0</v>
      </c>
      <c r="EA715" s="19">
        <v>10.0</v>
      </c>
      <c r="EB715" s="19">
        <v>0.0</v>
      </c>
      <c r="EC715" s="19">
        <v>0.0</v>
      </c>
      <c r="ED715" s="19" t="s">
        <v>3257</v>
      </c>
      <c r="EE715" s="24">
        <v>45518.0</v>
      </c>
      <c r="EF715" s="19" t="s">
        <v>3257</v>
      </c>
      <c r="EG715" s="19" t="s">
        <v>2271</v>
      </c>
      <c r="EH715" s="19" t="s">
        <v>2207</v>
      </c>
      <c r="EI715" s="22">
        <v>15.0</v>
      </c>
      <c r="EJ715" s="19">
        <v>0.0</v>
      </c>
      <c r="EK715" s="19"/>
      <c r="EL715" s="19" t="s">
        <v>2282</v>
      </c>
      <c r="EM715" s="19" t="s">
        <v>7836</v>
      </c>
      <c r="EN715" s="19" t="s">
        <v>13998</v>
      </c>
      <c r="EO715" s="19" t="s">
        <v>7839</v>
      </c>
      <c r="EP715" s="19" t="s">
        <v>2122</v>
      </c>
      <c r="EQ715" s="19" t="s">
        <v>3253</v>
      </c>
      <c r="ER715" s="19"/>
      <c r="ES715" s="19" t="s">
        <v>13998</v>
      </c>
      <c r="ET715" s="19" t="s">
        <v>13998</v>
      </c>
      <c r="EU715" s="19" t="s">
        <v>14000</v>
      </c>
      <c r="EV715" s="19">
        <v>7692.0</v>
      </c>
      <c r="EW715" s="19" t="s">
        <v>16</v>
      </c>
      <c r="EX715" s="19">
        <v>2.0</v>
      </c>
      <c r="EY715" s="25" t="s">
        <v>14001</v>
      </c>
      <c r="EZ715" s="19" t="s">
        <v>2154</v>
      </c>
      <c r="FA715" s="5" t="s">
        <v>14011</v>
      </c>
      <c r="FB715" s="26" t="s">
        <v>2633</v>
      </c>
      <c r="FC715" s="26" t="s">
        <v>10773</v>
      </c>
    </row>
    <row r="716" hidden="1">
      <c r="A716" s="19" t="s">
        <v>2156</v>
      </c>
      <c r="B716" s="19"/>
      <c r="C716" s="19" t="s">
        <v>2113</v>
      </c>
      <c r="D716" s="19" t="s">
        <v>14012</v>
      </c>
      <c r="E716" s="19" t="s">
        <v>14013</v>
      </c>
      <c r="F716" s="19" t="s">
        <v>14012</v>
      </c>
      <c r="G716" s="19"/>
      <c r="H716" s="19" t="s">
        <v>14012</v>
      </c>
      <c r="I716" s="19" t="s">
        <v>14014</v>
      </c>
      <c r="J716" s="19" t="s">
        <v>14015</v>
      </c>
      <c r="K716" s="19" t="s">
        <v>14016</v>
      </c>
      <c r="L716" s="20">
        <v>45394.0</v>
      </c>
      <c r="M716" s="20">
        <v>45399.0</v>
      </c>
      <c r="N716" s="20">
        <v>45399.0</v>
      </c>
      <c r="O716" s="19" t="s">
        <v>14017</v>
      </c>
      <c r="P716" s="19">
        <v>0.0</v>
      </c>
      <c r="Q716" s="19">
        <v>24.0</v>
      </c>
      <c r="R716" s="19">
        <v>9031.0</v>
      </c>
      <c r="S716" s="20" t="s">
        <v>14018</v>
      </c>
      <c r="T716" s="20">
        <v>45461.0</v>
      </c>
      <c r="U716" s="19" t="s">
        <v>14012</v>
      </c>
      <c r="V716" s="19"/>
      <c r="W716" s="19" t="s">
        <v>14019</v>
      </c>
      <c r="X716" s="21">
        <v>0.0</v>
      </c>
      <c r="Y716" s="21">
        <v>10.0</v>
      </c>
      <c r="Z716" s="21">
        <v>4.0</v>
      </c>
      <c r="AA716" s="21">
        <v>0.0</v>
      </c>
      <c r="AB716" s="5">
        <v>14.0</v>
      </c>
      <c r="AC716" s="19">
        <v>4.0</v>
      </c>
      <c r="AD716" s="19">
        <v>4.0</v>
      </c>
      <c r="AE716" s="19">
        <v>5.0</v>
      </c>
      <c r="AF716" s="19">
        <v>4.0</v>
      </c>
      <c r="AG716" s="19">
        <v>3.0</v>
      </c>
      <c r="AH716" s="19">
        <v>4.0</v>
      </c>
      <c r="AI716" s="22">
        <v>12.375</v>
      </c>
      <c r="AJ716" s="19">
        <v>0.0</v>
      </c>
      <c r="AK716" s="19">
        <v>0.0</v>
      </c>
      <c r="AL716" s="19">
        <v>0.0</v>
      </c>
      <c r="AM716" s="19">
        <v>0.0</v>
      </c>
      <c r="AN716" s="19">
        <v>12.4</v>
      </c>
      <c r="AO716" s="19">
        <v>26.4</v>
      </c>
      <c r="AP716" s="19">
        <v>592.0</v>
      </c>
      <c r="AQ716" s="19">
        <v>715.0</v>
      </c>
      <c r="AR716" s="19">
        <v>73.0</v>
      </c>
      <c r="AS716" s="22"/>
      <c r="AT716" s="19" t="s">
        <v>2282</v>
      </c>
      <c r="AU716" s="19" t="s">
        <v>3691</v>
      </c>
      <c r="AV716" s="19" t="s">
        <v>14020</v>
      </c>
      <c r="AW716" s="19"/>
      <c r="AX716" s="20">
        <v>36430.0</v>
      </c>
      <c r="AY716" s="19" t="s">
        <v>2375</v>
      </c>
      <c r="AZ716" s="19" t="s">
        <v>2310</v>
      </c>
      <c r="BA716" s="19" t="s">
        <v>14021</v>
      </c>
      <c r="BB716" s="19" t="s">
        <v>11301</v>
      </c>
      <c r="BC716" s="19" t="s">
        <v>14022</v>
      </c>
      <c r="BD716" s="19" t="s">
        <v>14023</v>
      </c>
      <c r="BE716" s="19" t="s">
        <v>14015</v>
      </c>
      <c r="BF716" s="19">
        <v>1.1963571737E10</v>
      </c>
      <c r="BG716" s="19" t="s">
        <v>2127</v>
      </c>
      <c r="BH716" s="19" t="s">
        <v>2128</v>
      </c>
      <c r="BI716" s="19"/>
      <c r="BJ716" s="19"/>
      <c r="BK716" s="19" t="s">
        <v>16</v>
      </c>
      <c r="BL716" s="19"/>
      <c r="BM716" s="19" t="s">
        <v>5411</v>
      </c>
      <c r="BN716" s="19" t="s">
        <v>2172</v>
      </c>
      <c r="BO716" s="19" t="s">
        <v>2317</v>
      </c>
      <c r="BP716" s="19"/>
      <c r="BQ716" s="19" t="s">
        <v>2133</v>
      </c>
      <c r="BR716" s="19" t="s">
        <v>2133</v>
      </c>
      <c r="BS716" s="19" t="s">
        <v>2134</v>
      </c>
      <c r="BT716" s="19" t="s">
        <v>52</v>
      </c>
      <c r="BU716" s="19" t="s">
        <v>3501</v>
      </c>
      <c r="BV716" s="19"/>
      <c r="BW716" s="19" t="s">
        <v>2113</v>
      </c>
      <c r="BX716" s="19"/>
      <c r="BY716" s="19"/>
      <c r="BZ716" s="19"/>
      <c r="CA716" s="19"/>
      <c r="CB716" s="19" t="s">
        <v>2113</v>
      </c>
      <c r="CC716" s="19"/>
      <c r="CD716" s="19" t="s">
        <v>2137</v>
      </c>
      <c r="CE716" s="19" t="s">
        <v>16</v>
      </c>
      <c r="CF716" s="19"/>
      <c r="CG716" s="19"/>
      <c r="CH716" s="19" t="s">
        <v>16</v>
      </c>
      <c r="CI716" s="21">
        <v>0.0</v>
      </c>
      <c r="CJ716" s="19" t="s">
        <v>16</v>
      </c>
      <c r="CK716" s="19"/>
      <c r="CL716" s="19"/>
      <c r="CM716" s="19" t="s">
        <v>2344</v>
      </c>
      <c r="CN716" s="19" t="s">
        <v>2382</v>
      </c>
      <c r="CO716" s="19"/>
      <c r="CP716" s="19" t="s">
        <v>2134</v>
      </c>
      <c r="CQ716" s="19"/>
      <c r="CR716" s="19"/>
      <c r="CS716" s="19"/>
      <c r="CT716" s="19"/>
      <c r="CU716" s="19"/>
      <c r="CV716" s="19" t="s">
        <v>2141</v>
      </c>
      <c r="CW716" s="19" t="s">
        <v>2113</v>
      </c>
      <c r="CX716" s="19" t="s">
        <v>2113</v>
      </c>
      <c r="CY716" s="19" t="s">
        <v>2113</v>
      </c>
      <c r="CZ716" s="19" t="s">
        <v>2113</v>
      </c>
      <c r="DA716" s="19" t="s">
        <v>16</v>
      </c>
      <c r="DB716" s="19" t="s">
        <v>16</v>
      </c>
      <c r="DC716" s="19" t="s">
        <v>2142</v>
      </c>
      <c r="DD716" s="19" t="s">
        <v>2113</v>
      </c>
      <c r="DE716" s="19" t="s">
        <v>2113</v>
      </c>
      <c r="DF716" s="19" t="s">
        <v>2297</v>
      </c>
      <c r="DG716" s="19" t="s">
        <v>2143</v>
      </c>
      <c r="DH716" s="19" t="s">
        <v>2144</v>
      </c>
      <c r="DI716" s="24">
        <v>45518.0</v>
      </c>
      <c r="DJ716" s="19" t="s">
        <v>2133</v>
      </c>
      <c r="DK716" s="19" t="s">
        <v>2271</v>
      </c>
      <c r="DL716" s="19" t="s">
        <v>2146</v>
      </c>
      <c r="DM716" s="19"/>
      <c r="DN716" s="19">
        <v>4.0</v>
      </c>
      <c r="DO716" s="19">
        <v>4.0</v>
      </c>
      <c r="DP716" s="19" t="s">
        <v>14024</v>
      </c>
      <c r="DQ716" s="19" t="s">
        <v>14025</v>
      </c>
      <c r="DR716" s="19" t="s">
        <v>14026</v>
      </c>
      <c r="DS716" s="19" t="s">
        <v>2365</v>
      </c>
      <c r="DT716" s="19" t="s">
        <v>2229</v>
      </c>
      <c r="DU716" s="19"/>
      <c r="DV716" s="19"/>
      <c r="DW716" s="19" t="s">
        <v>2153</v>
      </c>
      <c r="DX716" s="19">
        <v>9.0</v>
      </c>
      <c r="DY716" s="19">
        <v>10.0</v>
      </c>
      <c r="DZ716" s="19">
        <v>0.0</v>
      </c>
      <c r="EA716" s="19">
        <v>10.0</v>
      </c>
      <c r="EB716" s="19">
        <v>0.0</v>
      </c>
      <c r="EC716" s="19">
        <v>0.0</v>
      </c>
      <c r="ED716" s="19" t="s">
        <v>2133</v>
      </c>
      <c r="EE716" s="24">
        <v>45518.0</v>
      </c>
      <c r="EF716" s="19" t="s">
        <v>2133</v>
      </c>
      <c r="EG716" s="19" t="s">
        <v>2271</v>
      </c>
      <c r="EH716" s="19" t="s">
        <v>2146</v>
      </c>
      <c r="EI716" s="22">
        <v>12.375</v>
      </c>
      <c r="EJ716" s="19">
        <v>0.0</v>
      </c>
      <c r="EK716" s="19"/>
      <c r="EL716" s="19" t="s">
        <v>2282</v>
      </c>
      <c r="EM716" s="19" t="s">
        <v>3691</v>
      </c>
      <c r="EN716" s="19" t="s">
        <v>14014</v>
      </c>
      <c r="EO716" s="19" t="s">
        <v>2375</v>
      </c>
      <c r="EP716" s="19" t="s">
        <v>2310</v>
      </c>
      <c r="EQ716" s="19" t="s">
        <v>2382</v>
      </c>
      <c r="ER716" s="19"/>
      <c r="ES716" s="19" t="s">
        <v>14014</v>
      </c>
      <c r="ET716" s="19" t="s">
        <v>14014</v>
      </c>
      <c r="EU716" s="19" t="s">
        <v>14016</v>
      </c>
      <c r="EV716" s="19">
        <v>9031.0</v>
      </c>
      <c r="EW716" s="19" t="s">
        <v>16</v>
      </c>
      <c r="EX716" s="19">
        <v>4.0</v>
      </c>
      <c r="EY716" s="25" t="s">
        <v>14017</v>
      </c>
      <c r="EZ716" s="19" t="s">
        <v>2154</v>
      </c>
      <c r="FA716" s="5" t="s">
        <v>14027</v>
      </c>
      <c r="FB716" s="26" t="s">
        <v>2633</v>
      </c>
      <c r="FC716" s="26" t="s">
        <v>10773</v>
      </c>
    </row>
    <row r="717" hidden="1">
      <c r="A717" s="19" t="s">
        <v>2112</v>
      </c>
      <c r="B717" s="19"/>
      <c r="C717" s="19" t="s">
        <v>2113</v>
      </c>
      <c r="D717" s="19" t="s">
        <v>14028</v>
      </c>
      <c r="E717" s="19" t="s">
        <v>14029</v>
      </c>
      <c r="F717" s="19" t="s">
        <v>14030</v>
      </c>
      <c r="G717" s="19" t="s">
        <v>14031</v>
      </c>
      <c r="H717" s="19" t="s">
        <v>14028</v>
      </c>
      <c r="I717" s="19" t="s">
        <v>14032</v>
      </c>
      <c r="J717" s="19" t="s">
        <v>14033</v>
      </c>
      <c r="K717" s="19" t="s">
        <v>14034</v>
      </c>
      <c r="L717" s="20">
        <v>45442.0</v>
      </c>
      <c r="M717" s="20">
        <v>45446.0</v>
      </c>
      <c r="N717" s="20">
        <v>45446.0</v>
      </c>
      <c r="O717" s="19" t="s">
        <v>14035</v>
      </c>
      <c r="P717" s="19">
        <v>0.0</v>
      </c>
      <c r="Q717" s="19">
        <v>22.0</v>
      </c>
      <c r="R717" s="19">
        <v>8111.0</v>
      </c>
      <c r="S717" s="20" t="s">
        <v>5837</v>
      </c>
      <c r="T717" s="20">
        <v>45461.0</v>
      </c>
      <c r="U717" s="19" t="s">
        <v>14030</v>
      </c>
      <c r="V717" s="19"/>
      <c r="W717" s="19"/>
      <c r="X717" s="21">
        <v>0.0</v>
      </c>
      <c r="Y717" s="21">
        <v>10.0</v>
      </c>
      <c r="Z717" s="21">
        <v>3.0</v>
      </c>
      <c r="AA717" s="21">
        <v>0.0</v>
      </c>
      <c r="AB717" s="5">
        <v>13.0</v>
      </c>
      <c r="AC717" s="19">
        <v>4.0</v>
      </c>
      <c r="AD717" s="19">
        <v>4.0</v>
      </c>
      <c r="AE717" s="19">
        <v>5.0</v>
      </c>
      <c r="AF717" s="19">
        <v>4.5</v>
      </c>
      <c r="AG717" s="19">
        <v>4.5</v>
      </c>
      <c r="AH717" s="19">
        <v>4.5</v>
      </c>
      <c r="AI717" s="22">
        <v>13.3125</v>
      </c>
      <c r="AJ717" s="19"/>
      <c r="AK717" s="19"/>
      <c r="AL717" s="19"/>
      <c r="AM717" s="19">
        <v>0.0</v>
      </c>
      <c r="AN717" s="19">
        <v>13.3</v>
      </c>
      <c r="AO717" s="19">
        <v>26.3</v>
      </c>
      <c r="AP717" s="19">
        <v>734.0</v>
      </c>
      <c r="AQ717" s="19">
        <v>716.0</v>
      </c>
      <c r="AR717" s="19">
        <v>58.0</v>
      </c>
      <c r="AS717" s="22"/>
      <c r="AT717" s="19" t="s">
        <v>2163</v>
      </c>
      <c r="AU717" s="19" t="s">
        <v>14036</v>
      </c>
      <c r="AV717" s="19" t="s">
        <v>14037</v>
      </c>
      <c r="AW717" s="19" t="s">
        <v>14038</v>
      </c>
      <c r="AX717" s="20">
        <v>37350.0</v>
      </c>
      <c r="AY717" s="19" t="s">
        <v>3053</v>
      </c>
      <c r="AZ717" s="19" t="s">
        <v>2122</v>
      </c>
      <c r="BA717" s="19" t="s">
        <v>14039</v>
      </c>
      <c r="BB717" s="19" t="s">
        <v>14040</v>
      </c>
      <c r="BC717" s="19" t="s">
        <v>14041</v>
      </c>
      <c r="BD717" s="19" t="s">
        <v>14042</v>
      </c>
      <c r="BE717" s="19" t="s">
        <v>14043</v>
      </c>
      <c r="BF717" s="19">
        <v>1.1975577178E10</v>
      </c>
      <c r="BG717" s="19" t="s">
        <v>2127</v>
      </c>
      <c r="BH717" s="19" t="s">
        <v>2649</v>
      </c>
      <c r="BI717" s="19"/>
      <c r="BJ717" s="19" t="s">
        <v>2128</v>
      </c>
      <c r="BK717" s="19" t="s">
        <v>17</v>
      </c>
      <c r="BL717" s="19"/>
      <c r="BM717" s="19" t="s">
        <v>5411</v>
      </c>
      <c r="BN717" s="19" t="s">
        <v>2708</v>
      </c>
      <c r="BO717" s="19" t="s">
        <v>2473</v>
      </c>
      <c r="BP717" s="19" t="s">
        <v>14044</v>
      </c>
      <c r="BQ717" s="19" t="s">
        <v>2325</v>
      </c>
      <c r="BR717" s="19" t="s">
        <v>2325</v>
      </c>
      <c r="BS717" s="19" t="s">
        <v>2134</v>
      </c>
      <c r="BT717" s="19" t="s">
        <v>59</v>
      </c>
      <c r="BU717" s="19" t="s">
        <v>14045</v>
      </c>
      <c r="BV717" s="19"/>
      <c r="BW717" s="19"/>
      <c r="BX717" s="19"/>
      <c r="BY717" s="19"/>
      <c r="BZ717" s="19" t="s">
        <v>2113</v>
      </c>
      <c r="CA717" s="19" t="s">
        <v>2113</v>
      </c>
      <c r="CB717" s="19"/>
      <c r="CC717" s="19"/>
      <c r="CD717" s="19" t="s">
        <v>2137</v>
      </c>
      <c r="CE717" s="19" t="s">
        <v>16</v>
      </c>
      <c r="CF717" s="19"/>
      <c r="CG717" s="19"/>
      <c r="CH717" s="19" t="s">
        <v>16</v>
      </c>
      <c r="CI717" s="21">
        <v>0.0</v>
      </c>
      <c r="CJ717" s="19" t="s">
        <v>17</v>
      </c>
      <c r="CK717" s="19"/>
      <c r="CL717" s="19"/>
      <c r="CM717" s="19" t="s">
        <v>2138</v>
      </c>
      <c r="CN717" s="19" t="s">
        <v>3064</v>
      </c>
      <c r="CO717" s="19"/>
      <c r="CP717" s="19" t="s">
        <v>2178</v>
      </c>
      <c r="CQ717" s="19"/>
      <c r="CR717" s="19"/>
      <c r="CS717" s="19"/>
      <c r="CT717" s="19"/>
      <c r="CU717" s="19"/>
      <c r="CV717" s="19" t="s">
        <v>2141</v>
      </c>
      <c r="CW717" s="19"/>
      <c r="CX717" s="19"/>
      <c r="CY717" s="19" t="s">
        <v>2113</v>
      </c>
      <c r="CZ717" s="19" t="s">
        <v>2113</v>
      </c>
      <c r="DA717" s="19" t="s">
        <v>16</v>
      </c>
      <c r="DB717" s="19" t="s">
        <v>17</v>
      </c>
      <c r="DC717" s="19" t="s">
        <v>2432</v>
      </c>
      <c r="DD717" s="19" t="s">
        <v>2113</v>
      </c>
      <c r="DE717" s="19" t="s">
        <v>2113</v>
      </c>
      <c r="DF717" s="19" t="s">
        <v>2433</v>
      </c>
      <c r="DG717" s="19" t="s">
        <v>2496</v>
      </c>
      <c r="DH717" s="19" t="s">
        <v>2144</v>
      </c>
      <c r="DI717" s="24">
        <v>45524.0</v>
      </c>
      <c r="DJ717" s="19" t="s">
        <v>2325</v>
      </c>
      <c r="DK717" s="19" t="s">
        <v>2145</v>
      </c>
      <c r="DL717" s="19" t="s">
        <v>2326</v>
      </c>
      <c r="DM717" s="19"/>
      <c r="DN717" s="19">
        <v>7.0</v>
      </c>
      <c r="DO717" s="19">
        <v>7.0</v>
      </c>
      <c r="DP717" s="19" t="s">
        <v>14046</v>
      </c>
      <c r="DQ717" s="19" t="s">
        <v>14047</v>
      </c>
      <c r="DR717" s="19" t="s">
        <v>14048</v>
      </c>
      <c r="DS717" s="19" t="s">
        <v>2185</v>
      </c>
      <c r="DT717" s="19" t="s">
        <v>2152</v>
      </c>
      <c r="DU717" s="19"/>
      <c r="DV717" s="19"/>
      <c r="DW717" s="19" t="s">
        <v>2188</v>
      </c>
      <c r="DX717" s="19">
        <v>5.0</v>
      </c>
      <c r="DY717" s="19">
        <v>10.0</v>
      </c>
      <c r="DZ717" s="19">
        <v>0.0</v>
      </c>
      <c r="EA717" s="19">
        <v>10.0</v>
      </c>
      <c r="EB717" s="19">
        <v>0.0</v>
      </c>
      <c r="EC717" s="19">
        <v>0.0</v>
      </c>
      <c r="ED717" s="19" t="s">
        <v>2325</v>
      </c>
      <c r="EE717" s="24">
        <v>45524.0</v>
      </c>
      <c r="EF717" s="19" t="s">
        <v>2325</v>
      </c>
      <c r="EG717" s="19" t="s">
        <v>2145</v>
      </c>
      <c r="EH717" s="19" t="s">
        <v>2326</v>
      </c>
      <c r="EI717" s="22">
        <v>13.3125</v>
      </c>
      <c r="EJ717" s="19">
        <v>0.0</v>
      </c>
      <c r="EK717" s="19" t="s">
        <v>2113</v>
      </c>
      <c r="EL717" s="19" t="s">
        <v>2163</v>
      </c>
      <c r="EM717" s="19" t="s">
        <v>14036</v>
      </c>
      <c r="EN717" s="19" t="s">
        <v>14032</v>
      </c>
      <c r="EO717" s="19" t="s">
        <v>3053</v>
      </c>
      <c r="EP717" s="19" t="s">
        <v>2122</v>
      </c>
      <c r="EQ717" s="19" t="s">
        <v>3064</v>
      </c>
      <c r="ER717" s="19"/>
      <c r="ES717" s="19" t="s">
        <v>14032</v>
      </c>
      <c r="ET717" s="19" t="s">
        <v>14032</v>
      </c>
      <c r="EU717" s="19" t="s">
        <v>14034</v>
      </c>
      <c r="EV717" s="19">
        <v>8111.0</v>
      </c>
      <c r="EW717" s="19" t="s">
        <v>16</v>
      </c>
      <c r="EX717" s="19">
        <v>3.0</v>
      </c>
      <c r="EY717" s="25" t="s">
        <v>14035</v>
      </c>
      <c r="EZ717" s="19" t="s">
        <v>2154</v>
      </c>
      <c r="FA717" s="5" t="s">
        <v>14049</v>
      </c>
      <c r="FB717" s="26" t="s">
        <v>2633</v>
      </c>
      <c r="FC717" s="26" t="s">
        <v>11913</v>
      </c>
    </row>
    <row r="718" hidden="1">
      <c r="A718" s="19" t="s">
        <v>2112</v>
      </c>
      <c r="B718" s="19"/>
      <c r="C718" s="19" t="s">
        <v>2113</v>
      </c>
      <c r="D718" s="19" t="s">
        <v>14050</v>
      </c>
      <c r="E718" s="19" t="s">
        <v>14051</v>
      </c>
      <c r="F718" s="19" t="s">
        <v>14050</v>
      </c>
      <c r="G718" s="19" t="s">
        <v>14051</v>
      </c>
      <c r="H718" s="19" t="s">
        <v>14050</v>
      </c>
      <c r="I718" s="19" t="s">
        <v>14052</v>
      </c>
      <c r="J718" s="19" t="s">
        <v>14053</v>
      </c>
      <c r="K718" s="19" t="s">
        <v>14054</v>
      </c>
      <c r="L718" s="20">
        <v>45446.0</v>
      </c>
      <c r="M718" s="20">
        <v>45447.0</v>
      </c>
      <c r="N718" s="20">
        <v>45447.0</v>
      </c>
      <c r="O718" s="19" t="s">
        <v>14055</v>
      </c>
      <c r="P718" s="19">
        <v>0.0</v>
      </c>
      <c r="Q718" s="19">
        <v>25.0</v>
      </c>
      <c r="R718" s="19">
        <v>9228.0</v>
      </c>
      <c r="S718" s="20" t="s">
        <v>14056</v>
      </c>
      <c r="T718" s="20">
        <v>45461.0</v>
      </c>
      <c r="U718" s="19" t="s">
        <v>14050</v>
      </c>
      <c r="V718" s="19"/>
      <c r="W718" s="19"/>
      <c r="X718" s="21">
        <v>0.0</v>
      </c>
      <c r="Y718" s="21">
        <v>10.0</v>
      </c>
      <c r="Z718" s="21">
        <v>2.0</v>
      </c>
      <c r="AA718" s="21">
        <v>0.0</v>
      </c>
      <c r="AB718" s="5">
        <v>12.0</v>
      </c>
      <c r="AC718" s="19">
        <v>4.5</v>
      </c>
      <c r="AD718" s="19">
        <v>5.0</v>
      </c>
      <c r="AE718" s="19">
        <v>4.5</v>
      </c>
      <c r="AF718" s="19">
        <v>4.5</v>
      </c>
      <c r="AG718" s="19">
        <v>5.0</v>
      </c>
      <c r="AH718" s="19">
        <v>5.0</v>
      </c>
      <c r="AI718" s="22">
        <v>14.203125</v>
      </c>
      <c r="AJ718" s="19"/>
      <c r="AK718" s="19"/>
      <c r="AL718" s="19"/>
      <c r="AM718" s="19">
        <v>0.0</v>
      </c>
      <c r="AN718" s="19">
        <v>14.2</v>
      </c>
      <c r="AO718" s="19">
        <v>26.2</v>
      </c>
      <c r="AP718" s="19">
        <v>848.0</v>
      </c>
      <c r="AQ718" s="19">
        <v>717.0</v>
      </c>
      <c r="AR718" s="19">
        <v>26.0</v>
      </c>
      <c r="AS718" s="22"/>
      <c r="AT718" s="19" t="s">
        <v>2163</v>
      </c>
      <c r="AU718" s="19" t="s">
        <v>8645</v>
      </c>
      <c r="AV718" s="19" t="s">
        <v>14057</v>
      </c>
      <c r="AW718" s="19"/>
      <c r="AX718" s="20">
        <v>36233.0</v>
      </c>
      <c r="AY718" s="19" t="s">
        <v>8648</v>
      </c>
      <c r="AZ718" s="19" t="s">
        <v>2310</v>
      </c>
      <c r="BA718" s="19" t="s">
        <v>14058</v>
      </c>
      <c r="BB718" s="19" t="s">
        <v>6255</v>
      </c>
      <c r="BC718" s="19" t="s">
        <v>14059</v>
      </c>
      <c r="BD718" s="19" t="s">
        <v>8898</v>
      </c>
      <c r="BE718" s="19" t="s">
        <v>14053</v>
      </c>
      <c r="BF718" s="19">
        <v>1.1976601719E10</v>
      </c>
      <c r="BG718" s="19" t="s">
        <v>2127</v>
      </c>
      <c r="BH718" s="19" t="s">
        <v>4080</v>
      </c>
      <c r="BI718" s="19"/>
      <c r="BJ718" s="19"/>
      <c r="BK718" s="19" t="s">
        <v>16</v>
      </c>
      <c r="BL718" s="19" t="s">
        <v>2113</v>
      </c>
      <c r="BM718" s="19" t="s">
        <v>5411</v>
      </c>
      <c r="BN718" s="19" t="s">
        <v>2172</v>
      </c>
      <c r="BO718" s="19" t="s">
        <v>3199</v>
      </c>
      <c r="BP718" s="19" t="s">
        <v>14060</v>
      </c>
      <c r="BQ718" s="19" t="s">
        <v>3251</v>
      </c>
      <c r="BR718" s="19" t="s">
        <v>3251</v>
      </c>
      <c r="BS718" s="19" t="s">
        <v>2134</v>
      </c>
      <c r="BT718" s="19" t="s">
        <v>177</v>
      </c>
      <c r="BU718" s="19" t="s">
        <v>2177</v>
      </c>
      <c r="BV718" s="19"/>
      <c r="BW718" s="19"/>
      <c r="BX718" s="19"/>
      <c r="BY718" s="19"/>
      <c r="BZ718" s="19" t="s">
        <v>2113</v>
      </c>
      <c r="CA718" s="19"/>
      <c r="CB718" s="19" t="s">
        <v>2113</v>
      </c>
      <c r="CC718" s="19"/>
      <c r="CD718" s="19" t="s">
        <v>2137</v>
      </c>
      <c r="CE718" s="19" t="s">
        <v>16</v>
      </c>
      <c r="CF718" s="19"/>
      <c r="CG718" s="19"/>
      <c r="CH718" s="19" t="s">
        <v>16</v>
      </c>
      <c r="CI718" s="21">
        <v>0.0</v>
      </c>
      <c r="CJ718" s="19" t="s">
        <v>17</v>
      </c>
      <c r="CK718" s="19"/>
      <c r="CL718" s="19"/>
      <c r="CM718" s="19"/>
      <c r="CN718" s="19" t="s">
        <v>3253</v>
      </c>
      <c r="CO718" s="19"/>
      <c r="CP718" s="19"/>
      <c r="CQ718" s="19" t="s">
        <v>2113</v>
      </c>
      <c r="CR718" s="19"/>
      <c r="CS718" s="19"/>
      <c r="CT718" s="19" t="s">
        <v>2113</v>
      </c>
      <c r="CU718" s="19" t="s">
        <v>2113</v>
      </c>
      <c r="CV718" s="19" t="s">
        <v>2179</v>
      </c>
      <c r="CW718" s="19"/>
      <c r="CX718" s="19"/>
      <c r="CY718" s="19"/>
      <c r="CZ718" s="19"/>
      <c r="DA718" s="19" t="s">
        <v>16</v>
      </c>
      <c r="DB718" s="19" t="s">
        <v>17</v>
      </c>
      <c r="DC718" s="19" t="s">
        <v>2602</v>
      </c>
      <c r="DD718" s="19" t="s">
        <v>2113</v>
      </c>
      <c r="DE718" s="19" t="s">
        <v>2113</v>
      </c>
      <c r="DF718" s="19" t="s">
        <v>2433</v>
      </c>
      <c r="DG718" s="19" t="s">
        <v>2207</v>
      </c>
      <c r="DH718" s="19" t="s">
        <v>2144</v>
      </c>
      <c r="DI718" s="24">
        <v>45519.0</v>
      </c>
      <c r="DJ718" s="19" t="s">
        <v>3257</v>
      </c>
      <c r="DK718" s="19" t="s">
        <v>2271</v>
      </c>
      <c r="DL718" s="19" t="s">
        <v>2207</v>
      </c>
      <c r="DM718" s="22" t="s">
        <v>5286</v>
      </c>
      <c r="DN718" s="19">
        <v>3.0</v>
      </c>
      <c r="DO718" s="19">
        <v>3.0</v>
      </c>
      <c r="DP718" s="19"/>
      <c r="DQ718" s="19"/>
      <c r="DR718" s="19"/>
      <c r="DS718" s="19" t="s">
        <v>2365</v>
      </c>
      <c r="DT718" s="19" t="s">
        <v>2209</v>
      </c>
      <c r="DU718" s="19" t="s">
        <v>14061</v>
      </c>
      <c r="DV718" s="19"/>
      <c r="DW718" s="19" t="s">
        <v>2188</v>
      </c>
      <c r="DX718" s="19">
        <v>10.0</v>
      </c>
      <c r="DY718" s="19">
        <v>10.0</v>
      </c>
      <c r="DZ718" s="19">
        <v>0.0</v>
      </c>
      <c r="EA718" s="19">
        <v>10.0</v>
      </c>
      <c r="EB718" s="19">
        <v>0.0</v>
      </c>
      <c r="EC718" s="19">
        <v>0.0</v>
      </c>
      <c r="ED718" s="19" t="s">
        <v>3257</v>
      </c>
      <c r="EE718" s="24">
        <v>45519.0</v>
      </c>
      <c r="EF718" s="19" t="s">
        <v>3257</v>
      </c>
      <c r="EG718" s="19" t="s">
        <v>2271</v>
      </c>
      <c r="EH718" s="19" t="s">
        <v>2207</v>
      </c>
      <c r="EI718" s="22">
        <v>14.203125</v>
      </c>
      <c r="EJ718" s="19">
        <v>0.0</v>
      </c>
      <c r="EK718" s="19" t="s">
        <v>2113</v>
      </c>
      <c r="EL718" s="19" t="s">
        <v>2163</v>
      </c>
      <c r="EM718" s="19" t="s">
        <v>8645</v>
      </c>
      <c r="EN718" s="19" t="s">
        <v>14052</v>
      </c>
      <c r="EO718" s="19" t="s">
        <v>8648</v>
      </c>
      <c r="EP718" s="19" t="s">
        <v>2310</v>
      </c>
      <c r="EQ718" s="19" t="s">
        <v>3253</v>
      </c>
      <c r="ER718" s="19"/>
      <c r="ES718" s="19" t="s">
        <v>14052</v>
      </c>
      <c r="ET718" s="19" t="s">
        <v>14052</v>
      </c>
      <c r="EU718" s="19" t="s">
        <v>14054</v>
      </c>
      <c r="EV718" s="19">
        <v>9228.0</v>
      </c>
      <c r="EW718" s="19" t="s">
        <v>16</v>
      </c>
      <c r="EX718" s="19">
        <v>2.0</v>
      </c>
      <c r="EY718" s="25" t="s">
        <v>14055</v>
      </c>
      <c r="EZ718" s="19" t="s">
        <v>2154</v>
      </c>
      <c r="FA718" s="5" t="s">
        <v>14062</v>
      </c>
      <c r="FB718" s="26" t="s">
        <v>2633</v>
      </c>
      <c r="FC718" s="26" t="s">
        <v>10773</v>
      </c>
    </row>
    <row r="719" hidden="1">
      <c r="A719" s="19" t="s">
        <v>2156</v>
      </c>
      <c r="B719" s="19"/>
      <c r="C719" s="19" t="s">
        <v>2113</v>
      </c>
      <c r="D719" s="19" t="s">
        <v>14063</v>
      </c>
      <c r="E719" s="19" t="s">
        <v>14064</v>
      </c>
      <c r="F719" s="19" t="s">
        <v>14065</v>
      </c>
      <c r="G719" s="19" t="s">
        <v>14066</v>
      </c>
      <c r="H719" s="19" t="s">
        <v>14067</v>
      </c>
      <c r="I719" s="19" t="s">
        <v>14068</v>
      </c>
      <c r="J719" s="19" t="s">
        <v>14069</v>
      </c>
      <c r="K719" s="19" t="s">
        <v>14070</v>
      </c>
      <c r="L719" s="20">
        <v>45407.0</v>
      </c>
      <c r="M719" s="20">
        <v>45411.0</v>
      </c>
      <c r="N719" s="20">
        <v>45411.0</v>
      </c>
      <c r="O719" s="19" t="s">
        <v>14071</v>
      </c>
      <c r="P719" s="19">
        <v>0.0</v>
      </c>
      <c r="Q719" s="19">
        <v>24.0</v>
      </c>
      <c r="R719" s="19">
        <v>8905.0</v>
      </c>
      <c r="S719" s="20" t="s">
        <v>14072</v>
      </c>
      <c r="T719" s="20">
        <v>45461.0</v>
      </c>
      <c r="U719" s="19" t="s">
        <v>14065</v>
      </c>
      <c r="V719" s="19"/>
      <c r="W719" s="19"/>
      <c r="X719" s="21">
        <v>0.0</v>
      </c>
      <c r="Y719" s="21">
        <v>10.0</v>
      </c>
      <c r="Z719" s="21">
        <v>4.0</v>
      </c>
      <c r="AA719" s="21">
        <v>0.0</v>
      </c>
      <c r="AB719" s="5">
        <v>14.0</v>
      </c>
      <c r="AC719" s="19">
        <v>4.0</v>
      </c>
      <c r="AD719" s="19">
        <v>4.0</v>
      </c>
      <c r="AE719" s="19">
        <v>4.0</v>
      </c>
      <c r="AF719" s="19">
        <v>4.0</v>
      </c>
      <c r="AG719" s="19">
        <v>4.0</v>
      </c>
      <c r="AH719" s="19">
        <v>4.0</v>
      </c>
      <c r="AI719" s="22">
        <v>12.0</v>
      </c>
      <c r="AJ719" s="19"/>
      <c r="AK719" s="19"/>
      <c r="AL719" s="19"/>
      <c r="AM719" s="19">
        <v>0.0</v>
      </c>
      <c r="AN719" s="19">
        <v>12.0</v>
      </c>
      <c r="AO719" s="19">
        <v>26.0</v>
      </c>
      <c r="AP719" s="19">
        <v>594.0</v>
      </c>
      <c r="AQ719" s="19">
        <v>718.0</v>
      </c>
      <c r="AR719" s="19">
        <v>55.0</v>
      </c>
      <c r="AS719" s="22"/>
      <c r="AT719" s="19" t="s">
        <v>2282</v>
      </c>
      <c r="AU719" s="19" t="s">
        <v>14073</v>
      </c>
      <c r="AV719" s="19" t="s">
        <v>14074</v>
      </c>
      <c r="AW719" s="19" t="s">
        <v>2166</v>
      </c>
      <c r="AX719" s="20">
        <v>36556.0</v>
      </c>
      <c r="AY719" s="19" t="s">
        <v>3232</v>
      </c>
      <c r="AZ719" s="19" t="s">
        <v>2310</v>
      </c>
      <c r="BA719" s="19" t="s">
        <v>14075</v>
      </c>
      <c r="BB719" s="19" t="s">
        <v>14076</v>
      </c>
      <c r="BC719" s="19" t="s">
        <v>14077</v>
      </c>
      <c r="BD719" s="19" t="s">
        <v>14078</v>
      </c>
      <c r="BE719" s="19" t="s">
        <v>14069</v>
      </c>
      <c r="BF719" s="19" t="s">
        <v>14079</v>
      </c>
      <c r="BG719" s="19" t="s">
        <v>2127</v>
      </c>
      <c r="BH719" s="19" t="s">
        <v>2128</v>
      </c>
      <c r="BI719" s="19"/>
      <c r="BJ719" s="19" t="s">
        <v>2128</v>
      </c>
      <c r="BK719" s="19" t="s">
        <v>16</v>
      </c>
      <c r="BL719" s="19"/>
      <c r="BM719" s="19" t="s">
        <v>5563</v>
      </c>
      <c r="BN719" s="19" t="s">
        <v>17</v>
      </c>
      <c r="BO719" s="19" t="s">
        <v>2317</v>
      </c>
      <c r="BP719" s="19" t="s">
        <v>14080</v>
      </c>
      <c r="BQ719" s="19" t="s">
        <v>2325</v>
      </c>
      <c r="BR719" s="19" t="s">
        <v>2325</v>
      </c>
      <c r="BS719" s="19" t="s">
        <v>2134</v>
      </c>
      <c r="BT719" s="19" t="s">
        <v>118</v>
      </c>
      <c r="BU719" s="19" t="s">
        <v>14081</v>
      </c>
      <c r="BV719" s="19"/>
      <c r="BW719" s="19" t="s">
        <v>2113</v>
      </c>
      <c r="BX719" s="19"/>
      <c r="BY719" s="19"/>
      <c r="BZ719" s="19"/>
      <c r="CA719" s="19"/>
      <c r="CB719" s="19"/>
      <c r="CC719" s="19"/>
      <c r="CD719" s="19" t="s">
        <v>2137</v>
      </c>
      <c r="CE719" s="19" t="s">
        <v>16</v>
      </c>
      <c r="CF719" s="19"/>
      <c r="CG719" s="19"/>
      <c r="CH719" s="19" t="s">
        <v>16</v>
      </c>
      <c r="CI719" s="21">
        <v>0.0</v>
      </c>
      <c r="CJ719" s="19" t="s">
        <v>16</v>
      </c>
      <c r="CK719" s="19"/>
      <c r="CL719" s="19"/>
      <c r="CM719" s="19" t="s">
        <v>2926</v>
      </c>
      <c r="CN719" s="19" t="s">
        <v>2868</v>
      </c>
      <c r="CO719" s="19"/>
      <c r="CP719" s="19" t="s">
        <v>2134</v>
      </c>
      <c r="CQ719" s="19"/>
      <c r="CR719" s="19"/>
      <c r="CS719" s="19"/>
      <c r="CT719" s="19" t="s">
        <v>2113</v>
      </c>
      <c r="CU719" s="19" t="s">
        <v>2113</v>
      </c>
      <c r="CV719" s="19" t="s">
        <v>2141</v>
      </c>
      <c r="CW719" s="19"/>
      <c r="CX719" s="19"/>
      <c r="CY719" s="19" t="s">
        <v>2113</v>
      </c>
      <c r="CZ719" s="19" t="s">
        <v>2113</v>
      </c>
      <c r="DA719" s="19" t="s">
        <v>16</v>
      </c>
      <c r="DB719" s="19" t="s">
        <v>16</v>
      </c>
      <c r="DC719" s="19" t="s">
        <v>2869</v>
      </c>
      <c r="DD719" s="19" t="s">
        <v>2113</v>
      </c>
      <c r="DE719" s="19" t="s">
        <v>2113</v>
      </c>
      <c r="DF719" s="19" t="s">
        <v>3933</v>
      </c>
      <c r="DG719" s="19" t="s">
        <v>2498</v>
      </c>
      <c r="DH719" s="19" t="s">
        <v>2144</v>
      </c>
      <c r="DI719" s="24">
        <v>45518.0</v>
      </c>
      <c r="DJ719" s="19" t="s">
        <v>2325</v>
      </c>
      <c r="DK719" s="19" t="s">
        <v>2145</v>
      </c>
      <c r="DL719" s="19" t="s">
        <v>2326</v>
      </c>
      <c r="DM719" s="19"/>
      <c r="DN719" s="19">
        <v>3.0</v>
      </c>
      <c r="DO719" s="19">
        <v>3.0</v>
      </c>
      <c r="DP719" s="19" t="s">
        <v>14082</v>
      </c>
      <c r="DQ719" s="19" t="s">
        <v>14083</v>
      </c>
      <c r="DR719" s="19" t="s">
        <v>14084</v>
      </c>
      <c r="DS719" s="19" t="s">
        <v>2185</v>
      </c>
      <c r="DT719" s="19" t="s">
        <v>2301</v>
      </c>
      <c r="DU719" s="19"/>
      <c r="DV719" s="19"/>
      <c r="DW719" s="19" t="s">
        <v>2153</v>
      </c>
      <c r="DX719" s="19">
        <v>3.0</v>
      </c>
      <c r="DY719" s="19">
        <v>10.0</v>
      </c>
      <c r="DZ719" s="19">
        <v>0.0</v>
      </c>
      <c r="EA719" s="19">
        <v>10.0</v>
      </c>
      <c r="EB719" s="19">
        <v>0.0</v>
      </c>
      <c r="EC719" s="19">
        <v>0.0</v>
      </c>
      <c r="ED719" s="19" t="s">
        <v>2325</v>
      </c>
      <c r="EE719" s="24">
        <v>45518.0</v>
      </c>
      <c r="EF719" s="19" t="s">
        <v>2325</v>
      </c>
      <c r="EG719" s="19" t="s">
        <v>2145</v>
      </c>
      <c r="EH719" s="19" t="s">
        <v>2326</v>
      </c>
      <c r="EI719" s="22">
        <v>12.0</v>
      </c>
      <c r="EJ719" s="19">
        <v>0.0</v>
      </c>
      <c r="EK719" s="19"/>
      <c r="EL719" s="19" t="s">
        <v>2282</v>
      </c>
      <c r="EM719" s="19" t="s">
        <v>14073</v>
      </c>
      <c r="EN719" s="19" t="s">
        <v>14068</v>
      </c>
      <c r="EO719" s="19" t="s">
        <v>3232</v>
      </c>
      <c r="EP719" s="19" t="s">
        <v>2310</v>
      </c>
      <c r="EQ719" s="19" t="s">
        <v>2868</v>
      </c>
      <c r="ER719" s="19"/>
      <c r="ES719" s="19" t="s">
        <v>14068</v>
      </c>
      <c r="ET719" s="19" t="s">
        <v>14068</v>
      </c>
      <c r="EU719" s="19" t="s">
        <v>14070</v>
      </c>
      <c r="EV719" s="19">
        <v>8905.0</v>
      </c>
      <c r="EW719" s="19" t="s">
        <v>16</v>
      </c>
      <c r="EX719" s="19">
        <v>4.0</v>
      </c>
      <c r="EY719" s="25" t="s">
        <v>14071</v>
      </c>
      <c r="EZ719" s="19" t="s">
        <v>2154</v>
      </c>
      <c r="FA719" s="5" t="s">
        <v>14085</v>
      </c>
      <c r="FB719" s="26" t="s">
        <v>2633</v>
      </c>
      <c r="FC719" s="26" t="s">
        <v>11913</v>
      </c>
    </row>
    <row r="720" hidden="1">
      <c r="A720" s="19" t="s">
        <v>2112</v>
      </c>
      <c r="B720" s="19"/>
      <c r="C720" s="19" t="s">
        <v>2113</v>
      </c>
      <c r="D720" s="19" t="s">
        <v>14086</v>
      </c>
      <c r="E720" s="19" t="s">
        <v>14087</v>
      </c>
      <c r="F720" s="19" t="s">
        <v>14086</v>
      </c>
      <c r="G720" s="19"/>
      <c r="H720" s="19" t="s">
        <v>14086</v>
      </c>
      <c r="I720" s="19" t="s">
        <v>14088</v>
      </c>
      <c r="J720" s="19" t="s">
        <v>14089</v>
      </c>
      <c r="K720" s="19" t="s">
        <v>14090</v>
      </c>
      <c r="L720" s="20">
        <v>45398.0</v>
      </c>
      <c r="M720" s="20">
        <v>45411.0</v>
      </c>
      <c r="N720" s="20">
        <v>45411.0</v>
      </c>
      <c r="O720" s="19" t="s">
        <v>14091</v>
      </c>
      <c r="P720" s="19">
        <v>0.0</v>
      </c>
      <c r="Q720" s="19">
        <v>19.0</v>
      </c>
      <c r="R720" s="19">
        <v>6956.0</v>
      </c>
      <c r="S720" s="20" t="s">
        <v>14092</v>
      </c>
      <c r="T720" s="20">
        <v>45461.0</v>
      </c>
      <c r="U720" s="19" t="s">
        <v>14086</v>
      </c>
      <c r="V720" s="19"/>
      <c r="W720" s="19"/>
      <c r="X720" s="21">
        <v>0.0</v>
      </c>
      <c r="Y720" s="21">
        <v>10.0</v>
      </c>
      <c r="Z720" s="21">
        <v>5.0</v>
      </c>
      <c r="AA720" s="21">
        <v>0.0</v>
      </c>
      <c r="AB720" s="5">
        <v>15.0</v>
      </c>
      <c r="AC720" s="19">
        <v>3.0</v>
      </c>
      <c r="AD720" s="19">
        <v>4.0</v>
      </c>
      <c r="AE720" s="19">
        <v>3.6</v>
      </c>
      <c r="AF720" s="19">
        <v>3.6</v>
      </c>
      <c r="AG720" s="19">
        <v>3.6</v>
      </c>
      <c r="AH720" s="19">
        <v>3.6</v>
      </c>
      <c r="AI720" s="22">
        <v>10.78125</v>
      </c>
      <c r="AJ720" s="19"/>
      <c r="AK720" s="19"/>
      <c r="AL720" s="19"/>
      <c r="AM720" s="19">
        <v>0.0</v>
      </c>
      <c r="AN720" s="19">
        <v>10.8</v>
      </c>
      <c r="AO720" s="19">
        <v>25.8</v>
      </c>
      <c r="AP720" s="19">
        <v>536.0</v>
      </c>
      <c r="AQ720" s="19">
        <v>719.0</v>
      </c>
      <c r="AR720" s="19">
        <v>57.0</v>
      </c>
      <c r="AS720" s="22"/>
      <c r="AT720" s="19" t="s">
        <v>2282</v>
      </c>
      <c r="AU720" s="19" t="s">
        <v>14093</v>
      </c>
      <c r="AV720" s="19" t="s">
        <v>14094</v>
      </c>
      <c r="AW720" s="19"/>
      <c r="AX720" s="20">
        <v>38505.0</v>
      </c>
      <c r="AY720" s="19" t="s">
        <v>4681</v>
      </c>
      <c r="AZ720" s="19" t="s">
        <v>2122</v>
      </c>
      <c r="BA720" s="19" t="s">
        <v>14095</v>
      </c>
      <c r="BB720" s="19" t="s">
        <v>6884</v>
      </c>
      <c r="BC720" s="19" t="s">
        <v>14096</v>
      </c>
      <c r="BD720" s="19" t="s">
        <v>14097</v>
      </c>
      <c r="BE720" s="19" t="s">
        <v>14098</v>
      </c>
      <c r="BF720" s="19">
        <v>1.1959618983E10</v>
      </c>
      <c r="BG720" s="19" t="s">
        <v>2127</v>
      </c>
      <c r="BH720" s="19" t="s">
        <v>2128</v>
      </c>
      <c r="BI720" s="19"/>
      <c r="BJ720" s="19"/>
      <c r="BK720" s="19" t="s">
        <v>16</v>
      </c>
      <c r="BL720" s="19"/>
      <c r="BM720" s="19" t="s">
        <v>5563</v>
      </c>
      <c r="BN720" s="19" t="s">
        <v>2172</v>
      </c>
      <c r="BO720" s="19" t="s">
        <v>2132</v>
      </c>
      <c r="BP720" s="19" t="s">
        <v>14099</v>
      </c>
      <c r="BQ720" s="19" t="s">
        <v>2174</v>
      </c>
      <c r="BR720" s="19" t="s">
        <v>2174</v>
      </c>
      <c r="BS720" s="19" t="s">
        <v>2134</v>
      </c>
      <c r="BT720" s="19" t="s">
        <v>75</v>
      </c>
      <c r="BU720" s="19"/>
      <c r="BV720" s="19"/>
      <c r="BW720" s="19" t="s">
        <v>2113</v>
      </c>
      <c r="BX720" s="19"/>
      <c r="BY720" s="19"/>
      <c r="BZ720" s="19"/>
      <c r="CA720" s="19"/>
      <c r="CB720" s="19" t="s">
        <v>2113</v>
      </c>
      <c r="CC720" s="19"/>
      <c r="CD720" s="19" t="s">
        <v>2137</v>
      </c>
      <c r="CE720" s="19" t="s">
        <v>16</v>
      </c>
      <c r="CF720" s="19"/>
      <c r="CG720" s="19"/>
      <c r="CH720" s="19" t="s">
        <v>16</v>
      </c>
      <c r="CI720" s="21">
        <v>0.0</v>
      </c>
      <c r="CJ720" s="19" t="s">
        <v>16</v>
      </c>
      <c r="CK720" s="19"/>
      <c r="CL720" s="19"/>
      <c r="CM720" s="19" t="s">
        <v>2926</v>
      </c>
      <c r="CN720" s="19" t="s">
        <v>2537</v>
      </c>
      <c r="CO720" s="19"/>
      <c r="CP720" s="19" t="s">
        <v>2134</v>
      </c>
      <c r="CQ720" s="19"/>
      <c r="CR720" s="19" t="s">
        <v>2113</v>
      </c>
      <c r="CS720" s="19" t="s">
        <v>2113</v>
      </c>
      <c r="CT720" s="19"/>
      <c r="CU720" s="19"/>
      <c r="CV720" s="19" t="s">
        <v>2141</v>
      </c>
      <c r="CW720" s="19"/>
      <c r="CX720" s="19"/>
      <c r="CY720" s="19" t="s">
        <v>2113</v>
      </c>
      <c r="CZ720" s="19" t="s">
        <v>2113</v>
      </c>
      <c r="DA720" s="19" t="s">
        <v>16</v>
      </c>
      <c r="DB720" s="19" t="s">
        <v>16</v>
      </c>
      <c r="DC720" s="19" t="s">
        <v>5213</v>
      </c>
      <c r="DD720" s="19"/>
      <c r="DE720" s="19"/>
      <c r="DF720" s="19" t="s">
        <v>3856</v>
      </c>
      <c r="DG720" s="19" t="s">
        <v>2247</v>
      </c>
      <c r="DH720" s="19" t="s">
        <v>2144</v>
      </c>
      <c r="DI720" s="24">
        <v>45531.0</v>
      </c>
      <c r="DJ720" s="19" t="s">
        <v>2174</v>
      </c>
      <c r="DK720" s="19" t="s">
        <v>2145</v>
      </c>
      <c r="DL720" s="19" t="s">
        <v>2183</v>
      </c>
      <c r="DM720" s="19"/>
      <c r="DN720" s="19">
        <v>7.0</v>
      </c>
      <c r="DO720" s="19">
        <v>7.0</v>
      </c>
      <c r="DP720" s="19" t="s">
        <v>14100</v>
      </c>
      <c r="DQ720" s="19" t="s">
        <v>14101</v>
      </c>
      <c r="DR720" s="19" t="s">
        <v>14102</v>
      </c>
      <c r="DS720" s="19" t="s">
        <v>2151</v>
      </c>
      <c r="DT720" s="19" t="s">
        <v>2186</v>
      </c>
      <c r="DU720" s="19"/>
      <c r="DV720" s="19"/>
      <c r="DW720" s="19" t="s">
        <v>2188</v>
      </c>
      <c r="DX720" s="19">
        <v>15.0</v>
      </c>
      <c r="DY720" s="19">
        <v>10.0</v>
      </c>
      <c r="DZ720" s="19">
        <v>0.0</v>
      </c>
      <c r="EA720" s="19">
        <v>10.0</v>
      </c>
      <c r="EB720" s="19">
        <v>0.0</v>
      </c>
      <c r="EC720" s="19">
        <v>0.0</v>
      </c>
      <c r="ED720" s="19" t="s">
        <v>2174</v>
      </c>
      <c r="EE720" s="24">
        <v>45531.0</v>
      </c>
      <c r="EF720" s="19" t="s">
        <v>2174</v>
      </c>
      <c r="EG720" s="19" t="s">
        <v>2145</v>
      </c>
      <c r="EH720" s="19" t="s">
        <v>2183</v>
      </c>
      <c r="EI720" s="22">
        <v>10.78125</v>
      </c>
      <c r="EJ720" s="19">
        <v>0.0</v>
      </c>
      <c r="EK720" s="19"/>
      <c r="EL720" s="19" t="s">
        <v>2282</v>
      </c>
      <c r="EM720" s="19" t="s">
        <v>14093</v>
      </c>
      <c r="EN720" s="19" t="s">
        <v>14088</v>
      </c>
      <c r="EO720" s="19" t="s">
        <v>4681</v>
      </c>
      <c r="EP720" s="19" t="s">
        <v>2122</v>
      </c>
      <c r="EQ720" s="19" t="s">
        <v>2537</v>
      </c>
      <c r="ER720" s="19"/>
      <c r="ES720" s="19" t="s">
        <v>14088</v>
      </c>
      <c r="ET720" s="19" t="s">
        <v>14088</v>
      </c>
      <c r="EU720" s="19" t="s">
        <v>14090</v>
      </c>
      <c r="EV720" s="19">
        <v>6956.0</v>
      </c>
      <c r="EW720" s="19" t="s">
        <v>16</v>
      </c>
      <c r="EX720" s="19">
        <v>5.0</v>
      </c>
      <c r="EY720" s="25" t="s">
        <v>14091</v>
      </c>
      <c r="EZ720" s="19" t="s">
        <v>2154</v>
      </c>
      <c r="FA720" s="5" t="s">
        <v>14103</v>
      </c>
      <c r="FB720" s="26" t="s">
        <v>2633</v>
      </c>
      <c r="FC720" s="26" t="s">
        <v>10773</v>
      </c>
    </row>
    <row r="721" hidden="1">
      <c r="A721" s="19" t="s">
        <v>2112</v>
      </c>
      <c r="B721" s="19"/>
      <c r="C721" s="19" t="s">
        <v>2113</v>
      </c>
      <c r="D721" s="19" t="s">
        <v>14104</v>
      </c>
      <c r="E721" s="19" t="s">
        <v>14105</v>
      </c>
      <c r="F721" s="19" t="s">
        <v>14104</v>
      </c>
      <c r="G721" s="19"/>
      <c r="H721" s="19" t="s">
        <v>14106</v>
      </c>
      <c r="I721" s="19" t="s">
        <v>14107</v>
      </c>
      <c r="J721" s="19" t="s">
        <v>14108</v>
      </c>
      <c r="K721" s="19" t="s">
        <v>14109</v>
      </c>
      <c r="L721" s="20">
        <v>45446.0</v>
      </c>
      <c r="M721" s="20">
        <v>45446.0</v>
      </c>
      <c r="N721" s="20">
        <v>45446.0</v>
      </c>
      <c r="O721" s="19" t="s">
        <v>14110</v>
      </c>
      <c r="P721" s="19">
        <v>0.0</v>
      </c>
      <c r="Q721" s="19">
        <v>26.0</v>
      </c>
      <c r="R721" s="19">
        <v>9730.0</v>
      </c>
      <c r="S721" s="20" t="s">
        <v>14111</v>
      </c>
      <c r="T721" s="20">
        <v>45461.0</v>
      </c>
      <c r="U721" s="19" t="s">
        <v>14104</v>
      </c>
      <c r="V721" s="19"/>
      <c r="W721" s="19" t="s">
        <v>14112</v>
      </c>
      <c r="X721" s="21">
        <v>0.0</v>
      </c>
      <c r="Y721" s="21">
        <v>10.0</v>
      </c>
      <c r="Z721" s="21">
        <v>3.0</v>
      </c>
      <c r="AA721" s="21">
        <v>0.0</v>
      </c>
      <c r="AB721" s="5">
        <v>13.0</v>
      </c>
      <c r="AC721" s="19">
        <v>5.0</v>
      </c>
      <c r="AD721" s="19">
        <v>4.0</v>
      </c>
      <c r="AE721" s="19">
        <v>4.0</v>
      </c>
      <c r="AF721" s="19">
        <v>4.0</v>
      </c>
      <c r="AG721" s="19">
        <v>5.0</v>
      </c>
      <c r="AH721" s="19">
        <v>4.0</v>
      </c>
      <c r="AI721" s="22">
        <v>12.84375</v>
      </c>
      <c r="AJ721" s="19">
        <v>0.0</v>
      </c>
      <c r="AK721" s="19">
        <v>0.0</v>
      </c>
      <c r="AL721" s="19">
        <v>0.0</v>
      </c>
      <c r="AM721" s="19">
        <v>0.0</v>
      </c>
      <c r="AN721" s="19">
        <v>12.8</v>
      </c>
      <c r="AO721" s="19">
        <v>25.8</v>
      </c>
      <c r="AP721" s="19">
        <v>681.0</v>
      </c>
      <c r="AQ721" s="19">
        <v>720.0</v>
      </c>
      <c r="AR721" s="19">
        <v>74.0</v>
      </c>
      <c r="AS721" s="22"/>
      <c r="AT721" s="19" t="s">
        <v>2117</v>
      </c>
      <c r="AU721" s="19" t="s">
        <v>14113</v>
      </c>
      <c r="AV721" s="19" t="s">
        <v>14114</v>
      </c>
      <c r="AW721" s="19" t="s">
        <v>2166</v>
      </c>
      <c r="AX721" s="20">
        <v>35731.0</v>
      </c>
      <c r="AY721" s="19" t="s">
        <v>3905</v>
      </c>
      <c r="AZ721" s="19" t="s">
        <v>2310</v>
      </c>
      <c r="BA721" s="19" t="s">
        <v>14115</v>
      </c>
      <c r="BB721" s="19" t="s">
        <v>14116</v>
      </c>
      <c r="BC721" s="19" t="s">
        <v>14117</v>
      </c>
      <c r="BD721" s="19" t="s">
        <v>14118</v>
      </c>
      <c r="BE721" s="19" t="s">
        <v>14119</v>
      </c>
      <c r="BF721" s="19">
        <v>1.1916344521E10</v>
      </c>
      <c r="BG721" s="19" t="s">
        <v>2127</v>
      </c>
      <c r="BH721" s="19" t="s">
        <v>2128</v>
      </c>
      <c r="BI721" s="19"/>
      <c r="BJ721" s="19"/>
      <c r="BK721" s="19" t="s">
        <v>16</v>
      </c>
      <c r="BL721" s="19"/>
      <c r="BM721" s="19" t="s">
        <v>5411</v>
      </c>
      <c r="BN721" s="19" t="s">
        <v>2401</v>
      </c>
      <c r="BO721" s="19" t="s">
        <v>2473</v>
      </c>
      <c r="BP721" s="19" t="s">
        <v>14120</v>
      </c>
      <c r="BQ721" s="19" t="s">
        <v>2133</v>
      </c>
      <c r="BR721" s="19" t="s">
        <v>2133</v>
      </c>
      <c r="BS721" s="19" t="s">
        <v>2243</v>
      </c>
      <c r="BT721" s="19" t="s">
        <v>52</v>
      </c>
      <c r="BU721" s="19" t="s">
        <v>14121</v>
      </c>
      <c r="BV721" s="19"/>
      <c r="BW721" s="19" t="s">
        <v>2113</v>
      </c>
      <c r="BX721" s="19"/>
      <c r="BY721" s="19"/>
      <c r="BZ721" s="19"/>
      <c r="CA721" s="19"/>
      <c r="CB721" s="19"/>
      <c r="CC721" s="19"/>
      <c r="CD721" s="19" t="s">
        <v>2137</v>
      </c>
      <c r="CE721" s="19" t="s">
        <v>16</v>
      </c>
      <c r="CF721" s="19"/>
      <c r="CG721" s="19"/>
      <c r="CH721" s="19" t="s">
        <v>16</v>
      </c>
      <c r="CI721" s="21">
        <v>0.0</v>
      </c>
      <c r="CJ721" s="19" t="s">
        <v>17</v>
      </c>
      <c r="CK721" s="19"/>
      <c r="CL721" s="19"/>
      <c r="CM721" s="19" t="s">
        <v>2344</v>
      </c>
      <c r="CN721" s="19" t="s">
        <v>3544</v>
      </c>
      <c r="CO721" s="19"/>
      <c r="CP721" s="19"/>
      <c r="CQ721" s="19"/>
      <c r="CR721" s="19" t="s">
        <v>2113</v>
      </c>
      <c r="CS721" s="19" t="s">
        <v>2113</v>
      </c>
      <c r="CT721" s="19" t="s">
        <v>2113</v>
      </c>
      <c r="CU721" s="19" t="s">
        <v>2113</v>
      </c>
      <c r="CV721" s="19" t="s">
        <v>2141</v>
      </c>
      <c r="CW721" s="19"/>
      <c r="CX721" s="19"/>
      <c r="CY721" s="19" t="s">
        <v>2113</v>
      </c>
      <c r="CZ721" s="19" t="s">
        <v>2113</v>
      </c>
      <c r="DA721" s="19" t="s">
        <v>16</v>
      </c>
      <c r="DB721" s="19" t="s">
        <v>17</v>
      </c>
      <c r="DC721" s="19" t="s">
        <v>2578</v>
      </c>
      <c r="DD721" s="19" t="s">
        <v>2113</v>
      </c>
      <c r="DE721" s="19" t="s">
        <v>2113</v>
      </c>
      <c r="DF721" s="19" t="s">
        <v>2297</v>
      </c>
      <c r="DG721" s="19" t="s">
        <v>2295</v>
      </c>
      <c r="DH721" s="19" t="s">
        <v>2144</v>
      </c>
      <c r="DI721" s="24">
        <v>45533.0</v>
      </c>
      <c r="DJ721" s="19" t="s">
        <v>2133</v>
      </c>
      <c r="DK721" s="19" t="s">
        <v>2145</v>
      </c>
      <c r="DL721" s="19" t="s">
        <v>2146</v>
      </c>
      <c r="DM721" s="19" t="s">
        <v>2147</v>
      </c>
      <c r="DN721" s="19">
        <v>17.0</v>
      </c>
      <c r="DO721" s="19">
        <v>17.0</v>
      </c>
      <c r="DP721" s="19" t="s">
        <v>14122</v>
      </c>
      <c r="DQ721" s="19" t="s">
        <v>14123</v>
      </c>
      <c r="DR721" s="19" t="s">
        <v>14124</v>
      </c>
      <c r="DS721" s="19" t="s">
        <v>2151</v>
      </c>
      <c r="DT721" s="19" t="s">
        <v>2209</v>
      </c>
      <c r="DU721" s="19"/>
      <c r="DV721" s="19"/>
      <c r="DW721" s="19" t="s">
        <v>2153</v>
      </c>
      <c r="DX721" s="19">
        <v>12.0</v>
      </c>
      <c r="DY721" s="19">
        <v>10.0</v>
      </c>
      <c r="DZ721" s="19">
        <v>0.0</v>
      </c>
      <c r="EA721" s="19">
        <v>10.0</v>
      </c>
      <c r="EB721" s="19">
        <v>0.0</v>
      </c>
      <c r="EC721" s="19">
        <v>0.0</v>
      </c>
      <c r="ED721" s="19" t="s">
        <v>2133</v>
      </c>
      <c r="EE721" s="24">
        <v>45533.0</v>
      </c>
      <c r="EF721" s="19" t="s">
        <v>2133</v>
      </c>
      <c r="EG721" s="19" t="s">
        <v>2145</v>
      </c>
      <c r="EH721" s="19" t="s">
        <v>2146</v>
      </c>
      <c r="EI721" s="22">
        <v>12.84375</v>
      </c>
      <c r="EJ721" s="19">
        <v>0.0</v>
      </c>
      <c r="EK721" s="19" t="s">
        <v>2113</v>
      </c>
      <c r="EL721" s="19" t="s">
        <v>2117</v>
      </c>
      <c r="EM721" s="19" t="s">
        <v>14113</v>
      </c>
      <c r="EN721" s="19" t="s">
        <v>14107</v>
      </c>
      <c r="EO721" s="19" t="s">
        <v>3905</v>
      </c>
      <c r="EP721" s="19" t="s">
        <v>2310</v>
      </c>
      <c r="EQ721" s="19" t="s">
        <v>3544</v>
      </c>
      <c r="ER721" s="19"/>
      <c r="ES721" s="19" t="s">
        <v>14107</v>
      </c>
      <c r="ET721" s="19" t="s">
        <v>14107</v>
      </c>
      <c r="EU721" s="19" t="s">
        <v>14109</v>
      </c>
      <c r="EV721" s="19">
        <v>9730.0</v>
      </c>
      <c r="EW721" s="19" t="s">
        <v>16</v>
      </c>
      <c r="EX721" s="19">
        <v>3.0</v>
      </c>
      <c r="EY721" s="25" t="s">
        <v>14110</v>
      </c>
      <c r="EZ721" s="19" t="s">
        <v>2154</v>
      </c>
      <c r="FA721" s="5" t="s">
        <v>14125</v>
      </c>
      <c r="FB721" s="26" t="s">
        <v>2633</v>
      </c>
      <c r="FC721" s="26" t="s">
        <v>10773</v>
      </c>
    </row>
    <row r="722" hidden="1">
      <c r="A722" s="19" t="s">
        <v>2112</v>
      </c>
      <c r="B722" s="19"/>
      <c r="C722" s="19" t="s">
        <v>2113</v>
      </c>
      <c r="D722" s="19" t="s">
        <v>14126</v>
      </c>
      <c r="E722" s="19" t="s">
        <v>14126</v>
      </c>
      <c r="F722" s="19" t="s">
        <v>14126</v>
      </c>
      <c r="G722" s="19" t="s">
        <v>14126</v>
      </c>
      <c r="H722" s="19" t="s">
        <v>14126</v>
      </c>
      <c r="I722" s="19" t="s">
        <v>14127</v>
      </c>
      <c r="J722" s="19" t="s">
        <v>14128</v>
      </c>
      <c r="K722" s="19" t="s">
        <v>14129</v>
      </c>
      <c r="L722" s="20">
        <v>45446.0</v>
      </c>
      <c r="M722" s="20">
        <v>45447.0</v>
      </c>
      <c r="N722" s="20">
        <v>45447.0</v>
      </c>
      <c r="O722" s="19" t="s">
        <v>14130</v>
      </c>
      <c r="P722" s="19">
        <v>0.0</v>
      </c>
      <c r="Q722" s="19">
        <v>23.0</v>
      </c>
      <c r="R722" s="19">
        <v>8601.0</v>
      </c>
      <c r="S722" s="20" t="s">
        <v>14131</v>
      </c>
      <c r="T722" s="20">
        <v>45461.0</v>
      </c>
      <c r="U722" s="19" t="s">
        <v>14126</v>
      </c>
      <c r="V722" s="19"/>
      <c r="W722" s="19"/>
      <c r="X722" s="21">
        <v>0.0</v>
      </c>
      <c r="Y722" s="21">
        <v>10.0</v>
      </c>
      <c r="Z722" s="21">
        <v>5.0</v>
      </c>
      <c r="AA722" s="21">
        <v>0.0</v>
      </c>
      <c r="AB722" s="5">
        <v>15.0</v>
      </c>
      <c r="AC722" s="19">
        <v>3.4</v>
      </c>
      <c r="AD722" s="19">
        <v>3.6</v>
      </c>
      <c r="AE722" s="19">
        <v>3.8</v>
      </c>
      <c r="AF722" s="19">
        <v>3.2</v>
      </c>
      <c r="AG722" s="19">
        <v>3.2</v>
      </c>
      <c r="AH722" s="19">
        <v>3.6</v>
      </c>
      <c r="AI722" s="22">
        <v>10.55625</v>
      </c>
      <c r="AJ722" s="19"/>
      <c r="AK722" s="19"/>
      <c r="AL722" s="19"/>
      <c r="AM722" s="19">
        <v>0.0</v>
      </c>
      <c r="AN722" s="19">
        <v>10.6</v>
      </c>
      <c r="AO722" s="19">
        <v>25.6</v>
      </c>
      <c r="AP722" s="19">
        <v>448.0</v>
      </c>
      <c r="AQ722" s="19">
        <v>721.0</v>
      </c>
      <c r="AR722" s="19">
        <v>62.0</v>
      </c>
      <c r="AS722" s="22"/>
      <c r="AT722" s="19" t="s">
        <v>2163</v>
      </c>
      <c r="AU722" s="19" t="s">
        <v>7756</v>
      </c>
      <c r="AV722" s="19" t="s">
        <v>14132</v>
      </c>
      <c r="AW722" s="19" t="s">
        <v>2166</v>
      </c>
      <c r="AX722" s="20">
        <v>36860.0</v>
      </c>
      <c r="AY722" s="19" t="s">
        <v>2258</v>
      </c>
      <c r="AZ722" s="19" t="s">
        <v>2310</v>
      </c>
      <c r="BA722" s="19" t="s">
        <v>14133</v>
      </c>
      <c r="BB722" s="19" t="s">
        <v>4645</v>
      </c>
      <c r="BC722" s="19" t="s">
        <v>14134</v>
      </c>
      <c r="BD722" s="19" t="s">
        <v>14135</v>
      </c>
      <c r="BE722" s="19" t="s">
        <v>14128</v>
      </c>
      <c r="BF722" s="19">
        <v>1.1912310039E10</v>
      </c>
      <c r="BG722" s="19" t="s">
        <v>2127</v>
      </c>
      <c r="BH722" s="19" t="s">
        <v>2128</v>
      </c>
      <c r="BI722" s="19"/>
      <c r="BJ722" s="19" t="s">
        <v>2128</v>
      </c>
      <c r="BK722" s="19" t="s">
        <v>17</v>
      </c>
      <c r="BL722" s="19" t="s">
        <v>2113</v>
      </c>
      <c r="BM722" s="19" t="s">
        <v>5411</v>
      </c>
      <c r="BN722" s="19" t="s">
        <v>17</v>
      </c>
      <c r="BO722" s="19" t="s">
        <v>2132</v>
      </c>
      <c r="BP722" s="19" t="s">
        <v>14136</v>
      </c>
      <c r="BQ722" s="19" t="s">
        <v>2174</v>
      </c>
      <c r="BR722" s="19" t="s">
        <v>2174</v>
      </c>
      <c r="BS722" s="19" t="s">
        <v>2243</v>
      </c>
      <c r="BT722" s="19" t="s">
        <v>34</v>
      </c>
      <c r="BU722" s="19" t="s">
        <v>14137</v>
      </c>
      <c r="BV722" s="19"/>
      <c r="BW722" s="19"/>
      <c r="BX722" s="19"/>
      <c r="BY722" s="19"/>
      <c r="BZ722" s="19"/>
      <c r="CA722" s="19"/>
      <c r="CB722" s="19" t="s">
        <v>2113</v>
      </c>
      <c r="CC722" s="19"/>
      <c r="CD722" s="19" t="s">
        <v>2137</v>
      </c>
      <c r="CE722" s="19" t="s">
        <v>16</v>
      </c>
      <c r="CF722" s="19"/>
      <c r="CG722" s="19"/>
      <c r="CH722" s="19" t="s">
        <v>16</v>
      </c>
      <c r="CI722" s="21">
        <v>0.0</v>
      </c>
      <c r="CJ722" s="19" t="s">
        <v>17</v>
      </c>
      <c r="CK722" s="19"/>
      <c r="CL722" s="19"/>
      <c r="CM722" s="19" t="s">
        <v>2138</v>
      </c>
      <c r="CN722" s="19" t="s">
        <v>2266</v>
      </c>
      <c r="CO722" s="19"/>
      <c r="CP722" s="19" t="s">
        <v>2140</v>
      </c>
      <c r="CQ722" s="19"/>
      <c r="CR722" s="19" t="s">
        <v>2113</v>
      </c>
      <c r="CS722" s="19" t="s">
        <v>2113</v>
      </c>
      <c r="CT722" s="19"/>
      <c r="CU722" s="19"/>
      <c r="CV722" s="19" t="s">
        <v>2179</v>
      </c>
      <c r="CW722" s="19"/>
      <c r="CX722" s="19"/>
      <c r="CY722" s="19" t="s">
        <v>2113</v>
      </c>
      <c r="CZ722" s="19" t="s">
        <v>2113</v>
      </c>
      <c r="DA722" s="19" t="s">
        <v>16</v>
      </c>
      <c r="DB722" s="19" t="s">
        <v>17</v>
      </c>
      <c r="DC722" s="19" t="s">
        <v>5450</v>
      </c>
      <c r="DD722" s="19" t="s">
        <v>2113</v>
      </c>
      <c r="DE722" s="19" t="s">
        <v>2113</v>
      </c>
      <c r="DF722" s="19" t="s">
        <v>2180</v>
      </c>
      <c r="DG722" s="19" t="s">
        <v>2539</v>
      </c>
      <c r="DH722" s="19" t="s">
        <v>2144</v>
      </c>
      <c r="DI722" s="24">
        <v>45526.0</v>
      </c>
      <c r="DJ722" s="19" t="s">
        <v>2174</v>
      </c>
      <c r="DK722" s="19" t="s">
        <v>2271</v>
      </c>
      <c r="DL722" s="19" t="s">
        <v>2183</v>
      </c>
      <c r="DM722" s="19"/>
      <c r="DN722" s="19">
        <v>12.0</v>
      </c>
      <c r="DO722" s="19">
        <v>12.0</v>
      </c>
      <c r="DP722" s="19"/>
      <c r="DQ722" s="19"/>
      <c r="DR722" s="19"/>
      <c r="DS722" s="19" t="s">
        <v>2151</v>
      </c>
      <c r="DT722" s="19" t="s">
        <v>2209</v>
      </c>
      <c r="DU722" s="19" t="s">
        <v>14138</v>
      </c>
      <c r="DV722" s="19"/>
      <c r="DW722" s="19" t="s">
        <v>2479</v>
      </c>
      <c r="DX722" s="19">
        <v>16.0</v>
      </c>
      <c r="DY722" s="19">
        <v>10.0</v>
      </c>
      <c r="DZ722" s="19">
        <v>0.0</v>
      </c>
      <c r="EA722" s="19">
        <v>10.0</v>
      </c>
      <c r="EB722" s="19">
        <v>0.0</v>
      </c>
      <c r="EC722" s="19">
        <v>0.0</v>
      </c>
      <c r="ED722" s="19" t="s">
        <v>2174</v>
      </c>
      <c r="EE722" s="24">
        <v>45526.0</v>
      </c>
      <c r="EF722" s="19" t="s">
        <v>2174</v>
      </c>
      <c r="EG722" s="19" t="s">
        <v>2271</v>
      </c>
      <c r="EH722" s="19" t="s">
        <v>2183</v>
      </c>
      <c r="EI722" s="22">
        <v>10.55625</v>
      </c>
      <c r="EJ722" s="19">
        <v>0.0</v>
      </c>
      <c r="EK722" s="19" t="s">
        <v>2113</v>
      </c>
      <c r="EL722" s="19" t="s">
        <v>2163</v>
      </c>
      <c r="EM722" s="19" t="s">
        <v>7756</v>
      </c>
      <c r="EN722" s="19" t="s">
        <v>14127</v>
      </c>
      <c r="EO722" s="19" t="s">
        <v>2258</v>
      </c>
      <c r="EP722" s="19" t="s">
        <v>2310</v>
      </c>
      <c r="EQ722" s="19" t="s">
        <v>2266</v>
      </c>
      <c r="ER722" s="19"/>
      <c r="ES722" s="19" t="s">
        <v>14127</v>
      </c>
      <c r="ET722" s="19" t="s">
        <v>14127</v>
      </c>
      <c r="EU722" s="19" t="s">
        <v>14129</v>
      </c>
      <c r="EV722" s="19">
        <v>8601.0</v>
      </c>
      <c r="EW722" s="19" t="s">
        <v>16</v>
      </c>
      <c r="EX722" s="19">
        <v>5.0</v>
      </c>
      <c r="EY722" s="25" t="s">
        <v>14130</v>
      </c>
      <c r="EZ722" s="19" t="s">
        <v>2154</v>
      </c>
      <c r="FA722" s="5" t="s">
        <v>14139</v>
      </c>
      <c r="FB722" s="26" t="s">
        <v>2633</v>
      </c>
      <c r="FC722" s="26" t="s">
        <v>10773</v>
      </c>
    </row>
    <row r="723" hidden="1">
      <c r="A723" s="19" t="s">
        <v>2112</v>
      </c>
      <c r="B723" s="19"/>
      <c r="C723" s="19" t="s">
        <v>2113</v>
      </c>
      <c r="D723" s="19" t="s">
        <v>14140</v>
      </c>
      <c r="E723" s="19" t="s">
        <v>14141</v>
      </c>
      <c r="F723" s="19" t="s">
        <v>14142</v>
      </c>
      <c r="G723" s="19" t="s">
        <v>14143</v>
      </c>
      <c r="H723" s="19" t="s">
        <v>14144</v>
      </c>
      <c r="I723" s="19" t="s">
        <v>14145</v>
      </c>
      <c r="J723" s="19" t="s">
        <v>14146</v>
      </c>
      <c r="K723" s="19" t="s">
        <v>14147</v>
      </c>
      <c r="L723" s="20">
        <v>45442.0</v>
      </c>
      <c r="M723" s="20">
        <v>45446.0</v>
      </c>
      <c r="N723" s="20">
        <v>45446.0</v>
      </c>
      <c r="O723" s="19" t="s">
        <v>14148</v>
      </c>
      <c r="P723" s="19">
        <v>0.0</v>
      </c>
      <c r="Q723" s="19">
        <v>18.0</v>
      </c>
      <c r="R723" s="19">
        <v>6832.0</v>
      </c>
      <c r="S723" s="20" t="s">
        <v>14149</v>
      </c>
      <c r="T723" s="20">
        <v>45461.0</v>
      </c>
      <c r="U723" s="19" t="s">
        <v>14142</v>
      </c>
      <c r="V723" s="19"/>
      <c r="W723" s="19"/>
      <c r="X723" s="21">
        <v>0.0</v>
      </c>
      <c r="Y723" s="21">
        <v>10.0</v>
      </c>
      <c r="Z723" s="21">
        <v>4.0</v>
      </c>
      <c r="AA723" s="21">
        <v>0.0</v>
      </c>
      <c r="AB723" s="5">
        <v>14.0</v>
      </c>
      <c r="AC723" s="19">
        <v>4.0</v>
      </c>
      <c r="AD723" s="19">
        <v>4.0</v>
      </c>
      <c r="AE723" s="19">
        <v>4.0</v>
      </c>
      <c r="AF723" s="19">
        <v>4.0</v>
      </c>
      <c r="AG723" s="19">
        <v>3.0</v>
      </c>
      <c r="AH723" s="19">
        <v>3.7</v>
      </c>
      <c r="AI723" s="22">
        <v>11.5125</v>
      </c>
      <c r="AJ723" s="19"/>
      <c r="AK723" s="19"/>
      <c r="AL723" s="19"/>
      <c r="AM723" s="19">
        <v>0.0</v>
      </c>
      <c r="AN723" s="19">
        <v>11.5</v>
      </c>
      <c r="AO723" s="19">
        <v>25.5</v>
      </c>
      <c r="AP723" s="19">
        <v>644.0</v>
      </c>
      <c r="AQ723" s="19">
        <v>722.0</v>
      </c>
      <c r="AR723" s="19">
        <v>56.0</v>
      </c>
      <c r="AS723" s="22"/>
      <c r="AT723" s="19" t="s">
        <v>2117</v>
      </c>
      <c r="AU723" s="19" t="s">
        <v>14150</v>
      </c>
      <c r="AV723" s="19" t="s">
        <v>14151</v>
      </c>
      <c r="AW723" s="19"/>
      <c r="AX723" s="20">
        <v>38629.0</v>
      </c>
      <c r="AY723" s="19" t="s">
        <v>3232</v>
      </c>
      <c r="AZ723" s="19" t="s">
        <v>2445</v>
      </c>
      <c r="BA723" s="19" t="s">
        <v>14152</v>
      </c>
      <c r="BB723" s="19" t="s">
        <v>14153</v>
      </c>
      <c r="BC723" s="19" t="s">
        <v>14154</v>
      </c>
      <c r="BD723" s="19" t="s">
        <v>14155</v>
      </c>
      <c r="BE723" s="19" t="s">
        <v>14156</v>
      </c>
      <c r="BF723" s="19">
        <v>1.1999352219E10</v>
      </c>
      <c r="BG723" s="19" t="s">
        <v>2127</v>
      </c>
      <c r="BH723" s="19" t="s">
        <v>2128</v>
      </c>
      <c r="BI723" s="19"/>
      <c r="BJ723" s="19" t="s">
        <v>2128</v>
      </c>
      <c r="BK723" s="19" t="s">
        <v>17</v>
      </c>
      <c r="BL723" s="19" t="s">
        <v>2113</v>
      </c>
      <c r="BM723" s="19" t="s">
        <v>5411</v>
      </c>
      <c r="BN723" s="19" t="s">
        <v>2172</v>
      </c>
      <c r="BO723" s="19" t="s">
        <v>2317</v>
      </c>
      <c r="BP723" s="19" t="s">
        <v>14157</v>
      </c>
      <c r="BQ723" s="19" t="s">
        <v>2325</v>
      </c>
      <c r="BR723" s="19" t="s">
        <v>2325</v>
      </c>
      <c r="BS723" s="19" t="s">
        <v>2134</v>
      </c>
      <c r="BT723" s="19" t="s">
        <v>118</v>
      </c>
      <c r="BU723" s="19" t="s">
        <v>2560</v>
      </c>
      <c r="BV723" s="19"/>
      <c r="BW723" s="19"/>
      <c r="BX723" s="19" t="s">
        <v>2113</v>
      </c>
      <c r="BY723" s="19" t="s">
        <v>2113</v>
      </c>
      <c r="BZ723" s="19" t="s">
        <v>2113</v>
      </c>
      <c r="CA723" s="19"/>
      <c r="CB723" s="19" t="s">
        <v>2113</v>
      </c>
      <c r="CC723" s="19"/>
      <c r="CD723" s="19" t="s">
        <v>2137</v>
      </c>
      <c r="CE723" s="19" t="s">
        <v>16</v>
      </c>
      <c r="CF723" s="19"/>
      <c r="CG723" s="19"/>
      <c r="CH723" s="19" t="s">
        <v>16</v>
      </c>
      <c r="CI723" s="21">
        <v>0.0</v>
      </c>
      <c r="CJ723" s="19" t="s">
        <v>16</v>
      </c>
      <c r="CK723" s="19"/>
      <c r="CL723" s="19"/>
      <c r="CM723" s="19" t="s">
        <v>2344</v>
      </c>
      <c r="CN723" s="19" t="s">
        <v>2868</v>
      </c>
      <c r="CO723" s="19"/>
      <c r="CP723" s="19" t="s">
        <v>2178</v>
      </c>
      <c r="CQ723" s="19"/>
      <c r="CR723" s="19" t="s">
        <v>2113</v>
      </c>
      <c r="CS723" s="19" t="s">
        <v>2113</v>
      </c>
      <c r="CT723" s="19" t="s">
        <v>2113</v>
      </c>
      <c r="CU723" s="19" t="s">
        <v>2113</v>
      </c>
      <c r="CV723" s="19" t="s">
        <v>2179</v>
      </c>
      <c r="CW723" s="19"/>
      <c r="CX723" s="19"/>
      <c r="CY723" s="19"/>
      <c r="CZ723" s="19"/>
      <c r="DA723" s="19" t="s">
        <v>16</v>
      </c>
      <c r="DB723" s="19" t="s">
        <v>16</v>
      </c>
      <c r="DC723" s="19" t="s">
        <v>2432</v>
      </c>
      <c r="DD723" s="19" t="s">
        <v>2113</v>
      </c>
      <c r="DE723" s="19" t="s">
        <v>2113</v>
      </c>
      <c r="DF723" s="19" t="s">
        <v>3221</v>
      </c>
      <c r="DG723" s="19" t="s">
        <v>2433</v>
      </c>
      <c r="DH723" s="19" t="s">
        <v>2144</v>
      </c>
      <c r="DI723" s="24">
        <v>45524.0</v>
      </c>
      <c r="DJ723" s="19" t="s">
        <v>2325</v>
      </c>
      <c r="DK723" s="19" t="s">
        <v>2271</v>
      </c>
      <c r="DL723" s="19" t="s">
        <v>2326</v>
      </c>
      <c r="DM723" s="19"/>
      <c r="DN723" s="19">
        <v>8.0</v>
      </c>
      <c r="DO723" s="19">
        <v>8.0</v>
      </c>
      <c r="DP723" s="19"/>
      <c r="DQ723" s="19"/>
      <c r="DR723" s="19"/>
      <c r="DS723" s="19" t="s">
        <v>2185</v>
      </c>
      <c r="DT723" s="19" t="s">
        <v>2301</v>
      </c>
      <c r="DU723" s="19" t="s">
        <v>14158</v>
      </c>
      <c r="DV723" s="19"/>
      <c r="DW723" s="19" t="s">
        <v>2153</v>
      </c>
      <c r="DX723" s="19">
        <v>3.0</v>
      </c>
      <c r="DY723" s="19">
        <v>10.0</v>
      </c>
      <c r="DZ723" s="19">
        <v>0.0</v>
      </c>
      <c r="EA723" s="19">
        <v>10.0</v>
      </c>
      <c r="EB723" s="19">
        <v>0.0</v>
      </c>
      <c r="EC723" s="19">
        <v>0.0</v>
      </c>
      <c r="ED723" s="19" t="s">
        <v>2325</v>
      </c>
      <c r="EE723" s="24">
        <v>45524.0</v>
      </c>
      <c r="EF723" s="19" t="s">
        <v>2325</v>
      </c>
      <c r="EG723" s="19" t="s">
        <v>2271</v>
      </c>
      <c r="EH723" s="19" t="s">
        <v>2326</v>
      </c>
      <c r="EI723" s="22">
        <v>11.5125</v>
      </c>
      <c r="EJ723" s="19">
        <v>0.0</v>
      </c>
      <c r="EK723" s="19"/>
      <c r="EL723" s="19" t="s">
        <v>2117</v>
      </c>
      <c r="EM723" s="19" t="s">
        <v>14150</v>
      </c>
      <c r="EN723" s="19" t="s">
        <v>14145</v>
      </c>
      <c r="EO723" s="19" t="s">
        <v>3232</v>
      </c>
      <c r="EP723" s="19" t="s">
        <v>2445</v>
      </c>
      <c r="EQ723" s="19" t="s">
        <v>2868</v>
      </c>
      <c r="ER723" s="19"/>
      <c r="ES723" s="19" t="s">
        <v>14145</v>
      </c>
      <c r="ET723" s="19" t="s">
        <v>14145</v>
      </c>
      <c r="EU723" s="19" t="s">
        <v>14147</v>
      </c>
      <c r="EV723" s="19">
        <v>6832.0</v>
      </c>
      <c r="EW723" s="19" t="s">
        <v>16</v>
      </c>
      <c r="EX723" s="19">
        <v>4.0</v>
      </c>
      <c r="EY723" s="25" t="s">
        <v>14148</v>
      </c>
      <c r="EZ723" s="19" t="s">
        <v>2154</v>
      </c>
      <c r="FA723" s="5" t="s">
        <v>14159</v>
      </c>
      <c r="FB723" s="26" t="s">
        <v>2633</v>
      </c>
      <c r="FC723" s="26" t="s">
        <v>11913</v>
      </c>
    </row>
    <row r="724" hidden="1">
      <c r="A724" s="19" t="s">
        <v>2112</v>
      </c>
      <c r="B724" s="19"/>
      <c r="C724" s="19" t="s">
        <v>2113</v>
      </c>
      <c r="D724" s="19" t="s">
        <v>14160</v>
      </c>
      <c r="E724" s="19" t="s">
        <v>14161</v>
      </c>
      <c r="F724" s="19" t="s">
        <v>14160</v>
      </c>
      <c r="G724" s="19"/>
      <c r="H724" s="19" t="s">
        <v>14160</v>
      </c>
      <c r="I724" s="19" t="s">
        <v>14162</v>
      </c>
      <c r="J724" s="19" t="s">
        <v>14163</v>
      </c>
      <c r="K724" s="19" t="s">
        <v>14164</v>
      </c>
      <c r="L724" s="20">
        <v>45432.0</v>
      </c>
      <c r="M724" s="20">
        <v>45432.0</v>
      </c>
      <c r="N724" s="20">
        <v>45432.0</v>
      </c>
      <c r="O724" s="19" t="s">
        <v>14165</v>
      </c>
      <c r="P724" s="19">
        <v>0.0</v>
      </c>
      <c r="Q724" s="19">
        <v>19.0</v>
      </c>
      <c r="R724" s="19">
        <v>7033.0</v>
      </c>
      <c r="S724" s="20" t="s">
        <v>14166</v>
      </c>
      <c r="T724" s="20">
        <v>45461.0</v>
      </c>
      <c r="U724" s="19" t="s">
        <v>14160</v>
      </c>
      <c r="V724" s="19"/>
      <c r="W724" s="19"/>
      <c r="X724" s="21">
        <v>0.0</v>
      </c>
      <c r="Y724" s="21">
        <v>10.0</v>
      </c>
      <c r="Z724" s="21">
        <v>3.0</v>
      </c>
      <c r="AA724" s="21">
        <v>0.0</v>
      </c>
      <c r="AB724" s="5">
        <v>13.0</v>
      </c>
      <c r="AC724" s="19">
        <v>4.3</v>
      </c>
      <c r="AD724" s="19">
        <v>4.0</v>
      </c>
      <c r="AE724" s="19">
        <v>4.1</v>
      </c>
      <c r="AF724" s="19">
        <v>4.3</v>
      </c>
      <c r="AG724" s="19">
        <v>3.8</v>
      </c>
      <c r="AH724" s="19">
        <v>4.6</v>
      </c>
      <c r="AI724" s="22">
        <v>12.478124999999999</v>
      </c>
      <c r="AJ724" s="19"/>
      <c r="AK724" s="19"/>
      <c r="AL724" s="19"/>
      <c r="AM724" s="19">
        <v>0.0</v>
      </c>
      <c r="AN724" s="19">
        <v>12.5</v>
      </c>
      <c r="AO724" s="19">
        <v>25.5</v>
      </c>
      <c r="AP724" s="19">
        <v>790.0</v>
      </c>
      <c r="AQ724" s="19">
        <v>723.0</v>
      </c>
      <c r="AR724" s="19">
        <v>59.0</v>
      </c>
      <c r="AS724" s="22"/>
      <c r="AT724" s="19" t="s">
        <v>2163</v>
      </c>
      <c r="AU724" s="19" t="s">
        <v>2740</v>
      </c>
      <c r="AV724" s="19" t="s">
        <v>14167</v>
      </c>
      <c r="AW724" s="19" t="s">
        <v>2466</v>
      </c>
      <c r="AX724" s="20">
        <v>38428.0</v>
      </c>
      <c r="AY724" s="19" t="s">
        <v>4897</v>
      </c>
      <c r="AZ724" s="19" t="s">
        <v>2310</v>
      </c>
      <c r="BA724" s="19" t="s">
        <v>14168</v>
      </c>
      <c r="BB724" s="19" t="s">
        <v>12313</v>
      </c>
      <c r="BC724" s="19" t="s">
        <v>14169</v>
      </c>
      <c r="BD724" s="19" t="s">
        <v>14170</v>
      </c>
      <c r="BE724" s="19" t="s">
        <v>14171</v>
      </c>
      <c r="BF724" s="19">
        <v>1.1958942816E10</v>
      </c>
      <c r="BG724" s="19" t="s">
        <v>2127</v>
      </c>
      <c r="BH724" s="19" t="s">
        <v>2128</v>
      </c>
      <c r="BI724" s="19"/>
      <c r="BJ724" s="19"/>
      <c r="BK724" s="19" t="s">
        <v>16</v>
      </c>
      <c r="BL724" s="19"/>
      <c r="BM724" s="19" t="s">
        <v>5411</v>
      </c>
      <c r="BN724" s="19" t="s">
        <v>2708</v>
      </c>
      <c r="BO724" s="19" t="s">
        <v>2473</v>
      </c>
      <c r="BP724" s="19"/>
      <c r="BQ724" s="19" t="s">
        <v>2325</v>
      </c>
      <c r="BR724" s="19" t="s">
        <v>2325</v>
      </c>
      <c r="BS724" s="19" t="s">
        <v>2243</v>
      </c>
      <c r="BT724" s="19" t="s">
        <v>59</v>
      </c>
      <c r="BU724" s="19" t="s">
        <v>14172</v>
      </c>
      <c r="BV724" s="19"/>
      <c r="BW724" s="19" t="s">
        <v>2113</v>
      </c>
      <c r="BX724" s="19"/>
      <c r="BY724" s="19"/>
      <c r="BZ724" s="19"/>
      <c r="CA724" s="19"/>
      <c r="CB724" s="19" t="s">
        <v>2113</v>
      </c>
      <c r="CC724" s="19"/>
      <c r="CD724" s="19" t="s">
        <v>2137</v>
      </c>
      <c r="CE724" s="19" t="s">
        <v>16</v>
      </c>
      <c r="CF724" s="19"/>
      <c r="CG724" s="19"/>
      <c r="CH724" s="19" t="s">
        <v>16</v>
      </c>
      <c r="CI724" s="21">
        <v>0.0</v>
      </c>
      <c r="CJ724" s="19" t="s">
        <v>17</v>
      </c>
      <c r="CK724" s="19"/>
      <c r="CL724" s="19"/>
      <c r="CM724" s="19" t="s">
        <v>2138</v>
      </c>
      <c r="CN724" s="19" t="s">
        <v>3064</v>
      </c>
      <c r="CO724" s="19"/>
      <c r="CP724" s="19" t="s">
        <v>2267</v>
      </c>
      <c r="CQ724" s="19"/>
      <c r="CR724" s="19"/>
      <c r="CS724" s="19"/>
      <c r="CT724" s="19"/>
      <c r="CU724" s="19"/>
      <c r="CV724" s="19" t="s">
        <v>2179</v>
      </c>
      <c r="CW724" s="19" t="s">
        <v>2113</v>
      </c>
      <c r="CX724" s="19" t="s">
        <v>2113</v>
      </c>
      <c r="CY724" s="19"/>
      <c r="CZ724" s="19"/>
      <c r="DA724" s="19" t="s">
        <v>16</v>
      </c>
      <c r="DB724" s="19" t="s">
        <v>17</v>
      </c>
      <c r="DC724" s="19" t="s">
        <v>3892</v>
      </c>
      <c r="DD724" s="19" t="s">
        <v>2113</v>
      </c>
      <c r="DE724" s="19" t="s">
        <v>2113</v>
      </c>
      <c r="DF724" s="19" t="s">
        <v>2497</v>
      </c>
      <c r="DG724" s="19" t="s">
        <v>2432</v>
      </c>
      <c r="DH724" s="19" t="s">
        <v>2144</v>
      </c>
      <c r="DI724" s="24">
        <v>45525.0</v>
      </c>
      <c r="DJ724" s="19" t="s">
        <v>2325</v>
      </c>
      <c r="DK724" s="19" t="s">
        <v>2271</v>
      </c>
      <c r="DL724" s="19" t="s">
        <v>2326</v>
      </c>
      <c r="DM724" s="19"/>
      <c r="DN724" s="19">
        <v>10.0</v>
      </c>
      <c r="DO724" s="19">
        <v>10.0</v>
      </c>
      <c r="DP724" s="19"/>
      <c r="DQ724" s="19"/>
      <c r="DR724" s="19"/>
      <c r="DS724" s="19" t="s">
        <v>2151</v>
      </c>
      <c r="DT724" s="19" t="s">
        <v>2229</v>
      </c>
      <c r="DU724" s="19" t="s">
        <v>14173</v>
      </c>
      <c r="DV724" s="19"/>
      <c r="DW724" s="19" t="s">
        <v>2479</v>
      </c>
      <c r="DX724" s="19">
        <v>16.0</v>
      </c>
      <c r="DY724" s="19">
        <v>10.0</v>
      </c>
      <c r="DZ724" s="19">
        <v>0.0</v>
      </c>
      <c r="EA724" s="19">
        <v>10.0</v>
      </c>
      <c r="EB724" s="19">
        <v>0.0</v>
      </c>
      <c r="EC724" s="19">
        <v>0.0</v>
      </c>
      <c r="ED724" s="19" t="s">
        <v>2325</v>
      </c>
      <c r="EE724" s="24">
        <v>45525.0</v>
      </c>
      <c r="EF724" s="19" t="s">
        <v>2325</v>
      </c>
      <c r="EG724" s="19" t="s">
        <v>2271</v>
      </c>
      <c r="EH724" s="19" t="s">
        <v>2326</v>
      </c>
      <c r="EI724" s="22">
        <v>12.478124999999999</v>
      </c>
      <c r="EJ724" s="19">
        <v>0.0</v>
      </c>
      <c r="EK724" s="19" t="s">
        <v>2113</v>
      </c>
      <c r="EL724" s="19" t="s">
        <v>2163</v>
      </c>
      <c r="EM724" s="19" t="s">
        <v>2740</v>
      </c>
      <c r="EN724" s="19" t="s">
        <v>14162</v>
      </c>
      <c r="EO724" s="19" t="s">
        <v>4897</v>
      </c>
      <c r="EP724" s="19" t="s">
        <v>2310</v>
      </c>
      <c r="EQ724" s="19" t="s">
        <v>3064</v>
      </c>
      <c r="ER724" s="19"/>
      <c r="ES724" s="19" t="s">
        <v>14162</v>
      </c>
      <c r="ET724" s="19" t="s">
        <v>14162</v>
      </c>
      <c r="EU724" s="19" t="s">
        <v>14164</v>
      </c>
      <c r="EV724" s="19">
        <v>7033.0</v>
      </c>
      <c r="EW724" s="19" t="s">
        <v>16</v>
      </c>
      <c r="EX724" s="19">
        <v>3.0</v>
      </c>
      <c r="EY724" s="25" t="s">
        <v>14165</v>
      </c>
      <c r="EZ724" s="19" t="s">
        <v>2154</v>
      </c>
      <c r="FA724" s="5" t="s">
        <v>14174</v>
      </c>
      <c r="FB724" s="26" t="s">
        <v>2633</v>
      </c>
      <c r="FC724" s="26" t="s">
        <v>10773</v>
      </c>
    </row>
    <row r="725" hidden="1">
      <c r="A725" s="19" t="s">
        <v>2112</v>
      </c>
      <c r="B725" s="19"/>
      <c r="C725" s="19" t="s">
        <v>2113</v>
      </c>
      <c r="D725" s="19" t="s">
        <v>14175</v>
      </c>
      <c r="E725" s="19" t="s">
        <v>14176</v>
      </c>
      <c r="F725" s="19" t="s">
        <v>14175</v>
      </c>
      <c r="G725" s="19"/>
      <c r="H725" s="19" t="s">
        <v>14175</v>
      </c>
      <c r="I725" s="19" t="s">
        <v>14177</v>
      </c>
      <c r="J725" s="19" t="s">
        <v>14178</v>
      </c>
      <c r="K725" s="19" t="s">
        <v>14179</v>
      </c>
      <c r="L725" s="20">
        <v>45397.0</v>
      </c>
      <c r="M725" s="20">
        <v>45411.0</v>
      </c>
      <c r="N725" s="20">
        <v>45411.0</v>
      </c>
      <c r="O725" s="19" t="s">
        <v>14180</v>
      </c>
      <c r="P725" s="19">
        <v>0.0</v>
      </c>
      <c r="Q725" s="19">
        <v>18.0</v>
      </c>
      <c r="R725" s="19">
        <v>6804.0</v>
      </c>
      <c r="S725" s="20" t="s">
        <v>14181</v>
      </c>
      <c r="T725" s="20">
        <v>45461.0</v>
      </c>
      <c r="U725" s="19" t="s">
        <v>14175</v>
      </c>
      <c r="V725" s="19"/>
      <c r="W725" s="19"/>
      <c r="X725" s="21">
        <v>0.0</v>
      </c>
      <c r="Y725" s="21">
        <v>10.0</v>
      </c>
      <c r="Z725" s="21">
        <v>4.0</v>
      </c>
      <c r="AA725" s="21">
        <v>0.0</v>
      </c>
      <c r="AB725" s="5">
        <v>14.0</v>
      </c>
      <c r="AC725" s="19">
        <v>3.4</v>
      </c>
      <c r="AD725" s="19">
        <v>3.8</v>
      </c>
      <c r="AE725" s="19">
        <v>3.6</v>
      </c>
      <c r="AF725" s="19">
        <v>3.6</v>
      </c>
      <c r="AG725" s="19">
        <v>3.0</v>
      </c>
      <c r="AH725" s="19">
        <v>4.0</v>
      </c>
      <c r="AI725" s="22">
        <v>10.762500000000001</v>
      </c>
      <c r="AJ725" s="19"/>
      <c r="AK725" s="19"/>
      <c r="AL725" s="19"/>
      <c r="AM725" s="19">
        <v>0.0</v>
      </c>
      <c r="AN725" s="19">
        <v>10.8</v>
      </c>
      <c r="AO725" s="19">
        <v>24.8</v>
      </c>
      <c r="AP725" s="19">
        <v>645.0</v>
      </c>
      <c r="AQ725" s="19">
        <v>724.0</v>
      </c>
      <c r="AR725" s="19">
        <v>50.0</v>
      </c>
      <c r="AS725" s="22"/>
      <c r="AT725" s="19" t="s">
        <v>2117</v>
      </c>
      <c r="AU725" s="19" t="s">
        <v>14182</v>
      </c>
      <c r="AV725" s="19" t="s">
        <v>14183</v>
      </c>
      <c r="AW725" s="19" t="s">
        <v>14184</v>
      </c>
      <c r="AX725" s="20">
        <v>38657.0</v>
      </c>
      <c r="AY725" s="19" t="s">
        <v>2702</v>
      </c>
      <c r="AZ725" s="19" t="s">
        <v>2122</v>
      </c>
      <c r="BA725" s="19" t="s">
        <v>14185</v>
      </c>
      <c r="BB725" s="19" t="s">
        <v>14186</v>
      </c>
      <c r="BC725" s="19" t="s">
        <v>14187</v>
      </c>
      <c r="BD725" s="19" t="s">
        <v>14188</v>
      </c>
      <c r="BE725" s="19" t="s">
        <v>14189</v>
      </c>
      <c r="BF725" s="19">
        <v>1.1977062761E10</v>
      </c>
      <c r="BG725" s="19" t="s">
        <v>2127</v>
      </c>
      <c r="BH725" s="19" t="s">
        <v>2128</v>
      </c>
      <c r="BI725" s="19"/>
      <c r="BJ725" s="19"/>
      <c r="BK725" s="19" t="s">
        <v>16</v>
      </c>
      <c r="BL725" s="19" t="s">
        <v>2113</v>
      </c>
      <c r="BM725" s="19" t="s">
        <v>5411</v>
      </c>
      <c r="BN725" s="19" t="s">
        <v>2172</v>
      </c>
      <c r="BO725" s="19" t="s">
        <v>2317</v>
      </c>
      <c r="BP725" s="19"/>
      <c r="BQ725" s="19" t="s">
        <v>2318</v>
      </c>
      <c r="BR725" s="19" t="s">
        <v>2318</v>
      </c>
      <c r="BS725" s="19" t="s">
        <v>2134</v>
      </c>
      <c r="BT725" s="19" t="s">
        <v>42</v>
      </c>
      <c r="BU725" s="19" t="s">
        <v>2560</v>
      </c>
      <c r="BV725" s="19"/>
      <c r="BW725" s="19"/>
      <c r="BX725" s="19"/>
      <c r="BY725" s="19"/>
      <c r="BZ725" s="19" t="s">
        <v>2113</v>
      </c>
      <c r="CA725" s="19"/>
      <c r="CB725" s="19" t="s">
        <v>2113</v>
      </c>
      <c r="CC725" s="19"/>
      <c r="CD725" s="19" t="s">
        <v>2137</v>
      </c>
      <c r="CE725" s="19" t="s">
        <v>16</v>
      </c>
      <c r="CF725" s="19"/>
      <c r="CG725" s="19"/>
      <c r="CH725" s="19" t="s">
        <v>16</v>
      </c>
      <c r="CI725" s="21">
        <v>0.0</v>
      </c>
      <c r="CJ725" s="19" t="s">
        <v>17</v>
      </c>
      <c r="CK725" s="19" t="s">
        <v>2113</v>
      </c>
      <c r="CL725" s="19"/>
      <c r="CM725" s="19" t="s">
        <v>2926</v>
      </c>
      <c r="CN725" s="19" t="s">
        <v>2321</v>
      </c>
      <c r="CO725" s="19"/>
      <c r="CP725" s="19"/>
      <c r="CQ725" s="19"/>
      <c r="CR725" s="19" t="s">
        <v>2113</v>
      </c>
      <c r="CS725" s="19" t="s">
        <v>2113</v>
      </c>
      <c r="CT725" s="19" t="s">
        <v>2113</v>
      </c>
      <c r="CU725" s="19" t="s">
        <v>2113</v>
      </c>
      <c r="CV725" s="19" t="s">
        <v>2179</v>
      </c>
      <c r="CW725" s="19" t="s">
        <v>2113</v>
      </c>
      <c r="CX725" s="19" t="s">
        <v>2113</v>
      </c>
      <c r="CY725" s="19" t="s">
        <v>2113</v>
      </c>
      <c r="CZ725" s="19" t="s">
        <v>2113</v>
      </c>
      <c r="DA725" s="19" t="s">
        <v>16</v>
      </c>
      <c r="DB725" s="19" t="s">
        <v>17</v>
      </c>
      <c r="DC725" s="19" t="s">
        <v>5024</v>
      </c>
      <c r="DD725" s="19" t="s">
        <v>2113</v>
      </c>
      <c r="DE725" s="19" t="s">
        <v>2113</v>
      </c>
      <c r="DF725" s="19" t="s">
        <v>4987</v>
      </c>
      <c r="DG725" s="19" t="s">
        <v>3280</v>
      </c>
      <c r="DH725" s="19" t="s">
        <v>2144</v>
      </c>
      <c r="DI725" s="24">
        <v>45525.0</v>
      </c>
      <c r="DJ725" s="19" t="s">
        <v>2325</v>
      </c>
      <c r="DK725" s="19" t="s">
        <v>2145</v>
      </c>
      <c r="DL725" s="19" t="s">
        <v>2326</v>
      </c>
      <c r="DM725" s="19"/>
      <c r="DN725" s="19">
        <v>9.0</v>
      </c>
      <c r="DO725" s="19">
        <v>9.0</v>
      </c>
      <c r="DP725" s="19"/>
      <c r="DQ725" s="19"/>
      <c r="DR725" s="19"/>
      <c r="DS725" s="19" t="s">
        <v>2185</v>
      </c>
      <c r="DT725" s="19" t="s">
        <v>2350</v>
      </c>
      <c r="DU725" s="19" t="s">
        <v>14190</v>
      </c>
      <c r="DV725" s="19"/>
      <c r="DW725" s="19" t="s">
        <v>2479</v>
      </c>
      <c r="DX725" s="19">
        <v>6.0</v>
      </c>
      <c r="DY725" s="19">
        <v>10.0</v>
      </c>
      <c r="DZ725" s="19">
        <v>0.0</v>
      </c>
      <c r="EA725" s="19">
        <v>10.0</v>
      </c>
      <c r="EB725" s="19">
        <v>0.0</v>
      </c>
      <c r="EC725" s="19">
        <v>0.0</v>
      </c>
      <c r="ED725" s="19" t="s">
        <v>2325</v>
      </c>
      <c r="EE725" s="24">
        <v>45525.0</v>
      </c>
      <c r="EF725" s="19" t="s">
        <v>2325</v>
      </c>
      <c r="EG725" s="19" t="s">
        <v>2145</v>
      </c>
      <c r="EH725" s="19" t="s">
        <v>2326</v>
      </c>
      <c r="EI725" s="22">
        <v>10.762500000000001</v>
      </c>
      <c r="EJ725" s="19">
        <v>0.0</v>
      </c>
      <c r="EK725" s="19" t="s">
        <v>2113</v>
      </c>
      <c r="EL725" s="19" t="s">
        <v>2117</v>
      </c>
      <c r="EM725" s="19" t="s">
        <v>14182</v>
      </c>
      <c r="EN725" s="19" t="s">
        <v>14177</v>
      </c>
      <c r="EO725" s="19" t="s">
        <v>2702</v>
      </c>
      <c r="EP725" s="19" t="s">
        <v>2122</v>
      </c>
      <c r="EQ725" s="19" t="s">
        <v>2321</v>
      </c>
      <c r="ER725" s="19"/>
      <c r="ES725" s="19" t="s">
        <v>14177</v>
      </c>
      <c r="ET725" s="19" t="s">
        <v>14177</v>
      </c>
      <c r="EU725" s="19" t="s">
        <v>14179</v>
      </c>
      <c r="EV725" s="19">
        <v>6804.0</v>
      </c>
      <c r="EW725" s="19" t="s">
        <v>16</v>
      </c>
      <c r="EX725" s="19">
        <v>4.0</v>
      </c>
      <c r="EY725" s="25" t="s">
        <v>14180</v>
      </c>
      <c r="EZ725" s="19" t="s">
        <v>2154</v>
      </c>
      <c r="FA725" s="5" t="s">
        <v>14191</v>
      </c>
      <c r="FB725" s="26" t="s">
        <v>2633</v>
      </c>
      <c r="FC725" s="26" t="s">
        <v>11913</v>
      </c>
    </row>
    <row r="726" hidden="1">
      <c r="A726" s="19" t="s">
        <v>2112</v>
      </c>
      <c r="B726" s="19"/>
      <c r="C726" s="19" t="s">
        <v>2113</v>
      </c>
      <c r="D726" s="19" t="s">
        <v>14192</v>
      </c>
      <c r="E726" s="19" t="s">
        <v>14193</v>
      </c>
      <c r="F726" s="19" t="s">
        <v>14194</v>
      </c>
      <c r="G726" s="19" t="s">
        <v>14194</v>
      </c>
      <c r="H726" s="19" t="s">
        <v>14192</v>
      </c>
      <c r="I726" s="19" t="s">
        <v>14195</v>
      </c>
      <c r="J726" s="19" t="s">
        <v>14196</v>
      </c>
      <c r="K726" s="19" t="s">
        <v>14197</v>
      </c>
      <c r="L726" s="20">
        <v>45394.0</v>
      </c>
      <c r="M726" s="20">
        <v>45404.0</v>
      </c>
      <c r="N726" s="20">
        <v>45404.0</v>
      </c>
      <c r="O726" s="19" t="s">
        <v>14198</v>
      </c>
      <c r="P726" s="19">
        <v>0.0</v>
      </c>
      <c r="Q726" s="19">
        <v>18.0</v>
      </c>
      <c r="R726" s="19">
        <v>6844.0</v>
      </c>
      <c r="S726" s="20" t="s">
        <v>4288</v>
      </c>
      <c r="T726" s="20">
        <v>45461.0</v>
      </c>
      <c r="U726" s="19" t="s">
        <v>14194</v>
      </c>
      <c r="V726" s="19"/>
      <c r="W726" s="19" t="s">
        <v>14199</v>
      </c>
      <c r="X726" s="21">
        <v>0.0</v>
      </c>
      <c r="Y726" s="21">
        <v>10.0</v>
      </c>
      <c r="Z726" s="21">
        <v>4.0</v>
      </c>
      <c r="AA726" s="21">
        <v>0.0</v>
      </c>
      <c r="AB726" s="5">
        <v>14.0</v>
      </c>
      <c r="AC726" s="19">
        <v>3.6</v>
      </c>
      <c r="AD726" s="19">
        <v>3.2</v>
      </c>
      <c r="AE726" s="19">
        <v>3.6</v>
      </c>
      <c r="AF726" s="19">
        <v>4.2</v>
      </c>
      <c r="AG726" s="19">
        <v>3.0</v>
      </c>
      <c r="AH726" s="19">
        <v>4.0</v>
      </c>
      <c r="AI726" s="22">
        <v>10.6875</v>
      </c>
      <c r="AJ726" s="19"/>
      <c r="AK726" s="19"/>
      <c r="AL726" s="19"/>
      <c r="AM726" s="19">
        <v>0.0</v>
      </c>
      <c r="AN726" s="19">
        <v>10.7</v>
      </c>
      <c r="AO726" s="19">
        <v>24.7</v>
      </c>
      <c r="AP726" s="19">
        <v>641.0</v>
      </c>
      <c r="AQ726" s="19">
        <v>725.0</v>
      </c>
      <c r="AR726" s="19">
        <v>58.0</v>
      </c>
      <c r="AS726" s="22"/>
      <c r="AT726" s="19" t="s">
        <v>2282</v>
      </c>
      <c r="AU726" s="19" t="s">
        <v>14200</v>
      </c>
      <c r="AV726" s="19" t="s">
        <v>14201</v>
      </c>
      <c r="AW726" s="19" t="s">
        <v>2166</v>
      </c>
      <c r="AX726" s="20">
        <v>38617.0</v>
      </c>
      <c r="AY726" s="19" t="s">
        <v>14202</v>
      </c>
      <c r="AZ726" s="19" t="s">
        <v>2310</v>
      </c>
      <c r="BA726" s="19" t="s">
        <v>14203</v>
      </c>
      <c r="BB726" s="19" t="s">
        <v>4683</v>
      </c>
      <c r="BC726" s="19" t="s">
        <v>14204</v>
      </c>
      <c r="BD726" s="19" t="s">
        <v>14205</v>
      </c>
      <c r="BE726" s="19" t="s">
        <v>14206</v>
      </c>
      <c r="BF726" s="19">
        <v>1.1952727879E10</v>
      </c>
      <c r="BG726" s="19" t="s">
        <v>2127</v>
      </c>
      <c r="BH726" s="19" t="s">
        <v>2128</v>
      </c>
      <c r="BI726" s="19"/>
      <c r="BJ726" s="19"/>
      <c r="BK726" s="19" t="s">
        <v>16</v>
      </c>
      <c r="BL726" s="19"/>
      <c r="BM726" s="19" t="s">
        <v>5411</v>
      </c>
      <c r="BN726" s="19" t="s">
        <v>2172</v>
      </c>
      <c r="BO726" s="19" t="s">
        <v>2317</v>
      </c>
      <c r="BP726" s="19"/>
      <c r="BQ726" s="19" t="s">
        <v>2174</v>
      </c>
      <c r="BR726" s="19" t="s">
        <v>2174</v>
      </c>
      <c r="BS726" s="19" t="s">
        <v>2134</v>
      </c>
      <c r="BT726" s="19" t="s">
        <v>75</v>
      </c>
      <c r="BU726" s="19"/>
      <c r="BV726" s="19"/>
      <c r="BW726" s="19" t="s">
        <v>2113</v>
      </c>
      <c r="BX726" s="19"/>
      <c r="BY726" s="19"/>
      <c r="BZ726" s="19"/>
      <c r="CA726" s="19"/>
      <c r="CB726" s="19"/>
      <c r="CC726" s="19"/>
      <c r="CD726" s="19" t="s">
        <v>2137</v>
      </c>
      <c r="CE726" s="19" t="s">
        <v>16</v>
      </c>
      <c r="CF726" s="19"/>
      <c r="CG726" s="19"/>
      <c r="CH726" s="19" t="s">
        <v>16</v>
      </c>
      <c r="CI726" s="21">
        <v>0.0</v>
      </c>
      <c r="CJ726" s="19" t="s">
        <v>16</v>
      </c>
      <c r="CK726" s="19"/>
      <c r="CL726" s="19"/>
      <c r="CM726" s="19" t="s">
        <v>2344</v>
      </c>
      <c r="CN726" s="19" t="s">
        <v>4884</v>
      </c>
      <c r="CO726" s="19"/>
      <c r="CP726" s="19" t="s">
        <v>2134</v>
      </c>
      <c r="CQ726" s="19"/>
      <c r="CR726" s="19"/>
      <c r="CS726" s="19"/>
      <c r="CT726" s="19"/>
      <c r="CU726" s="19"/>
      <c r="CV726" s="19" t="s">
        <v>2141</v>
      </c>
      <c r="CW726" s="19" t="s">
        <v>2113</v>
      </c>
      <c r="CX726" s="19" t="s">
        <v>2113</v>
      </c>
      <c r="CY726" s="19"/>
      <c r="CZ726" s="19"/>
      <c r="DA726" s="19" t="s">
        <v>16</v>
      </c>
      <c r="DB726" s="19" t="s">
        <v>16</v>
      </c>
      <c r="DC726" s="19" t="s">
        <v>4791</v>
      </c>
      <c r="DD726" s="19" t="s">
        <v>2113</v>
      </c>
      <c r="DE726" s="19" t="s">
        <v>2113</v>
      </c>
      <c r="DF726" s="19" t="s">
        <v>4044</v>
      </c>
      <c r="DG726" s="19" t="s">
        <v>2540</v>
      </c>
      <c r="DH726" s="19" t="s">
        <v>2144</v>
      </c>
      <c r="DI726" s="24">
        <v>45518.0</v>
      </c>
      <c r="DJ726" s="19" t="s">
        <v>2174</v>
      </c>
      <c r="DK726" s="19" t="s">
        <v>2145</v>
      </c>
      <c r="DL726" s="19" t="s">
        <v>2183</v>
      </c>
      <c r="DM726" s="19" t="s">
        <v>2228</v>
      </c>
      <c r="DN726" s="19">
        <v>3.0</v>
      </c>
      <c r="DO726" s="19">
        <v>3.0</v>
      </c>
      <c r="DP726" s="19" t="s">
        <v>14207</v>
      </c>
      <c r="DQ726" s="19" t="s">
        <v>14208</v>
      </c>
      <c r="DR726" s="19" t="s">
        <v>14209</v>
      </c>
      <c r="DS726" s="19" t="s">
        <v>2151</v>
      </c>
      <c r="DT726" s="19" t="s">
        <v>2186</v>
      </c>
      <c r="DU726" s="19"/>
      <c r="DV726" s="19"/>
      <c r="DW726" s="19" t="s">
        <v>2479</v>
      </c>
      <c r="DX726" s="19">
        <v>16.0</v>
      </c>
      <c r="DY726" s="19">
        <v>10.0</v>
      </c>
      <c r="DZ726" s="19">
        <v>0.0</v>
      </c>
      <c r="EA726" s="19">
        <v>10.0</v>
      </c>
      <c r="EB726" s="19">
        <v>0.0</v>
      </c>
      <c r="EC726" s="19">
        <v>0.0</v>
      </c>
      <c r="ED726" s="19" t="s">
        <v>2174</v>
      </c>
      <c r="EE726" s="24">
        <v>45518.0</v>
      </c>
      <c r="EF726" s="19" t="s">
        <v>2174</v>
      </c>
      <c r="EG726" s="19" t="s">
        <v>2145</v>
      </c>
      <c r="EH726" s="19" t="s">
        <v>2183</v>
      </c>
      <c r="EI726" s="22">
        <v>10.6875</v>
      </c>
      <c r="EJ726" s="19">
        <v>0.0</v>
      </c>
      <c r="EK726" s="19"/>
      <c r="EL726" s="19" t="s">
        <v>2282</v>
      </c>
      <c r="EM726" s="19" t="s">
        <v>14200</v>
      </c>
      <c r="EN726" s="19" t="s">
        <v>14195</v>
      </c>
      <c r="EO726" s="19" t="s">
        <v>14202</v>
      </c>
      <c r="EP726" s="19" t="s">
        <v>2310</v>
      </c>
      <c r="EQ726" s="19" t="s">
        <v>4884</v>
      </c>
      <c r="ER726" s="19"/>
      <c r="ES726" s="19" t="s">
        <v>14195</v>
      </c>
      <c r="ET726" s="19" t="s">
        <v>14195</v>
      </c>
      <c r="EU726" s="19" t="s">
        <v>14197</v>
      </c>
      <c r="EV726" s="19">
        <v>6844.0</v>
      </c>
      <c r="EW726" s="19" t="s">
        <v>16</v>
      </c>
      <c r="EX726" s="19">
        <v>4.0</v>
      </c>
      <c r="EY726" s="25" t="s">
        <v>14198</v>
      </c>
      <c r="EZ726" s="19" t="s">
        <v>2154</v>
      </c>
      <c r="FA726" s="5" t="s">
        <v>14210</v>
      </c>
      <c r="FB726" s="26" t="s">
        <v>2633</v>
      </c>
      <c r="FC726" s="26" t="s">
        <v>10773</v>
      </c>
    </row>
    <row r="727" hidden="1">
      <c r="A727" s="19" t="s">
        <v>2112</v>
      </c>
      <c r="B727" s="19"/>
      <c r="C727" s="19" t="s">
        <v>2113</v>
      </c>
      <c r="D727" s="19" t="s">
        <v>14211</v>
      </c>
      <c r="E727" s="19" t="s">
        <v>14212</v>
      </c>
      <c r="F727" s="19" t="s">
        <v>14211</v>
      </c>
      <c r="G727" s="19"/>
      <c r="H727" s="19" t="s">
        <v>14211</v>
      </c>
      <c r="I727" s="19" t="s">
        <v>14213</v>
      </c>
      <c r="J727" s="19" t="s">
        <v>14214</v>
      </c>
      <c r="K727" s="19" t="s">
        <v>14215</v>
      </c>
      <c r="L727" s="20">
        <v>45460.0</v>
      </c>
      <c r="M727" s="20">
        <v>45462.0</v>
      </c>
      <c r="N727" s="20">
        <v>45462.0</v>
      </c>
      <c r="O727" s="19" t="s">
        <v>14216</v>
      </c>
      <c r="P727" s="19">
        <v>0.0</v>
      </c>
      <c r="Q727" s="19">
        <v>29.0</v>
      </c>
      <c r="R727" s="19">
        <v>10790.0</v>
      </c>
      <c r="S727" s="20" t="s">
        <v>14217</v>
      </c>
      <c r="T727" s="20">
        <v>45461.0</v>
      </c>
      <c r="U727" s="19" t="s">
        <v>14211</v>
      </c>
      <c r="V727" s="19"/>
      <c r="W727" s="19"/>
      <c r="X727" s="21">
        <v>0.0</v>
      </c>
      <c r="Y727" s="21">
        <v>10.0</v>
      </c>
      <c r="Z727" s="21">
        <v>3.0</v>
      </c>
      <c r="AA727" s="21">
        <v>0.0</v>
      </c>
      <c r="AB727" s="5">
        <v>13.0</v>
      </c>
      <c r="AC727" s="19">
        <v>2.75</v>
      </c>
      <c r="AD727" s="19">
        <v>4.25</v>
      </c>
      <c r="AE727" s="19">
        <v>4.25</v>
      </c>
      <c r="AF727" s="19">
        <v>3.75</v>
      </c>
      <c r="AG727" s="19">
        <v>3.5</v>
      </c>
      <c r="AH727" s="19">
        <v>4.5</v>
      </c>
      <c r="AI727" s="22">
        <v>11.671875</v>
      </c>
      <c r="AJ727" s="19">
        <v>0.0</v>
      </c>
      <c r="AK727" s="19">
        <v>0.0</v>
      </c>
      <c r="AL727" s="19">
        <v>0.0</v>
      </c>
      <c r="AM727" s="19">
        <v>0.0</v>
      </c>
      <c r="AN727" s="19">
        <v>11.7</v>
      </c>
      <c r="AO727" s="19">
        <v>24.7</v>
      </c>
      <c r="AP727" s="19">
        <v>664.0</v>
      </c>
      <c r="AQ727" s="19">
        <v>726.0</v>
      </c>
      <c r="AR727" s="19">
        <v>63.0</v>
      </c>
      <c r="AS727" s="22"/>
      <c r="AT727" s="19" t="s">
        <v>2282</v>
      </c>
      <c r="AU727" s="19" t="s">
        <v>14218</v>
      </c>
      <c r="AV727" s="19" t="s">
        <v>14219</v>
      </c>
      <c r="AW727" s="19" t="s">
        <v>3923</v>
      </c>
      <c r="AX727" s="20">
        <v>34671.0</v>
      </c>
      <c r="AY727" s="19" t="s">
        <v>3034</v>
      </c>
      <c r="AZ727" s="19" t="s">
        <v>2122</v>
      </c>
      <c r="BA727" s="19" t="s">
        <v>14220</v>
      </c>
      <c r="BB727" s="19" t="s">
        <v>14221</v>
      </c>
      <c r="BC727" s="19" t="s">
        <v>14222</v>
      </c>
      <c r="BD727" s="19" t="s">
        <v>14223</v>
      </c>
      <c r="BE727" s="19"/>
      <c r="BF727" s="19"/>
      <c r="BG727" s="19" t="s">
        <v>2127</v>
      </c>
      <c r="BH727" s="19" t="s">
        <v>2128</v>
      </c>
      <c r="BI727" s="19"/>
      <c r="BJ727" s="19"/>
      <c r="BK727" s="19" t="s">
        <v>16</v>
      </c>
      <c r="BL727" s="19"/>
      <c r="BM727" s="19" t="s">
        <v>5411</v>
      </c>
      <c r="BN727" s="19" t="s">
        <v>17</v>
      </c>
      <c r="BO727" s="19" t="s">
        <v>2473</v>
      </c>
      <c r="BP727" s="19"/>
      <c r="BQ727" s="19" t="s">
        <v>2174</v>
      </c>
      <c r="BR727" s="19" t="s">
        <v>2174</v>
      </c>
      <c r="BS727" s="19" t="s">
        <v>2243</v>
      </c>
      <c r="BT727" s="19" t="s">
        <v>34</v>
      </c>
      <c r="BU727" s="19" t="s">
        <v>14224</v>
      </c>
      <c r="BV727" s="19"/>
      <c r="BW727" s="19"/>
      <c r="BX727" s="19"/>
      <c r="BY727" s="19"/>
      <c r="BZ727" s="19"/>
      <c r="CA727" s="19"/>
      <c r="CB727" s="19" t="s">
        <v>2113</v>
      </c>
      <c r="CC727" s="19"/>
      <c r="CD727" s="19" t="s">
        <v>2137</v>
      </c>
      <c r="CE727" s="19" t="s">
        <v>16</v>
      </c>
      <c r="CF727" s="19"/>
      <c r="CG727" s="19"/>
      <c r="CH727" s="19" t="s">
        <v>16</v>
      </c>
      <c r="CI727" s="21">
        <v>0.0</v>
      </c>
      <c r="CJ727" s="19" t="s">
        <v>16</v>
      </c>
      <c r="CK727" s="19"/>
      <c r="CL727" s="19" t="s">
        <v>2113</v>
      </c>
      <c r="CM727" s="19"/>
      <c r="CN727" s="19" t="s">
        <v>3041</v>
      </c>
      <c r="CO727" s="19" t="s">
        <v>2177</v>
      </c>
      <c r="CP727" s="19"/>
      <c r="CQ727" s="19"/>
      <c r="CR727" s="19" t="s">
        <v>2113</v>
      </c>
      <c r="CS727" s="19" t="s">
        <v>2113</v>
      </c>
      <c r="CT727" s="19" t="s">
        <v>2113</v>
      </c>
      <c r="CU727" s="19" t="s">
        <v>2113</v>
      </c>
      <c r="CV727" s="19" t="s">
        <v>2179</v>
      </c>
      <c r="CW727" s="19" t="s">
        <v>2113</v>
      </c>
      <c r="CX727" s="19" t="s">
        <v>2113</v>
      </c>
      <c r="CY727" s="19" t="s">
        <v>2113</v>
      </c>
      <c r="CZ727" s="19" t="s">
        <v>2113</v>
      </c>
      <c r="DA727" s="19" t="s">
        <v>16</v>
      </c>
      <c r="DB727" s="19" t="s">
        <v>16</v>
      </c>
      <c r="DC727" s="19" t="s">
        <v>3042</v>
      </c>
      <c r="DD727" s="19" t="s">
        <v>2113</v>
      </c>
      <c r="DE727" s="19" t="s">
        <v>2113</v>
      </c>
      <c r="DF727" s="19" t="s">
        <v>4926</v>
      </c>
      <c r="DG727" s="19" t="s">
        <v>2433</v>
      </c>
      <c r="DH727" s="19" t="s">
        <v>2144</v>
      </c>
      <c r="DI727" s="24">
        <v>45517.0</v>
      </c>
      <c r="DJ727" s="19" t="s">
        <v>2174</v>
      </c>
      <c r="DK727" s="19" t="s">
        <v>2271</v>
      </c>
      <c r="DL727" s="19" t="s">
        <v>2183</v>
      </c>
      <c r="DM727" s="19" t="s">
        <v>2515</v>
      </c>
      <c r="DN727" s="19">
        <v>2.0</v>
      </c>
      <c r="DO727" s="19">
        <v>2.0</v>
      </c>
      <c r="DP727" s="19"/>
      <c r="DQ727" s="19"/>
      <c r="DR727" s="19"/>
      <c r="DS727" s="19" t="s">
        <v>2365</v>
      </c>
      <c r="DT727" s="19" t="s">
        <v>2366</v>
      </c>
      <c r="DU727" s="19" t="s">
        <v>14225</v>
      </c>
      <c r="DV727" s="19"/>
      <c r="DW727" s="19" t="s">
        <v>2153</v>
      </c>
      <c r="DX727" s="19">
        <v>9.0</v>
      </c>
      <c r="DY727" s="19">
        <v>10.0</v>
      </c>
      <c r="DZ727" s="19">
        <v>0.0</v>
      </c>
      <c r="EA727" s="19">
        <v>10.0</v>
      </c>
      <c r="EB727" s="19">
        <v>0.0</v>
      </c>
      <c r="EC727" s="19">
        <v>0.0</v>
      </c>
      <c r="ED727" s="19" t="s">
        <v>2174</v>
      </c>
      <c r="EE727" s="24">
        <v>45517.0</v>
      </c>
      <c r="EF727" s="19" t="s">
        <v>2174</v>
      </c>
      <c r="EG727" s="19" t="s">
        <v>2271</v>
      </c>
      <c r="EH727" s="19" t="s">
        <v>2183</v>
      </c>
      <c r="EI727" s="22">
        <v>11.671875</v>
      </c>
      <c r="EJ727" s="19">
        <v>0.0</v>
      </c>
      <c r="EK727" s="19"/>
      <c r="EL727" s="19" t="s">
        <v>2282</v>
      </c>
      <c r="EM727" s="19" t="s">
        <v>14218</v>
      </c>
      <c r="EN727" s="19" t="s">
        <v>14213</v>
      </c>
      <c r="EO727" s="19" t="s">
        <v>3034</v>
      </c>
      <c r="EP727" s="19" t="s">
        <v>2122</v>
      </c>
      <c r="EQ727" s="19" t="s">
        <v>3041</v>
      </c>
      <c r="ER727" s="19" t="s">
        <v>2177</v>
      </c>
      <c r="ES727" s="19" t="s">
        <v>14213</v>
      </c>
      <c r="ET727" s="19" t="s">
        <v>14213</v>
      </c>
      <c r="EU727" s="19" t="s">
        <v>14215</v>
      </c>
      <c r="EV727" s="19">
        <v>10790.0</v>
      </c>
      <c r="EW727" s="19" t="s">
        <v>16</v>
      </c>
      <c r="EX727" s="19">
        <v>3.0</v>
      </c>
      <c r="EY727" s="25" t="s">
        <v>14216</v>
      </c>
      <c r="EZ727" s="19" t="s">
        <v>2154</v>
      </c>
      <c r="FA727" s="5" t="s">
        <v>14226</v>
      </c>
      <c r="FB727" s="26" t="s">
        <v>2633</v>
      </c>
      <c r="FC727" s="26" t="s">
        <v>10773</v>
      </c>
    </row>
    <row r="728" hidden="1">
      <c r="A728" s="19" t="s">
        <v>17</v>
      </c>
      <c r="B728" s="19"/>
      <c r="C728" s="19" t="s">
        <v>2113</v>
      </c>
      <c r="D728" s="19" t="s">
        <v>14227</v>
      </c>
      <c r="E728" s="19" t="s">
        <v>14228</v>
      </c>
      <c r="F728" s="19" t="s">
        <v>14229</v>
      </c>
      <c r="G728" s="19" t="s">
        <v>14230</v>
      </c>
      <c r="H728" s="19" t="s">
        <v>14229</v>
      </c>
      <c r="I728" s="19" t="s">
        <v>14231</v>
      </c>
      <c r="J728" s="19" t="s">
        <v>14232</v>
      </c>
      <c r="K728" s="19" t="s">
        <v>14233</v>
      </c>
      <c r="L728" s="20">
        <v>45402.0</v>
      </c>
      <c r="M728" s="20">
        <v>45411.0</v>
      </c>
      <c r="N728" s="20">
        <v>45411.0</v>
      </c>
      <c r="O728" s="19" t="s">
        <v>14234</v>
      </c>
      <c r="P728" s="19">
        <v>0.0</v>
      </c>
      <c r="Q728" s="19">
        <v>19.0</v>
      </c>
      <c r="R728" s="19">
        <v>7032.0</v>
      </c>
      <c r="S728" s="20" t="s">
        <v>14235</v>
      </c>
      <c r="T728" s="20">
        <v>45461.0</v>
      </c>
      <c r="U728" s="19" t="s">
        <v>14229</v>
      </c>
      <c r="V728" s="19"/>
      <c r="W728" s="19"/>
      <c r="X728" s="21">
        <v>0.0</v>
      </c>
      <c r="Y728" s="21">
        <v>10.0</v>
      </c>
      <c r="Z728" s="21">
        <v>3.0</v>
      </c>
      <c r="AA728" s="21">
        <v>0.0</v>
      </c>
      <c r="AB728" s="5">
        <v>13.0</v>
      </c>
      <c r="AC728" s="19">
        <v>4.0</v>
      </c>
      <c r="AD728" s="19">
        <v>3.5</v>
      </c>
      <c r="AE728" s="19">
        <v>4.5</v>
      </c>
      <c r="AF728" s="19">
        <v>3.0</v>
      </c>
      <c r="AG728" s="19">
        <v>4.0</v>
      </c>
      <c r="AH728" s="19">
        <v>3.5</v>
      </c>
      <c r="AI728" s="22">
        <v>11.484375</v>
      </c>
      <c r="AJ728" s="19">
        <v>0.0</v>
      </c>
      <c r="AK728" s="19">
        <v>0.0</v>
      </c>
      <c r="AL728" s="19">
        <v>0.0</v>
      </c>
      <c r="AM728" s="19">
        <v>0.0</v>
      </c>
      <c r="AN728" s="19">
        <v>11.5</v>
      </c>
      <c r="AO728" s="19">
        <v>24.5</v>
      </c>
      <c r="AP728" s="19">
        <v>791.0</v>
      </c>
      <c r="AQ728" s="19">
        <v>727.0</v>
      </c>
      <c r="AR728" s="19">
        <v>50.0</v>
      </c>
      <c r="AS728" s="22"/>
      <c r="AT728" s="19" t="s">
        <v>2163</v>
      </c>
      <c r="AU728" s="19" t="s">
        <v>9477</v>
      </c>
      <c r="AV728" s="19" t="s">
        <v>14236</v>
      </c>
      <c r="AW728" s="19" t="s">
        <v>14237</v>
      </c>
      <c r="AX728" s="20">
        <v>38429.0</v>
      </c>
      <c r="AY728" s="19" t="s">
        <v>11996</v>
      </c>
      <c r="AZ728" s="19" t="s">
        <v>2310</v>
      </c>
      <c r="BA728" s="19" t="s">
        <v>14238</v>
      </c>
      <c r="BB728" s="19" t="s">
        <v>14239</v>
      </c>
      <c r="BC728" s="19" t="s">
        <v>14240</v>
      </c>
      <c r="BD728" s="19" t="s">
        <v>14241</v>
      </c>
      <c r="BE728" s="19" t="s">
        <v>14232</v>
      </c>
      <c r="BF728" s="19">
        <v>1.192017866E10</v>
      </c>
      <c r="BG728" s="19" t="s">
        <v>2127</v>
      </c>
      <c r="BH728" s="19" t="s">
        <v>2128</v>
      </c>
      <c r="BI728" s="19"/>
      <c r="BJ728" s="19"/>
      <c r="BK728" s="19" t="s">
        <v>16</v>
      </c>
      <c r="BL728" s="19"/>
      <c r="BM728" s="19" t="s">
        <v>5411</v>
      </c>
      <c r="BN728" s="19" t="s">
        <v>7956</v>
      </c>
      <c r="BO728" s="19" t="s">
        <v>2473</v>
      </c>
      <c r="BP728" s="19"/>
      <c r="BQ728" s="19" t="s">
        <v>3832</v>
      </c>
      <c r="BR728" s="19" t="s">
        <v>3832</v>
      </c>
      <c r="BS728" s="19" t="s">
        <v>2243</v>
      </c>
      <c r="BT728" s="19" t="s">
        <v>268</v>
      </c>
      <c r="BU728" s="19" t="s">
        <v>14242</v>
      </c>
      <c r="BV728" s="19"/>
      <c r="BW728" s="19"/>
      <c r="BX728" s="19"/>
      <c r="BY728" s="19"/>
      <c r="BZ728" s="19"/>
      <c r="CA728" s="19"/>
      <c r="CB728" s="19" t="s">
        <v>2113</v>
      </c>
      <c r="CC728" s="19"/>
      <c r="CD728" s="19" t="s">
        <v>2137</v>
      </c>
      <c r="CE728" s="19" t="s">
        <v>16</v>
      </c>
      <c r="CF728" s="19"/>
      <c r="CG728" s="19"/>
      <c r="CH728" s="19" t="s">
        <v>16</v>
      </c>
      <c r="CI728" s="21">
        <v>0.0</v>
      </c>
      <c r="CJ728" s="19" t="s">
        <v>16</v>
      </c>
      <c r="CK728" s="19"/>
      <c r="CL728" s="19" t="s">
        <v>2113</v>
      </c>
      <c r="CM728" s="19" t="s">
        <v>2138</v>
      </c>
      <c r="CN728" s="19" t="s">
        <v>3449</v>
      </c>
      <c r="CO728" s="19"/>
      <c r="CP728" s="19" t="s">
        <v>2267</v>
      </c>
      <c r="CQ728" s="19"/>
      <c r="CR728" s="19" t="s">
        <v>2113</v>
      </c>
      <c r="CS728" s="19" t="s">
        <v>2113</v>
      </c>
      <c r="CT728" s="19" t="s">
        <v>2113</v>
      </c>
      <c r="CU728" s="19" t="s">
        <v>2113</v>
      </c>
      <c r="CV728" s="19" t="s">
        <v>2141</v>
      </c>
      <c r="CW728" s="19"/>
      <c r="CX728" s="19"/>
      <c r="CY728" s="19" t="s">
        <v>2113</v>
      </c>
      <c r="CZ728" s="19" t="s">
        <v>2113</v>
      </c>
      <c r="DA728" s="19" t="s">
        <v>16</v>
      </c>
      <c r="DB728" s="19" t="s">
        <v>16</v>
      </c>
      <c r="DC728" s="19" t="s">
        <v>3836</v>
      </c>
      <c r="DD728" s="19" t="s">
        <v>2113</v>
      </c>
      <c r="DE728" s="19" t="s">
        <v>2113</v>
      </c>
      <c r="DF728" s="19" t="s">
        <v>9436</v>
      </c>
      <c r="DG728" s="19" t="s">
        <v>4084</v>
      </c>
      <c r="DH728" s="19" t="s">
        <v>2144</v>
      </c>
      <c r="DI728" s="24">
        <v>45519.0</v>
      </c>
      <c r="DJ728" s="19" t="s">
        <v>3257</v>
      </c>
      <c r="DK728" s="19" t="s">
        <v>2271</v>
      </c>
      <c r="DL728" s="19" t="s">
        <v>2207</v>
      </c>
      <c r="DM728" s="22" t="s">
        <v>5338</v>
      </c>
      <c r="DN728" s="19">
        <v>3.0</v>
      </c>
      <c r="DO728" s="19">
        <v>3.0</v>
      </c>
      <c r="DP728" s="19" t="s">
        <v>14243</v>
      </c>
      <c r="DQ728" s="19" t="s">
        <v>14244</v>
      </c>
      <c r="DR728" s="19" t="s">
        <v>14245</v>
      </c>
      <c r="DS728" s="19" t="s">
        <v>2185</v>
      </c>
      <c r="DT728" s="19" t="s">
        <v>2209</v>
      </c>
      <c r="DU728" s="19"/>
      <c r="DV728" s="19"/>
      <c r="DW728" s="19" t="s">
        <v>2153</v>
      </c>
      <c r="DX728" s="19">
        <v>2.0</v>
      </c>
      <c r="DY728" s="19">
        <v>10.0</v>
      </c>
      <c r="DZ728" s="19">
        <v>0.0</v>
      </c>
      <c r="EA728" s="19">
        <v>10.0</v>
      </c>
      <c r="EB728" s="19">
        <v>0.0</v>
      </c>
      <c r="EC728" s="19">
        <v>0.0</v>
      </c>
      <c r="ED728" s="19" t="s">
        <v>3257</v>
      </c>
      <c r="EE728" s="24">
        <v>45519.0</v>
      </c>
      <c r="EF728" s="19" t="s">
        <v>3257</v>
      </c>
      <c r="EG728" s="19" t="s">
        <v>2271</v>
      </c>
      <c r="EH728" s="19" t="s">
        <v>2207</v>
      </c>
      <c r="EI728" s="22">
        <v>11.484375</v>
      </c>
      <c r="EJ728" s="19">
        <v>0.0</v>
      </c>
      <c r="EK728" s="19"/>
      <c r="EL728" s="19" t="s">
        <v>2163</v>
      </c>
      <c r="EM728" s="19" t="s">
        <v>9477</v>
      </c>
      <c r="EN728" s="19" t="s">
        <v>14231</v>
      </c>
      <c r="EO728" s="19" t="s">
        <v>11996</v>
      </c>
      <c r="EP728" s="19" t="s">
        <v>2310</v>
      </c>
      <c r="EQ728" s="19" t="s">
        <v>3449</v>
      </c>
      <c r="ER728" s="19"/>
      <c r="ES728" s="19" t="s">
        <v>14231</v>
      </c>
      <c r="ET728" s="19" t="s">
        <v>14231</v>
      </c>
      <c r="EU728" s="19" t="s">
        <v>14233</v>
      </c>
      <c r="EV728" s="19">
        <v>7032.0</v>
      </c>
      <c r="EW728" s="19" t="s">
        <v>16</v>
      </c>
      <c r="EX728" s="19">
        <v>3.0</v>
      </c>
      <c r="EY728" s="25" t="s">
        <v>14234</v>
      </c>
      <c r="EZ728" s="19" t="s">
        <v>2154</v>
      </c>
      <c r="FA728" s="5" t="s">
        <v>14246</v>
      </c>
      <c r="FB728" s="26" t="s">
        <v>2633</v>
      </c>
      <c r="FC728" s="26" t="s">
        <v>11913</v>
      </c>
    </row>
    <row r="729" hidden="1">
      <c r="A729" s="19" t="s">
        <v>2112</v>
      </c>
      <c r="B729" s="19"/>
      <c r="C729" s="19" t="s">
        <v>2113</v>
      </c>
      <c r="D729" s="19" t="s">
        <v>14247</v>
      </c>
      <c r="E729" s="19" t="s">
        <v>14248</v>
      </c>
      <c r="F729" s="19" t="s">
        <v>14247</v>
      </c>
      <c r="G729" s="19" t="s">
        <v>14248</v>
      </c>
      <c r="H729" s="19" t="s">
        <v>14247</v>
      </c>
      <c r="I729" s="19" t="s">
        <v>14249</v>
      </c>
      <c r="J729" s="19" t="s">
        <v>14250</v>
      </c>
      <c r="K729" s="19" t="s">
        <v>14251</v>
      </c>
      <c r="L729" s="20">
        <v>45394.0</v>
      </c>
      <c r="M729" s="20">
        <v>45404.0</v>
      </c>
      <c r="N729" s="20">
        <v>45404.0</v>
      </c>
      <c r="O729" s="19" t="s">
        <v>14252</v>
      </c>
      <c r="P729" s="19">
        <v>0.0</v>
      </c>
      <c r="Q729" s="19">
        <v>18.0</v>
      </c>
      <c r="R729" s="19">
        <v>6700.0</v>
      </c>
      <c r="S729" s="20" t="s">
        <v>14253</v>
      </c>
      <c r="T729" s="20">
        <v>45461.0</v>
      </c>
      <c r="U729" s="19" t="s">
        <v>14247</v>
      </c>
      <c r="V729" s="19"/>
      <c r="W729" s="19"/>
      <c r="X729" s="21">
        <v>0.0</v>
      </c>
      <c r="Y729" s="21">
        <v>5.0</v>
      </c>
      <c r="Z729" s="21">
        <v>4.0</v>
      </c>
      <c r="AA729" s="21">
        <v>0.0</v>
      </c>
      <c r="AB729" s="5">
        <v>9.0</v>
      </c>
      <c r="AC729" s="19">
        <v>5.0</v>
      </c>
      <c r="AD729" s="19">
        <v>4.0</v>
      </c>
      <c r="AE729" s="19">
        <v>5.0</v>
      </c>
      <c r="AF729" s="19">
        <v>4.0</v>
      </c>
      <c r="AG729" s="19">
        <v>4.0</v>
      </c>
      <c r="AH729" s="19">
        <v>5.0</v>
      </c>
      <c r="AI729" s="22">
        <v>13.59375</v>
      </c>
      <c r="AJ729" s="19"/>
      <c r="AK729" s="19"/>
      <c r="AL729" s="19"/>
      <c r="AM729" s="19">
        <v>0.0</v>
      </c>
      <c r="AN729" s="19">
        <v>13.6</v>
      </c>
      <c r="AO729" s="19">
        <v>22.6</v>
      </c>
      <c r="AP729" s="19">
        <v>983.0</v>
      </c>
      <c r="AQ729" s="19">
        <v>728.0</v>
      </c>
      <c r="AR729" s="19">
        <v>75.0</v>
      </c>
      <c r="AS729" s="22"/>
      <c r="AT729" s="19" t="s">
        <v>2163</v>
      </c>
      <c r="AU729" s="19" t="s">
        <v>3691</v>
      </c>
      <c r="AV729" s="19" t="s">
        <v>14254</v>
      </c>
      <c r="AW729" s="19" t="s">
        <v>14255</v>
      </c>
      <c r="AX729" s="20">
        <v>38761.0</v>
      </c>
      <c r="AY729" s="19" t="s">
        <v>2375</v>
      </c>
      <c r="AZ729" s="19" t="s">
        <v>2122</v>
      </c>
      <c r="BA729" s="19" t="s">
        <v>14256</v>
      </c>
      <c r="BB729" s="19" t="s">
        <v>14255</v>
      </c>
      <c r="BC729" s="19" t="s">
        <v>14257</v>
      </c>
      <c r="BD729" s="19" t="s">
        <v>14258</v>
      </c>
      <c r="BE729" s="19" t="s">
        <v>14259</v>
      </c>
      <c r="BF729" s="19">
        <v>1.1954905524E10</v>
      </c>
      <c r="BG729" s="19" t="s">
        <v>3518</v>
      </c>
      <c r="BH729" s="19" t="s">
        <v>2128</v>
      </c>
      <c r="BI729" s="19"/>
      <c r="BJ729" s="19" t="s">
        <v>2427</v>
      </c>
      <c r="BK729" s="19" t="s">
        <v>17</v>
      </c>
      <c r="BL729" s="19"/>
      <c r="BM729" s="19" t="s">
        <v>5563</v>
      </c>
      <c r="BN729" s="19" t="s">
        <v>14260</v>
      </c>
      <c r="BO729" s="19" t="s">
        <v>2317</v>
      </c>
      <c r="BP729" s="19" t="s">
        <v>14261</v>
      </c>
      <c r="BQ729" s="19" t="s">
        <v>2133</v>
      </c>
      <c r="BR729" s="19" t="s">
        <v>2133</v>
      </c>
      <c r="BS729" s="19" t="s">
        <v>2243</v>
      </c>
      <c r="BT729" s="19" t="s">
        <v>52</v>
      </c>
      <c r="BU729" s="19" t="s">
        <v>14262</v>
      </c>
      <c r="BV729" s="19"/>
      <c r="BW729" s="19" t="s">
        <v>2113</v>
      </c>
      <c r="BX729" s="19"/>
      <c r="BY729" s="19"/>
      <c r="BZ729" s="19"/>
      <c r="CA729" s="19"/>
      <c r="CB729" s="19"/>
      <c r="CC729" s="19"/>
      <c r="CD729" s="19" t="s">
        <v>2137</v>
      </c>
      <c r="CE729" s="19" t="s">
        <v>16</v>
      </c>
      <c r="CF729" s="19"/>
      <c r="CG729" s="19"/>
      <c r="CH729" s="19" t="s">
        <v>16</v>
      </c>
      <c r="CI729" s="21">
        <v>0.0</v>
      </c>
      <c r="CJ729" s="19" t="s">
        <v>17</v>
      </c>
      <c r="CK729" s="19"/>
      <c r="CL729" s="19"/>
      <c r="CM729" s="19" t="s">
        <v>2926</v>
      </c>
      <c r="CN729" s="19" t="s">
        <v>2382</v>
      </c>
      <c r="CO729" s="19"/>
      <c r="CP729" s="19" t="s">
        <v>2246</v>
      </c>
      <c r="CQ729" s="19"/>
      <c r="CR729" s="19"/>
      <c r="CS729" s="19"/>
      <c r="CT729" s="19"/>
      <c r="CU729" s="19"/>
      <c r="CV729" s="19" t="s">
        <v>2141</v>
      </c>
      <c r="CW729" s="19" t="s">
        <v>2113</v>
      </c>
      <c r="CX729" s="19" t="s">
        <v>2113</v>
      </c>
      <c r="CY729" s="19" t="s">
        <v>2113</v>
      </c>
      <c r="CZ729" s="19" t="s">
        <v>2113</v>
      </c>
      <c r="DA729" s="19" t="s">
        <v>16</v>
      </c>
      <c r="DB729" s="19" t="s">
        <v>17</v>
      </c>
      <c r="DC729" s="19" t="s">
        <v>2297</v>
      </c>
      <c r="DD729" s="19" t="s">
        <v>2113</v>
      </c>
      <c r="DE729" s="19" t="s">
        <v>2113</v>
      </c>
      <c r="DF729" s="19" t="s">
        <v>2601</v>
      </c>
      <c r="DG729" s="19" t="s">
        <v>4425</v>
      </c>
      <c r="DH729" s="19" t="s">
        <v>2144</v>
      </c>
      <c r="DI729" s="24">
        <v>45524.0</v>
      </c>
      <c r="DJ729" s="19" t="s">
        <v>2133</v>
      </c>
      <c r="DK729" s="19" t="s">
        <v>2145</v>
      </c>
      <c r="DL729" s="19" t="s">
        <v>2146</v>
      </c>
      <c r="DM729" s="19" t="s">
        <v>3302</v>
      </c>
      <c r="DN729" s="19">
        <v>7.0</v>
      </c>
      <c r="DO729" s="19">
        <v>7.0</v>
      </c>
      <c r="DP729" s="19" t="s">
        <v>14263</v>
      </c>
      <c r="DQ729" s="19" t="s">
        <v>14264</v>
      </c>
      <c r="DR729" s="19" t="s">
        <v>14265</v>
      </c>
      <c r="DS729" s="19" t="s">
        <v>2365</v>
      </c>
      <c r="DT729" s="19" t="s">
        <v>2301</v>
      </c>
      <c r="DU729" s="19"/>
      <c r="DV729" s="19"/>
      <c r="DW729" s="19" t="s">
        <v>2153</v>
      </c>
      <c r="DX729" s="19">
        <v>9.0</v>
      </c>
      <c r="DY729" s="19">
        <v>5.0</v>
      </c>
      <c r="DZ729" s="19">
        <v>0.0</v>
      </c>
      <c r="EA729" s="19">
        <v>5.0</v>
      </c>
      <c r="EB729" s="19">
        <v>0.0</v>
      </c>
      <c r="EC729" s="19">
        <v>0.0</v>
      </c>
      <c r="ED729" s="19" t="s">
        <v>2133</v>
      </c>
      <c r="EE729" s="24">
        <v>45524.0</v>
      </c>
      <c r="EF729" s="19" t="s">
        <v>2133</v>
      </c>
      <c r="EG729" s="19" t="s">
        <v>2145</v>
      </c>
      <c r="EH729" s="19" t="s">
        <v>2146</v>
      </c>
      <c r="EI729" s="22">
        <v>13.59375</v>
      </c>
      <c r="EJ729" s="19">
        <v>0.0</v>
      </c>
      <c r="EK729" s="19" t="s">
        <v>2113</v>
      </c>
      <c r="EL729" s="19" t="s">
        <v>2163</v>
      </c>
      <c r="EM729" s="19" t="s">
        <v>3691</v>
      </c>
      <c r="EN729" s="19" t="s">
        <v>14249</v>
      </c>
      <c r="EO729" s="19" t="s">
        <v>2375</v>
      </c>
      <c r="EP729" s="19" t="s">
        <v>2122</v>
      </c>
      <c r="EQ729" s="19" t="s">
        <v>2382</v>
      </c>
      <c r="ER729" s="19"/>
      <c r="ES729" s="19" t="s">
        <v>14249</v>
      </c>
      <c r="ET729" s="19" t="s">
        <v>14249</v>
      </c>
      <c r="EU729" s="19" t="s">
        <v>14251</v>
      </c>
      <c r="EV729" s="19">
        <v>6700.0</v>
      </c>
      <c r="EW729" s="19" t="s">
        <v>16</v>
      </c>
      <c r="EX729" s="19">
        <v>4.0</v>
      </c>
      <c r="EY729" s="25" t="s">
        <v>14252</v>
      </c>
      <c r="EZ729" s="19" t="s">
        <v>2154</v>
      </c>
      <c r="FA729" s="5" t="s">
        <v>14266</v>
      </c>
      <c r="FB729" s="26" t="s">
        <v>2633</v>
      </c>
      <c r="FC729" s="26" t="s">
        <v>10773</v>
      </c>
    </row>
    <row r="730" hidden="1">
      <c r="A730" s="19" t="s">
        <v>2112</v>
      </c>
      <c r="B730" s="19"/>
      <c r="C730" s="19" t="s">
        <v>2113</v>
      </c>
      <c r="D730" s="19" t="s">
        <v>14267</v>
      </c>
      <c r="E730" s="19" t="s">
        <v>14268</v>
      </c>
      <c r="F730" s="19" t="s">
        <v>14267</v>
      </c>
      <c r="G730" s="19"/>
      <c r="H730" s="19" t="s">
        <v>14267</v>
      </c>
      <c r="I730" s="19" t="s">
        <v>14269</v>
      </c>
      <c r="J730" s="19" t="s">
        <v>14270</v>
      </c>
      <c r="K730" s="19" t="s">
        <v>14271</v>
      </c>
      <c r="L730" s="20">
        <v>45402.0</v>
      </c>
      <c r="M730" s="20">
        <v>45411.0</v>
      </c>
      <c r="N730" s="20">
        <v>45411.0</v>
      </c>
      <c r="O730" s="19" t="s">
        <v>14272</v>
      </c>
      <c r="P730" s="19">
        <v>0.0</v>
      </c>
      <c r="Q730" s="19">
        <v>20.0</v>
      </c>
      <c r="R730" s="19">
        <v>7422.0</v>
      </c>
      <c r="S730" s="20" t="s">
        <v>14273</v>
      </c>
      <c r="T730" s="20">
        <v>45461.0</v>
      </c>
      <c r="U730" s="19" t="s">
        <v>14267</v>
      </c>
      <c r="V730" s="19"/>
      <c r="W730" s="19"/>
      <c r="X730" s="21">
        <v>0.0</v>
      </c>
      <c r="Y730" s="21">
        <v>5.0</v>
      </c>
      <c r="Z730" s="21">
        <v>3.0</v>
      </c>
      <c r="AA730" s="21">
        <v>0.0</v>
      </c>
      <c r="AB730" s="5">
        <v>8.0</v>
      </c>
      <c r="AC730" s="19">
        <v>5.0</v>
      </c>
      <c r="AD730" s="19">
        <v>5.0</v>
      </c>
      <c r="AE730" s="19">
        <v>5.0</v>
      </c>
      <c r="AF730" s="19">
        <v>5.0</v>
      </c>
      <c r="AG730" s="19">
        <v>4.0</v>
      </c>
      <c r="AH730" s="19">
        <v>4.0</v>
      </c>
      <c r="AI730" s="22">
        <v>14.25</v>
      </c>
      <c r="AJ730" s="19"/>
      <c r="AK730" s="19"/>
      <c r="AL730" s="19"/>
      <c r="AM730" s="19">
        <v>0.0</v>
      </c>
      <c r="AN730" s="19">
        <v>14.3</v>
      </c>
      <c r="AO730" s="19">
        <v>22.3</v>
      </c>
      <c r="AP730" s="19">
        <v>989.0</v>
      </c>
      <c r="AQ730" s="19">
        <v>729.0</v>
      </c>
      <c r="AR730" s="19">
        <v>76.0</v>
      </c>
      <c r="AS730" s="22"/>
      <c r="AT730" s="19" t="s">
        <v>2117</v>
      </c>
      <c r="AU730" s="19" t="s">
        <v>11220</v>
      </c>
      <c r="AV730" s="19" t="s">
        <v>14274</v>
      </c>
      <c r="AW730" s="19"/>
      <c r="AX730" s="20">
        <v>38039.0</v>
      </c>
      <c r="AY730" s="19" t="s">
        <v>6385</v>
      </c>
      <c r="AZ730" s="19" t="s">
        <v>2122</v>
      </c>
      <c r="BA730" s="19" t="s">
        <v>14275</v>
      </c>
      <c r="BB730" s="19" t="s">
        <v>14276</v>
      </c>
      <c r="BC730" s="19" t="s">
        <v>14277</v>
      </c>
      <c r="BD730" s="19" t="s">
        <v>14278</v>
      </c>
      <c r="BE730" s="19" t="s">
        <v>14279</v>
      </c>
      <c r="BF730" s="19">
        <v>1.1939051782E10</v>
      </c>
      <c r="BG730" s="19" t="s">
        <v>3518</v>
      </c>
      <c r="BH730" s="19" t="s">
        <v>2128</v>
      </c>
      <c r="BI730" s="19"/>
      <c r="BJ730" s="19" t="s">
        <v>2128</v>
      </c>
      <c r="BK730" s="19" t="s">
        <v>17</v>
      </c>
      <c r="BL730" s="19"/>
      <c r="BM730" s="19" t="s">
        <v>5563</v>
      </c>
      <c r="BN730" s="19" t="s">
        <v>17</v>
      </c>
      <c r="BO730" s="19" t="s">
        <v>2473</v>
      </c>
      <c r="BP730" s="19"/>
      <c r="BQ730" s="19" t="s">
        <v>2133</v>
      </c>
      <c r="BR730" s="19" t="s">
        <v>2133</v>
      </c>
      <c r="BS730" s="19" t="s">
        <v>2134</v>
      </c>
      <c r="BT730" s="19" t="s">
        <v>52</v>
      </c>
      <c r="BU730" s="19" t="s">
        <v>14280</v>
      </c>
      <c r="BV730" s="19"/>
      <c r="BW730" s="19" t="s">
        <v>2113</v>
      </c>
      <c r="BX730" s="19"/>
      <c r="BY730" s="19"/>
      <c r="BZ730" s="19"/>
      <c r="CA730" s="19"/>
      <c r="CB730" s="19"/>
      <c r="CC730" s="19"/>
      <c r="CD730" s="19" t="s">
        <v>2137</v>
      </c>
      <c r="CE730" s="19" t="s">
        <v>16</v>
      </c>
      <c r="CF730" s="19"/>
      <c r="CG730" s="19"/>
      <c r="CH730" s="19" t="s">
        <v>16</v>
      </c>
      <c r="CI730" s="21">
        <v>0.0</v>
      </c>
      <c r="CJ730" s="19" t="s">
        <v>17</v>
      </c>
      <c r="CK730" s="19"/>
      <c r="CL730" s="19"/>
      <c r="CM730" s="19" t="s">
        <v>2138</v>
      </c>
      <c r="CN730" s="19" t="s">
        <v>6390</v>
      </c>
      <c r="CO730" s="19"/>
      <c r="CP730" s="19" t="s">
        <v>2140</v>
      </c>
      <c r="CQ730" s="19"/>
      <c r="CR730" s="19" t="s">
        <v>2113</v>
      </c>
      <c r="CS730" s="19" t="s">
        <v>2113</v>
      </c>
      <c r="CT730" s="19" t="s">
        <v>2113</v>
      </c>
      <c r="CU730" s="19" t="s">
        <v>2113</v>
      </c>
      <c r="CV730" s="19" t="s">
        <v>2141</v>
      </c>
      <c r="CW730" s="19"/>
      <c r="CX730" s="19"/>
      <c r="CY730" s="19" t="s">
        <v>2113</v>
      </c>
      <c r="CZ730" s="19" t="s">
        <v>2113</v>
      </c>
      <c r="DA730" s="19" t="s">
        <v>16</v>
      </c>
      <c r="DB730" s="19" t="s">
        <v>17</v>
      </c>
      <c r="DC730" s="19" t="s">
        <v>4540</v>
      </c>
      <c r="DD730" s="19" t="s">
        <v>2113</v>
      </c>
      <c r="DE730" s="19" t="s">
        <v>2113</v>
      </c>
      <c r="DF730" s="19" t="s">
        <v>3255</v>
      </c>
      <c r="DG730" s="19" t="s">
        <v>2407</v>
      </c>
      <c r="DH730" s="19" t="s">
        <v>2144</v>
      </c>
      <c r="DI730" s="24">
        <v>45531.0</v>
      </c>
      <c r="DJ730" s="19" t="s">
        <v>2133</v>
      </c>
      <c r="DK730" s="19" t="s">
        <v>2271</v>
      </c>
      <c r="DL730" s="19" t="s">
        <v>2146</v>
      </c>
      <c r="DM730" s="19" t="s">
        <v>2827</v>
      </c>
      <c r="DN730" s="19">
        <v>14.0</v>
      </c>
      <c r="DO730" s="19">
        <v>14.0</v>
      </c>
      <c r="DP730" s="19" t="s">
        <v>14281</v>
      </c>
      <c r="DQ730" s="19" t="s">
        <v>14282</v>
      </c>
      <c r="DR730" s="19" t="s">
        <v>14283</v>
      </c>
      <c r="DS730" s="19" t="s">
        <v>2365</v>
      </c>
      <c r="DT730" s="19" t="s">
        <v>2229</v>
      </c>
      <c r="DU730" s="19"/>
      <c r="DV730" s="19"/>
      <c r="DW730" s="19" t="s">
        <v>2188</v>
      </c>
      <c r="DX730" s="19">
        <v>10.0</v>
      </c>
      <c r="DY730" s="19">
        <v>5.0</v>
      </c>
      <c r="DZ730" s="19">
        <v>0.0</v>
      </c>
      <c r="EA730" s="19">
        <v>5.0</v>
      </c>
      <c r="EB730" s="19">
        <v>0.0</v>
      </c>
      <c r="EC730" s="19">
        <v>0.0</v>
      </c>
      <c r="ED730" s="19" t="s">
        <v>2133</v>
      </c>
      <c r="EE730" s="24">
        <v>45531.0</v>
      </c>
      <c r="EF730" s="19" t="s">
        <v>2133</v>
      </c>
      <c r="EG730" s="19" t="s">
        <v>2271</v>
      </c>
      <c r="EH730" s="19" t="s">
        <v>2146</v>
      </c>
      <c r="EI730" s="22">
        <v>14.25</v>
      </c>
      <c r="EJ730" s="19">
        <v>0.0</v>
      </c>
      <c r="EK730" s="19" t="s">
        <v>2113</v>
      </c>
      <c r="EL730" s="19" t="s">
        <v>2117</v>
      </c>
      <c r="EM730" s="19" t="s">
        <v>11220</v>
      </c>
      <c r="EN730" s="19" t="s">
        <v>14269</v>
      </c>
      <c r="EO730" s="19" t="s">
        <v>6385</v>
      </c>
      <c r="EP730" s="19" t="s">
        <v>2122</v>
      </c>
      <c r="EQ730" s="19" t="s">
        <v>6390</v>
      </c>
      <c r="ER730" s="19"/>
      <c r="ES730" s="19" t="s">
        <v>14269</v>
      </c>
      <c r="ET730" s="19" t="s">
        <v>14269</v>
      </c>
      <c r="EU730" s="19" t="s">
        <v>14271</v>
      </c>
      <c r="EV730" s="19">
        <v>7422.0</v>
      </c>
      <c r="EW730" s="19" t="s">
        <v>16</v>
      </c>
      <c r="EX730" s="19">
        <v>3.0</v>
      </c>
      <c r="EY730" s="25" t="s">
        <v>14272</v>
      </c>
      <c r="EZ730" s="19" t="s">
        <v>2154</v>
      </c>
      <c r="FA730" s="5" t="s">
        <v>14284</v>
      </c>
      <c r="FB730" s="26" t="s">
        <v>2633</v>
      </c>
      <c r="FC730" s="26" t="s">
        <v>10773</v>
      </c>
    </row>
    <row r="731" hidden="1">
      <c r="A731" s="19" t="s">
        <v>2112</v>
      </c>
      <c r="B731" s="19"/>
      <c r="C731" s="19" t="s">
        <v>2113</v>
      </c>
      <c r="D731" s="19" t="s">
        <v>14285</v>
      </c>
      <c r="E731" s="19" t="s">
        <v>14286</v>
      </c>
      <c r="F731" s="19" t="s">
        <v>14285</v>
      </c>
      <c r="G731" s="19"/>
      <c r="H731" s="19" t="s">
        <v>14285</v>
      </c>
      <c r="I731" s="19" t="s">
        <v>14287</v>
      </c>
      <c r="J731" s="19" t="s">
        <v>14288</v>
      </c>
      <c r="K731" s="19" t="s">
        <v>14289</v>
      </c>
      <c r="L731" s="20">
        <v>45458.0</v>
      </c>
      <c r="M731" s="20">
        <v>45460.0</v>
      </c>
      <c r="N731" s="20">
        <v>45460.0</v>
      </c>
      <c r="O731" s="19" t="s">
        <v>14290</v>
      </c>
      <c r="P731" s="19">
        <v>0.0</v>
      </c>
      <c r="Q731" s="19">
        <v>19.0</v>
      </c>
      <c r="R731" s="19">
        <v>7075.0</v>
      </c>
      <c r="S731" s="20" t="s">
        <v>14291</v>
      </c>
      <c r="T731" s="20">
        <v>45461.0</v>
      </c>
      <c r="U731" s="19" t="s">
        <v>14285</v>
      </c>
      <c r="V731" s="19"/>
      <c r="W731" s="19"/>
      <c r="X731" s="21">
        <v>0.0</v>
      </c>
      <c r="Y731" s="21">
        <v>10.0</v>
      </c>
      <c r="Z731" s="21">
        <v>3.0</v>
      </c>
      <c r="AA731" s="21">
        <v>0.0</v>
      </c>
      <c r="AB731" s="5">
        <v>13.0</v>
      </c>
      <c r="AC731" s="19">
        <v>3.2</v>
      </c>
      <c r="AD731" s="19">
        <v>2.7</v>
      </c>
      <c r="AE731" s="19">
        <v>3.2</v>
      </c>
      <c r="AF731" s="19">
        <v>3.0</v>
      </c>
      <c r="AG731" s="19">
        <v>2.7</v>
      </c>
      <c r="AH731" s="19">
        <v>3.2</v>
      </c>
      <c r="AI731" s="22">
        <v>9.009375</v>
      </c>
      <c r="AJ731" s="19"/>
      <c r="AK731" s="19"/>
      <c r="AL731" s="19"/>
      <c r="AM731" s="19">
        <v>0.0</v>
      </c>
      <c r="AN731" s="19">
        <v>9.0</v>
      </c>
      <c r="AO731" s="19">
        <v>22.0</v>
      </c>
      <c r="AP731" s="19">
        <v>788.0</v>
      </c>
      <c r="AQ731" s="19">
        <v>730.0</v>
      </c>
      <c r="AR731" s="19">
        <v>60.0</v>
      </c>
      <c r="AS731" s="22"/>
      <c r="AT731" s="19" t="s">
        <v>2117</v>
      </c>
      <c r="AU731" s="19" t="s">
        <v>14292</v>
      </c>
      <c r="AV731" s="19" t="s">
        <v>14293</v>
      </c>
      <c r="AW731" s="19"/>
      <c r="AX731" s="20">
        <v>38386.0</v>
      </c>
      <c r="AY731" s="19" t="s">
        <v>4860</v>
      </c>
      <c r="AZ731" s="19" t="s">
        <v>2310</v>
      </c>
      <c r="BA731" s="19" t="s">
        <v>14294</v>
      </c>
      <c r="BB731" s="19" t="s">
        <v>14295</v>
      </c>
      <c r="BC731" s="19" t="s">
        <v>14296</v>
      </c>
      <c r="BD731" s="19" t="s">
        <v>14297</v>
      </c>
      <c r="BE731" s="19" t="s">
        <v>14298</v>
      </c>
      <c r="BF731" s="19">
        <v>1.1980329506E10</v>
      </c>
      <c r="BG731" s="19" t="s">
        <v>2127</v>
      </c>
      <c r="BH731" s="19" t="s">
        <v>2128</v>
      </c>
      <c r="BI731" s="19"/>
      <c r="BJ731" s="19" t="s">
        <v>2128</v>
      </c>
      <c r="BK731" s="19" t="s">
        <v>16</v>
      </c>
      <c r="BL731" s="19"/>
      <c r="BM731" s="19" t="s">
        <v>5411</v>
      </c>
      <c r="BN731" s="19" t="s">
        <v>2172</v>
      </c>
      <c r="BO731" s="19" t="s">
        <v>2473</v>
      </c>
      <c r="BP731" s="19" t="s">
        <v>14299</v>
      </c>
      <c r="BQ731" s="19" t="s">
        <v>2325</v>
      </c>
      <c r="BR731" s="19" t="s">
        <v>2325</v>
      </c>
      <c r="BS731" s="19" t="s">
        <v>2134</v>
      </c>
      <c r="BT731" s="19" t="s">
        <v>59</v>
      </c>
      <c r="BU731" s="19" t="s">
        <v>2560</v>
      </c>
      <c r="BV731" s="19"/>
      <c r="BW731" s="19" t="s">
        <v>2113</v>
      </c>
      <c r="BX731" s="19"/>
      <c r="BY731" s="19"/>
      <c r="BZ731" s="19"/>
      <c r="CA731" s="19"/>
      <c r="CB731" s="19"/>
      <c r="CC731" s="19"/>
      <c r="CD731" s="19" t="s">
        <v>2137</v>
      </c>
      <c r="CE731" s="19" t="s">
        <v>16</v>
      </c>
      <c r="CF731" s="19"/>
      <c r="CG731" s="19"/>
      <c r="CH731" s="19" t="s">
        <v>16</v>
      </c>
      <c r="CI731" s="21">
        <v>0.0</v>
      </c>
      <c r="CJ731" s="19" t="s">
        <v>17</v>
      </c>
      <c r="CK731" s="19"/>
      <c r="CL731" s="19"/>
      <c r="CM731" s="19" t="s">
        <v>2344</v>
      </c>
      <c r="CN731" s="19" t="s">
        <v>3064</v>
      </c>
      <c r="CO731" s="19"/>
      <c r="CP731" s="19" t="s">
        <v>2246</v>
      </c>
      <c r="CQ731" s="19"/>
      <c r="CR731" s="19"/>
      <c r="CS731" s="19"/>
      <c r="CT731" s="19"/>
      <c r="CU731" s="19"/>
      <c r="CV731" s="19" t="s">
        <v>2141</v>
      </c>
      <c r="CW731" s="19"/>
      <c r="CX731" s="19"/>
      <c r="CY731" s="19" t="s">
        <v>2113</v>
      </c>
      <c r="CZ731" s="19" t="s">
        <v>2113</v>
      </c>
      <c r="DA731" s="19" t="s">
        <v>16</v>
      </c>
      <c r="DB731" s="19" t="s">
        <v>17</v>
      </c>
      <c r="DC731" s="19" t="s">
        <v>4904</v>
      </c>
      <c r="DD731" s="19" t="s">
        <v>2113</v>
      </c>
      <c r="DE731" s="19" t="s">
        <v>2113</v>
      </c>
      <c r="DF731" s="19" t="s">
        <v>2562</v>
      </c>
      <c r="DG731" s="19" t="s">
        <v>2497</v>
      </c>
      <c r="DH731" s="19" t="s">
        <v>2144</v>
      </c>
      <c r="DI731" s="24">
        <v>45524.0</v>
      </c>
      <c r="DJ731" s="19" t="s">
        <v>2325</v>
      </c>
      <c r="DK731" s="19" t="s">
        <v>2271</v>
      </c>
      <c r="DL731" s="19" t="s">
        <v>2326</v>
      </c>
      <c r="DM731" s="19"/>
      <c r="DN731" s="19">
        <v>8.0</v>
      </c>
      <c r="DO731" s="19">
        <v>8.0</v>
      </c>
      <c r="DP731" s="19" t="s">
        <v>14300</v>
      </c>
      <c r="DQ731" s="19" t="s">
        <v>14301</v>
      </c>
      <c r="DR731" s="19" t="s">
        <v>14302</v>
      </c>
      <c r="DS731" s="19" t="s">
        <v>2185</v>
      </c>
      <c r="DT731" s="19" t="s">
        <v>2152</v>
      </c>
      <c r="DU731" s="19"/>
      <c r="DV731" s="19"/>
      <c r="DW731" s="19" t="s">
        <v>2188</v>
      </c>
      <c r="DX731" s="19">
        <v>5.0</v>
      </c>
      <c r="DY731" s="19">
        <v>10.0</v>
      </c>
      <c r="DZ731" s="19">
        <v>0.0</v>
      </c>
      <c r="EA731" s="19">
        <v>10.0</v>
      </c>
      <c r="EB731" s="19">
        <v>0.0</v>
      </c>
      <c r="EC731" s="19">
        <v>0.0</v>
      </c>
      <c r="ED731" s="19" t="s">
        <v>2325</v>
      </c>
      <c r="EE731" s="24">
        <v>45524.0</v>
      </c>
      <c r="EF731" s="19" t="s">
        <v>2325</v>
      </c>
      <c r="EG731" s="19" t="s">
        <v>2271</v>
      </c>
      <c r="EH731" s="19" t="s">
        <v>2326</v>
      </c>
      <c r="EI731" s="22">
        <v>9.009375</v>
      </c>
      <c r="EJ731" s="19">
        <v>0.0</v>
      </c>
      <c r="EK731" s="19" t="s">
        <v>2113</v>
      </c>
      <c r="EL731" s="19" t="s">
        <v>2117</v>
      </c>
      <c r="EM731" s="19" t="s">
        <v>14292</v>
      </c>
      <c r="EN731" s="19" t="s">
        <v>14287</v>
      </c>
      <c r="EO731" s="19" t="s">
        <v>4860</v>
      </c>
      <c r="EP731" s="19" t="s">
        <v>2310</v>
      </c>
      <c r="EQ731" s="19" t="s">
        <v>3064</v>
      </c>
      <c r="ER731" s="19"/>
      <c r="ES731" s="19" t="s">
        <v>14287</v>
      </c>
      <c r="ET731" s="19" t="s">
        <v>14287</v>
      </c>
      <c r="EU731" s="19" t="s">
        <v>14289</v>
      </c>
      <c r="EV731" s="19">
        <v>7075.0</v>
      </c>
      <c r="EW731" s="19" t="s">
        <v>16</v>
      </c>
      <c r="EX731" s="19">
        <v>3.0</v>
      </c>
      <c r="EY731" s="25" t="s">
        <v>14290</v>
      </c>
      <c r="EZ731" s="19" t="s">
        <v>2154</v>
      </c>
      <c r="FA731" s="5" t="s">
        <v>14303</v>
      </c>
      <c r="FB731" s="26" t="s">
        <v>2633</v>
      </c>
      <c r="FC731" s="26" t="s">
        <v>11913</v>
      </c>
    </row>
    <row r="732" hidden="1">
      <c r="A732" s="19" t="s">
        <v>2112</v>
      </c>
      <c r="B732" s="19"/>
      <c r="C732" s="19" t="s">
        <v>2113</v>
      </c>
      <c r="D732" s="19" t="s">
        <v>14304</v>
      </c>
      <c r="E732" s="19" t="s">
        <v>14305</v>
      </c>
      <c r="F732" s="19" t="s">
        <v>14304</v>
      </c>
      <c r="G732" s="19"/>
      <c r="H732" s="19" t="s">
        <v>14304</v>
      </c>
      <c r="I732" s="19" t="s">
        <v>14306</v>
      </c>
      <c r="J732" s="19" t="s">
        <v>14307</v>
      </c>
      <c r="K732" s="19" t="s">
        <v>14308</v>
      </c>
      <c r="L732" s="20">
        <v>45460.0</v>
      </c>
      <c r="M732" s="20">
        <v>45462.0</v>
      </c>
      <c r="N732" s="20">
        <v>45462.0</v>
      </c>
      <c r="O732" s="19" t="s">
        <v>14309</v>
      </c>
      <c r="P732" s="19">
        <v>0.0</v>
      </c>
      <c r="Q732" s="19">
        <v>22.0</v>
      </c>
      <c r="R732" s="19">
        <v>8096.0</v>
      </c>
      <c r="S732" s="20" t="s">
        <v>13795</v>
      </c>
      <c r="T732" s="20">
        <v>45461.0</v>
      </c>
      <c r="U732" s="19" t="s">
        <v>14304</v>
      </c>
      <c r="V732" s="19"/>
      <c r="W732" s="19" t="s">
        <v>2131</v>
      </c>
      <c r="X732" s="21">
        <v>0.0</v>
      </c>
      <c r="Y732" s="21">
        <v>0.0</v>
      </c>
      <c r="Z732" s="21">
        <v>5.0</v>
      </c>
      <c r="AA732" s="21">
        <v>3.0</v>
      </c>
      <c r="AB732" s="5">
        <v>8.0</v>
      </c>
      <c r="AC732" s="19">
        <v>4.4</v>
      </c>
      <c r="AD732" s="19">
        <v>4.8</v>
      </c>
      <c r="AE732" s="19">
        <v>4.8</v>
      </c>
      <c r="AF732" s="19">
        <v>4.6</v>
      </c>
      <c r="AG732" s="19">
        <v>4.4</v>
      </c>
      <c r="AH732" s="19">
        <v>4.8</v>
      </c>
      <c r="AI732" s="22">
        <v>13.987499999999999</v>
      </c>
      <c r="AJ732" s="19">
        <v>0.0</v>
      </c>
      <c r="AK732" s="19">
        <v>0.0</v>
      </c>
      <c r="AL732" s="19">
        <v>0.0</v>
      </c>
      <c r="AM732" s="19">
        <v>0.0</v>
      </c>
      <c r="AN732" s="19">
        <v>14.0</v>
      </c>
      <c r="AO732" s="19">
        <v>22.0</v>
      </c>
      <c r="AP732" s="19">
        <v>998.0</v>
      </c>
      <c r="AQ732" s="19">
        <v>731.0</v>
      </c>
      <c r="AR732" s="19">
        <v>59.0</v>
      </c>
      <c r="AS732" s="22"/>
      <c r="AT732" s="19" t="s">
        <v>2163</v>
      </c>
      <c r="AU732" s="19" t="s">
        <v>14310</v>
      </c>
      <c r="AV732" s="19" t="s">
        <v>14311</v>
      </c>
      <c r="AW732" s="19"/>
      <c r="AX732" s="20">
        <v>37365.0</v>
      </c>
      <c r="AY732" s="19" t="s">
        <v>2529</v>
      </c>
      <c r="AZ732" s="19" t="s">
        <v>2122</v>
      </c>
      <c r="BA732" s="19" t="s">
        <v>14312</v>
      </c>
      <c r="BB732" s="19" t="s">
        <v>14313</v>
      </c>
      <c r="BC732" s="19" t="s">
        <v>14314</v>
      </c>
      <c r="BD732" s="19" t="s">
        <v>14315</v>
      </c>
      <c r="BE732" s="19"/>
      <c r="BF732" s="19"/>
      <c r="BG732" s="19" t="s">
        <v>4038</v>
      </c>
      <c r="BH732" s="19" t="s">
        <v>2128</v>
      </c>
      <c r="BI732" s="19"/>
      <c r="BJ732" s="19" t="s">
        <v>2128</v>
      </c>
      <c r="BK732" s="19" t="s">
        <v>17</v>
      </c>
      <c r="BL732" s="19"/>
      <c r="BM732" s="19" t="s">
        <v>5411</v>
      </c>
      <c r="BN732" s="19" t="s">
        <v>17</v>
      </c>
      <c r="BO732" s="19" t="s">
        <v>2132</v>
      </c>
      <c r="BP732" s="19"/>
      <c r="BQ732" s="19" t="s">
        <v>2174</v>
      </c>
      <c r="BR732" s="19" t="s">
        <v>2174</v>
      </c>
      <c r="BS732" s="19" t="s">
        <v>2134</v>
      </c>
      <c r="BT732" s="19" t="s">
        <v>75</v>
      </c>
      <c r="BU732" s="19" t="s">
        <v>11333</v>
      </c>
      <c r="BV732" s="19"/>
      <c r="BW732" s="19"/>
      <c r="BX732" s="19"/>
      <c r="BY732" s="19"/>
      <c r="BZ732" s="19"/>
      <c r="CA732" s="19"/>
      <c r="CB732" s="19" t="s">
        <v>2113</v>
      </c>
      <c r="CC732" s="19" t="s">
        <v>2113</v>
      </c>
      <c r="CD732" s="19" t="s">
        <v>2137</v>
      </c>
      <c r="CE732" s="19" t="s">
        <v>16</v>
      </c>
      <c r="CF732" s="19"/>
      <c r="CG732" s="19"/>
      <c r="CH732" s="19" t="s">
        <v>17</v>
      </c>
      <c r="CI732" s="21">
        <v>3.0</v>
      </c>
      <c r="CJ732" s="19" t="s">
        <v>17</v>
      </c>
      <c r="CK732" s="19"/>
      <c r="CL732" s="19"/>
      <c r="CM732" s="19" t="s">
        <v>2138</v>
      </c>
      <c r="CN732" s="19" t="s">
        <v>2537</v>
      </c>
      <c r="CO732" s="19" t="s">
        <v>2177</v>
      </c>
      <c r="CP732" s="19" t="s">
        <v>2246</v>
      </c>
      <c r="CQ732" s="19"/>
      <c r="CR732" s="19" t="s">
        <v>2113</v>
      </c>
      <c r="CS732" s="19" t="s">
        <v>2113</v>
      </c>
      <c r="CT732" s="19" t="s">
        <v>2113</v>
      </c>
      <c r="CU732" s="19" t="s">
        <v>2113</v>
      </c>
      <c r="CV732" s="19" t="s">
        <v>2141</v>
      </c>
      <c r="CW732" s="19" t="s">
        <v>2113</v>
      </c>
      <c r="CX732" s="19" t="s">
        <v>2113</v>
      </c>
      <c r="CY732" s="19" t="s">
        <v>2113</v>
      </c>
      <c r="CZ732" s="19" t="s">
        <v>2113</v>
      </c>
      <c r="DA732" s="19" t="s">
        <v>16</v>
      </c>
      <c r="DB732" s="19" t="s">
        <v>17</v>
      </c>
      <c r="DC732" s="19" t="s">
        <v>2538</v>
      </c>
      <c r="DD732" s="19" t="s">
        <v>2113</v>
      </c>
      <c r="DE732" s="19" t="s">
        <v>2113</v>
      </c>
      <c r="DF732" s="19" t="s">
        <v>2539</v>
      </c>
      <c r="DG732" s="19" t="s">
        <v>2540</v>
      </c>
      <c r="DH732" s="19" t="s">
        <v>2144</v>
      </c>
      <c r="DI732" s="24">
        <v>45517.0</v>
      </c>
      <c r="DJ732" s="19" t="s">
        <v>2174</v>
      </c>
      <c r="DK732" s="19" t="s">
        <v>2145</v>
      </c>
      <c r="DL732" s="19" t="s">
        <v>2183</v>
      </c>
      <c r="DM732" s="19" t="s">
        <v>2184</v>
      </c>
      <c r="DN732" s="19">
        <v>1.0</v>
      </c>
      <c r="DO732" s="19">
        <v>1.0</v>
      </c>
      <c r="DP732" s="19" t="s">
        <v>14316</v>
      </c>
      <c r="DQ732" s="19" t="s">
        <v>14317</v>
      </c>
      <c r="DR732" s="19" t="s">
        <v>14318</v>
      </c>
      <c r="DS732" s="19" t="s">
        <v>2185</v>
      </c>
      <c r="DT732" s="19" t="s">
        <v>2366</v>
      </c>
      <c r="DU732" s="19"/>
      <c r="DV732" s="19"/>
      <c r="DW732" s="19" t="s">
        <v>2153</v>
      </c>
      <c r="DX732" s="19">
        <v>2.0</v>
      </c>
      <c r="DY732" s="19">
        <v>0.0</v>
      </c>
      <c r="DZ732" s="19">
        <v>0.0</v>
      </c>
      <c r="EA732" s="19">
        <v>0.0</v>
      </c>
      <c r="EB732" s="19">
        <v>3.0</v>
      </c>
      <c r="EC732" s="19">
        <v>0.0</v>
      </c>
      <c r="ED732" s="19" t="s">
        <v>2174</v>
      </c>
      <c r="EE732" s="24">
        <v>45517.0</v>
      </c>
      <c r="EF732" s="19" t="s">
        <v>2174</v>
      </c>
      <c r="EG732" s="19" t="s">
        <v>2145</v>
      </c>
      <c r="EH732" s="19" t="s">
        <v>2183</v>
      </c>
      <c r="EI732" s="22">
        <v>13.987499999999999</v>
      </c>
      <c r="EJ732" s="19">
        <v>0.0</v>
      </c>
      <c r="EK732" s="19" t="s">
        <v>2113</v>
      </c>
      <c r="EL732" s="19" t="s">
        <v>2163</v>
      </c>
      <c r="EM732" s="19" t="s">
        <v>14310</v>
      </c>
      <c r="EN732" s="19" t="s">
        <v>14306</v>
      </c>
      <c r="EO732" s="19" t="s">
        <v>2529</v>
      </c>
      <c r="EP732" s="19" t="s">
        <v>2122</v>
      </c>
      <c r="EQ732" s="19" t="s">
        <v>2537</v>
      </c>
      <c r="ER732" s="19" t="s">
        <v>2177</v>
      </c>
      <c r="ES732" s="19" t="s">
        <v>14306</v>
      </c>
      <c r="ET732" s="19" t="s">
        <v>14306</v>
      </c>
      <c r="EU732" s="19" t="s">
        <v>14308</v>
      </c>
      <c r="EV732" s="19">
        <v>8096.0</v>
      </c>
      <c r="EW732" s="19" t="s">
        <v>16</v>
      </c>
      <c r="EX732" s="19">
        <v>5.0</v>
      </c>
      <c r="EY732" s="25" t="s">
        <v>14309</v>
      </c>
      <c r="EZ732" s="19" t="s">
        <v>2154</v>
      </c>
      <c r="FA732" s="5" t="s">
        <v>14319</v>
      </c>
      <c r="FB732" s="26" t="s">
        <v>2633</v>
      </c>
      <c r="FC732" s="26" t="s">
        <v>10773</v>
      </c>
    </row>
    <row r="733" hidden="1">
      <c r="A733" s="19" t="s">
        <v>2112</v>
      </c>
      <c r="B733" s="19"/>
      <c r="C733" s="19" t="s">
        <v>2113</v>
      </c>
      <c r="D733" s="19" t="s">
        <v>14320</v>
      </c>
      <c r="E733" s="19" t="s">
        <v>14321</v>
      </c>
      <c r="F733" s="19" t="s">
        <v>14320</v>
      </c>
      <c r="G733" s="19"/>
      <c r="H733" s="19" t="s">
        <v>14320</v>
      </c>
      <c r="I733" s="19" t="s">
        <v>14322</v>
      </c>
      <c r="J733" s="19" t="s">
        <v>14323</v>
      </c>
      <c r="K733" s="19" t="s">
        <v>14324</v>
      </c>
      <c r="L733" s="20">
        <v>45443.0</v>
      </c>
      <c r="M733" s="20">
        <v>45446.0</v>
      </c>
      <c r="N733" s="20">
        <v>45446.0</v>
      </c>
      <c r="O733" s="19" t="s">
        <v>14325</v>
      </c>
      <c r="P733" s="19">
        <v>0.0</v>
      </c>
      <c r="Q733" s="19">
        <v>24.0</v>
      </c>
      <c r="R733" s="19">
        <v>9111.0</v>
      </c>
      <c r="S733" s="20" t="s">
        <v>14326</v>
      </c>
      <c r="T733" s="20">
        <v>45461.0</v>
      </c>
      <c r="U733" s="19" t="s">
        <v>14320</v>
      </c>
      <c r="V733" s="19"/>
      <c r="W733" s="19" t="s">
        <v>2131</v>
      </c>
      <c r="X733" s="21">
        <v>0.0</v>
      </c>
      <c r="Y733" s="21">
        <v>10.0</v>
      </c>
      <c r="Z733" s="21">
        <v>2.0</v>
      </c>
      <c r="AA733" s="21">
        <v>0.0</v>
      </c>
      <c r="AB733" s="5">
        <v>12.0</v>
      </c>
      <c r="AC733" s="19">
        <v>3.0</v>
      </c>
      <c r="AD733" s="19">
        <v>4.0</v>
      </c>
      <c r="AE733" s="19">
        <v>3.0</v>
      </c>
      <c r="AF733" s="19">
        <v>3.6</v>
      </c>
      <c r="AG733" s="19">
        <v>2.3</v>
      </c>
      <c r="AH733" s="19">
        <v>3.3</v>
      </c>
      <c r="AI733" s="22">
        <v>9.73125</v>
      </c>
      <c r="AJ733" s="19"/>
      <c r="AK733" s="19"/>
      <c r="AL733" s="19"/>
      <c r="AM733" s="19">
        <v>0.0</v>
      </c>
      <c r="AN733" s="19">
        <v>9.7</v>
      </c>
      <c r="AO733" s="19">
        <v>21.7</v>
      </c>
      <c r="AP733" s="19">
        <v>850.0</v>
      </c>
      <c r="AQ733" s="19">
        <v>732.0</v>
      </c>
      <c r="AR733" s="19">
        <v>64.0</v>
      </c>
      <c r="AS733" s="22"/>
      <c r="AT733" s="19" t="s">
        <v>2117</v>
      </c>
      <c r="AU733" s="19" t="s">
        <v>4254</v>
      </c>
      <c r="AV733" s="19" t="s">
        <v>14327</v>
      </c>
      <c r="AW733" s="19" t="s">
        <v>14328</v>
      </c>
      <c r="AX733" s="20">
        <v>36350.0</v>
      </c>
      <c r="AY733" s="19" t="s">
        <v>4165</v>
      </c>
      <c r="AZ733" s="19" t="s">
        <v>2122</v>
      </c>
      <c r="BA733" s="19" t="s">
        <v>14329</v>
      </c>
      <c r="BB733" s="19" t="s">
        <v>14330</v>
      </c>
      <c r="BC733" s="19" t="s">
        <v>14331</v>
      </c>
      <c r="BD733" s="19" t="s">
        <v>14332</v>
      </c>
      <c r="BE733" s="19" t="s">
        <v>14323</v>
      </c>
      <c r="BF733" s="19">
        <v>1.1994030316E10</v>
      </c>
      <c r="BG733" s="19" t="s">
        <v>2127</v>
      </c>
      <c r="BH733" s="19" t="s">
        <v>2128</v>
      </c>
      <c r="BI733" s="19"/>
      <c r="BJ733" s="19" t="s">
        <v>2128</v>
      </c>
      <c r="BK733" s="19" t="s">
        <v>17</v>
      </c>
      <c r="BL733" s="19" t="s">
        <v>2113</v>
      </c>
      <c r="BM733" s="19" t="s">
        <v>5563</v>
      </c>
      <c r="BN733" s="19" t="s">
        <v>17</v>
      </c>
      <c r="BO733" s="19" t="s">
        <v>3199</v>
      </c>
      <c r="BP733" s="19"/>
      <c r="BQ733" s="19" t="s">
        <v>2174</v>
      </c>
      <c r="BR733" s="19" t="s">
        <v>2174</v>
      </c>
      <c r="BS733" s="19" t="s">
        <v>2134</v>
      </c>
      <c r="BT733" s="19" t="s">
        <v>34</v>
      </c>
      <c r="BU733" s="19" t="s">
        <v>14333</v>
      </c>
      <c r="BV733" s="19"/>
      <c r="BW733" s="19"/>
      <c r="BX733" s="19"/>
      <c r="BY733" s="19"/>
      <c r="BZ733" s="19" t="s">
        <v>2113</v>
      </c>
      <c r="CA733" s="19"/>
      <c r="CB733" s="19"/>
      <c r="CC733" s="19"/>
      <c r="CD733" s="19" t="s">
        <v>2137</v>
      </c>
      <c r="CE733" s="19" t="s">
        <v>16</v>
      </c>
      <c r="CF733" s="19"/>
      <c r="CG733" s="19"/>
      <c r="CH733" s="19" t="s">
        <v>16</v>
      </c>
      <c r="CI733" s="21">
        <v>0.0</v>
      </c>
      <c r="CJ733" s="19" t="s">
        <v>16</v>
      </c>
      <c r="CK733" s="19"/>
      <c r="CL733" s="19"/>
      <c r="CM733" s="19" t="s">
        <v>2138</v>
      </c>
      <c r="CN733" s="19" t="s">
        <v>4172</v>
      </c>
      <c r="CO733" s="19"/>
      <c r="CP733" s="19" t="s">
        <v>2140</v>
      </c>
      <c r="CQ733" s="19"/>
      <c r="CR733" s="19"/>
      <c r="CS733" s="19"/>
      <c r="CT733" s="19"/>
      <c r="CU733" s="19"/>
      <c r="CV733" s="19" t="s">
        <v>2179</v>
      </c>
      <c r="CW733" s="19" t="s">
        <v>2113</v>
      </c>
      <c r="CX733" s="19" t="s">
        <v>2113</v>
      </c>
      <c r="CY733" s="19" t="s">
        <v>2113</v>
      </c>
      <c r="CZ733" s="19" t="s">
        <v>2113</v>
      </c>
      <c r="DA733" s="19" t="s">
        <v>16</v>
      </c>
      <c r="DB733" s="19" t="s">
        <v>16</v>
      </c>
      <c r="DC733" s="19" t="s">
        <v>2270</v>
      </c>
      <c r="DD733" s="19" t="s">
        <v>2113</v>
      </c>
      <c r="DE733" s="19" t="s">
        <v>2113</v>
      </c>
      <c r="DF733" s="19" t="s">
        <v>2364</v>
      </c>
      <c r="DG733" s="19" t="s">
        <v>2433</v>
      </c>
      <c r="DH733" s="19" t="s">
        <v>2144</v>
      </c>
      <c r="DI733" s="24">
        <v>45525.0</v>
      </c>
      <c r="DJ733" s="19" t="s">
        <v>2174</v>
      </c>
      <c r="DK733" s="19" t="s">
        <v>2145</v>
      </c>
      <c r="DL733" s="19" t="s">
        <v>2183</v>
      </c>
      <c r="DM733" s="19" t="s">
        <v>2249</v>
      </c>
      <c r="DN733" s="19">
        <v>9.0</v>
      </c>
      <c r="DO733" s="19">
        <v>9.0</v>
      </c>
      <c r="DP733" s="19"/>
      <c r="DQ733" s="19"/>
      <c r="DR733" s="19"/>
      <c r="DS733" s="19" t="s">
        <v>2151</v>
      </c>
      <c r="DT733" s="19" t="s">
        <v>2350</v>
      </c>
      <c r="DU733" s="19" t="s">
        <v>14334</v>
      </c>
      <c r="DV733" s="19"/>
      <c r="DW733" s="19" t="s">
        <v>2479</v>
      </c>
      <c r="DX733" s="19">
        <v>16.0</v>
      </c>
      <c r="DY733" s="19">
        <v>10.0</v>
      </c>
      <c r="DZ733" s="19">
        <v>0.0</v>
      </c>
      <c r="EA733" s="19">
        <v>10.0</v>
      </c>
      <c r="EB733" s="19">
        <v>0.0</v>
      </c>
      <c r="EC733" s="19">
        <v>0.0</v>
      </c>
      <c r="ED733" s="19" t="s">
        <v>2174</v>
      </c>
      <c r="EE733" s="24">
        <v>45525.0</v>
      </c>
      <c r="EF733" s="19" t="s">
        <v>2174</v>
      </c>
      <c r="EG733" s="19" t="s">
        <v>2145</v>
      </c>
      <c r="EH733" s="19" t="s">
        <v>2183</v>
      </c>
      <c r="EI733" s="22">
        <v>9.73125</v>
      </c>
      <c r="EJ733" s="19">
        <v>0.0</v>
      </c>
      <c r="EK733" s="19"/>
      <c r="EL733" s="19" t="s">
        <v>2117</v>
      </c>
      <c r="EM733" s="19" t="s">
        <v>4254</v>
      </c>
      <c r="EN733" s="19" t="s">
        <v>14322</v>
      </c>
      <c r="EO733" s="19" t="s">
        <v>4165</v>
      </c>
      <c r="EP733" s="19" t="s">
        <v>2122</v>
      </c>
      <c r="EQ733" s="19" t="s">
        <v>4172</v>
      </c>
      <c r="ER733" s="19"/>
      <c r="ES733" s="19" t="s">
        <v>14322</v>
      </c>
      <c r="ET733" s="19" t="s">
        <v>14322</v>
      </c>
      <c r="EU733" s="19" t="s">
        <v>14324</v>
      </c>
      <c r="EV733" s="19">
        <v>9111.0</v>
      </c>
      <c r="EW733" s="19" t="s">
        <v>16</v>
      </c>
      <c r="EX733" s="19">
        <v>2.0</v>
      </c>
      <c r="EY733" s="25" t="s">
        <v>14325</v>
      </c>
      <c r="EZ733" s="19" t="s">
        <v>2154</v>
      </c>
      <c r="FA733" s="5" t="s">
        <v>14335</v>
      </c>
      <c r="FB733" s="26" t="s">
        <v>2633</v>
      </c>
      <c r="FC733" s="26" t="s">
        <v>10773</v>
      </c>
    </row>
    <row r="734" hidden="1">
      <c r="A734" s="19" t="s">
        <v>2156</v>
      </c>
      <c r="B734" s="19"/>
      <c r="C734" s="19" t="s">
        <v>2113</v>
      </c>
      <c r="D734" s="19" t="s">
        <v>14336</v>
      </c>
      <c r="E734" s="19" t="s">
        <v>14337</v>
      </c>
      <c r="F734" s="19" t="s">
        <v>14336</v>
      </c>
      <c r="G734" s="19" t="s">
        <v>14337</v>
      </c>
      <c r="H734" s="19" t="s">
        <v>14336</v>
      </c>
      <c r="I734" s="19" t="s">
        <v>14338</v>
      </c>
      <c r="J734" s="19" t="s">
        <v>14339</v>
      </c>
      <c r="K734" s="19" t="s">
        <v>14340</v>
      </c>
      <c r="L734" s="20">
        <v>45408.0</v>
      </c>
      <c r="M734" s="20">
        <v>45411.0</v>
      </c>
      <c r="N734" s="20">
        <v>45411.0</v>
      </c>
      <c r="O734" s="19" t="s">
        <v>14341</v>
      </c>
      <c r="P734" s="19">
        <v>0.0</v>
      </c>
      <c r="Q734" s="19">
        <v>20.0</v>
      </c>
      <c r="R734" s="19">
        <v>7480.0</v>
      </c>
      <c r="S734" s="20" t="s">
        <v>14342</v>
      </c>
      <c r="T734" s="20">
        <v>45461.0</v>
      </c>
      <c r="U734" s="19" t="s">
        <v>14336</v>
      </c>
      <c r="V734" s="19"/>
      <c r="W734" s="19" t="s">
        <v>14343</v>
      </c>
      <c r="X734" s="21">
        <v>0.0</v>
      </c>
      <c r="Y734" s="21">
        <v>5.0</v>
      </c>
      <c r="Z734" s="21">
        <v>5.0</v>
      </c>
      <c r="AA734" s="21">
        <v>0.0</v>
      </c>
      <c r="AB734" s="5">
        <v>10.0</v>
      </c>
      <c r="AC734" s="19">
        <v>4.0</v>
      </c>
      <c r="AD734" s="19">
        <v>4.0</v>
      </c>
      <c r="AE734" s="19">
        <v>4.0</v>
      </c>
      <c r="AF734" s="19">
        <v>4.0</v>
      </c>
      <c r="AG734" s="19">
        <v>3.0</v>
      </c>
      <c r="AH734" s="19">
        <v>4.0</v>
      </c>
      <c r="AI734" s="22">
        <v>11.625</v>
      </c>
      <c r="AJ734" s="19">
        <v>0.0</v>
      </c>
      <c r="AK734" s="19">
        <v>0.0</v>
      </c>
      <c r="AL734" s="19">
        <v>0.0</v>
      </c>
      <c r="AM734" s="19">
        <v>0.0</v>
      </c>
      <c r="AN734" s="19">
        <v>11.6</v>
      </c>
      <c r="AO734" s="19">
        <v>21.6</v>
      </c>
      <c r="AP734" s="19">
        <v>966.0</v>
      </c>
      <c r="AQ734" s="19">
        <v>733.0</v>
      </c>
      <c r="AR734" s="19">
        <v>98.0</v>
      </c>
      <c r="AS734" s="22"/>
      <c r="AT734" s="19" t="s">
        <v>2117</v>
      </c>
      <c r="AU734" s="19" t="s">
        <v>14344</v>
      </c>
      <c r="AV734" s="19" t="s">
        <v>14345</v>
      </c>
      <c r="AW734" s="19"/>
      <c r="AX734" s="20">
        <v>37981.0</v>
      </c>
      <c r="AY734" s="19" t="s">
        <v>2286</v>
      </c>
      <c r="AZ734" s="19" t="s">
        <v>2310</v>
      </c>
      <c r="BA734" s="19" t="s">
        <v>14346</v>
      </c>
      <c r="BB734" s="19" t="s">
        <v>14347</v>
      </c>
      <c r="BC734" s="19" t="s">
        <v>14348</v>
      </c>
      <c r="BD734" s="19" t="s">
        <v>14349</v>
      </c>
      <c r="BE734" s="19" t="s">
        <v>14339</v>
      </c>
      <c r="BF734" s="19">
        <v>1.1954677181E10</v>
      </c>
      <c r="BG734" s="19" t="s">
        <v>3518</v>
      </c>
      <c r="BH734" s="19" t="s">
        <v>4080</v>
      </c>
      <c r="BI734" s="19"/>
      <c r="BJ734" s="19" t="s">
        <v>2427</v>
      </c>
      <c r="BK734" s="19" t="s">
        <v>17</v>
      </c>
      <c r="BL734" s="19" t="s">
        <v>2113</v>
      </c>
      <c r="BM734" s="19" t="s">
        <v>5563</v>
      </c>
      <c r="BN734" s="19" t="s">
        <v>3521</v>
      </c>
      <c r="BO734" s="19" t="s">
        <v>2132</v>
      </c>
      <c r="BP734" s="19" t="s">
        <v>14350</v>
      </c>
      <c r="BQ734" s="19" t="s">
        <v>2133</v>
      </c>
      <c r="BR734" s="19" t="s">
        <v>2133</v>
      </c>
      <c r="BS734" s="19" t="s">
        <v>3521</v>
      </c>
      <c r="BT734" s="19" t="s">
        <v>38</v>
      </c>
      <c r="BU734" s="19" t="s">
        <v>10215</v>
      </c>
      <c r="BV734" s="19"/>
      <c r="BW734" s="19"/>
      <c r="BX734" s="19"/>
      <c r="BY734" s="19" t="s">
        <v>2113</v>
      </c>
      <c r="BZ734" s="19" t="s">
        <v>2113</v>
      </c>
      <c r="CA734" s="19"/>
      <c r="CB734" s="19"/>
      <c r="CC734" s="19"/>
      <c r="CD734" s="19" t="s">
        <v>2137</v>
      </c>
      <c r="CE734" s="19" t="s">
        <v>16</v>
      </c>
      <c r="CF734" s="19"/>
      <c r="CG734" s="19"/>
      <c r="CH734" s="19" t="s">
        <v>16</v>
      </c>
      <c r="CI734" s="21">
        <v>0.0</v>
      </c>
      <c r="CJ734" s="19" t="s">
        <v>17</v>
      </c>
      <c r="CK734" s="19"/>
      <c r="CL734" s="19" t="s">
        <v>2113</v>
      </c>
      <c r="CM734" s="19" t="s">
        <v>2344</v>
      </c>
      <c r="CN734" s="19" t="s">
        <v>2294</v>
      </c>
      <c r="CO734" s="19"/>
      <c r="CP734" s="19" t="s">
        <v>2140</v>
      </c>
      <c r="CQ734" s="19"/>
      <c r="CR734" s="19"/>
      <c r="CS734" s="19"/>
      <c r="CT734" s="19"/>
      <c r="CU734" s="19"/>
      <c r="CV734" s="19" t="s">
        <v>2141</v>
      </c>
      <c r="CW734" s="19"/>
      <c r="CX734" s="19"/>
      <c r="CY734" s="19" t="s">
        <v>2113</v>
      </c>
      <c r="CZ734" s="19" t="s">
        <v>2113</v>
      </c>
      <c r="DA734" s="19" t="s">
        <v>16</v>
      </c>
      <c r="DB734" s="19" t="s">
        <v>17</v>
      </c>
      <c r="DC734" s="19" t="s">
        <v>2146</v>
      </c>
      <c r="DD734" s="19" t="s">
        <v>2113</v>
      </c>
      <c r="DE734" s="19" t="s">
        <v>2113</v>
      </c>
      <c r="DF734" s="19" t="s">
        <v>2433</v>
      </c>
      <c r="DG734" s="19" t="s">
        <v>2207</v>
      </c>
      <c r="DH734" s="19" t="s">
        <v>2144</v>
      </c>
      <c r="DI734" s="24">
        <v>45519.0</v>
      </c>
      <c r="DJ734" s="19" t="s">
        <v>2133</v>
      </c>
      <c r="DK734" s="19" t="s">
        <v>2145</v>
      </c>
      <c r="DL734" s="19" t="s">
        <v>2146</v>
      </c>
      <c r="DM734" s="19"/>
      <c r="DN734" s="19">
        <v>5.0</v>
      </c>
      <c r="DO734" s="19">
        <v>5.0</v>
      </c>
      <c r="DP734" s="19" t="s">
        <v>14351</v>
      </c>
      <c r="DQ734" s="19" t="s">
        <v>14352</v>
      </c>
      <c r="DR734" s="19" t="s">
        <v>14353</v>
      </c>
      <c r="DS734" s="19" t="s">
        <v>2185</v>
      </c>
      <c r="DT734" s="19" t="s">
        <v>2152</v>
      </c>
      <c r="DU734" s="19"/>
      <c r="DV734" s="19"/>
      <c r="DW734" s="19" t="s">
        <v>2153</v>
      </c>
      <c r="DX734" s="19">
        <v>1.0</v>
      </c>
      <c r="DY734" s="19">
        <v>5.0</v>
      </c>
      <c r="DZ734" s="19">
        <v>0.0</v>
      </c>
      <c r="EA734" s="19">
        <v>5.0</v>
      </c>
      <c r="EB734" s="19">
        <v>0.0</v>
      </c>
      <c r="EC734" s="19">
        <v>0.0</v>
      </c>
      <c r="ED734" s="19" t="s">
        <v>2133</v>
      </c>
      <c r="EE734" s="24">
        <v>45519.0</v>
      </c>
      <c r="EF734" s="19" t="s">
        <v>2133</v>
      </c>
      <c r="EG734" s="19" t="s">
        <v>2145</v>
      </c>
      <c r="EH734" s="19" t="s">
        <v>2146</v>
      </c>
      <c r="EI734" s="22">
        <v>11.625</v>
      </c>
      <c r="EJ734" s="19">
        <v>0.0</v>
      </c>
      <c r="EK734" s="19" t="s">
        <v>2113</v>
      </c>
      <c r="EL734" s="19" t="s">
        <v>2117</v>
      </c>
      <c r="EM734" s="19" t="s">
        <v>14344</v>
      </c>
      <c r="EN734" s="19" t="s">
        <v>14338</v>
      </c>
      <c r="EO734" s="19" t="s">
        <v>2286</v>
      </c>
      <c r="EP734" s="19" t="s">
        <v>2310</v>
      </c>
      <c r="EQ734" s="19" t="s">
        <v>2294</v>
      </c>
      <c r="ER734" s="19"/>
      <c r="ES734" s="19" t="s">
        <v>14338</v>
      </c>
      <c r="ET734" s="19" t="s">
        <v>14338</v>
      </c>
      <c r="EU734" s="19" t="s">
        <v>14340</v>
      </c>
      <c r="EV734" s="19">
        <v>7480.0</v>
      </c>
      <c r="EW734" s="19" t="s">
        <v>16</v>
      </c>
      <c r="EX734" s="19">
        <v>5.0</v>
      </c>
      <c r="EY734" s="25" t="s">
        <v>14341</v>
      </c>
      <c r="EZ734" s="19" t="s">
        <v>2154</v>
      </c>
      <c r="FA734" s="5" t="s">
        <v>14354</v>
      </c>
      <c r="FB734" s="26" t="s">
        <v>2633</v>
      </c>
      <c r="FC734" s="26" t="s">
        <v>10773</v>
      </c>
    </row>
    <row r="735" hidden="1">
      <c r="A735" s="19" t="s">
        <v>2112</v>
      </c>
      <c r="B735" s="19"/>
      <c r="C735" s="19" t="s">
        <v>2113</v>
      </c>
      <c r="D735" s="19" t="s">
        <v>14355</v>
      </c>
      <c r="E735" s="19" t="s">
        <v>14356</v>
      </c>
      <c r="F735" s="19" t="s">
        <v>4952</v>
      </c>
      <c r="G735" s="19" t="s">
        <v>4953</v>
      </c>
      <c r="H735" s="19" t="s">
        <v>14355</v>
      </c>
      <c r="I735" s="19" t="s">
        <v>14357</v>
      </c>
      <c r="J735" s="19" t="s">
        <v>14358</v>
      </c>
      <c r="K735" s="19" t="s">
        <v>14359</v>
      </c>
      <c r="L735" s="20">
        <v>45441.0</v>
      </c>
      <c r="M735" s="20">
        <v>45446.0</v>
      </c>
      <c r="N735" s="20">
        <v>45446.0</v>
      </c>
      <c r="O735" s="19" t="s">
        <v>14360</v>
      </c>
      <c r="P735" s="19">
        <v>0.0</v>
      </c>
      <c r="Q735" s="19">
        <v>24.0</v>
      </c>
      <c r="R735" s="19">
        <v>9034.0</v>
      </c>
      <c r="S735" s="20" t="s">
        <v>14361</v>
      </c>
      <c r="T735" s="20">
        <v>45461.0</v>
      </c>
      <c r="U735" s="19" t="s">
        <v>4952</v>
      </c>
      <c r="V735" s="19"/>
      <c r="W735" s="19" t="s">
        <v>2131</v>
      </c>
      <c r="X735" s="21">
        <v>0.0</v>
      </c>
      <c r="Y735" s="21">
        <v>10.0</v>
      </c>
      <c r="Z735" s="21">
        <v>1.0</v>
      </c>
      <c r="AA735" s="21">
        <v>0.0</v>
      </c>
      <c r="AB735" s="5">
        <v>11.0</v>
      </c>
      <c r="AC735" s="19">
        <v>3.6</v>
      </c>
      <c r="AD735" s="19">
        <v>3.0</v>
      </c>
      <c r="AE735" s="19">
        <v>3.4</v>
      </c>
      <c r="AF735" s="19">
        <v>4.2</v>
      </c>
      <c r="AG735" s="19">
        <v>3.0</v>
      </c>
      <c r="AH735" s="19">
        <v>4.2</v>
      </c>
      <c r="AI735" s="22">
        <v>10.48125</v>
      </c>
      <c r="AJ735" s="19"/>
      <c r="AK735" s="19"/>
      <c r="AL735" s="19"/>
      <c r="AM735" s="19">
        <v>0.0</v>
      </c>
      <c r="AN735" s="19">
        <v>10.5</v>
      </c>
      <c r="AO735" s="19">
        <v>21.5</v>
      </c>
      <c r="AP735" s="19">
        <v>928.0</v>
      </c>
      <c r="AQ735" s="19">
        <v>734.0</v>
      </c>
      <c r="AR735" s="19">
        <v>82.0</v>
      </c>
      <c r="AS735" s="22"/>
      <c r="AT735" s="19" t="s">
        <v>2117</v>
      </c>
      <c r="AU735" s="19" t="s">
        <v>14362</v>
      </c>
      <c r="AV735" s="19" t="s">
        <v>14363</v>
      </c>
      <c r="AW735" s="19" t="s">
        <v>3476</v>
      </c>
      <c r="AX735" s="20">
        <v>36427.0</v>
      </c>
      <c r="AY735" s="19" t="s">
        <v>7740</v>
      </c>
      <c r="AZ735" s="19" t="s">
        <v>2310</v>
      </c>
      <c r="BA735" s="19" t="s">
        <v>14364</v>
      </c>
      <c r="BB735" s="19" t="s">
        <v>4056</v>
      </c>
      <c r="BC735" s="19" t="s">
        <v>14365</v>
      </c>
      <c r="BD735" s="19" t="s">
        <v>14366</v>
      </c>
      <c r="BE735" s="19" t="s">
        <v>14358</v>
      </c>
      <c r="BF735" s="19">
        <v>1.1996816197E10</v>
      </c>
      <c r="BG735" s="19" t="s">
        <v>2127</v>
      </c>
      <c r="BH735" s="19" t="s">
        <v>2128</v>
      </c>
      <c r="BI735" s="19"/>
      <c r="BJ735" s="19" t="s">
        <v>2427</v>
      </c>
      <c r="BK735" s="19" t="s">
        <v>17</v>
      </c>
      <c r="BL735" s="19"/>
      <c r="BM735" s="19" t="s">
        <v>5563</v>
      </c>
      <c r="BN735" s="19" t="s">
        <v>17</v>
      </c>
      <c r="BO735" s="19" t="s">
        <v>3082</v>
      </c>
      <c r="BP735" s="19" t="s">
        <v>14367</v>
      </c>
      <c r="BQ735" s="19" t="s">
        <v>2174</v>
      </c>
      <c r="BR735" s="19" t="s">
        <v>2174</v>
      </c>
      <c r="BS735" s="19" t="s">
        <v>2134</v>
      </c>
      <c r="BT735" s="19" t="s">
        <v>21</v>
      </c>
      <c r="BU735" s="19" t="s">
        <v>14368</v>
      </c>
      <c r="BV735" s="19"/>
      <c r="BW735" s="19" t="s">
        <v>2113</v>
      </c>
      <c r="BX735" s="19"/>
      <c r="BY735" s="19"/>
      <c r="BZ735" s="19"/>
      <c r="CA735" s="19"/>
      <c r="CB735" s="19"/>
      <c r="CC735" s="19"/>
      <c r="CD735" s="19" t="s">
        <v>2137</v>
      </c>
      <c r="CE735" s="19" t="s">
        <v>16</v>
      </c>
      <c r="CF735" s="19"/>
      <c r="CG735" s="19"/>
      <c r="CH735" s="19" t="s">
        <v>16</v>
      </c>
      <c r="CI735" s="21">
        <v>0.0</v>
      </c>
      <c r="CJ735" s="19" t="s">
        <v>16</v>
      </c>
      <c r="CK735" s="19"/>
      <c r="CL735" s="19"/>
      <c r="CM735" s="19" t="s">
        <v>2344</v>
      </c>
      <c r="CN735" s="19" t="s">
        <v>3085</v>
      </c>
      <c r="CO735" s="19"/>
      <c r="CP735" s="19" t="s">
        <v>2140</v>
      </c>
      <c r="CQ735" s="19"/>
      <c r="CR735" s="19"/>
      <c r="CS735" s="19"/>
      <c r="CT735" s="19"/>
      <c r="CU735" s="19"/>
      <c r="CV735" s="19" t="s">
        <v>2141</v>
      </c>
      <c r="CW735" s="19"/>
      <c r="CX735" s="19"/>
      <c r="CY735" s="19"/>
      <c r="CZ735" s="19"/>
      <c r="DA735" s="19" t="s">
        <v>16</v>
      </c>
      <c r="DB735" s="19" t="s">
        <v>16</v>
      </c>
      <c r="DC735" s="19" t="s">
        <v>2539</v>
      </c>
      <c r="DD735" s="19" t="s">
        <v>2113</v>
      </c>
      <c r="DE735" s="19" t="s">
        <v>2113</v>
      </c>
      <c r="DF735" s="19" t="s">
        <v>5213</v>
      </c>
      <c r="DG735" s="19" t="s">
        <v>2538</v>
      </c>
      <c r="DH735" s="19" t="s">
        <v>2144</v>
      </c>
      <c r="DI735" s="24">
        <v>45518.0</v>
      </c>
      <c r="DJ735" s="19" t="s">
        <v>2174</v>
      </c>
      <c r="DK735" s="19" t="s">
        <v>2271</v>
      </c>
      <c r="DL735" s="19" t="s">
        <v>2183</v>
      </c>
      <c r="DM735" s="19" t="s">
        <v>2346</v>
      </c>
      <c r="DN735" s="19">
        <v>4.0</v>
      </c>
      <c r="DO735" s="19">
        <v>4.0</v>
      </c>
      <c r="DP735" s="19" t="s">
        <v>14369</v>
      </c>
      <c r="DQ735" s="19" t="s">
        <v>14370</v>
      </c>
      <c r="DR735" s="19" t="s">
        <v>14371</v>
      </c>
      <c r="DS735" s="19" t="s">
        <v>2151</v>
      </c>
      <c r="DT735" s="19" t="s">
        <v>2350</v>
      </c>
      <c r="DU735" s="19"/>
      <c r="DV735" s="19"/>
      <c r="DW735" s="19" t="s">
        <v>2153</v>
      </c>
      <c r="DX735" s="19">
        <v>13.0</v>
      </c>
      <c r="DY735" s="19">
        <v>10.0</v>
      </c>
      <c r="DZ735" s="19">
        <v>0.0</v>
      </c>
      <c r="EA735" s="19">
        <v>10.0</v>
      </c>
      <c r="EB735" s="19">
        <v>0.0</v>
      </c>
      <c r="EC735" s="19">
        <v>0.0</v>
      </c>
      <c r="ED735" s="19" t="s">
        <v>2174</v>
      </c>
      <c r="EE735" s="24">
        <v>45518.0</v>
      </c>
      <c r="EF735" s="19" t="s">
        <v>2174</v>
      </c>
      <c r="EG735" s="19" t="s">
        <v>2271</v>
      </c>
      <c r="EH735" s="19" t="s">
        <v>2183</v>
      </c>
      <c r="EI735" s="22">
        <v>10.48125</v>
      </c>
      <c r="EJ735" s="19">
        <v>0.0</v>
      </c>
      <c r="EK735" s="19"/>
      <c r="EL735" s="19" t="s">
        <v>2117</v>
      </c>
      <c r="EM735" s="19" t="s">
        <v>14362</v>
      </c>
      <c r="EN735" s="19" t="s">
        <v>14357</v>
      </c>
      <c r="EO735" s="19" t="s">
        <v>7740</v>
      </c>
      <c r="EP735" s="19" t="s">
        <v>2310</v>
      </c>
      <c r="EQ735" s="19" t="s">
        <v>3085</v>
      </c>
      <c r="ER735" s="19"/>
      <c r="ES735" s="19" t="s">
        <v>14357</v>
      </c>
      <c r="ET735" s="19" t="s">
        <v>14357</v>
      </c>
      <c r="EU735" s="19" t="s">
        <v>14359</v>
      </c>
      <c r="EV735" s="19">
        <v>9034.0</v>
      </c>
      <c r="EW735" s="19" t="s">
        <v>16</v>
      </c>
      <c r="EX735" s="19">
        <v>1.0</v>
      </c>
      <c r="EY735" s="25" t="s">
        <v>14360</v>
      </c>
      <c r="EZ735" s="19" t="s">
        <v>2154</v>
      </c>
      <c r="FA735" s="5" t="s">
        <v>14372</v>
      </c>
      <c r="FB735" s="26" t="s">
        <v>2633</v>
      </c>
      <c r="FC735" s="26" t="s">
        <v>10773</v>
      </c>
    </row>
    <row r="736" hidden="1">
      <c r="A736" s="19" t="s">
        <v>2112</v>
      </c>
      <c r="B736" s="19"/>
      <c r="C736" s="19" t="s">
        <v>2113</v>
      </c>
      <c r="D736" s="19" t="s">
        <v>14373</v>
      </c>
      <c r="E736" s="19" t="s">
        <v>14373</v>
      </c>
      <c r="F736" s="19" t="s">
        <v>14373</v>
      </c>
      <c r="G736" s="19"/>
      <c r="H736" s="19" t="s">
        <v>14373</v>
      </c>
      <c r="I736" s="19" t="s">
        <v>14374</v>
      </c>
      <c r="J736" s="19" t="s">
        <v>14375</v>
      </c>
      <c r="K736" s="19" t="s">
        <v>14376</v>
      </c>
      <c r="L736" s="20">
        <v>45411.0</v>
      </c>
      <c r="M736" s="20">
        <v>45411.0</v>
      </c>
      <c r="N736" s="20">
        <v>45411.0</v>
      </c>
      <c r="O736" s="19" t="s">
        <v>14377</v>
      </c>
      <c r="P736" s="19">
        <v>0.0</v>
      </c>
      <c r="Q736" s="19">
        <v>19.0</v>
      </c>
      <c r="R736" s="19">
        <v>6973.0</v>
      </c>
      <c r="S736" s="20" t="s">
        <v>14378</v>
      </c>
      <c r="T736" s="20">
        <v>45461.0</v>
      </c>
      <c r="U736" s="19" t="s">
        <v>14373</v>
      </c>
      <c r="V736" s="19"/>
      <c r="W736" s="19"/>
      <c r="X736" s="21">
        <v>0.0</v>
      </c>
      <c r="Y736" s="21">
        <v>10.0</v>
      </c>
      <c r="Z736" s="21">
        <v>2.0</v>
      </c>
      <c r="AA736" s="21">
        <v>0.0</v>
      </c>
      <c r="AB736" s="5">
        <v>12.0</v>
      </c>
      <c r="AC736" s="19">
        <v>3.0</v>
      </c>
      <c r="AD736" s="19">
        <v>3.0</v>
      </c>
      <c r="AE736" s="19">
        <v>3.0</v>
      </c>
      <c r="AF736" s="19">
        <v>3.0</v>
      </c>
      <c r="AG736" s="19">
        <v>3.0</v>
      </c>
      <c r="AH736" s="19">
        <v>3.0</v>
      </c>
      <c r="AI736" s="22">
        <v>9.0</v>
      </c>
      <c r="AJ736" s="19"/>
      <c r="AK736" s="19"/>
      <c r="AL736" s="19"/>
      <c r="AM736" s="19">
        <v>0.0</v>
      </c>
      <c r="AN736" s="19">
        <v>9.0</v>
      </c>
      <c r="AO736" s="19">
        <v>21.0</v>
      </c>
      <c r="AP736" s="19">
        <v>895.0</v>
      </c>
      <c r="AQ736" s="19">
        <v>735.0</v>
      </c>
      <c r="AR736" s="19">
        <v>66.0</v>
      </c>
      <c r="AS736" s="22"/>
      <c r="AT736" s="19" t="s">
        <v>2117</v>
      </c>
      <c r="AU736" s="19" t="s">
        <v>6881</v>
      </c>
      <c r="AV736" s="19" t="s">
        <v>14379</v>
      </c>
      <c r="AW736" s="19" t="s">
        <v>3331</v>
      </c>
      <c r="AX736" s="20">
        <v>38488.0</v>
      </c>
      <c r="AY736" s="19" t="s">
        <v>5121</v>
      </c>
      <c r="AZ736" s="19" t="s">
        <v>2310</v>
      </c>
      <c r="BA736" s="19" t="s">
        <v>14380</v>
      </c>
      <c r="BB736" s="19" t="s">
        <v>10749</v>
      </c>
      <c r="BC736" s="19" t="s">
        <v>14381</v>
      </c>
      <c r="BD736" s="19" t="s">
        <v>14382</v>
      </c>
      <c r="BE736" s="19" t="s">
        <v>14383</v>
      </c>
      <c r="BF736" s="19">
        <v>1.1985893557E10</v>
      </c>
      <c r="BG736" s="19" t="s">
        <v>2127</v>
      </c>
      <c r="BH736" s="19" t="s">
        <v>2128</v>
      </c>
      <c r="BI736" s="19"/>
      <c r="BJ736" s="19"/>
      <c r="BK736" s="19" t="s">
        <v>16</v>
      </c>
      <c r="BL736" s="19"/>
      <c r="BM736" s="19" t="s">
        <v>5796</v>
      </c>
      <c r="BN736" s="19" t="s">
        <v>17</v>
      </c>
      <c r="BO736" s="19" t="s">
        <v>3199</v>
      </c>
      <c r="BP736" s="19"/>
      <c r="BQ736" s="19" t="s">
        <v>2133</v>
      </c>
      <c r="BR736" s="19" t="s">
        <v>2133</v>
      </c>
      <c r="BS736" s="19" t="s">
        <v>2134</v>
      </c>
      <c r="BT736" s="19" t="s">
        <v>15</v>
      </c>
      <c r="BU736" s="19" t="s">
        <v>14384</v>
      </c>
      <c r="BV736" s="19"/>
      <c r="BW736" s="19" t="s">
        <v>2113</v>
      </c>
      <c r="BX736" s="19"/>
      <c r="BY736" s="19"/>
      <c r="BZ736" s="19"/>
      <c r="CA736" s="19"/>
      <c r="CB736" s="19" t="s">
        <v>2113</v>
      </c>
      <c r="CC736" s="19"/>
      <c r="CD736" s="19" t="s">
        <v>2137</v>
      </c>
      <c r="CE736" s="19" t="s">
        <v>16</v>
      </c>
      <c r="CF736" s="19"/>
      <c r="CG736" s="19"/>
      <c r="CH736" s="19" t="s">
        <v>16</v>
      </c>
      <c r="CI736" s="21">
        <v>0.0</v>
      </c>
      <c r="CJ736" s="19" t="s">
        <v>16</v>
      </c>
      <c r="CK736" s="19"/>
      <c r="CL736" s="19"/>
      <c r="CM736" s="19" t="s">
        <v>2138</v>
      </c>
      <c r="CN736" s="19" t="s">
        <v>5128</v>
      </c>
      <c r="CO736" s="19"/>
      <c r="CP736" s="19"/>
      <c r="CQ736" s="19"/>
      <c r="CR736" s="19"/>
      <c r="CS736" s="19"/>
      <c r="CT736" s="19" t="s">
        <v>2113</v>
      </c>
      <c r="CU736" s="19" t="s">
        <v>2113</v>
      </c>
      <c r="CV736" s="19" t="s">
        <v>2141</v>
      </c>
      <c r="CW736" s="19"/>
      <c r="CX736" s="19"/>
      <c r="CY736" s="19" t="s">
        <v>2113</v>
      </c>
      <c r="CZ736" s="19" t="s">
        <v>2113</v>
      </c>
      <c r="DA736" s="19" t="s">
        <v>16</v>
      </c>
      <c r="DB736" s="19" t="s">
        <v>16</v>
      </c>
      <c r="DC736" s="19" t="s">
        <v>5320</v>
      </c>
      <c r="DD736" s="19"/>
      <c r="DE736" s="19"/>
      <c r="DF736" s="19" t="s">
        <v>3524</v>
      </c>
      <c r="DG736" s="19" t="s">
        <v>2407</v>
      </c>
      <c r="DH736" s="19" t="s">
        <v>2144</v>
      </c>
      <c r="DI736" s="24">
        <v>45526.0</v>
      </c>
      <c r="DJ736" s="19" t="s">
        <v>2133</v>
      </c>
      <c r="DK736" s="19" t="s">
        <v>2145</v>
      </c>
      <c r="DL736" s="19" t="s">
        <v>2146</v>
      </c>
      <c r="DM736" s="19" t="s">
        <v>3338</v>
      </c>
      <c r="DN736" s="19">
        <v>11.0</v>
      </c>
      <c r="DO736" s="19">
        <v>11.0</v>
      </c>
      <c r="DP736" s="19" t="s">
        <v>14385</v>
      </c>
      <c r="DQ736" s="19" t="s">
        <v>14386</v>
      </c>
      <c r="DR736" s="19" t="s">
        <v>14387</v>
      </c>
      <c r="DS736" s="19" t="s">
        <v>2365</v>
      </c>
      <c r="DT736" s="19" t="s">
        <v>2152</v>
      </c>
      <c r="DU736" s="19"/>
      <c r="DV736" s="19"/>
      <c r="DW736" s="19" t="s">
        <v>2153</v>
      </c>
      <c r="DX736" s="19">
        <v>8.0</v>
      </c>
      <c r="DY736" s="19">
        <v>10.0</v>
      </c>
      <c r="DZ736" s="19">
        <v>0.0</v>
      </c>
      <c r="EA736" s="19">
        <v>10.0</v>
      </c>
      <c r="EB736" s="19">
        <v>0.0</v>
      </c>
      <c r="EC736" s="19">
        <v>0.0</v>
      </c>
      <c r="ED736" s="19" t="s">
        <v>2133</v>
      </c>
      <c r="EE736" s="24">
        <v>45526.0</v>
      </c>
      <c r="EF736" s="19" t="s">
        <v>2133</v>
      </c>
      <c r="EG736" s="19" t="s">
        <v>2145</v>
      </c>
      <c r="EH736" s="19" t="s">
        <v>2146</v>
      </c>
      <c r="EI736" s="22">
        <v>9.0</v>
      </c>
      <c r="EJ736" s="19">
        <v>0.0</v>
      </c>
      <c r="EK736" s="19"/>
      <c r="EL736" s="19" t="s">
        <v>2117</v>
      </c>
      <c r="EM736" s="19" t="s">
        <v>6881</v>
      </c>
      <c r="EN736" s="19" t="s">
        <v>14374</v>
      </c>
      <c r="EO736" s="19" t="s">
        <v>5121</v>
      </c>
      <c r="EP736" s="19" t="s">
        <v>2310</v>
      </c>
      <c r="EQ736" s="19" t="s">
        <v>5128</v>
      </c>
      <c r="ER736" s="19"/>
      <c r="ES736" s="19" t="s">
        <v>14374</v>
      </c>
      <c r="ET736" s="19" t="s">
        <v>14374</v>
      </c>
      <c r="EU736" s="19" t="s">
        <v>14376</v>
      </c>
      <c r="EV736" s="19">
        <v>6973.0</v>
      </c>
      <c r="EW736" s="19" t="s">
        <v>16</v>
      </c>
      <c r="EX736" s="19">
        <v>2.0</v>
      </c>
      <c r="EY736" s="25" t="s">
        <v>14377</v>
      </c>
      <c r="EZ736" s="19" t="s">
        <v>2154</v>
      </c>
      <c r="FA736" s="5" t="s">
        <v>14388</v>
      </c>
      <c r="FB736" s="26" t="s">
        <v>2633</v>
      </c>
      <c r="FC736" s="26" t="s">
        <v>10773</v>
      </c>
    </row>
    <row r="737" hidden="1">
      <c r="A737" s="19" t="s">
        <v>17</v>
      </c>
      <c r="B737" s="19"/>
      <c r="C737" s="19" t="s">
        <v>2113</v>
      </c>
      <c r="D737" s="19" t="s">
        <v>14389</v>
      </c>
      <c r="E737" s="19" t="s">
        <v>14390</v>
      </c>
      <c r="F737" s="19" t="s">
        <v>14389</v>
      </c>
      <c r="G737" s="19"/>
      <c r="H737" s="19" t="s">
        <v>14389</v>
      </c>
      <c r="I737" s="19" t="s">
        <v>14391</v>
      </c>
      <c r="J737" s="19" t="s">
        <v>14392</v>
      </c>
      <c r="K737" s="19" t="s">
        <v>14393</v>
      </c>
      <c r="L737" s="20">
        <v>45446.0</v>
      </c>
      <c r="M737" s="20">
        <v>45446.0</v>
      </c>
      <c r="N737" s="20">
        <v>45446.0</v>
      </c>
      <c r="O737" s="19" t="s">
        <v>14394</v>
      </c>
      <c r="P737" s="19">
        <v>0.0</v>
      </c>
      <c r="Q737" s="19">
        <v>24.0</v>
      </c>
      <c r="R737" s="19">
        <v>9083.0</v>
      </c>
      <c r="S737" s="20" t="s">
        <v>14395</v>
      </c>
      <c r="T737" s="20">
        <v>45461.0</v>
      </c>
      <c r="U737" s="19" t="s">
        <v>14389</v>
      </c>
      <c r="V737" s="19"/>
      <c r="W737" s="19"/>
      <c r="X737" s="21">
        <v>0.0</v>
      </c>
      <c r="Y737" s="21">
        <v>5.0</v>
      </c>
      <c r="Z737" s="21">
        <v>3.0</v>
      </c>
      <c r="AA737" s="21">
        <v>0.0</v>
      </c>
      <c r="AB737" s="5">
        <v>8.0</v>
      </c>
      <c r="AC737" s="19">
        <v>3.0</v>
      </c>
      <c r="AD737" s="19">
        <v>4.5</v>
      </c>
      <c r="AE737" s="19">
        <v>5.0</v>
      </c>
      <c r="AF737" s="19">
        <v>3.5</v>
      </c>
      <c r="AG737" s="19">
        <v>5.0</v>
      </c>
      <c r="AH737" s="19">
        <v>4.0</v>
      </c>
      <c r="AI737" s="22">
        <v>12.796875</v>
      </c>
      <c r="AJ737" s="19">
        <v>0.0</v>
      </c>
      <c r="AK737" s="19">
        <v>0.0</v>
      </c>
      <c r="AL737" s="19">
        <v>0.0</v>
      </c>
      <c r="AM737" s="19">
        <v>0.0</v>
      </c>
      <c r="AN737" s="19">
        <v>12.8</v>
      </c>
      <c r="AO737" s="19">
        <v>20.8</v>
      </c>
      <c r="AP737" s="19">
        <v>984.0</v>
      </c>
      <c r="AQ737" s="19">
        <v>736.0</v>
      </c>
      <c r="AR737" s="19">
        <v>51.0</v>
      </c>
      <c r="AS737" s="22"/>
      <c r="AT737" s="19" t="s">
        <v>2163</v>
      </c>
      <c r="AU737" s="19" t="s">
        <v>8910</v>
      </c>
      <c r="AV737" s="19" t="s">
        <v>14396</v>
      </c>
      <c r="AW737" s="19" t="s">
        <v>2166</v>
      </c>
      <c r="AX737" s="20">
        <v>36378.0</v>
      </c>
      <c r="AY737" s="19" t="s">
        <v>3826</v>
      </c>
      <c r="AZ737" s="19" t="s">
        <v>2310</v>
      </c>
      <c r="BA737" s="19" t="s">
        <v>14397</v>
      </c>
      <c r="BB737" s="19" t="s">
        <v>2667</v>
      </c>
      <c r="BC737" s="19" t="s">
        <v>14398</v>
      </c>
      <c r="BD737" s="19" t="s">
        <v>14399</v>
      </c>
      <c r="BE737" s="19" t="s">
        <v>14392</v>
      </c>
      <c r="BF737" s="19">
        <v>1.1997074654E10</v>
      </c>
      <c r="BG737" s="19" t="s">
        <v>3518</v>
      </c>
      <c r="BH737" s="19" t="s">
        <v>2128</v>
      </c>
      <c r="BI737" s="19"/>
      <c r="BJ737" s="19" t="s">
        <v>2427</v>
      </c>
      <c r="BK737" s="19" t="s">
        <v>17</v>
      </c>
      <c r="BL737" s="19"/>
      <c r="BM737" s="19" t="s">
        <v>5411</v>
      </c>
      <c r="BN737" s="19" t="s">
        <v>17</v>
      </c>
      <c r="BO737" s="19" t="s">
        <v>2473</v>
      </c>
      <c r="BP737" s="19"/>
      <c r="BQ737" s="19" t="s">
        <v>3832</v>
      </c>
      <c r="BR737" s="19" t="s">
        <v>3832</v>
      </c>
      <c r="BS737" s="19" t="s">
        <v>2134</v>
      </c>
      <c r="BT737" s="19" t="s">
        <v>268</v>
      </c>
      <c r="BU737" s="19" t="s">
        <v>9575</v>
      </c>
      <c r="BV737" s="19"/>
      <c r="BW737" s="19"/>
      <c r="BX737" s="19"/>
      <c r="BY737" s="19"/>
      <c r="BZ737" s="19"/>
      <c r="CA737" s="19"/>
      <c r="CB737" s="19"/>
      <c r="CC737" s="19"/>
      <c r="CD737" s="19" t="s">
        <v>2137</v>
      </c>
      <c r="CE737" s="19" t="s">
        <v>16</v>
      </c>
      <c r="CF737" s="19"/>
      <c r="CG737" s="19"/>
      <c r="CH737" s="19" t="s">
        <v>16</v>
      </c>
      <c r="CI737" s="21">
        <v>0.0</v>
      </c>
      <c r="CJ737" s="19" t="s">
        <v>17</v>
      </c>
      <c r="CK737" s="19"/>
      <c r="CL737" s="19"/>
      <c r="CM737" s="19" t="s">
        <v>2138</v>
      </c>
      <c r="CN737" s="19" t="s">
        <v>3835</v>
      </c>
      <c r="CO737" s="19"/>
      <c r="CP737" s="19" t="s">
        <v>2246</v>
      </c>
      <c r="CQ737" s="19"/>
      <c r="CR737" s="19" t="s">
        <v>2113</v>
      </c>
      <c r="CS737" s="19" t="s">
        <v>2113</v>
      </c>
      <c r="CT737" s="19" t="s">
        <v>2113</v>
      </c>
      <c r="CU737" s="19" t="s">
        <v>2113</v>
      </c>
      <c r="CV737" s="19" t="s">
        <v>2141</v>
      </c>
      <c r="CW737" s="19"/>
      <c r="CX737" s="19"/>
      <c r="CY737" s="19"/>
      <c r="CZ737" s="19"/>
      <c r="DA737" s="19" t="s">
        <v>16</v>
      </c>
      <c r="DB737" s="19" t="s">
        <v>17</v>
      </c>
      <c r="DC737" s="19" t="s">
        <v>3991</v>
      </c>
      <c r="DD737" s="19"/>
      <c r="DE737" s="19"/>
      <c r="DF737" s="19" t="s">
        <v>2804</v>
      </c>
      <c r="DG737" s="19" t="s">
        <v>7621</v>
      </c>
      <c r="DH737" s="19" t="s">
        <v>2144</v>
      </c>
      <c r="DI737" s="24">
        <v>45518.0</v>
      </c>
      <c r="DJ737" s="19" t="s">
        <v>3257</v>
      </c>
      <c r="DK737" s="19" t="s">
        <v>2271</v>
      </c>
      <c r="DL737" s="19" t="s">
        <v>2207</v>
      </c>
      <c r="DM737" s="22" t="s">
        <v>3743</v>
      </c>
      <c r="DN737" s="19">
        <v>1.0</v>
      </c>
      <c r="DO737" s="19">
        <v>1.0</v>
      </c>
      <c r="DP737" s="19" t="s">
        <v>14400</v>
      </c>
      <c r="DQ737" s="19" t="s">
        <v>14401</v>
      </c>
      <c r="DR737" s="19" t="s">
        <v>14402</v>
      </c>
      <c r="DS737" s="19" t="s">
        <v>2185</v>
      </c>
      <c r="DT737" s="19" t="s">
        <v>2229</v>
      </c>
      <c r="DU737" s="19"/>
      <c r="DV737" s="19"/>
      <c r="DW737" s="19" t="s">
        <v>2153</v>
      </c>
      <c r="DX737" s="19">
        <v>2.0</v>
      </c>
      <c r="DY737" s="19">
        <v>5.0</v>
      </c>
      <c r="DZ737" s="19">
        <v>0.0</v>
      </c>
      <c r="EA737" s="19">
        <v>5.0</v>
      </c>
      <c r="EB737" s="19">
        <v>0.0</v>
      </c>
      <c r="EC737" s="19">
        <v>0.0</v>
      </c>
      <c r="ED737" s="19" t="s">
        <v>3257</v>
      </c>
      <c r="EE737" s="24">
        <v>45518.0</v>
      </c>
      <c r="EF737" s="19" t="s">
        <v>3257</v>
      </c>
      <c r="EG737" s="19" t="s">
        <v>2271</v>
      </c>
      <c r="EH737" s="19" t="s">
        <v>2207</v>
      </c>
      <c r="EI737" s="22">
        <v>12.796875</v>
      </c>
      <c r="EJ737" s="19">
        <v>0.0</v>
      </c>
      <c r="EK737" s="19" t="s">
        <v>2113</v>
      </c>
      <c r="EL737" s="19" t="s">
        <v>2163</v>
      </c>
      <c r="EM737" s="19" t="s">
        <v>8910</v>
      </c>
      <c r="EN737" s="19" t="s">
        <v>14391</v>
      </c>
      <c r="EO737" s="19" t="s">
        <v>3826</v>
      </c>
      <c r="EP737" s="19" t="s">
        <v>2310</v>
      </c>
      <c r="EQ737" s="19" t="s">
        <v>3835</v>
      </c>
      <c r="ER737" s="19"/>
      <c r="ES737" s="19" t="s">
        <v>14391</v>
      </c>
      <c r="ET737" s="19" t="s">
        <v>14391</v>
      </c>
      <c r="EU737" s="19" t="s">
        <v>14393</v>
      </c>
      <c r="EV737" s="19">
        <v>9083.0</v>
      </c>
      <c r="EW737" s="19" t="s">
        <v>16</v>
      </c>
      <c r="EX737" s="19">
        <v>3.0</v>
      </c>
      <c r="EY737" s="25" t="s">
        <v>14394</v>
      </c>
      <c r="EZ737" s="19" t="s">
        <v>2154</v>
      </c>
      <c r="FA737" s="5" t="s">
        <v>14403</v>
      </c>
      <c r="FB737" s="26" t="s">
        <v>2633</v>
      </c>
      <c r="FC737" s="26" t="s">
        <v>11913</v>
      </c>
    </row>
    <row r="738" hidden="1">
      <c r="A738" s="19" t="s">
        <v>2156</v>
      </c>
      <c r="B738" s="19"/>
      <c r="C738" s="19" t="s">
        <v>2113</v>
      </c>
      <c r="D738" s="19" t="s">
        <v>14404</v>
      </c>
      <c r="E738" s="19" t="s">
        <v>14405</v>
      </c>
      <c r="F738" s="19" t="s">
        <v>14406</v>
      </c>
      <c r="G738" s="19" t="s">
        <v>14407</v>
      </c>
      <c r="H738" s="19" t="s">
        <v>14404</v>
      </c>
      <c r="I738" s="19" t="s">
        <v>14408</v>
      </c>
      <c r="J738" s="19" t="s">
        <v>14409</v>
      </c>
      <c r="K738" s="19" t="s">
        <v>14410</v>
      </c>
      <c r="L738" s="20">
        <v>45397.0</v>
      </c>
      <c r="M738" s="20">
        <v>45411.0</v>
      </c>
      <c r="N738" s="20">
        <v>45411.0</v>
      </c>
      <c r="O738" s="19" t="s">
        <v>14411</v>
      </c>
      <c r="P738" s="19">
        <v>0.0</v>
      </c>
      <c r="Q738" s="19">
        <v>28.0</v>
      </c>
      <c r="R738" s="19">
        <v>10514.0</v>
      </c>
      <c r="S738" s="20" t="s">
        <v>14412</v>
      </c>
      <c r="T738" s="20">
        <v>45461.0</v>
      </c>
      <c r="U738" s="19" t="s">
        <v>14406</v>
      </c>
      <c r="V738" s="19"/>
      <c r="W738" s="19"/>
      <c r="X738" s="21">
        <v>0.0</v>
      </c>
      <c r="Y738" s="21">
        <v>0.0</v>
      </c>
      <c r="Z738" s="21">
        <v>4.0</v>
      </c>
      <c r="AA738" s="21">
        <v>3.0</v>
      </c>
      <c r="AB738" s="5">
        <v>7.0</v>
      </c>
      <c r="AC738" s="19">
        <v>4.5</v>
      </c>
      <c r="AD738" s="19">
        <v>4.5</v>
      </c>
      <c r="AE738" s="19">
        <v>4.5</v>
      </c>
      <c r="AF738" s="19">
        <v>4.0</v>
      </c>
      <c r="AG738" s="19">
        <v>4.5</v>
      </c>
      <c r="AH738" s="19">
        <v>5.0</v>
      </c>
      <c r="AI738" s="22">
        <v>13.5</v>
      </c>
      <c r="AJ738" s="19"/>
      <c r="AK738" s="19"/>
      <c r="AL738" s="19"/>
      <c r="AM738" s="19">
        <v>0.0</v>
      </c>
      <c r="AN738" s="19">
        <v>13.5</v>
      </c>
      <c r="AO738" s="19">
        <v>20.5</v>
      </c>
      <c r="AP738" s="19">
        <v>1017.0</v>
      </c>
      <c r="AQ738" s="19">
        <v>737.0</v>
      </c>
      <c r="AR738" s="19">
        <v>51.0</v>
      </c>
      <c r="AS738" s="22"/>
      <c r="AT738" s="19" t="s">
        <v>2282</v>
      </c>
      <c r="AU738" s="19" t="s">
        <v>14413</v>
      </c>
      <c r="AV738" s="19" t="s">
        <v>14414</v>
      </c>
      <c r="AW738" s="19" t="s">
        <v>3923</v>
      </c>
      <c r="AX738" s="20">
        <v>34947.0</v>
      </c>
      <c r="AY738" s="19" t="s">
        <v>2309</v>
      </c>
      <c r="AZ738" s="19" t="s">
        <v>2122</v>
      </c>
      <c r="BA738" s="19" t="s">
        <v>14415</v>
      </c>
      <c r="BB738" s="19" t="s">
        <v>5907</v>
      </c>
      <c r="BC738" s="19" t="s">
        <v>14416</v>
      </c>
      <c r="BD738" s="19" t="s">
        <v>14417</v>
      </c>
      <c r="BE738" s="19" t="s">
        <v>14409</v>
      </c>
      <c r="BF738" s="19">
        <v>1.1985057184E10</v>
      </c>
      <c r="BG738" s="19" t="s">
        <v>2127</v>
      </c>
      <c r="BH738" s="19" t="s">
        <v>2128</v>
      </c>
      <c r="BI738" s="19"/>
      <c r="BJ738" s="19" t="s">
        <v>2128</v>
      </c>
      <c r="BK738" s="19" t="s">
        <v>17</v>
      </c>
      <c r="BL738" s="19"/>
      <c r="BM738" s="19" t="s">
        <v>5563</v>
      </c>
      <c r="BN738" s="19" t="s">
        <v>14418</v>
      </c>
      <c r="BO738" s="19" t="s">
        <v>2317</v>
      </c>
      <c r="BP738" s="19" t="s">
        <v>14419</v>
      </c>
      <c r="BQ738" s="19" t="s">
        <v>2318</v>
      </c>
      <c r="BR738" s="19" t="s">
        <v>2318</v>
      </c>
      <c r="BS738" s="19" t="s">
        <v>3521</v>
      </c>
      <c r="BT738" s="19" t="s">
        <v>42</v>
      </c>
      <c r="BU738" s="19" t="s">
        <v>14420</v>
      </c>
      <c r="BV738" s="19"/>
      <c r="BW738" s="19"/>
      <c r="BX738" s="19"/>
      <c r="BY738" s="19"/>
      <c r="BZ738" s="19"/>
      <c r="CA738" s="19"/>
      <c r="CB738" s="19" t="s">
        <v>2113</v>
      </c>
      <c r="CC738" s="19"/>
      <c r="CD738" s="19" t="s">
        <v>2137</v>
      </c>
      <c r="CE738" s="19" t="s">
        <v>16</v>
      </c>
      <c r="CF738" s="19"/>
      <c r="CG738" s="19"/>
      <c r="CH738" s="19" t="s">
        <v>17</v>
      </c>
      <c r="CI738" s="21">
        <v>3.0</v>
      </c>
      <c r="CJ738" s="19" t="s">
        <v>16</v>
      </c>
      <c r="CK738" s="19"/>
      <c r="CL738" s="19"/>
      <c r="CM738" s="19" t="s">
        <v>2344</v>
      </c>
      <c r="CN738" s="19" t="s">
        <v>2321</v>
      </c>
      <c r="CO738" s="19"/>
      <c r="CP738" s="19" t="s">
        <v>2225</v>
      </c>
      <c r="CQ738" s="19" t="s">
        <v>2113</v>
      </c>
      <c r="CR738" s="19"/>
      <c r="CS738" s="19"/>
      <c r="CT738" s="19" t="s">
        <v>2113</v>
      </c>
      <c r="CU738" s="19" t="s">
        <v>2113</v>
      </c>
      <c r="CV738" s="19" t="s">
        <v>2141</v>
      </c>
      <c r="CW738" s="19"/>
      <c r="CX738" s="19"/>
      <c r="CY738" s="19" t="s">
        <v>2113</v>
      </c>
      <c r="CZ738" s="19" t="s">
        <v>2113</v>
      </c>
      <c r="DA738" s="19" t="s">
        <v>16</v>
      </c>
      <c r="DB738" s="19" t="s">
        <v>16</v>
      </c>
      <c r="DC738" s="19" t="s">
        <v>2324</v>
      </c>
      <c r="DD738" s="19" t="s">
        <v>2113</v>
      </c>
      <c r="DE738" s="19" t="s">
        <v>2113</v>
      </c>
      <c r="DF738" s="19" t="s">
        <v>3222</v>
      </c>
      <c r="DG738" s="19" t="s">
        <v>3914</v>
      </c>
      <c r="DH738" s="19" t="s">
        <v>2144</v>
      </c>
      <c r="DI738" s="24">
        <v>45518.0</v>
      </c>
      <c r="DJ738" s="19" t="s">
        <v>2325</v>
      </c>
      <c r="DK738" s="19" t="s">
        <v>2271</v>
      </c>
      <c r="DL738" s="19" t="s">
        <v>2326</v>
      </c>
      <c r="DM738" s="19"/>
      <c r="DN738" s="19">
        <v>4.0</v>
      </c>
      <c r="DO738" s="19">
        <v>4.0</v>
      </c>
      <c r="DP738" s="19" t="s">
        <v>14421</v>
      </c>
      <c r="DQ738" s="19" t="s">
        <v>14422</v>
      </c>
      <c r="DR738" s="19" t="s">
        <v>14423</v>
      </c>
      <c r="DS738" s="19" t="s">
        <v>2185</v>
      </c>
      <c r="DT738" s="19" t="s">
        <v>2301</v>
      </c>
      <c r="DU738" s="19"/>
      <c r="DV738" s="19"/>
      <c r="DW738" s="19" t="s">
        <v>2188</v>
      </c>
      <c r="DX738" s="19">
        <v>5.0</v>
      </c>
      <c r="DY738" s="19">
        <v>0.0</v>
      </c>
      <c r="DZ738" s="19">
        <v>0.0</v>
      </c>
      <c r="EA738" s="19">
        <v>0.0</v>
      </c>
      <c r="EB738" s="19">
        <v>3.0</v>
      </c>
      <c r="EC738" s="19">
        <v>0.0</v>
      </c>
      <c r="ED738" s="19" t="s">
        <v>2325</v>
      </c>
      <c r="EE738" s="24">
        <v>45518.0</v>
      </c>
      <c r="EF738" s="19" t="s">
        <v>2325</v>
      </c>
      <c r="EG738" s="19" t="s">
        <v>2271</v>
      </c>
      <c r="EH738" s="19" t="s">
        <v>2326</v>
      </c>
      <c r="EI738" s="22">
        <v>13.5</v>
      </c>
      <c r="EJ738" s="19">
        <v>0.0</v>
      </c>
      <c r="EK738" s="19"/>
      <c r="EL738" s="19" t="s">
        <v>2282</v>
      </c>
      <c r="EM738" s="19" t="s">
        <v>14413</v>
      </c>
      <c r="EN738" s="19" t="s">
        <v>14408</v>
      </c>
      <c r="EO738" s="19" t="s">
        <v>2309</v>
      </c>
      <c r="EP738" s="19" t="s">
        <v>2122</v>
      </c>
      <c r="EQ738" s="19" t="s">
        <v>2321</v>
      </c>
      <c r="ER738" s="19"/>
      <c r="ES738" s="19" t="s">
        <v>14408</v>
      </c>
      <c r="ET738" s="19" t="s">
        <v>14408</v>
      </c>
      <c r="EU738" s="19" t="s">
        <v>14410</v>
      </c>
      <c r="EV738" s="19">
        <v>10514.0</v>
      </c>
      <c r="EW738" s="19" t="s">
        <v>16</v>
      </c>
      <c r="EX738" s="19">
        <v>4.0</v>
      </c>
      <c r="EY738" s="25" t="s">
        <v>14411</v>
      </c>
      <c r="EZ738" s="19" t="s">
        <v>2154</v>
      </c>
      <c r="FA738" s="5" t="s">
        <v>14424</v>
      </c>
      <c r="FB738" s="26" t="s">
        <v>2633</v>
      </c>
      <c r="FC738" s="26" t="s">
        <v>11913</v>
      </c>
    </row>
    <row r="739" hidden="1">
      <c r="A739" s="19" t="s">
        <v>2112</v>
      </c>
      <c r="B739" s="19"/>
      <c r="C739" s="19" t="s">
        <v>2113</v>
      </c>
      <c r="D739" s="19" t="s">
        <v>14425</v>
      </c>
      <c r="E739" s="19" t="s">
        <v>14426</v>
      </c>
      <c r="F739" s="19" t="s">
        <v>2521</v>
      </c>
      <c r="G739" s="19" t="s">
        <v>2522</v>
      </c>
      <c r="H739" s="19" t="s">
        <v>14425</v>
      </c>
      <c r="I739" s="19" t="s">
        <v>14427</v>
      </c>
      <c r="J739" s="19" t="s">
        <v>14428</v>
      </c>
      <c r="K739" s="19" t="s">
        <v>14429</v>
      </c>
      <c r="L739" s="20">
        <v>45443.0</v>
      </c>
      <c r="M739" s="20">
        <v>45446.0</v>
      </c>
      <c r="N739" s="20">
        <v>45446.0</v>
      </c>
      <c r="O739" s="19" t="s">
        <v>14430</v>
      </c>
      <c r="P739" s="19">
        <v>0.0</v>
      </c>
      <c r="Q739" s="19">
        <v>19.0</v>
      </c>
      <c r="R739" s="19">
        <v>7118.0</v>
      </c>
      <c r="S739" s="20" t="s">
        <v>14431</v>
      </c>
      <c r="T739" s="20">
        <v>45461.0</v>
      </c>
      <c r="U739" s="19" t="s">
        <v>2521</v>
      </c>
      <c r="V739" s="19"/>
      <c r="W739" s="19"/>
      <c r="X739" s="21">
        <v>0.0</v>
      </c>
      <c r="Y739" s="21">
        <v>10.0</v>
      </c>
      <c r="Z739" s="21">
        <v>1.0</v>
      </c>
      <c r="AA739" s="21">
        <v>0.0</v>
      </c>
      <c r="AB739" s="5">
        <v>11.0</v>
      </c>
      <c r="AC739" s="19">
        <v>3.0</v>
      </c>
      <c r="AD739" s="19">
        <v>3.3</v>
      </c>
      <c r="AE739" s="19">
        <v>3.3</v>
      </c>
      <c r="AF739" s="19">
        <v>3.0</v>
      </c>
      <c r="AG739" s="19">
        <v>3.0</v>
      </c>
      <c r="AH739" s="19">
        <v>3.0</v>
      </c>
      <c r="AI739" s="22">
        <v>9.421875</v>
      </c>
      <c r="AJ739" s="19"/>
      <c r="AK739" s="19"/>
      <c r="AL739" s="19"/>
      <c r="AM739" s="19">
        <v>0.0</v>
      </c>
      <c r="AN739" s="19">
        <v>9.4</v>
      </c>
      <c r="AO739" s="19">
        <v>20.4</v>
      </c>
      <c r="AP739" s="19">
        <v>942.0</v>
      </c>
      <c r="AQ739" s="19">
        <v>738.0</v>
      </c>
      <c r="AR739" s="19">
        <v>60.0</v>
      </c>
      <c r="AS739" s="22"/>
      <c r="AT739" s="19" t="s">
        <v>2282</v>
      </c>
      <c r="AU739" s="19" t="s">
        <v>14432</v>
      </c>
      <c r="AV739" s="19" t="s">
        <v>14433</v>
      </c>
      <c r="AW739" s="19" t="s">
        <v>14434</v>
      </c>
      <c r="AX739" s="20">
        <v>38343.0</v>
      </c>
      <c r="AY739" s="19" t="s">
        <v>3077</v>
      </c>
      <c r="AZ739" s="19" t="s">
        <v>2310</v>
      </c>
      <c r="BA739" s="19" t="s">
        <v>14435</v>
      </c>
      <c r="BB739" s="19" t="s">
        <v>4683</v>
      </c>
      <c r="BC739" s="19" t="s">
        <v>14436</v>
      </c>
      <c r="BD739" s="19" t="s">
        <v>14437</v>
      </c>
      <c r="BE739" s="19" t="s">
        <v>14438</v>
      </c>
      <c r="BF739" s="19">
        <v>1.4998093392E10</v>
      </c>
      <c r="BG739" s="19" t="s">
        <v>2127</v>
      </c>
      <c r="BH739" s="19" t="s">
        <v>2128</v>
      </c>
      <c r="BI739" s="19"/>
      <c r="BJ739" s="19" t="s">
        <v>2128</v>
      </c>
      <c r="BK739" s="19" t="s">
        <v>16</v>
      </c>
      <c r="BL739" s="19"/>
      <c r="BM739" s="19" t="s">
        <v>5411</v>
      </c>
      <c r="BN739" s="19" t="s">
        <v>2172</v>
      </c>
      <c r="BO739" s="19" t="s">
        <v>3082</v>
      </c>
      <c r="BP739" s="19"/>
      <c r="BQ739" s="19" t="s">
        <v>2174</v>
      </c>
      <c r="BR739" s="19" t="s">
        <v>2174</v>
      </c>
      <c r="BS739" s="19" t="s">
        <v>2134</v>
      </c>
      <c r="BT739" s="19" t="s">
        <v>75</v>
      </c>
      <c r="BU739" s="19"/>
      <c r="BV739" s="19"/>
      <c r="BW739" s="19" t="s">
        <v>2113</v>
      </c>
      <c r="BX739" s="19"/>
      <c r="BY739" s="19"/>
      <c r="BZ739" s="19"/>
      <c r="CA739" s="19"/>
      <c r="CB739" s="19" t="s">
        <v>2113</v>
      </c>
      <c r="CC739" s="19"/>
      <c r="CD739" s="19" t="s">
        <v>2137</v>
      </c>
      <c r="CE739" s="19" t="s">
        <v>16</v>
      </c>
      <c r="CF739" s="19"/>
      <c r="CG739" s="19"/>
      <c r="CH739" s="19" t="s">
        <v>16</v>
      </c>
      <c r="CI739" s="21">
        <v>0.0</v>
      </c>
      <c r="CJ739" s="19" t="s">
        <v>16</v>
      </c>
      <c r="CK739" s="19"/>
      <c r="CL739" s="19"/>
      <c r="CM739" s="19" t="s">
        <v>2138</v>
      </c>
      <c r="CN739" s="19" t="s">
        <v>3085</v>
      </c>
      <c r="CO739" s="19"/>
      <c r="CP739" s="19" t="s">
        <v>2134</v>
      </c>
      <c r="CQ739" s="19"/>
      <c r="CR739" s="19" t="s">
        <v>2113</v>
      </c>
      <c r="CS739" s="19" t="s">
        <v>2113</v>
      </c>
      <c r="CT739" s="19" t="s">
        <v>2113</v>
      </c>
      <c r="CU739" s="19" t="s">
        <v>2113</v>
      </c>
      <c r="CV739" s="19" t="s">
        <v>2141</v>
      </c>
      <c r="CW739" s="19" t="s">
        <v>2113</v>
      </c>
      <c r="CX739" s="19" t="s">
        <v>2113</v>
      </c>
      <c r="CY739" s="19" t="s">
        <v>2113</v>
      </c>
      <c r="CZ739" s="19" t="s">
        <v>2113</v>
      </c>
      <c r="DA739" s="19" t="s">
        <v>16</v>
      </c>
      <c r="DB739" s="19" t="s">
        <v>16</v>
      </c>
      <c r="DC739" s="19" t="s">
        <v>2247</v>
      </c>
      <c r="DD739" s="19" t="s">
        <v>2113</v>
      </c>
      <c r="DE739" s="19" t="s">
        <v>2113</v>
      </c>
      <c r="DF739" s="19" t="s">
        <v>3856</v>
      </c>
      <c r="DG739" s="19" t="s">
        <v>2769</v>
      </c>
      <c r="DH739" s="19" t="s">
        <v>2144</v>
      </c>
      <c r="DI739" s="24">
        <v>45531.0</v>
      </c>
      <c r="DJ739" s="19" t="s">
        <v>2174</v>
      </c>
      <c r="DK739" s="19" t="s">
        <v>2145</v>
      </c>
      <c r="DL739" s="19" t="s">
        <v>2183</v>
      </c>
      <c r="DM739" s="19"/>
      <c r="DN739" s="19">
        <v>7.0</v>
      </c>
      <c r="DO739" s="19">
        <v>7.0</v>
      </c>
      <c r="DP739" s="19" t="s">
        <v>14439</v>
      </c>
      <c r="DQ739" s="19" t="s">
        <v>14440</v>
      </c>
      <c r="DR739" s="19" t="s">
        <v>14441</v>
      </c>
      <c r="DS739" s="19" t="s">
        <v>2151</v>
      </c>
      <c r="DT739" s="19" t="s">
        <v>2301</v>
      </c>
      <c r="DU739" s="19"/>
      <c r="DV739" s="19"/>
      <c r="DW739" s="19" t="s">
        <v>2188</v>
      </c>
      <c r="DX739" s="19">
        <v>15.0</v>
      </c>
      <c r="DY739" s="19">
        <v>10.0</v>
      </c>
      <c r="DZ739" s="19">
        <v>0.0</v>
      </c>
      <c r="EA739" s="19">
        <v>10.0</v>
      </c>
      <c r="EB739" s="19">
        <v>0.0</v>
      </c>
      <c r="EC739" s="19">
        <v>0.0</v>
      </c>
      <c r="ED739" s="19" t="s">
        <v>2174</v>
      </c>
      <c r="EE739" s="24">
        <v>45531.0</v>
      </c>
      <c r="EF739" s="19" t="s">
        <v>2174</v>
      </c>
      <c r="EG739" s="19" t="s">
        <v>2145</v>
      </c>
      <c r="EH739" s="19" t="s">
        <v>2183</v>
      </c>
      <c r="EI739" s="22">
        <v>9.421875</v>
      </c>
      <c r="EJ739" s="19">
        <v>0.0</v>
      </c>
      <c r="EK739" s="19"/>
      <c r="EL739" s="19" t="s">
        <v>2282</v>
      </c>
      <c r="EM739" s="19" t="s">
        <v>14432</v>
      </c>
      <c r="EN739" s="19" t="s">
        <v>14427</v>
      </c>
      <c r="EO739" s="19" t="s">
        <v>3077</v>
      </c>
      <c r="EP739" s="19" t="s">
        <v>2310</v>
      </c>
      <c r="EQ739" s="19" t="s">
        <v>3085</v>
      </c>
      <c r="ER739" s="19"/>
      <c r="ES739" s="19" t="s">
        <v>14427</v>
      </c>
      <c r="ET739" s="19" t="s">
        <v>14427</v>
      </c>
      <c r="EU739" s="19" t="s">
        <v>14429</v>
      </c>
      <c r="EV739" s="19">
        <v>7118.0</v>
      </c>
      <c r="EW739" s="19" t="s">
        <v>16</v>
      </c>
      <c r="EX739" s="19">
        <v>1.0</v>
      </c>
      <c r="EY739" s="25" t="s">
        <v>14430</v>
      </c>
      <c r="EZ739" s="19" t="s">
        <v>2154</v>
      </c>
      <c r="FA739" s="5" t="s">
        <v>14442</v>
      </c>
      <c r="FB739" s="26" t="s">
        <v>2633</v>
      </c>
      <c r="FC739" s="26" t="s">
        <v>10773</v>
      </c>
    </row>
    <row r="740" hidden="1">
      <c r="A740" s="19" t="s">
        <v>2112</v>
      </c>
      <c r="B740" s="19"/>
      <c r="C740" s="19" t="s">
        <v>2113</v>
      </c>
      <c r="D740" s="19" t="s">
        <v>14443</v>
      </c>
      <c r="E740" s="19" t="s">
        <v>14444</v>
      </c>
      <c r="F740" s="19" t="s">
        <v>14443</v>
      </c>
      <c r="G740" s="19"/>
      <c r="H740" s="19" t="s">
        <v>14443</v>
      </c>
      <c r="I740" s="19" t="s">
        <v>14445</v>
      </c>
      <c r="J740" s="19" t="s">
        <v>14446</v>
      </c>
      <c r="K740" s="19" t="s">
        <v>14447</v>
      </c>
      <c r="L740" s="20">
        <v>45438.0</v>
      </c>
      <c r="M740" s="20">
        <v>45439.0</v>
      </c>
      <c r="N740" s="20">
        <v>45439.0</v>
      </c>
      <c r="O740" s="19" t="s">
        <v>14448</v>
      </c>
      <c r="P740" s="19">
        <v>0.0</v>
      </c>
      <c r="Q740" s="19">
        <v>24.0</v>
      </c>
      <c r="R740" s="19">
        <v>8851.0</v>
      </c>
      <c r="S740" s="20" t="s">
        <v>14449</v>
      </c>
      <c r="T740" s="20">
        <v>45461.0</v>
      </c>
      <c r="U740" s="19" t="s">
        <v>14443</v>
      </c>
      <c r="V740" s="19"/>
      <c r="W740" s="19" t="s">
        <v>14450</v>
      </c>
      <c r="X740" s="21">
        <v>0.0</v>
      </c>
      <c r="Y740" s="21">
        <v>0.0</v>
      </c>
      <c r="Z740" s="21">
        <v>5.0</v>
      </c>
      <c r="AA740" s="21">
        <v>0.0</v>
      </c>
      <c r="AB740" s="5">
        <v>5.0</v>
      </c>
      <c r="AC740" s="19">
        <v>5.0</v>
      </c>
      <c r="AD740" s="19">
        <v>5.0</v>
      </c>
      <c r="AE740" s="19">
        <v>5.0</v>
      </c>
      <c r="AF740" s="19">
        <v>5.0</v>
      </c>
      <c r="AG740" s="19">
        <v>5.0</v>
      </c>
      <c r="AH740" s="19">
        <v>5.0</v>
      </c>
      <c r="AI740" s="22">
        <v>15.0</v>
      </c>
      <c r="AJ740" s="19">
        <v>0.0</v>
      </c>
      <c r="AK740" s="19">
        <v>0.0</v>
      </c>
      <c r="AL740" s="19">
        <v>0.0</v>
      </c>
      <c r="AM740" s="19">
        <v>0.0</v>
      </c>
      <c r="AN740" s="19">
        <v>15.0</v>
      </c>
      <c r="AO740" s="19">
        <v>20.0</v>
      </c>
      <c r="AP740" s="19">
        <v>1060.0</v>
      </c>
      <c r="AQ740" s="19">
        <v>739.0</v>
      </c>
      <c r="AR740" s="19">
        <v>99.0</v>
      </c>
      <c r="AS740" s="22"/>
      <c r="AT740" s="19" t="s">
        <v>2163</v>
      </c>
      <c r="AU740" s="19" t="s">
        <v>2592</v>
      </c>
      <c r="AV740" s="19" t="s">
        <v>14451</v>
      </c>
      <c r="AW740" s="19" t="s">
        <v>11055</v>
      </c>
      <c r="AX740" s="20">
        <v>36610.0</v>
      </c>
      <c r="AY740" s="19" t="s">
        <v>2595</v>
      </c>
      <c r="AZ740" s="19" t="s">
        <v>2122</v>
      </c>
      <c r="BA740" s="19" t="s">
        <v>14452</v>
      </c>
      <c r="BB740" s="19" t="s">
        <v>6352</v>
      </c>
      <c r="BC740" s="19" t="s">
        <v>14453</v>
      </c>
      <c r="BD740" s="19" t="s">
        <v>14454</v>
      </c>
      <c r="BE740" s="19" t="s">
        <v>14455</v>
      </c>
      <c r="BF740" s="19">
        <v>1.1994947498E10</v>
      </c>
      <c r="BG740" s="19" t="s">
        <v>4038</v>
      </c>
      <c r="BH740" s="19" t="s">
        <v>2128</v>
      </c>
      <c r="BI740" s="19"/>
      <c r="BJ740" s="19" t="s">
        <v>2128</v>
      </c>
      <c r="BK740" s="19" t="s">
        <v>17</v>
      </c>
      <c r="BL740" s="19"/>
      <c r="BM740" s="19" t="s">
        <v>5563</v>
      </c>
      <c r="BN740" s="19" t="s">
        <v>3951</v>
      </c>
      <c r="BO740" s="19" t="s">
        <v>2132</v>
      </c>
      <c r="BP740" s="19"/>
      <c r="BQ740" s="19" t="s">
        <v>2133</v>
      </c>
      <c r="BR740" s="19" t="s">
        <v>2133</v>
      </c>
      <c r="BS740" s="19" t="s">
        <v>2134</v>
      </c>
      <c r="BT740" s="19" t="s">
        <v>38</v>
      </c>
      <c r="BU740" s="19" t="s">
        <v>14456</v>
      </c>
      <c r="BV740" s="19"/>
      <c r="BW740" s="19"/>
      <c r="BX740" s="19"/>
      <c r="BY740" s="19"/>
      <c r="BZ740" s="19"/>
      <c r="CA740" s="19" t="s">
        <v>2113</v>
      </c>
      <c r="CB740" s="19" t="s">
        <v>2113</v>
      </c>
      <c r="CC740" s="19"/>
      <c r="CD740" s="19" t="s">
        <v>2137</v>
      </c>
      <c r="CE740" s="19" t="s">
        <v>16</v>
      </c>
      <c r="CF740" s="19"/>
      <c r="CG740" s="19"/>
      <c r="CH740" s="19" t="s">
        <v>16</v>
      </c>
      <c r="CI740" s="21">
        <v>0.0</v>
      </c>
      <c r="CJ740" s="19" t="s">
        <v>17</v>
      </c>
      <c r="CK740" s="19" t="s">
        <v>2113</v>
      </c>
      <c r="CL740" s="19"/>
      <c r="CM740" s="19" t="s">
        <v>2138</v>
      </c>
      <c r="CN740" s="19" t="s">
        <v>2294</v>
      </c>
      <c r="CO740" s="19"/>
      <c r="CP740" s="19" t="s">
        <v>2246</v>
      </c>
      <c r="CQ740" s="19"/>
      <c r="CR740" s="19"/>
      <c r="CS740" s="19"/>
      <c r="CT740" s="19" t="s">
        <v>2113</v>
      </c>
      <c r="CU740" s="19" t="s">
        <v>2113</v>
      </c>
      <c r="CV740" s="19" t="s">
        <v>2141</v>
      </c>
      <c r="CW740" s="19"/>
      <c r="CX740" s="19"/>
      <c r="CY740" s="19"/>
      <c r="CZ740" s="19"/>
      <c r="DA740" s="19" t="s">
        <v>16</v>
      </c>
      <c r="DB740" s="19" t="s">
        <v>17</v>
      </c>
      <c r="DC740" s="19" t="s">
        <v>3874</v>
      </c>
      <c r="DD740" s="19" t="s">
        <v>2113</v>
      </c>
      <c r="DE740" s="19" t="s">
        <v>2113</v>
      </c>
      <c r="DF740" s="19" t="s">
        <v>2578</v>
      </c>
      <c r="DG740" s="19" t="s">
        <v>2477</v>
      </c>
      <c r="DH740" s="19" t="s">
        <v>2144</v>
      </c>
      <c r="DI740" s="24">
        <v>45532.0</v>
      </c>
      <c r="DJ740" s="19" t="s">
        <v>2133</v>
      </c>
      <c r="DK740" s="19" t="s">
        <v>2271</v>
      </c>
      <c r="DL740" s="19" t="s">
        <v>2146</v>
      </c>
      <c r="DM740" s="19" t="s">
        <v>3526</v>
      </c>
      <c r="DN740" s="19">
        <v>16.0</v>
      </c>
      <c r="DO740" s="19">
        <v>16.0</v>
      </c>
      <c r="DP740" s="19" t="s">
        <v>14457</v>
      </c>
      <c r="DQ740" s="19" t="s">
        <v>14458</v>
      </c>
      <c r="DR740" s="19" t="s">
        <v>14459</v>
      </c>
      <c r="DS740" s="19" t="s">
        <v>2151</v>
      </c>
      <c r="DT740" s="19" t="s">
        <v>2366</v>
      </c>
      <c r="DU740" s="19"/>
      <c r="DV740" s="19"/>
      <c r="DW740" s="19" t="s">
        <v>2153</v>
      </c>
      <c r="DX740" s="19">
        <v>12.0</v>
      </c>
      <c r="DY740" s="19">
        <v>0.0</v>
      </c>
      <c r="DZ740" s="19">
        <v>0.0</v>
      </c>
      <c r="EA740" s="19">
        <v>0.0</v>
      </c>
      <c r="EB740" s="19">
        <v>0.0</v>
      </c>
      <c r="EC740" s="19">
        <v>0.0</v>
      </c>
      <c r="ED740" s="19" t="s">
        <v>2133</v>
      </c>
      <c r="EE740" s="24">
        <v>45532.0</v>
      </c>
      <c r="EF740" s="19" t="s">
        <v>2133</v>
      </c>
      <c r="EG740" s="19" t="s">
        <v>2271</v>
      </c>
      <c r="EH740" s="19" t="s">
        <v>2146</v>
      </c>
      <c r="EI740" s="22">
        <v>15.0</v>
      </c>
      <c r="EJ740" s="19">
        <v>0.0</v>
      </c>
      <c r="EK740" s="19" t="s">
        <v>2113</v>
      </c>
      <c r="EL740" s="19" t="s">
        <v>2163</v>
      </c>
      <c r="EM740" s="19" t="s">
        <v>2592</v>
      </c>
      <c r="EN740" s="19" t="s">
        <v>14445</v>
      </c>
      <c r="EO740" s="19" t="s">
        <v>2595</v>
      </c>
      <c r="EP740" s="19" t="s">
        <v>2122</v>
      </c>
      <c r="EQ740" s="19" t="s">
        <v>2294</v>
      </c>
      <c r="ER740" s="19"/>
      <c r="ES740" s="19" t="s">
        <v>14445</v>
      </c>
      <c r="ET740" s="19" t="s">
        <v>14445</v>
      </c>
      <c r="EU740" s="19" t="s">
        <v>14447</v>
      </c>
      <c r="EV740" s="19">
        <v>8851.0</v>
      </c>
      <c r="EW740" s="19" t="s">
        <v>16</v>
      </c>
      <c r="EX740" s="19">
        <v>5.0</v>
      </c>
      <c r="EY740" s="25" t="s">
        <v>14448</v>
      </c>
      <c r="EZ740" s="19" t="s">
        <v>2154</v>
      </c>
      <c r="FA740" s="5" t="s">
        <v>14460</v>
      </c>
      <c r="FB740" s="26" t="s">
        <v>2633</v>
      </c>
      <c r="FC740" s="26" t="s">
        <v>14461</v>
      </c>
    </row>
    <row r="741" hidden="1">
      <c r="A741" s="19" t="s">
        <v>2156</v>
      </c>
      <c r="B741" s="19"/>
      <c r="C741" s="19" t="s">
        <v>2113</v>
      </c>
      <c r="D741" s="19" t="s">
        <v>14462</v>
      </c>
      <c r="E741" s="19" t="s">
        <v>14463</v>
      </c>
      <c r="F741" s="19" t="s">
        <v>14462</v>
      </c>
      <c r="G741" s="19"/>
      <c r="H741" s="19" t="s">
        <v>14462</v>
      </c>
      <c r="I741" s="19" t="s">
        <v>14464</v>
      </c>
      <c r="J741" s="19" t="s">
        <v>14465</v>
      </c>
      <c r="K741" s="19" t="s">
        <v>14466</v>
      </c>
      <c r="L741" s="20">
        <v>45436.0</v>
      </c>
      <c r="M741" s="20">
        <v>45436.0</v>
      </c>
      <c r="N741" s="20">
        <v>45436.0</v>
      </c>
      <c r="O741" s="19" t="s">
        <v>14467</v>
      </c>
      <c r="P741" s="19">
        <v>0.0</v>
      </c>
      <c r="Q741" s="19">
        <v>26.0</v>
      </c>
      <c r="R741" s="19">
        <v>9834.0</v>
      </c>
      <c r="S741" s="20" t="s">
        <v>14468</v>
      </c>
      <c r="T741" s="20">
        <v>45461.0</v>
      </c>
      <c r="U741" s="19" t="s">
        <v>14462</v>
      </c>
      <c r="V741" s="19"/>
      <c r="W741" s="19" t="s">
        <v>14469</v>
      </c>
      <c r="X741" s="21">
        <v>0.0</v>
      </c>
      <c r="Y741" s="21">
        <v>0.0</v>
      </c>
      <c r="Z741" s="21">
        <v>4.0</v>
      </c>
      <c r="AA741" s="21">
        <v>0.0</v>
      </c>
      <c r="AB741" s="5">
        <v>4.0</v>
      </c>
      <c r="AC741" s="19">
        <v>5.0</v>
      </c>
      <c r="AD741" s="19">
        <v>5.0</v>
      </c>
      <c r="AE741" s="19">
        <v>5.0</v>
      </c>
      <c r="AF741" s="19">
        <v>5.0</v>
      </c>
      <c r="AG741" s="19">
        <v>5.0</v>
      </c>
      <c r="AH741" s="19">
        <v>5.0</v>
      </c>
      <c r="AI741" s="22">
        <v>15.0</v>
      </c>
      <c r="AJ741" s="19"/>
      <c r="AK741" s="19"/>
      <c r="AL741" s="19"/>
      <c r="AM741" s="19">
        <v>0.0</v>
      </c>
      <c r="AN741" s="19">
        <v>15.0</v>
      </c>
      <c r="AO741" s="19">
        <v>19.0</v>
      </c>
      <c r="AP741" s="19">
        <v>1166.0</v>
      </c>
      <c r="AQ741" s="19">
        <v>740.0</v>
      </c>
      <c r="AR741" s="19">
        <v>77.0</v>
      </c>
      <c r="AS741" s="22"/>
      <c r="AT741" s="19" t="s">
        <v>2117</v>
      </c>
      <c r="AU741" s="19" t="s">
        <v>6816</v>
      </c>
      <c r="AV741" s="19" t="s">
        <v>14470</v>
      </c>
      <c r="AW741" s="19" t="s">
        <v>2166</v>
      </c>
      <c r="AX741" s="20">
        <v>35627.0</v>
      </c>
      <c r="AY741" s="19" t="s">
        <v>2375</v>
      </c>
      <c r="AZ741" s="19" t="s">
        <v>2122</v>
      </c>
      <c r="BA741" s="19" t="s">
        <v>14471</v>
      </c>
      <c r="BB741" s="19" t="s">
        <v>14472</v>
      </c>
      <c r="BC741" s="19" t="s">
        <v>14473</v>
      </c>
      <c r="BD741" s="19" t="s">
        <v>14474</v>
      </c>
      <c r="BE741" s="19" t="s">
        <v>14475</v>
      </c>
      <c r="BF741" s="19">
        <v>1.1990232588E10</v>
      </c>
      <c r="BG741" s="19" t="s">
        <v>4038</v>
      </c>
      <c r="BH741" s="19" t="s">
        <v>2128</v>
      </c>
      <c r="BI741" s="19"/>
      <c r="BJ741" s="19" t="s">
        <v>2129</v>
      </c>
      <c r="BK741" s="19" t="s">
        <v>17</v>
      </c>
      <c r="BL741" s="19"/>
      <c r="BM741" s="19" t="s">
        <v>5563</v>
      </c>
      <c r="BN741" s="19" t="s">
        <v>3018</v>
      </c>
      <c r="BO741" s="19" t="s">
        <v>2317</v>
      </c>
      <c r="BP741" s="19"/>
      <c r="BQ741" s="19" t="s">
        <v>2133</v>
      </c>
      <c r="BR741" s="19" t="s">
        <v>2133</v>
      </c>
      <c r="BS741" s="19" t="s">
        <v>2134</v>
      </c>
      <c r="BT741" s="19" t="s">
        <v>52</v>
      </c>
      <c r="BU741" s="19" t="s">
        <v>14476</v>
      </c>
      <c r="BV741" s="19"/>
      <c r="BW741" s="19" t="s">
        <v>2113</v>
      </c>
      <c r="BX741" s="19"/>
      <c r="BY741" s="19"/>
      <c r="BZ741" s="19"/>
      <c r="CA741" s="19"/>
      <c r="CB741" s="19" t="s">
        <v>2113</v>
      </c>
      <c r="CC741" s="19"/>
      <c r="CD741" s="19" t="s">
        <v>2137</v>
      </c>
      <c r="CE741" s="19" t="s">
        <v>16</v>
      </c>
      <c r="CF741" s="19"/>
      <c r="CG741" s="19"/>
      <c r="CH741" s="19" t="s">
        <v>16</v>
      </c>
      <c r="CI741" s="21">
        <v>0.0</v>
      </c>
      <c r="CJ741" s="19" t="s">
        <v>17</v>
      </c>
      <c r="CK741" s="19"/>
      <c r="CL741" s="19"/>
      <c r="CM741" s="19" t="s">
        <v>2344</v>
      </c>
      <c r="CN741" s="19" t="s">
        <v>2382</v>
      </c>
      <c r="CO741" s="19"/>
      <c r="CP741" s="19" t="s">
        <v>2246</v>
      </c>
      <c r="CQ741" s="19"/>
      <c r="CR741" s="19"/>
      <c r="CS741" s="19"/>
      <c r="CT741" s="19"/>
      <c r="CU741" s="19"/>
      <c r="CV741" s="19" t="s">
        <v>2141</v>
      </c>
      <c r="CW741" s="19"/>
      <c r="CX741" s="19"/>
      <c r="CY741" s="19" t="s">
        <v>2113</v>
      </c>
      <c r="CZ741" s="19" t="s">
        <v>2113</v>
      </c>
      <c r="DA741" s="19" t="s">
        <v>16</v>
      </c>
      <c r="DB741" s="19" t="s">
        <v>17</v>
      </c>
      <c r="DC741" s="19" t="s">
        <v>2601</v>
      </c>
      <c r="DD741" s="19" t="s">
        <v>2113</v>
      </c>
      <c r="DE741" s="19" t="s">
        <v>2113</v>
      </c>
      <c r="DF741" s="19" t="s">
        <v>2146</v>
      </c>
      <c r="DG741" s="19" t="s">
        <v>2671</v>
      </c>
      <c r="DH741" s="19" t="s">
        <v>2144</v>
      </c>
      <c r="DI741" s="24">
        <v>45518.0</v>
      </c>
      <c r="DJ741" s="19" t="s">
        <v>2133</v>
      </c>
      <c r="DK741" s="19" t="s">
        <v>2271</v>
      </c>
      <c r="DL741" s="19" t="s">
        <v>2146</v>
      </c>
      <c r="DM741" s="19"/>
      <c r="DN741" s="19">
        <v>4.0</v>
      </c>
      <c r="DO741" s="19">
        <v>4.0</v>
      </c>
      <c r="DP741" s="19" t="s">
        <v>14477</v>
      </c>
      <c r="DQ741" s="19" t="s">
        <v>14478</v>
      </c>
      <c r="DR741" s="19" t="s">
        <v>14479</v>
      </c>
      <c r="DS741" s="19" t="s">
        <v>2365</v>
      </c>
      <c r="DT741" s="19" t="s">
        <v>2186</v>
      </c>
      <c r="DU741" s="19"/>
      <c r="DV741" s="19"/>
      <c r="DW741" s="19" t="s">
        <v>2153</v>
      </c>
      <c r="DX741" s="19">
        <v>8.0</v>
      </c>
      <c r="DY741" s="19">
        <v>0.0</v>
      </c>
      <c r="DZ741" s="19">
        <v>0.0</v>
      </c>
      <c r="EA741" s="19">
        <v>0.0</v>
      </c>
      <c r="EB741" s="19">
        <v>0.0</v>
      </c>
      <c r="EC741" s="19">
        <v>0.0</v>
      </c>
      <c r="ED741" s="19" t="s">
        <v>2133</v>
      </c>
      <c r="EE741" s="24">
        <v>45518.0</v>
      </c>
      <c r="EF741" s="19" t="s">
        <v>2133</v>
      </c>
      <c r="EG741" s="19" t="s">
        <v>2271</v>
      </c>
      <c r="EH741" s="19" t="s">
        <v>2146</v>
      </c>
      <c r="EI741" s="22">
        <v>15.0</v>
      </c>
      <c r="EJ741" s="19">
        <v>0.0</v>
      </c>
      <c r="EK741" s="19" t="s">
        <v>2113</v>
      </c>
      <c r="EL741" s="19" t="s">
        <v>2117</v>
      </c>
      <c r="EM741" s="19" t="s">
        <v>6816</v>
      </c>
      <c r="EN741" s="19" t="s">
        <v>14464</v>
      </c>
      <c r="EO741" s="19" t="s">
        <v>2375</v>
      </c>
      <c r="EP741" s="19" t="s">
        <v>2122</v>
      </c>
      <c r="EQ741" s="19" t="s">
        <v>2382</v>
      </c>
      <c r="ER741" s="19"/>
      <c r="ES741" s="19" t="s">
        <v>14464</v>
      </c>
      <c r="ET741" s="19" t="s">
        <v>14464</v>
      </c>
      <c r="EU741" s="19" t="s">
        <v>14466</v>
      </c>
      <c r="EV741" s="19">
        <v>9834.0</v>
      </c>
      <c r="EW741" s="19" t="s">
        <v>16</v>
      </c>
      <c r="EX741" s="19">
        <v>4.0</v>
      </c>
      <c r="EY741" s="25" t="s">
        <v>14467</v>
      </c>
      <c r="EZ741" s="19" t="s">
        <v>2154</v>
      </c>
      <c r="FA741" s="5" t="s">
        <v>14480</v>
      </c>
      <c r="FB741" s="26" t="s">
        <v>2633</v>
      </c>
      <c r="FC741" s="26" t="s">
        <v>10773</v>
      </c>
    </row>
    <row r="742" hidden="1">
      <c r="A742" s="19" t="s">
        <v>2112</v>
      </c>
      <c r="B742" s="19"/>
      <c r="C742" s="19" t="s">
        <v>2113</v>
      </c>
      <c r="D742" s="19" t="s">
        <v>14481</v>
      </c>
      <c r="E742" s="19" t="s">
        <v>14482</v>
      </c>
      <c r="F742" s="19" t="s">
        <v>14481</v>
      </c>
      <c r="G742" s="19"/>
      <c r="H742" s="19" t="s">
        <v>14481</v>
      </c>
      <c r="I742" s="19" t="s">
        <v>14483</v>
      </c>
      <c r="J742" s="19" t="s">
        <v>14484</v>
      </c>
      <c r="K742" s="19" t="s">
        <v>14485</v>
      </c>
      <c r="L742" s="20">
        <v>45394.0</v>
      </c>
      <c r="M742" s="20">
        <v>45404.0</v>
      </c>
      <c r="N742" s="20">
        <v>45404.0</v>
      </c>
      <c r="O742" s="19" t="s">
        <v>14486</v>
      </c>
      <c r="P742" s="19">
        <v>0.0</v>
      </c>
      <c r="Q742" s="19">
        <v>20.0</v>
      </c>
      <c r="R742" s="19">
        <v>7412.0</v>
      </c>
      <c r="S742" s="20" t="s">
        <v>14487</v>
      </c>
      <c r="T742" s="20">
        <v>45461.0</v>
      </c>
      <c r="U742" s="19" t="s">
        <v>14481</v>
      </c>
      <c r="V742" s="19"/>
      <c r="W742" s="19" t="s">
        <v>14488</v>
      </c>
      <c r="X742" s="21">
        <v>0.0</v>
      </c>
      <c r="Y742" s="21">
        <v>0.0</v>
      </c>
      <c r="Z742" s="21">
        <v>4.0</v>
      </c>
      <c r="AA742" s="21">
        <v>0.0</v>
      </c>
      <c r="AB742" s="5">
        <v>4.0</v>
      </c>
      <c r="AC742" s="19">
        <v>5.0</v>
      </c>
      <c r="AD742" s="19">
        <v>5.0</v>
      </c>
      <c r="AE742" s="19">
        <v>5.0</v>
      </c>
      <c r="AF742" s="19">
        <v>5.0</v>
      </c>
      <c r="AG742" s="19">
        <v>5.0</v>
      </c>
      <c r="AH742" s="19">
        <v>5.0</v>
      </c>
      <c r="AI742" s="22">
        <v>15.0</v>
      </c>
      <c r="AJ742" s="19"/>
      <c r="AK742" s="19"/>
      <c r="AL742" s="19"/>
      <c r="AM742" s="19">
        <v>0.0</v>
      </c>
      <c r="AN742" s="19">
        <v>15.0</v>
      </c>
      <c r="AO742" s="19">
        <v>19.0</v>
      </c>
      <c r="AP742" s="19">
        <v>1196.0</v>
      </c>
      <c r="AQ742" s="19">
        <v>741.0</v>
      </c>
      <c r="AR742" s="19">
        <v>78.0</v>
      </c>
      <c r="AS742" s="22"/>
      <c r="AT742" s="19" t="s">
        <v>2282</v>
      </c>
      <c r="AU742" s="19" t="s">
        <v>11100</v>
      </c>
      <c r="AV742" s="19" t="s">
        <v>14489</v>
      </c>
      <c r="AW742" s="19"/>
      <c r="AX742" s="20">
        <v>38049.0</v>
      </c>
      <c r="AY742" s="19" t="s">
        <v>2619</v>
      </c>
      <c r="AZ742" s="19" t="s">
        <v>2122</v>
      </c>
      <c r="BA742" s="19" t="s">
        <v>14490</v>
      </c>
      <c r="BB742" s="19" t="s">
        <v>9120</v>
      </c>
      <c r="BC742" s="19" t="s">
        <v>14491</v>
      </c>
      <c r="BD742" s="19" t="s">
        <v>14492</v>
      </c>
      <c r="BE742" s="19" t="s">
        <v>14493</v>
      </c>
      <c r="BF742" s="19">
        <v>1.1932025586E10</v>
      </c>
      <c r="BG742" s="19" t="s">
        <v>4038</v>
      </c>
      <c r="BH742" s="19" t="s">
        <v>2128</v>
      </c>
      <c r="BI742" s="19"/>
      <c r="BJ742" s="19" t="s">
        <v>2129</v>
      </c>
      <c r="BK742" s="19" t="s">
        <v>17</v>
      </c>
      <c r="BL742" s="19"/>
      <c r="BM742" s="19" t="s">
        <v>5563</v>
      </c>
      <c r="BN742" s="19" t="s">
        <v>13519</v>
      </c>
      <c r="BO742" s="19" t="s">
        <v>2317</v>
      </c>
      <c r="BP742" s="19" t="s">
        <v>14494</v>
      </c>
      <c r="BQ742" s="19" t="s">
        <v>2133</v>
      </c>
      <c r="BR742" s="19" t="s">
        <v>2133</v>
      </c>
      <c r="BS742" s="19" t="s">
        <v>2243</v>
      </c>
      <c r="BT742" s="19" t="s">
        <v>52</v>
      </c>
      <c r="BU742" s="19" t="s">
        <v>14495</v>
      </c>
      <c r="BV742" s="19"/>
      <c r="BW742" s="19" t="s">
        <v>2113</v>
      </c>
      <c r="BX742" s="19"/>
      <c r="BY742" s="19"/>
      <c r="BZ742" s="19"/>
      <c r="CA742" s="19"/>
      <c r="CB742" s="19" t="s">
        <v>2113</v>
      </c>
      <c r="CC742" s="19"/>
      <c r="CD742" s="19" t="s">
        <v>2137</v>
      </c>
      <c r="CE742" s="19" t="s">
        <v>16</v>
      </c>
      <c r="CF742" s="19"/>
      <c r="CG742" s="19"/>
      <c r="CH742" s="19" t="s">
        <v>16</v>
      </c>
      <c r="CI742" s="21">
        <v>0.0</v>
      </c>
      <c r="CJ742" s="19" t="s">
        <v>16</v>
      </c>
      <c r="CK742" s="19"/>
      <c r="CL742" s="19"/>
      <c r="CM742" s="19" t="s">
        <v>2138</v>
      </c>
      <c r="CN742" s="19" t="s">
        <v>2626</v>
      </c>
      <c r="CO742" s="19"/>
      <c r="CP742" s="19" t="s">
        <v>2246</v>
      </c>
      <c r="CQ742" s="19"/>
      <c r="CR742" s="19" t="s">
        <v>2113</v>
      </c>
      <c r="CS742" s="19" t="s">
        <v>2113</v>
      </c>
      <c r="CT742" s="19"/>
      <c r="CU742" s="19"/>
      <c r="CV742" s="19" t="s">
        <v>2141</v>
      </c>
      <c r="CW742" s="19" t="s">
        <v>2113</v>
      </c>
      <c r="CX742" s="19" t="s">
        <v>2113</v>
      </c>
      <c r="CY742" s="19" t="s">
        <v>2113</v>
      </c>
      <c r="CZ742" s="19" t="s">
        <v>2113</v>
      </c>
      <c r="DA742" s="19" t="s">
        <v>16</v>
      </c>
      <c r="DB742" s="19" t="s">
        <v>16</v>
      </c>
      <c r="DC742" s="19" t="s">
        <v>2383</v>
      </c>
      <c r="DD742" s="19" t="s">
        <v>2113</v>
      </c>
      <c r="DE742" s="19" t="s">
        <v>2113</v>
      </c>
      <c r="DF742" s="19" t="s">
        <v>2804</v>
      </c>
      <c r="DG742" s="19" t="s">
        <v>2323</v>
      </c>
      <c r="DH742" s="19" t="s">
        <v>2144</v>
      </c>
      <c r="DI742" s="24">
        <v>45524.0</v>
      </c>
      <c r="DJ742" s="19" t="s">
        <v>2133</v>
      </c>
      <c r="DK742" s="19" t="s">
        <v>2145</v>
      </c>
      <c r="DL742" s="19" t="s">
        <v>2146</v>
      </c>
      <c r="DM742" s="19" t="s">
        <v>3302</v>
      </c>
      <c r="DN742" s="19">
        <v>7.0</v>
      </c>
      <c r="DO742" s="19">
        <v>7.0</v>
      </c>
      <c r="DP742" s="19" t="s">
        <v>14496</v>
      </c>
      <c r="DQ742" s="19" t="s">
        <v>14497</v>
      </c>
      <c r="DR742" s="19" t="s">
        <v>14498</v>
      </c>
      <c r="DS742" s="19" t="s">
        <v>2365</v>
      </c>
      <c r="DT742" s="19" t="s">
        <v>2186</v>
      </c>
      <c r="DU742" s="19"/>
      <c r="DV742" s="19"/>
      <c r="DW742" s="19" t="s">
        <v>2153</v>
      </c>
      <c r="DX742" s="19">
        <v>9.0</v>
      </c>
      <c r="DY742" s="19">
        <v>0.0</v>
      </c>
      <c r="DZ742" s="19">
        <v>0.0</v>
      </c>
      <c r="EA742" s="19">
        <v>0.0</v>
      </c>
      <c r="EB742" s="19">
        <v>0.0</v>
      </c>
      <c r="EC742" s="19">
        <v>0.0</v>
      </c>
      <c r="ED742" s="19" t="s">
        <v>2133</v>
      </c>
      <c r="EE742" s="24">
        <v>45524.0</v>
      </c>
      <c r="EF742" s="19" t="s">
        <v>2133</v>
      </c>
      <c r="EG742" s="19" t="s">
        <v>2145</v>
      </c>
      <c r="EH742" s="19" t="s">
        <v>2146</v>
      </c>
      <c r="EI742" s="22">
        <v>15.0</v>
      </c>
      <c r="EJ742" s="19">
        <v>0.0</v>
      </c>
      <c r="EK742" s="19"/>
      <c r="EL742" s="19" t="s">
        <v>2282</v>
      </c>
      <c r="EM742" s="19" t="s">
        <v>11100</v>
      </c>
      <c r="EN742" s="19" t="s">
        <v>14483</v>
      </c>
      <c r="EO742" s="19" t="s">
        <v>2619</v>
      </c>
      <c r="EP742" s="19" t="s">
        <v>2122</v>
      </c>
      <c r="EQ742" s="19" t="s">
        <v>2626</v>
      </c>
      <c r="ER742" s="19"/>
      <c r="ES742" s="19" t="s">
        <v>14483</v>
      </c>
      <c r="ET742" s="19" t="s">
        <v>14483</v>
      </c>
      <c r="EU742" s="19" t="s">
        <v>14485</v>
      </c>
      <c r="EV742" s="19">
        <v>7412.0</v>
      </c>
      <c r="EW742" s="19" t="s">
        <v>16</v>
      </c>
      <c r="EX742" s="19">
        <v>4.0</v>
      </c>
      <c r="EY742" s="25" t="s">
        <v>14486</v>
      </c>
      <c r="EZ742" s="19" t="s">
        <v>2154</v>
      </c>
      <c r="FA742" s="5" t="s">
        <v>14499</v>
      </c>
      <c r="FB742" s="26" t="s">
        <v>2633</v>
      </c>
      <c r="FC742" s="26" t="s">
        <v>10773</v>
      </c>
    </row>
    <row r="743" hidden="1">
      <c r="A743" s="19" t="s">
        <v>2112</v>
      </c>
      <c r="B743" s="19"/>
      <c r="C743" s="19" t="s">
        <v>2113</v>
      </c>
      <c r="D743" s="19" t="s">
        <v>14500</v>
      </c>
      <c r="E743" s="19" t="s">
        <v>14501</v>
      </c>
      <c r="F743" s="19" t="s">
        <v>14500</v>
      </c>
      <c r="G743" s="19"/>
      <c r="H743" s="19" t="s">
        <v>14500</v>
      </c>
      <c r="I743" s="19" t="s">
        <v>14502</v>
      </c>
      <c r="J743" s="19" t="s">
        <v>14503</v>
      </c>
      <c r="K743" s="19" t="s">
        <v>14504</v>
      </c>
      <c r="L743" s="20">
        <v>45453.0</v>
      </c>
      <c r="M743" s="20">
        <v>45453.0</v>
      </c>
      <c r="N743" s="20">
        <v>45453.0</v>
      </c>
      <c r="O743" s="19" t="s">
        <v>14505</v>
      </c>
      <c r="P743" s="19">
        <v>0.0</v>
      </c>
      <c r="Q743" s="19">
        <v>19.0</v>
      </c>
      <c r="R743" s="19">
        <v>7200.0</v>
      </c>
      <c r="S743" s="20" t="s">
        <v>9167</v>
      </c>
      <c r="T743" s="20">
        <v>45461.0</v>
      </c>
      <c r="U743" s="19" t="s">
        <v>14500</v>
      </c>
      <c r="V743" s="19"/>
      <c r="W743" s="19"/>
      <c r="X743" s="21">
        <v>0.0</v>
      </c>
      <c r="Y743" s="21">
        <v>0.0</v>
      </c>
      <c r="Z743" s="21">
        <v>5.0</v>
      </c>
      <c r="AA743" s="21">
        <v>0.0</v>
      </c>
      <c r="AB743" s="5">
        <v>5.0</v>
      </c>
      <c r="AC743" s="19">
        <v>5.0</v>
      </c>
      <c r="AD743" s="19">
        <v>5.0</v>
      </c>
      <c r="AE743" s="19">
        <v>5.0</v>
      </c>
      <c r="AF743" s="19">
        <v>4.0</v>
      </c>
      <c r="AG743" s="19">
        <v>4.0</v>
      </c>
      <c r="AH743" s="19">
        <v>4.0</v>
      </c>
      <c r="AI743" s="22">
        <v>13.875</v>
      </c>
      <c r="AJ743" s="19"/>
      <c r="AK743" s="19"/>
      <c r="AL743" s="19"/>
      <c r="AM743" s="19">
        <v>0.0</v>
      </c>
      <c r="AN743" s="19">
        <v>13.9</v>
      </c>
      <c r="AO743" s="19">
        <v>18.9</v>
      </c>
      <c r="AP743" s="19">
        <v>1125.0</v>
      </c>
      <c r="AQ743" s="19">
        <v>742.0</v>
      </c>
      <c r="AR743" s="19">
        <v>100.0</v>
      </c>
      <c r="AS743" s="22"/>
      <c r="AT743" s="19" t="s">
        <v>2282</v>
      </c>
      <c r="AU743" s="19" t="s">
        <v>2571</v>
      </c>
      <c r="AV743" s="19" t="s">
        <v>14506</v>
      </c>
      <c r="AW743" s="19" t="s">
        <v>2466</v>
      </c>
      <c r="AX743" s="20">
        <v>38261.0</v>
      </c>
      <c r="AY743" s="19" t="s">
        <v>2286</v>
      </c>
      <c r="AZ743" s="19" t="s">
        <v>2310</v>
      </c>
      <c r="BA743" s="19" t="s">
        <v>14507</v>
      </c>
      <c r="BB743" s="19" t="s">
        <v>10516</v>
      </c>
      <c r="BC743" s="19" t="s">
        <v>14508</v>
      </c>
      <c r="BD743" s="19" t="s">
        <v>14509</v>
      </c>
      <c r="BE743" s="19" t="s">
        <v>14503</v>
      </c>
      <c r="BF743" s="19">
        <v>1.1977615561E10</v>
      </c>
      <c r="BG743" s="19" t="s">
        <v>4038</v>
      </c>
      <c r="BH743" s="19" t="s">
        <v>2128</v>
      </c>
      <c r="BI743" s="19"/>
      <c r="BJ743" s="19" t="s">
        <v>2128</v>
      </c>
      <c r="BK743" s="19" t="s">
        <v>17</v>
      </c>
      <c r="BL743" s="19" t="s">
        <v>2113</v>
      </c>
      <c r="BM743" s="19" t="s">
        <v>5563</v>
      </c>
      <c r="BN743" s="19" t="s">
        <v>17</v>
      </c>
      <c r="BO743" s="19" t="s">
        <v>2132</v>
      </c>
      <c r="BP743" s="19" t="s">
        <v>14510</v>
      </c>
      <c r="BQ743" s="19" t="s">
        <v>2133</v>
      </c>
      <c r="BR743" s="19" t="s">
        <v>2133</v>
      </c>
      <c r="BS743" s="19" t="s">
        <v>2243</v>
      </c>
      <c r="BT743" s="19" t="s">
        <v>38</v>
      </c>
      <c r="BU743" s="19" t="s">
        <v>14511</v>
      </c>
      <c r="BV743" s="19"/>
      <c r="BW743" s="19"/>
      <c r="BX743" s="19"/>
      <c r="BY743" s="19"/>
      <c r="BZ743" s="19" t="s">
        <v>2113</v>
      </c>
      <c r="CA743" s="19"/>
      <c r="CB743" s="19" t="s">
        <v>2113</v>
      </c>
      <c r="CC743" s="19"/>
      <c r="CD743" s="19" t="s">
        <v>2137</v>
      </c>
      <c r="CE743" s="19" t="s">
        <v>16</v>
      </c>
      <c r="CF743" s="19"/>
      <c r="CG743" s="19"/>
      <c r="CH743" s="19" t="s">
        <v>16</v>
      </c>
      <c r="CI743" s="21">
        <v>0.0</v>
      </c>
      <c r="CJ743" s="19" t="s">
        <v>16</v>
      </c>
      <c r="CK743" s="19"/>
      <c r="CL743" s="19"/>
      <c r="CM743" s="19" t="s">
        <v>2138</v>
      </c>
      <c r="CN743" s="19" t="s">
        <v>2294</v>
      </c>
      <c r="CO743" s="19"/>
      <c r="CP743" s="19" t="s">
        <v>2246</v>
      </c>
      <c r="CQ743" s="19"/>
      <c r="CR743" s="19"/>
      <c r="CS743" s="19"/>
      <c r="CT743" s="19"/>
      <c r="CU743" s="19"/>
      <c r="CV743" s="19" t="s">
        <v>2179</v>
      </c>
      <c r="CW743" s="19" t="s">
        <v>2113</v>
      </c>
      <c r="CX743" s="19" t="s">
        <v>2113</v>
      </c>
      <c r="CY743" s="19"/>
      <c r="CZ743" s="19"/>
      <c r="DA743" s="19" t="s">
        <v>16</v>
      </c>
      <c r="DB743" s="19" t="s">
        <v>16</v>
      </c>
      <c r="DC743" s="19" t="s">
        <v>2296</v>
      </c>
      <c r="DD743" s="19" t="s">
        <v>2113</v>
      </c>
      <c r="DE743" s="19" t="s">
        <v>2113</v>
      </c>
      <c r="DF743" s="19" t="s">
        <v>2578</v>
      </c>
      <c r="DG743" s="19" t="s">
        <v>14512</v>
      </c>
      <c r="DH743" s="19" t="s">
        <v>2144</v>
      </c>
      <c r="DI743" s="24">
        <v>45526.0</v>
      </c>
      <c r="DJ743" s="19" t="s">
        <v>2133</v>
      </c>
      <c r="DK743" s="19" t="s">
        <v>2271</v>
      </c>
      <c r="DL743" s="19" t="s">
        <v>2146</v>
      </c>
      <c r="DM743" s="19" t="s">
        <v>2805</v>
      </c>
      <c r="DN743" s="19">
        <v>12.0</v>
      </c>
      <c r="DO743" s="19">
        <v>12.0</v>
      </c>
      <c r="DP743" s="19"/>
      <c r="DQ743" s="19"/>
      <c r="DR743" s="19"/>
      <c r="DS743" s="19" t="s">
        <v>2365</v>
      </c>
      <c r="DT743" s="19" t="s">
        <v>2350</v>
      </c>
      <c r="DU743" s="19" t="s">
        <v>14513</v>
      </c>
      <c r="DV743" s="19"/>
      <c r="DW743" s="19" t="s">
        <v>2153</v>
      </c>
      <c r="DX743" s="19">
        <v>8.0</v>
      </c>
      <c r="DY743" s="19">
        <v>0.0</v>
      </c>
      <c r="DZ743" s="19">
        <v>0.0</v>
      </c>
      <c r="EA743" s="19">
        <v>0.0</v>
      </c>
      <c r="EB743" s="19">
        <v>0.0</v>
      </c>
      <c r="EC743" s="19">
        <v>0.0</v>
      </c>
      <c r="ED743" s="19" t="s">
        <v>2133</v>
      </c>
      <c r="EE743" s="24">
        <v>45526.0</v>
      </c>
      <c r="EF743" s="19" t="s">
        <v>2133</v>
      </c>
      <c r="EG743" s="19" t="s">
        <v>2271</v>
      </c>
      <c r="EH743" s="19" t="s">
        <v>2146</v>
      </c>
      <c r="EI743" s="22">
        <v>13.875</v>
      </c>
      <c r="EJ743" s="19">
        <v>0.0</v>
      </c>
      <c r="EK743" s="19"/>
      <c r="EL743" s="19" t="s">
        <v>2282</v>
      </c>
      <c r="EM743" s="19" t="s">
        <v>2571</v>
      </c>
      <c r="EN743" s="19" t="s">
        <v>14502</v>
      </c>
      <c r="EO743" s="19" t="s">
        <v>2286</v>
      </c>
      <c r="EP743" s="19" t="s">
        <v>2310</v>
      </c>
      <c r="EQ743" s="19" t="s">
        <v>2294</v>
      </c>
      <c r="ER743" s="19"/>
      <c r="ES743" s="19" t="s">
        <v>14502</v>
      </c>
      <c r="ET743" s="19" t="s">
        <v>14502</v>
      </c>
      <c r="EU743" s="19" t="s">
        <v>14504</v>
      </c>
      <c r="EV743" s="19">
        <v>7200.0</v>
      </c>
      <c r="EW743" s="19" t="s">
        <v>16</v>
      </c>
      <c r="EX743" s="19">
        <v>5.0</v>
      </c>
      <c r="EY743" s="25" t="s">
        <v>14505</v>
      </c>
      <c r="EZ743" s="19" t="s">
        <v>2154</v>
      </c>
      <c r="FA743" s="5" t="s">
        <v>14514</v>
      </c>
      <c r="FB743" s="26" t="s">
        <v>2633</v>
      </c>
      <c r="FC743" s="26" t="s">
        <v>10773</v>
      </c>
    </row>
    <row r="744" hidden="1">
      <c r="A744" s="19" t="s">
        <v>2112</v>
      </c>
      <c r="B744" s="19"/>
      <c r="C744" s="19" t="s">
        <v>2113</v>
      </c>
      <c r="D744" s="19" t="s">
        <v>14515</v>
      </c>
      <c r="E744" s="19" t="s">
        <v>14516</v>
      </c>
      <c r="F744" s="19" t="s">
        <v>14515</v>
      </c>
      <c r="G744" s="19"/>
      <c r="H744" s="19" t="s">
        <v>14515</v>
      </c>
      <c r="I744" s="19" t="s">
        <v>14517</v>
      </c>
      <c r="J744" s="19" t="s">
        <v>14518</v>
      </c>
      <c r="K744" s="19" t="s">
        <v>14519</v>
      </c>
      <c r="L744" s="20">
        <v>45460.0</v>
      </c>
      <c r="M744" s="20">
        <v>45462.0</v>
      </c>
      <c r="N744" s="20">
        <v>45462.0</v>
      </c>
      <c r="O744" s="19" t="s">
        <v>14520</v>
      </c>
      <c r="P744" s="19">
        <v>0.0</v>
      </c>
      <c r="Q744" s="19">
        <v>21.0</v>
      </c>
      <c r="R744" s="19">
        <v>7775.0</v>
      </c>
      <c r="S744" s="20" t="s">
        <v>3864</v>
      </c>
      <c r="T744" s="20">
        <v>45461.0</v>
      </c>
      <c r="U744" s="19" t="s">
        <v>14515</v>
      </c>
      <c r="V744" s="19"/>
      <c r="W744" s="19"/>
      <c r="X744" s="21">
        <v>0.0</v>
      </c>
      <c r="Y744" s="21">
        <v>0.0</v>
      </c>
      <c r="Z744" s="21">
        <v>5.0</v>
      </c>
      <c r="AA744" s="21">
        <v>2.0</v>
      </c>
      <c r="AB744" s="5">
        <v>7.0</v>
      </c>
      <c r="AC744" s="19">
        <v>4.0</v>
      </c>
      <c r="AD744" s="19">
        <v>4.0</v>
      </c>
      <c r="AE744" s="19">
        <v>4.0</v>
      </c>
      <c r="AF744" s="19">
        <v>4.0</v>
      </c>
      <c r="AG744" s="19">
        <v>3.0</v>
      </c>
      <c r="AH744" s="19">
        <v>4.5</v>
      </c>
      <c r="AI744" s="22">
        <v>11.8125</v>
      </c>
      <c r="AJ744" s="19"/>
      <c r="AK744" s="19"/>
      <c r="AL744" s="19"/>
      <c r="AM744" s="19">
        <v>0.0</v>
      </c>
      <c r="AN744" s="19">
        <v>11.8</v>
      </c>
      <c r="AO744" s="19">
        <v>18.8</v>
      </c>
      <c r="AP744" s="19">
        <v>1013.0</v>
      </c>
      <c r="AQ744" s="19">
        <v>743.0</v>
      </c>
      <c r="AR744" s="19">
        <v>61.0</v>
      </c>
      <c r="AS744" s="22"/>
      <c r="AT744" s="19" t="s">
        <v>2117</v>
      </c>
      <c r="AU744" s="19" t="s">
        <v>14521</v>
      </c>
      <c r="AV744" s="19" t="s">
        <v>14522</v>
      </c>
      <c r="AW744" s="19"/>
      <c r="AX744" s="20">
        <v>37686.0</v>
      </c>
      <c r="AY744" s="19" t="s">
        <v>2421</v>
      </c>
      <c r="AZ744" s="19" t="s">
        <v>2554</v>
      </c>
      <c r="BA744" s="19" t="s">
        <v>14523</v>
      </c>
      <c r="BB744" s="19" t="s">
        <v>5407</v>
      </c>
      <c r="BC744" s="19" t="s">
        <v>14524</v>
      </c>
      <c r="BD744" s="19" t="s">
        <v>14525</v>
      </c>
      <c r="BE744" s="19" t="s">
        <v>14526</v>
      </c>
      <c r="BF744" s="19">
        <v>1.1961166051E10</v>
      </c>
      <c r="BG744" s="19" t="s">
        <v>4038</v>
      </c>
      <c r="BH744" s="19" t="s">
        <v>2128</v>
      </c>
      <c r="BI744" s="19"/>
      <c r="BJ744" s="19" t="s">
        <v>2128</v>
      </c>
      <c r="BK744" s="19" t="s">
        <v>17</v>
      </c>
      <c r="BL744" s="19" t="s">
        <v>2113</v>
      </c>
      <c r="BM744" s="19" t="s">
        <v>5563</v>
      </c>
      <c r="BN744" s="19" t="s">
        <v>4223</v>
      </c>
      <c r="BO744" s="19" t="s">
        <v>2132</v>
      </c>
      <c r="BP744" s="19"/>
      <c r="BQ744" s="19" t="s">
        <v>2325</v>
      </c>
      <c r="BR744" s="19" t="s">
        <v>2325</v>
      </c>
      <c r="BS744" s="19" t="s">
        <v>3521</v>
      </c>
      <c r="BT744" s="19" t="s">
        <v>59</v>
      </c>
      <c r="BU744" s="19" t="s">
        <v>14527</v>
      </c>
      <c r="BV744" s="19"/>
      <c r="BW744" s="19"/>
      <c r="BX744" s="19" t="s">
        <v>2113</v>
      </c>
      <c r="BY744" s="19" t="s">
        <v>2113</v>
      </c>
      <c r="BZ744" s="19" t="s">
        <v>2113</v>
      </c>
      <c r="CA744" s="19"/>
      <c r="CB744" s="19"/>
      <c r="CC744" s="19" t="s">
        <v>2113</v>
      </c>
      <c r="CD744" s="19" t="s">
        <v>2137</v>
      </c>
      <c r="CE744" s="19" t="s">
        <v>16</v>
      </c>
      <c r="CF744" s="19"/>
      <c r="CG744" s="19"/>
      <c r="CH744" s="19" t="s">
        <v>16</v>
      </c>
      <c r="CI744" s="21">
        <v>0.0</v>
      </c>
      <c r="CJ744" s="19" t="s">
        <v>17</v>
      </c>
      <c r="CK744" s="19"/>
      <c r="CL744" s="19"/>
      <c r="CM744" s="19"/>
      <c r="CN744" s="19" t="s">
        <v>2431</v>
      </c>
      <c r="CO744" s="19"/>
      <c r="CP744" s="19" t="s">
        <v>2140</v>
      </c>
      <c r="CQ744" s="19"/>
      <c r="CR744" s="19" t="s">
        <v>2113</v>
      </c>
      <c r="CS744" s="19" t="s">
        <v>2113</v>
      </c>
      <c r="CT744" s="19" t="s">
        <v>2113</v>
      </c>
      <c r="CU744" s="19" t="s">
        <v>2113</v>
      </c>
      <c r="CV744" s="19" t="s">
        <v>2141</v>
      </c>
      <c r="CW744" s="19"/>
      <c r="CX744" s="19"/>
      <c r="CY744" s="19" t="s">
        <v>2113</v>
      </c>
      <c r="CZ744" s="19" t="s">
        <v>2113</v>
      </c>
      <c r="DA744" s="19" t="s">
        <v>16</v>
      </c>
      <c r="DB744" s="19" t="s">
        <v>17</v>
      </c>
      <c r="DC744" s="19" t="s">
        <v>2497</v>
      </c>
      <c r="DD744" s="19" t="s">
        <v>2113</v>
      </c>
      <c r="DE744" s="19" t="s">
        <v>2113</v>
      </c>
      <c r="DF744" s="19" t="s">
        <v>2248</v>
      </c>
      <c r="DG744" s="19" t="s">
        <v>3222</v>
      </c>
      <c r="DH744" s="19" t="s">
        <v>2144</v>
      </c>
      <c r="DI744" s="24">
        <v>45524.0</v>
      </c>
      <c r="DJ744" s="19" t="s">
        <v>2325</v>
      </c>
      <c r="DK744" s="19" t="s">
        <v>2271</v>
      </c>
      <c r="DL744" s="19" t="s">
        <v>2326</v>
      </c>
      <c r="DM744" s="19"/>
      <c r="DN744" s="19">
        <v>8.0</v>
      </c>
      <c r="DO744" s="19">
        <v>8.0</v>
      </c>
      <c r="DP744" s="19" t="s">
        <v>14528</v>
      </c>
      <c r="DQ744" s="19" t="s">
        <v>14529</v>
      </c>
      <c r="DR744" s="19" t="s">
        <v>14530</v>
      </c>
      <c r="DS744" s="19" t="s">
        <v>2365</v>
      </c>
      <c r="DT744" s="19" t="s">
        <v>2229</v>
      </c>
      <c r="DU744" s="19"/>
      <c r="DV744" s="19"/>
      <c r="DW744" s="19" t="s">
        <v>2479</v>
      </c>
      <c r="DX744" s="19">
        <v>11.0</v>
      </c>
      <c r="DY744" s="19">
        <v>0.0</v>
      </c>
      <c r="DZ744" s="19">
        <v>2.0</v>
      </c>
      <c r="EA744" s="19">
        <v>0.0</v>
      </c>
      <c r="EB744" s="19">
        <v>0.0</v>
      </c>
      <c r="EC744" s="19">
        <v>0.0</v>
      </c>
      <c r="ED744" s="19" t="s">
        <v>2325</v>
      </c>
      <c r="EE744" s="24">
        <v>45524.0</v>
      </c>
      <c r="EF744" s="19" t="s">
        <v>2325</v>
      </c>
      <c r="EG744" s="19" t="s">
        <v>2271</v>
      </c>
      <c r="EH744" s="19" t="s">
        <v>2326</v>
      </c>
      <c r="EI744" s="22">
        <v>11.8125</v>
      </c>
      <c r="EJ744" s="19">
        <v>0.0</v>
      </c>
      <c r="EK744" s="19" t="s">
        <v>2113</v>
      </c>
      <c r="EL744" s="19" t="s">
        <v>2117</v>
      </c>
      <c r="EM744" s="19" t="s">
        <v>14521</v>
      </c>
      <c r="EN744" s="19" t="s">
        <v>14517</v>
      </c>
      <c r="EO744" s="19" t="s">
        <v>2421</v>
      </c>
      <c r="EP744" s="19" t="s">
        <v>2554</v>
      </c>
      <c r="EQ744" s="19" t="s">
        <v>2431</v>
      </c>
      <c r="ER744" s="19"/>
      <c r="ES744" s="19" t="s">
        <v>14517</v>
      </c>
      <c r="ET744" s="19" t="s">
        <v>14517</v>
      </c>
      <c r="EU744" s="19" t="s">
        <v>14519</v>
      </c>
      <c r="EV744" s="19">
        <v>7775.0</v>
      </c>
      <c r="EW744" s="19" t="s">
        <v>16</v>
      </c>
      <c r="EX744" s="19">
        <v>5.0</v>
      </c>
      <c r="EY744" s="25" t="s">
        <v>14520</v>
      </c>
      <c r="EZ744" s="19" t="s">
        <v>2154</v>
      </c>
      <c r="FA744" s="5" t="s">
        <v>14531</v>
      </c>
      <c r="FB744" s="26" t="s">
        <v>2633</v>
      </c>
      <c r="FC744" s="26" t="s">
        <v>10773</v>
      </c>
    </row>
    <row r="745" hidden="1">
      <c r="A745" s="19" t="s">
        <v>2156</v>
      </c>
      <c r="B745" s="19"/>
      <c r="C745" s="19" t="s">
        <v>2113</v>
      </c>
      <c r="D745" s="19" t="s">
        <v>14532</v>
      </c>
      <c r="E745" s="19" t="s">
        <v>14533</v>
      </c>
      <c r="F745" s="19" t="s">
        <v>14532</v>
      </c>
      <c r="G745" s="19"/>
      <c r="H745" s="19" t="s">
        <v>14532</v>
      </c>
      <c r="I745" s="19" t="s">
        <v>14534</v>
      </c>
      <c r="J745" s="19" t="s">
        <v>14535</v>
      </c>
      <c r="K745" s="19" t="s">
        <v>14536</v>
      </c>
      <c r="L745" s="20">
        <v>45406.0</v>
      </c>
      <c r="M745" s="20">
        <v>45411.0</v>
      </c>
      <c r="N745" s="20">
        <v>45411.0</v>
      </c>
      <c r="O745" s="19" t="s">
        <v>14537</v>
      </c>
      <c r="P745" s="19">
        <v>0.0</v>
      </c>
      <c r="Q745" s="19">
        <v>19.0</v>
      </c>
      <c r="R745" s="19">
        <v>7050.0</v>
      </c>
      <c r="S745" s="20" t="s">
        <v>14538</v>
      </c>
      <c r="T745" s="20">
        <v>45461.0</v>
      </c>
      <c r="U745" s="19" t="s">
        <v>14532</v>
      </c>
      <c r="V745" s="19"/>
      <c r="W745" s="19"/>
      <c r="X745" s="21">
        <v>0.0</v>
      </c>
      <c r="Y745" s="21">
        <v>0.0</v>
      </c>
      <c r="Z745" s="21">
        <v>5.0</v>
      </c>
      <c r="AA745" s="21">
        <v>0.0</v>
      </c>
      <c r="AB745" s="5">
        <v>5.0</v>
      </c>
      <c r="AC745" s="19">
        <v>5.0</v>
      </c>
      <c r="AD745" s="19">
        <v>4.0</v>
      </c>
      <c r="AE745" s="19">
        <v>5.0</v>
      </c>
      <c r="AF745" s="19">
        <v>4.0</v>
      </c>
      <c r="AG745" s="19">
        <v>4.0</v>
      </c>
      <c r="AH745" s="19">
        <v>5.0</v>
      </c>
      <c r="AI745" s="22">
        <v>13.59375</v>
      </c>
      <c r="AJ745" s="19">
        <v>0.0</v>
      </c>
      <c r="AK745" s="19">
        <v>0.0</v>
      </c>
      <c r="AL745" s="19">
        <v>0.0</v>
      </c>
      <c r="AM745" s="19">
        <v>0.0</v>
      </c>
      <c r="AN745" s="19">
        <v>13.6</v>
      </c>
      <c r="AO745" s="19">
        <v>18.6</v>
      </c>
      <c r="AP745" s="19">
        <v>1132.0</v>
      </c>
      <c r="AQ745" s="19">
        <v>744.0</v>
      </c>
      <c r="AR745" s="19">
        <v>67.0</v>
      </c>
      <c r="AS745" s="22"/>
      <c r="AT745" s="19" t="s">
        <v>2163</v>
      </c>
      <c r="AU745" s="19" t="s">
        <v>13952</v>
      </c>
      <c r="AV745" s="19" t="s">
        <v>14539</v>
      </c>
      <c r="AW745" s="19"/>
      <c r="AX745" s="20">
        <v>38411.0</v>
      </c>
      <c r="AY745" s="19" t="s">
        <v>2121</v>
      </c>
      <c r="AZ745" s="19" t="s">
        <v>2122</v>
      </c>
      <c r="BA745" s="19" t="s">
        <v>14540</v>
      </c>
      <c r="BB745" s="19" t="s">
        <v>14541</v>
      </c>
      <c r="BC745" s="19" t="s">
        <v>14542</v>
      </c>
      <c r="BD745" s="19" t="s">
        <v>14543</v>
      </c>
      <c r="BE745" s="19"/>
      <c r="BF745" s="19"/>
      <c r="BG745" s="19" t="s">
        <v>4038</v>
      </c>
      <c r="BH745" s="19" t="s">
        <v>2128</v>
      </c>
      <c r="BI745" s="19"/>
      <c r="BJ745" s="19" t="s">
        <v>2128</v>
      </c>
      <c r="BK745" s="19" t="s">
        <v>17</v>
      </c>
      <c r="BL745" s="19" t="s">
        <v>2113</v>
      </c>
      <c r="BM745" s="19" t="s">
        <v>5563</v>
      </c>
      <c r="BN745" s="19" t="s">
        <v>14544</v>
      </c>
      <c r="BO745" s="19" t="s">
        <v>2132</v>
      </c>
      <c r="BP745" s="19" t="s">
        <v>14545</v>
      </c>
      <c r="BQ745" s="19" t="s">
        <v>2133</v>
      </c>
      <c r="BR745" s="19" t="s">
        <v>2133</v>
      </c>
      <c r="BS745" s="19" t="s">
        <v>2134</v>
      </c>
      <c r="BT745" s="19" t="s">
        <v>15</v>
      </c>
      <c r="BU745" s="19" t="s">
        <v>14546</v>
      </c>
      <c r="BV745" s="19"/>
      <c r="BW745" s="19"/>
      <c r="BX745" s="19"/>
      <c r="BY745" s="19" t="s">
        <v>2113</v>
      </c>
      <c r="BZ745" s="19" t="s">
        <v>2113</v>
      </c>
      <c r="CA745" s="19" t="s">
        <v>2113</v>
      </c>
      <c r="CB745" s="19" t="s">
        <v>2113</v>
      </c>
      <c r="CC745" s="19"/>
      <c r="CD745" s="19" t="s">
        <v>2137</v>
      </c>
      <c r="CE745" s="19" t="s">
        <v>16</v>
      </c>
      <c r="CF745" s="19"/>
      <c r="CG745" s="19"/>
      <c r="CH745" s="19" t="s">
        <v>16</v>
      </c>
      <c r="CI745" s="21">
        <v>0.0</v>
      </c>
      <c r="CJ745" s="19" t="s">
        <v>17</v>
      </c>
      <c r="CK745" s="19" t="s">
        <v>2113</v>
      </c>
      <c r="CL745" s="19"/>
      <c r="CM745" s="19" t="s">
        <v>2138</v>
      </c>
      <c r="CN745" s="19" t="s">
        <v>2139</v>
      </c>
      <c r="CO745" s="19"/>
      <c r="CP745" s="19" t="s">
        <v>2246</v>
      </c>
      <c r="CQ745" s="19"/>
      <c r="CR745" s="19" t="s">
        <v>2113</v>
      </c>
      <c r="CS745" s="19" t="s">
        <v>2113</v>
      </c>
      <c r="CT745" s="19" t="s">
        <v>2113</v>
      </c>
      <c r="CU745" s="19" t="s">
        <v>2113</v>
      </c>
      <c r="CV745" s="19" t="s">
        <v>2179</v>
      </c>
      <c r="CW745" s="19"/>
      <c r="CX745" s="19"/>
      <c r="CY745" s="19"/>
      <c r="CZ745" s="19"/>
      <c r="DA745" s="19" t="s">
        <v>16</v>
      </c>
      <c r="DB745" s="19" t="s">
        <v>17</v>
      </c>
      <c r="DC745" s="19" t="s">
        <v>2406</v>
      </c>
      <c r="DD745" s="19" t="s">
        <v>2113</v>
      </c>
      <c r="DE745" s="19" t="s">
        <v>2113</v>
      </c>
      <c r="DF745" s="19" t="s">
        <v>7449</v>
      </c>
      <c r="DG745" s="19" t="s">
        <v>10010</v>
      </c>
      <c r="DH745" s="19" t="s">
        <v>2580</v>
      </c>
      <c r="DI745" s="24">
        <v>45517.0</v>
      </c>
      <c r="DJ745" s="19" t="s">
        <v>2133</v>
      </c>
      <c r="DK745" s="19" t="s">
        <v>2145</v>
      </c>
      <c r="DL745" s="19" t="s">
        <v>2146</v>
      </c>
      <c r="DM745" s="19" t="s">
        <v>3021</v>
      </c>
      <c r="DN745" s="19">
        <v>1.0</v>
      </c>
      <c r="DO745" s="19">
        <v>1.0</v>
      </c>
      <c r="DP745" s="19"/>
      <c r="DQ745" s="19"/>
      <c r="DR745" s="19"/>
      <c r="DS745" s="19" t="s">
        <v>2365</v>
      </c>
      <c r="DT745" s="19" t="s">
        <v>2366</v>
      </c>
      <c r="DU745" s="19" t="s">
        <v>14547</v>
      </c>
      <c r="DV745" s="19"/>
      <c r="DW745" s="19" t="s">
        <v>2153</v>
      </c>
      <c r="DX745" s="19">
        <v>7.0</v>
      </c>
      <c r="DY745" s="19">
        <v>0.0</v>
      </c>
      <c r="DZ745" s="19">
        <v>0.0</v>
      </c>
      <c r="EA745" s="19">
        <v>0.0</v>
      </c>
      <c r="EB745" s="19">
        <v>0.0</v>
      </c>
      <c r="EC745" s="19">
        <v>0.0</v>
      </c>
      <c r="ED745" s="19" t="s">
        <v>2133</v>
      </c>
      <c r="EE745" s="24">
        <v>45517.0</v>
      </c>
      <c r="EF745" s="19" t="s">
        <v>2133</v>
      </c>
      <c r="EG745" s="19" t="s">
        <v>2145</v>
      </c>
      <c r="EH745" s="19" t="s">
        <v>2146</v>
      </c>
      <c r="EI745" s="22">
        <v>13.59375</v>
      </c>
      <c r="EJ745" s="19">
        <v>0.0</v>
      </c>
      <c r="EK745" s="19" t="s">
        <v>2113</v>
      </c>
      <c r="EL745" s="19" t="s">
        <v>2163</v>
      </c>
      <c r="EM745" s="19" t="s">
        <v>13952</v>
      </c>
      <c r="EN745" s="19" t="s">
        <v>14534</v>
      </c>
      <c r="EO745" s="19" t="s">
        <v>2121</v>
      </c>
      <c r="EP745" s="19" t="s">
        <v>2122</v>
      </c>
      <c r="EQ745" s="19" t="s">
        <v>2139</v>
      </c>
      <c r="ER745" s="19"/>
      <c r="ES745" s="19" t="s">
        <v>14534</v>
      </c>
      <c r="ET745" s="19" t="s">
        <v>14534</v>
      </c>
      <c r="EU745" s="19" t="s">
        <v>14536</v>
      </c>
      <c r="EV745" s="19">
        <v>7050.0</v>
      </c>
      <c r="EW745" s="19" t="s">
        <v>16</v>
      </c>
      <c r="EX745" s="19">
        <v>5.0</v>
      </c>
      <c r="EY745" s="25" t="s">
        <v>14537</v>
      </c>
      <c r="EZ745" s="19" t="s">
        <v>2154</v>
      </c>
      <c r="FA745" s="5" t="s">
        <v>14548</v>
      </c>
      <c r="FB745" s="26" t="s">
        <v>2633</v>
      </c>
      <c r="FC745" s="26" t="s">
        <v>10773</v>
      </c>
    </row>
    <row r="746" hidden="1">
      <c r="A746" s="19" t="s">
        <v>17</v>
      </c>
      <c r="B746" s="19"/>
      <c r="C746" s="19" t="s">
        <v>2113</v>
      </c>
      <c r="D746" s="19" t="s">
        <v>14549</v>
      </c>
      <c r="E746" s="19" t="s">
        <v>14550</v>
      </c>
      <c r="F746" s="19" t="s">
        <v>14549</v>
      </c>
      <c r="G746" s="19"/>
      <c r="H746" s="19" t="s">
        <v>14549</v>
      </c>
      <c r="I746" s="19" t="s">
        <v>14551</v>
      </c>
      <c r="J746" s="19" t="s">
        <v>14552</v>
      </c>
      <c r="K746" s="19" t="s">
        <v>14553</v>
      </c>
      <c r="L746" s="20">
        <v>45423.0</v>
      </c>
      <c r="M746" s="20">
        <v>45428.0</v>
      </c>
      <c r="N746" s="20">
        <v>45428.0</v>
      </c>
      <c r="O746" s="19" t="s">
        <v>14554</v>
      </c>
      <c r="P746" s="19">
        <v>0.0</v>
      </c>
      <c r="Q746" s="19">
        <v>23.0</v>
      </c>
      <c r="R746" s="19">
        <v>8595.0</v>
      </c>
      <c r="S746" s="20" t="s">
        <v>14555</v>
      </c>
      <c r="T746" s="20">
        <v>45461.0</v>
      </c>
      <c r="U746" s="19" t="s">
        <v>14549</v>
      </c>
      <c r="V746" s="19"/>
      <c r="W746" s="19" t="s">
        <v>14556</v>
      </c>
      <c r="X746" s="21">
        <v>0.0</v>
      </c>
      <c r="Y746" s="21">
        <v>0.0</v>
      </c>
      <c r="Z746" s="21">
        <v>4.0</v>
      </c>
      <c r="AA746" s="21">
        <v>0.0</v>
      </c>
      <c r="AB746" s="5">
        <v>4.0</v>
      </c>
      <c r="AC746" s="19">
        <v>5.0</v>
      </c>
      <c r="AD746" s="19">
        <v>5.0</v>
      </c>
      <c r="AE746" s="19">
        <v>5.0</v>
      </c>
      <c r="AF746" s="19">
        <v>5.0</v>
      </c>
      <c r="AG746" s="19">
        <v>5.0</v>
      </c>
      <c r="AH746" s="19">
        <v>4.0</v>
      </c>
      <c r="AI746" s="22">
        <v>14.625</v>
      </c>
      <c r="AJ746" s="19"/>
      <c r="AK746" s="19"/>
      <c r="AL746" s="19"/>
      <c r="AM746" s="19">
        <v>0.0</v>
      </c>
      <c r="AN746" s="19">
        <v>14.6</v>
      </c>
      <c r="AO746" s="19">
        <v>18.6</v>
      </c>
      <c r="AP746" s="19">
        <v>1177.0</v>
      </c>
      <c r="AQ746" s="19">
        <v>745.0</v>
      </c>
      <c r="AR746" s="19">
        <v>79.0</v>
      </c>
      <c r="AS746" s="22"/>
      <c r="AT746" s="19" t="s">
        <v>2282</v>
      </c>
      <c r="AU746" s="19" t="s">
        <v>14557</v>
      </c>
      <c r="AV746" s="19" t="s">
        <v>14558</v>
      </c>
      <c r="AW746" s="19"/>
      <c r="AX746" s="20">
        <v>36866.0</v>
      </c>
      <c r="AY746" s="19" t="s">
        <v>2619</v>
      </c>
      <c r="AZ746" s="19" t="s">
        <v>2122</v>
      </c>
      <c r="BA746" s="19" t="s">
        <v>14559</v>
      </c>
      <c r="BB746" s="19" t="s">
        <v>14560</v>
      </c>
      <c r="BC746" s="19" t="s">
        <v>14561</v>
      </c>
      <c r="BD746" s="19" t="s">
        <v>14562</v>
      </c>
      <c r="BE746" s="19" t="s">
        <v>14563</v>
      </c>
      <c r="BF746" s="19">
        <v>1.1986184661E10</v>
      </c>
      <c r="BG746" s="19" t="s">
        <v>2127</v>
      </c>
      <c r="BH746" s="19" t="s">
        <v>2128</v>
      </c>
      <c r="BI746" s="19"/>
      <c r="BJ746" s="19"/>
      <c r="BK746" s="19" t="s">
        <v>16</v>
      </c>
      <c r="BL746" s="19"/>
      <c r="BM746" s="19" t="s">
        <v>5411</v>
      </c>
      <c r="BN746" s="19" t="s">
        <v>17</v>
      </c>
      <c r="BO746" s="19" t="s">
        <v>2317</v>
      </c>
      <c r="BP746" s="19" t="s">
        <v>14564</v>
      </c>
      <c r="BQ746" s="19" t="s">
        <v>2133</v>
      </c>
      <c r="BR746" s="19" t="s">
        <v>2133</v>
      </c>
      <c r="BS746" s="19" t="s">
        <v>3521</v>
      </c>
      <c r="BT746" s="19" t="s">
        <v>52</v>
      </c>
      <c r="BU746" s="19" t="s">
        <v>14565</v>
      </c>
      <c r="BV746" s="19"/>
      <c r="BW746" s="19"/>
      <c r="BX746" s="19"/>
      <c r="BY746" s="19" t="s">
        <v>2113</v>
      </c>
      <c r="BZ746" s="19"/>
      <c r="CA746" s="19" t="s">
        <v>2113</v>
      </c>
      <c r="CB746" s="19" t="s">
        <v>2113</v>
      </c>
      <c r="CC746" s="19"/>
      <c r="CD746" s="19" t="s">
        <v>2137</v>
      </c>
      <c r="CE746" s="19" t="s">
        <v>16</v>
      </c>
      <c r="CF746" s="19"/>
      <c r="CG746" s="19"/>
      <c r="CH746" s="19" t="s">
        <v>16</v>
      </c>
      <c r="CI746" s="21">
        <v>0.0</v>
      </c>
      <c r="CJ746" s="19" t="s">
        <v>16</v>
      </c>
      <c r="CK746" s="19"/>
      <c r="CL746" s="19"/>
      <c r="CM746" s="19" t="s">
        <v>2138</v>
      </c>
      <c r="CN746" s="19" t="s">
        <v>2626</v>
      </c>
      <c r="CO746" s="19"/>
      <c r="CP746" s="19"/>
      <c r="CQ746" s="19"/>
      <c r="CR746" s="19" t="s">
        <v>2113</v>
      </c>
      <c r="CS746" s="19" t="s">
        <v>2113</v>
      </c>
      <c r="CT746" s="19" t="s">
        <v>2113</v>
      </c>
      <c r="CU746" s="19" t="s">
        <v>2113</v>
      </c>
      <c r="CV746" s="19" t="s">
        <v>2141</v>
      </c>
      <c r="CW746" s="19" t="s">
        <v>2113</v>
      </c>
      <c r="CX746" s="19" t="s">
        <v>2113</v>
      </c>
      <c r="CY746" s="19" t="s">
        <v>2113</v>
      </c>
      <c r="CZ746" s="19" t="s">
        <v>2113</v>
      </c>
      <c r="DA746" s="19" t="s">
        <v>16</v>
      </c>
      <c r="DB746" s="19" t="s">
        <v>16</v>
      </c>
      <c r="DC746" s="19" t="s">
        <v>2627</v>
      </c>
      <c r="DD746" s="19" t="s">
        <v>2113</v>
      </c>
      <c r="DE746" s="19" t="s">
        <v>2113</v>
      </c>
      <c r="DF746" s="19" t="s">
        <v>5270</v>
      </c>
      <c r="DG746" s="19" t="s">
        <v>2146</v>
      </c>
      <c r="DH746" s="19" t="s">
        <v>2144</v>
      </c>
      <c r="DI746" s="24">
        <v>45518.0</v>
      </c>
      <c r="DJ746" s="19" t="s">
        <v>2133</v>
      </c>
      <c r="DK746" s="19" t="s">
        <v>2271</v>
      </c>
      <c r="DL746" s="19" t="s">
        <v>2146</v>
      </c>
      <c r="DM746" s="19"/>
      <c r="DN746" s="19">
        <v>4.0</v>
      </c>
      <c r="DO746" s="19">
        <v>4.0</v>
      </c>
      <c r="DP746" s="19" t="s">
        <v>14566</v>
      </c>
      <c r="DQ746" s="19" t="s">
        <v>14567</v>
      </c>
      <c r="DR746" s="19" t="s">
        <v>14568</v>
      </c>
      <c r="DS746" s="19" t="s">
        <v>2365</v>
      </c>
      <c r="DT746" s="19" t="s">
        <v>2186</v>
      </c>
      <c r="DU746" s="19"/>
      <c r="DV746" s="19"/>
      <c r="DW746" s="19" t="s">
        <v>2153</v>
      </c>
      <c r="DX746" s="19">
        <v>8.0</v>
      </c>
      <c r="DY746" s="19">
        <v>0.0</v>
      </c>
      <c r="DZ746" s="19">
        <v>0.0</v>
      </c>
      <c r="EA746" s="19">
        <v>0.0</v>
      </c>
      <c r="EB746" s="19">
        <v>0.0</v>
      </c>
      <c r="EC746" s="19">
        <v>0.0</v>
      </c>
      <c r="ED746" s="19" t="s">
        <v>2133</v>
      </c>
      <c r="EE746" s="24">
        <v>45518.0</v>
      </c>
      <c r="EF746" s="19" t="s">
        <v>2133</v>
      </c>
      <c r="EG746" s="19" t="s">
        <v>2271</v>
      </c>
      <c r="EH746" s="19" t="s">
        <v>2146</v>
      </c>
      <c r="EI746" s="22">
        <v>14.625</v>
      </c>
      <c r="EJ746" s="19">
        <v>0.0</v>
      </c>
      <c r="EK746" s="19"/>
      <c r="EL746" s="19" t="s">
        <v>2282</v>
      </c>
      <c r="EM746" s="19" t="s">
        <v>14557</v>
      </c>
      <c r="EN746" s="19" t="s">
        <v>14551</v>
      </c>
      <c r="EO746" s="19" t="s">
        <v>2619</v>
      </c>
      <c r="EP746" s="19" t="s">
        <v>2122</v>
      </c>
      <c r="EQ746" s="19" t="s">
        <v>2626</v>
      </c>
      <c r="ER746" s="19"/>
      <c r="ES746" s="19" t="s">
        <v>14551</v>
      </c>
      <c r="ET746" s="19" t="s">
        <v>14551</v>
      </c>
      <c r="EU746" s="19" t="s">
        <v>14553</v>
      </c>
      <c r="EV746" s="19">
        <v>8595.0</v>
      </c>
      <c r="EW746" s="19" t="s">
        <v>16</v>
      </c>
      <c r="EX746" s="19">
        <v>4.0</v>
      </c>
      <c r="EY746" s="25" t="s">
        <v>14554</v>
      </c>
      <c r="EZ746" s="19" t="s">
        <v>2154</v>
      </c>
      <c r="FA746" s="5" t="s">
        <v>14569</v>
      </c>
      <c r="FB746" s="26" t="s">
        <v>2633</v>
      </c>
      <c r="FC746" s="26" t="s">
        <v>10773</v>
      </c>
    </row>
    <row r="747" hidden="1">
      <c r="A747" s="19" t="s">
        <v>2156</v>
      </c>
      <c r="B747" s="19"/>
      <c r="C747" s="19" t="s">
        <v>2113</v>
      </c>
      <c r="D747" s="19" t="s">
        <v>14570</v>
      </c>
      <c r="E747" s="19" t="s">
        <v>14571</v>
      </c>
      <c r="F747" s="19" t="s">
        <v>14570</v>
      </c>
      <c r="G747" s="19" t="s">
        <v>14571</v>
      </c>
      <c r="H747" s="19" t="s">
        <v>14570</v>
      </c>
      <c r="I747" s="19" t="s">
        <v>14572</v>
      </c>
      <c r="J747" s="19" t="s">
        <v>14573</v>
      </c>
      <c r="K747" s="19" t="s">
        <v>14574</v>
      </c>
      <c r="L747" s="20">
        <v>45446.0</v>
      </c>
      <c r="M747" s="20">
        <v>45447.0</v>
      </c>
      <c r="N747" s="20">
        <v>45447.0</v>
      </c>
      <c r="O747" s="19" t="s">
        <v>14575</v>
      </c>
      <c r="P747" s="19">
        <v>0.0</v>
      </c>
      <c r="Q747" s="19">
        <v>21.0</v>
      </c>
      <c r="R747" s="19">
        <v>7701.0</v>
      </c>
      <c r="S747" s="20" t="s">
        <v>14576</v>
      </c>
      <c r="T747" s="20">
        <v>45461.0</v>
      </c>
      <c r="U747" s="19" t="s">
        <v>14570</v>
      </c>
      <c r="V747" s="19"/>
      <c r="W747" s="19" t="s">
        <v>14577</v>
      </c>
      <c r="X747" s="21">
        <v>0.0</v>
      </c>
      <c r="Y747" s="21">
        <v>0.0</v>
      </c>
      <c r="Z747" s="21">
        <v>5.0</v>
      </c>
      <c r="AA747" s="21">
        <v>0.0</v>
      </c>
      <c r="AB747" s="5">
        <v>5.0</v>
      </c>
      <c r="AC747" s="19">
        <v>4.0</v>
      </c>
      <c r="AD747" s="19">
        <v>5.0</v>
      </c>
      <c r="AE747" s="19">
        <v>5.0</v>
      </c>
      <c r="AF747" s="19">
        <v>4.0</v>
      </c>
      <c r="AG747" s="19">
        <v>4.0</v>
      </c>
      <c r="AH747" s="19">
        <v>4.0</v>
      </c>
      <c r="AI747" s="22">
        <v>13.40625</v>
      </c>
      <c r="AJ747" s="19">
        <v>0.0</v>
      </c>
      <c r="AK747" s="19">
        <v>0.0</v>
      </c>
      <c r="AL747" s="19">
        <v>0.0</v>
      </c>
      <c r="AM747" s="19">
        <v>0.0</v>
      </c>
      <c r="AN747" s="19">
        <v>13.4</v>
      </c>
      <c r="AO747" s="19">
        <v>18.4</v>
      </c>
      <c r="AP747" s="19">
        <v>1109.0</v>
      </c>
      <c r="AQ747" s="19">
        <v>746.0</v>
      </c>
      <c r="AR747" s="19">
        <v>101.0</v>
      </c>
      <c r="AS747" s="22"/>
      <c r="AT747" s="19" t="s">
        <v>2282</v>
      </c>
      <c r="AU747" s="19" t="s">
        <v>2571</v>
      </c>
      <c r="AV747" s="19" t="s">
        <v>14506</v>
      </c>
      <c r="AW747" s="19"/>
      <c r="AX747" s="20">
        <v>37760.0</v>
      </c>
      <c r="AY747" s="19" t="s">
        <v>2286</v>
      </c>
      <c r="AZ747" s="19" t="s">
        <v>2310</v>
      </c>
      <c r="BA747" s="19" t="s">
        <v>14507</v>
      </c>
      <c r="BB747" s="19" t="s">
        <v>8212</v>
      </c>
      <c r="BC747" s="19" t="s">
        <v>14578</v>
      </c>
      <c r="BD747" s="19" t="s">
        <v>14579</v>
      </c>
      <c r="BE747" s="19" t="s">
        <v>14580</v>
      </c>
      <c r="BF747" s="19">
        <v>1.1975723704E10</v>
      </c>
      <c r="BG747" s="19" t="s">
        <v>4038</v>
      </c>
      <c r="BH747" s="19" t="s">
        <v>2128</v>
      </c>
      <c r="BI747" s="19"/>
      <c r="BJ747" s="19" t="s">
        <v>2128</v>
      </c>
      <c r="BK747" s="19" t="s">
        <v>17</v>
      </c>
      <c r="BL747" s="19"/>
      <c r="BM747" s="19" t="s">
        <v>5411</v>
      </c>
      <c r="BN747" s="19" t="s">
        <v>3198</v>
      </c>
      <c r="BO747" s="19" t="s">
        <v>2132</v>
      </c>
      <c r="BP747" s="19" t="s">
        <v>14581</v>
      </c>
      <c r="BQ747" s="19" t="s">
        <v>2133</v>
      </c>
      <c r="BR747" s="19" t="s">
        <v>2133</v>
      </c>
      <c r="BS747" s="19" t="s">
        <v>2243</v>
      </c>
      <c r="BT747" s="19" t="s">
        <v>38</v>
      </c>
      <c r="BU747" s="19" t="s">
        <v>14582</v>
      </c>
      <c r="BV747" s="19"/>
      <c r="BW747" s="19" t="s">
        <v>2113</v>
      </c>
      <c r="BX747" s="19"/>
      <c r="BY747" s="19"/>
      <c r="BZ747" s="19"/>
      <c r="CA747" s="19"/>
      <c r="CB747" s="19" t="s">
        <v>2113</v>
      </c>
      <c r="CC747" s="19"/>
      <c r="CD747" s="19" t="s">
        <v>2137</v>
      </c>
      <c r="CE747" s="19" t="s">
        <v>16</v>
      </c>
      <c r="CF747" s="19"/>
      <c r="CG747" s="19"/>
      <c r="CH747" s="19" t="s">
        <v>16</v>
      </c>
      <c r="CI747" s="21">
        <v>0.0</v>
      </c>
      <c r="CJ747" s="19" t="s">
        <v>16</v>
      </c>
      <c r="CK747" s="19"/>
      <c r="CL747" s="19"/>
      <c r="CM747" s="19" t="s">
        <v>2926</v>
      </c>
      <c r="CN747" s="19" t="s">
        <v>2294</v>
      </c>
      <c r="CO747" s="19"/>
      <c r="CP747" s="19" t="s">
        <v>2246</v>
      </c>
      <c r="CQ747" s="19"/>
      <c r="CR747" s="19"/>
      <c r="CS747" s="19"/>
      <c r="CT747" s="19"/>
      <c r="CU747" s="19"/>
      <c r="CV747" s="19" t="s">
        <v>2141</v>
      </c>
      <c r="CW747" s="19"/>
      <c r="CX747" s="19"/>
      <c r="CY747" s="19" t="s">
        <v>2113</v>
      </c>
      <c r="CZ747" s="19" t="s">
        <v>2113</v>
      </c>
      <c r="DA747" s="19" t="s">
        <v>16</v>
      </c>
      <c r="DB747" s="19" t="s">
        <v>16</v>
      </c>
      <c r="DC747" s="19" t="s">
        <v>2477</v>
      </c>
      <c r="DD747" s="19"/>
      <c r="DE747" s="19"/>
      <c r="DF747" s="19" t="s">
        <v>2146</v>
      </c>
      <c r="DG747" s="19" t="s">
        <v>2826</v>
      </c>
      <c r="DH747" s="19" t="s">
        <v>2144</v>
      </c>
      <c r="DI747" s="24">
        <v>45519.0</v>
      </c>
      <c r="DJ747" s="19" t="s">
        <v>2133</v>
      </c>
      <c r="DK747" s="19" t="s">
        <v>2145</v>
      </c>
      <c r="DL747" s="19" t="s">
        <v>2146</v>
      </c>
      <c r="DM747" s="19"/>
      <c r="DN747" s="19">
        <v>5.0</v>
      </c>
      <c r="DO747" s="19">
        <v>5.0</v>
      </c>
      <c r="DP747" s="19" t="s">
        <v>14583</v>
      </c>
      <c r="DQ747" s="19" t="s">
        <v>14584</v>
      </c>
      <c r="DR747" s="19" t="s">
        <v>14585</v>
      </c>
      <c r="DS747" s="19" t="s">
        <v>2185</v>
      </c>
      <c r="DT747" s="19" t="s">
        <v>2152</v>
      </c>
      <c r="DU747" s="19"/>
      <c r="DV747" s="19"/>
      <c r="DW747" s="19" t="s">
        <v>2153</v>
      </c>
      <c r="DX747" s="19">
        <v>1.0</v>
      </c>
      <c r="DY747" s="19">
        <v>0.0</v>
      </c>
      <c r="DZ747" s="19">
        <v>0.0</v>
      </c>
      <c r="EA747" s="19">
        <v>0.0</v>
      </c>
      <c r="EB747" s="19">
        <v>0.0</v>
      </c>
      <c r="EC747" s="19">
        <v>0.0</v>
      </c>
      <c r="ED747" s="19" t="s">
        <v>2133</v>
      </c>
      <c r="EE747" s="24">
        <v>45519.0</v>
      </c>
      <c r="EF747" s="19" t="s">
        <v>2133</v>
      </c>
      <c r="EG747" s="19" t="s">
        <v>2145</v>
      </c>
      <c r="EH747" s="19" t="s">
        <v>2146</v>
      </c>
      <c r="EI747" s="22">
        <v>13.40625</v>
      </c>
      <c r="EJ747" s="19">
        <v>0.0</v>
      </c>
      <c r="EK747" s="19"/>
      <c r="EL747" s="19" t="s">
        <v>2282</v>
      </c>
      <c r="EM747" s="19" t="s">
        <v>2571</v>
      </c>
      <c r="EN747" s="19" t="s">
        <v>14572</v>
      </c>
      <c r="EO747" s="19" t="s">
        <v>2286</v>
      </c>
      <c r="EP747" s="19" t="s">
        <v>2310</v>
      </c>
      <c r="EQ747" s="19" t="s">
        <v>2294</v>
      </c>
      <c r="ER747" s="19"/>
      <c r="ES747" s="19" t="s">
        <v>14572</v>
      </c>
      <c r="ET747" s="19" t="s">
        <v>14572</v>
      </c>
      <c r="EU747" s="19" t="s">
        <v>14574</v>
      </c>
      <c r="EV747" s="19">
        <v>7701.0</v>
      </c>
      <c r="EW747" s="19" t="s">
        <v>16</v>
      </c>
      <c r="EX747" s="19">
        <v>5.0</v>
      </c>
      <c r="EY747" s="25" t="s">
        <v>14575</v>
      </c>
      <c r="EZ747" s="19" t="s">
        <v>2154</v>
      </c>
      <c r="FA747" s="5" t="s">
        <v>14586</v>
      </c>
      <c r="FB747" s="26" t="s">
        <v>2633</v>
      </c>
      <c r="FC747" s="26" t="s">
        <v>10773</v>
      </c>
    </row>
    <row r="748" hidden="1">
      <c r="A748" s="19" t="s">
        <v>2112</v>
      </c>
      <c r="B748" s="19"/>
      <c r="C748" s="19" t="s">
        <v>2113</v>
      </c>
      <c r="D748" s="19" t="s">
        <v>14587</v>
      </c>
      <c r="E748" s="19" t="s">
        <v>14588</v>
      </c>
      <c r="F748" s="19" t="s">
        <v>14589</v>
      </c>
      <c r="G748" s="19" t="s">
        <v>14590</v>
      </c>
      <c r="H748" s="19" t="s">
        <v>14587</v>
      </c>
      <c r="I748" s="19" t="s">
        <v>14591</v>
      </c>
      <c r="J748" s="19" t="s">
        <v>14592</v>
      </c>
      <c r="K748" s="19" t="s">
        <v>14593</v>
      </c>
      <c r="L748" s="20">
        <v>45400.0</v>
      </c>
      <c r="M748" s="20">
        <v>45411.0</v>
      </c>
      <c r="N748" s="20">
        <v>45411.0</v>
      </c>
      <c r="O748" s="19" t="s">
        <v>14594</v>
      </c>
      <c r="P748" s="19">
        <v>0.0</v>
      </c>
      <c r="Q748" s="19">
        <v>24.0</v>
      </c>
      <c r="R748" s="19">
        <v>9101.0</v>
      </c>
      <c r="S748" s="20" t="s">
        <v>14595</v>
      </c>
      <c r="T748" s="20">
        <v>45461.0</v>
      </c>
      <c r="U748" s="19" t="s">
        <v>14589</v>
      </c>
      <c r="V748" s="19"/>
      <c r="W748" s="19"/>
      <c r="X748" s="21">
        <v>0.0</v>
      </c>
      <c r="Y748" s="21">
        <v>0.0</v>
      </c>
      <c r="Z748" s="21">
        <v>4.0</v>
      </c>
      <c r="AA748" s="21">
        <v>3.0</v>
      </c>
      <c r="AB748" s="5">
        <v>7.0</v>
      </c>
      <c r="AC748" s="19">
        <v>4.0</v>
      </c>
      <c r="AD748" s="19">
        <v>4.0</v>
      </c>
      <c r="AE748" s="19">
        <v>4.0</v>
      </c>
      <c r="AF748" s="19">
        <v>3.0</v>
      </c>
      <c r="AG748" s="19">
        <v>3.0</v>
      </c>
      <c r="AH748" s="19">
        <v>4.0</v>
      </c>
      <c r="AI748" s="22">
        <v>11.25</v>
      </c>
      <c r="AJ748" s="19"/>
      <c r="AK748" s="19"/>
      <c r="AL748" s="19"/>
      <c r="AM748" s="19">
        <v>0.0</v>
      </c>
      <c r="AN748" s="19">
        <v>11.3</v>
      </c>
      <c r="AO748" s="19">
        <v>18.3</v>
      </c>
      <c r="AP748" s="19">
        <v>1019.0</v>
      </c>
      <c r="AQ748" s="19">
        <v>747.0</v>
      </c>
      <c r="AR748" s="19">
        <v>80.0</v>
      </c>
      <c r="AS748" s="22"/>
      <c r="AT748" s="19" t="s">
        <v>2117</v>
      </c>
      <c r="AU748" s="19" t="s">
        <v>3661</v>
      </c>
      <c r="AV748" s="19" t="s">
        <v>14596</v>
      </c>
      <c r="AW748" s="19" t="s">
        <v>2166</v>
      </c>
      <c r="AX748" s="20">
        <v>36360.0</v>
      </c>
      <c r="AY748" s="19" t="s">
        <v>2619</v>
      </c>
      <c r="AZ748" s="19" t="s">
        <v>2310</v>
      </c>
      <c r="BA748" s="19" t="s">
        <v>14597</v>
      </c>
      <c r="BB748" s="19" t="s">
        <v>14598</v>
      </c>
      <c r="BC748" s="19" t="s">
        <v>14599</v>
      </c>
      <c r="BD748" s="19" t="s">
        <v>14600</v>
      </c>
      <c r="BE748" s="19" t="s">
        <v>14601</v>
      </c>
      <c r="BF748" s="19">
        <v>1.195953871E10</v>
      </c>
      <c r="BG748" s="19" t="s">
        <v>2127</v>
      </c>
      <c r="BH748" s="19" t="s">
        <v>2128</v>
      </c>
      <c r="BI748" s="19"/>
      <c r="BJ748" s="19" t="s">
        <v>2129</v>
      </c>
      <c r="BK748" s="19" t="s">
        <v>17</v>
      </c>
      <c r="BL748" s="19"/>
      <c r="BM748" s="19" t="s">
        <v>5411</v>
      </c>
      <c r="BN748" s="19" t="s">
        <v>5469</v>
      </c>
      <c r="BO748" s="19" t="s">
        <v>2317</v>
      </c>
      <c r="BP748" s="19" t="s">
        <v>14602</v>
      </c>
      <c r="BQ748" s="19" t="s">
        <v>2133</v>
      </c>
      <c r="BR748" s="19" t="s">
        <v>2133</v>
      </c>
      <c r="BS748" s="19" t="s">
        <v>3521</v>
      </c>
      <c r="BT748" s="19" t="s">
        <v>52</v>
      </c>
      <c r="BU748" s="19" t="s">
        <v>4319</v>
      </c>
      <c r="BV748" s="19"/>
      <c r="BW748" s="19"/>
      <c r="BX748" s="19"/>
      <c r="BY748" s="19" t="s">
        <v>2113</v>
      </c>
      <c r="BZ748" s="19"/>
      <c r="CA748" s="19"/>
      <c r="CB748" s="19" t="s">
        <v>2113</v>
      </c>
      <c r="CC748" s="19"/>
      <c r="CD748" s="19" t="s">
        <v>2137</v>
      </c>
      <c r="CE748" s="19" t="s">
        <v>16</v>
      </c>
      <c r="CF748" s="19"/>
      <c r="CG748" s="19"/>
      <c r="CH748" s="19" t="s">
        <v>17</v>
      </c>
      <c r="CI748" s="21">
        <v>3.0</v>
      </c>
      <c r="CJ748" s="19" t="s">
        <v>17</v>
      </c>
      <c r="CK748" s="19"/>
      <c r="CL748" s="19"/>
      <c r="CM748" s="19" t="s">
        <v>2344</v>
      </c>
      <c r="CN748" s="19" t="s">
        <v>2626</v>
      </c>
      <c r="CO748" s="19"/>
      <c r="CP748" s="19" t="s">
        <v>2246</v>
      </c>
      <c r="CQ748" s="19"/>
      <c r="CR748" s="19"/>
      <c r="CS748" s="19"/>
      <c r="CT748" s="19" t="s">
        <v>2113</v>
      </c>
      <c r="CU748" s="19" t="s">
        <v>2113</v>
      </c>
      <c r="CV748" s="19" t="s">
        <v>2141</v>
      </c>
      <c r="CW748" s="19"/>
      <c r="CX748" s="19"/>
      <c r="CY748" s="19"/>
      <c r="CZ748" s="19"/>
      <c r="DA748" s="19" t="s">
        <v>16</v>
      </c>
      <c r="DB748" s="19" t="s">
        <v>17</v>
      </c>
      <c r="DC748" s="19" t="s">
        <v>2627</v>
      </c>
      <c r="DD748" s="19" t="s">
        <v>2113</v>
      </c>
      <c r="DE748" s="19" t="s">
        <v>2113</v>
      </c>
      <c r="DF748" s="19" t="s">
        <v>2297</v>
      </c>
      <c r="DG748" s="19" t="s">
        <v>2578</v>
      </c>
      <c r="DH748" s="19" t="s">
        <v>2144</v>
      </c>
      <c r="DI748" s="24">
        <v>45531.0</v>
      </c>
      <c r="DJ748" s="19" t="s">
        <v>2133</v>
      </c>
      <c r="DK748" s="19" t="s">
        <v>2145</v>
      </c>
      <c r="DL748" s="19" t="s">
        <v>2146</v>
      </c>
      <c r="DM748" s="19" t="s">
        <v>3183</v>
      </c>
      <c r="DN748" s="19">
        <v>13.0</v>
      </c>
      <c r="DO748" s="19">
        <v>13.0</v>
      </c>
      <c r="DP748" s="19" t="s">
        <v>14603</v>
      </c>
      <c r="DQ748" s="19" t="s">
        <v>14604</v>
      </c>
      <c r="DR748" s="19" t="s">
        <v>14605</v>
      </c>
      <c r="DS748" s="19" t="s">
        <v>2365</v>
      </c>
      <c r="DT748" s="19" t="s">
        <v>2186</v>
      </c>
      <c r="DU748" s="19"/>
      <c r="DV748" s="19"/>
      <c r="DW748" s="19" t="s">
        <v>2153</v>
      </c>
      <c r="DX748" s="19">
        <v>8.0</v>
      </c>
      <c r="DY748" s="19">
        <v>0.0</v>
      </c>
      <c r="DZ748" s="19">
        <v>0.0</v>
      </c>
      <c r="EA748" s="19">
        <v>0.0</v>
      </c>
      <c r="EB748" s="19">
        <v>3.0</v>
      </c>
      <c r="EC748" s="19">
        <v>0.0</v>
      </c>
      <c r="ED748" s="19" t="s">
        <v>2133</v>
      </c>
      <c r="EE748" s="24">
        <v>45531.0</v>
      </c>
      <c r="EF748" s="19" t="s">
        <v>2133</v>
      </c>
      <c r="EG748" s="19" t="s">
        <v>2145</v>
      </c>
      <c r="EH748" s="19" t="s">
        <v>2146</v>
      </c>
      <c r="EI748" s="22">
        <v>11.25</v>
      </c>
      <c r="EJ748" s="19">
        <v>0.0</v>
      </c>
      <c r="EK748" s="19" t="s">
        <v>2113</v>
      </c>
      <c r="EL748" s="19" t="s">
        <v>2117</v>
      </c>
      <c r="EM748" s="19" t="s">
        <v>3661</v>
      </c>
      <c r="EN748" s="19" t="s">
        <v>14591</v>
      </c>
      <c r="EO748" s="19" t="s">
        <v>2619</v>
      </c>
      <c r="EP748" s="19" t="s">
        <v>2310</v>
      </c>
      <c r="EQ748" s="19" t="s">
        <v>2626</v>
      </c>
      <c r="ER748" s="19"/>
      <c r="ES748" s="19" t="s">
        <v>14591</v>
      </c>
      <c r="ET748" s="19" t="s">
        <v>14591</v>
      </c>
      <c r="EU748" s="19" t="s">
        <v>14593</v>
      </c>
      <c r="EV748" s="19">
        <v>9101.0</v>
      </c>
      <c r="EW748" s="19" t="s">
        <v>16</v>
      </c>
      <c r="EX748" s="19">
        <v>4.0</v>
      </c>
      <c r="EY748" s="25" t="s">
        <v>14594</v>
      </c>
      <c r="EZ748" s="19" t="s">
        <v>2154</v>
      </c>
      <c r="FA748" s="5" t="s">
        <v>14606</v>
      </c>
      <c r="FB748" s="26" t="s">
        <v>2633</v>
      </c>
      <c r="FC748" s="26" t="s">
        <v>10773</v>
      </c>
    </row>
    <row r="749" hidden="1">
      <c r="A749" s="19" t="s">
        <v>2112</v>
      </c>
      <c r="B749" s="19"/>
      <c r="C749" s="19" t="s">
        <v>2113</v>
      </c>
      <c r="D749" s="19" t="s">
        <v>14607</v>
      </c>
      <c r="E749" s="19" t="s">
        <v>14608</v>
      </c>
      <c r="F749" s="19" t="s">
        <v>14609</v>
      </c>
      <c r="G749" s="19"/>
      <c r="H749" s="19" t="s">
        <v>14609</v>
      </c>
      <c r="I749" s="19" t="s">
        <v>14610</v>
      </c>
      <c r="J749" s="19" t="s">
        <v>14611</v>
      </c>
      <c r="K749" s="19" t="s">
        <v>14612</v>
      </c>
      <c r="L749" s="20">
        <v>45394.0</v>
      </c>
      <c r="M749" s="20">
        <v>45404.0</v>
      </c>
      <c r="N749" s="20">
        <v>45404.0</v>
      </c>
      <c r="O749" s="19" t="s">
        <v>14613</v>
      </c>
      <c r="P749" s="19">
        <v>0.0</v>
      </c>
      <c r="Q749" s="19">
        <v>19.0</v>
      </c>
      <c r="R749" s="19">
        <v>7084.0</v>
      </c>
      <c r="S749" s="20" t="s">
        <v>14614</v>
      </c>
      <c r="T749" s="20">
        <v>45461.0</v>
      </c>
      <c r="U749" s="19" t="s">
        <v>14607</v>
      </c>
      <c r="V749" s="19"/>
      <c r="W749" s="19"/>
      <c r="X749" s="21">
        <v>0.0</v>
      </c>
      <c r="Y749" s="21">
        <v>5.0</v>
      </c>
      <c r="Z749" s="21">
        <v>3.0</v>
      </c>
      <c r="AA749" s="21">
        <v>0.0</v>
      </c>
      <c r="AB749" s="5">
        <v>8.0</v>
      </c>
      <c r="AC749" s="19">
        <v>3.5</v>
      </c>
      <c r="AD749" s="19">
        <v>3.0</v>
      </c>
      <c r="AE749" s="19">
        <v>4.0</v>
      </c>
      <c r="AF749" s="19">
        <v>3.0</v>
      </c>
      <c r="AG749" s="19">
        <v>3.0</v>
      </c>
      <c r="AH749" s="19">
        <v>3.5</v>
      </c>
      <c r="AI749" s="22">
        <v>10.171875</v>
      </c>
      <c r="AJ749" s="19"/>
      <c r="AK749" s="19"/>
      <c r="AL749" s="19"/>
      <c r="AM749" s="19">
        <v>0.0</v>
      </c>
      <c r="AN749" s="19">
        <v>10.2</v>
      </c>
      <c r="AO749" s="19">
        <v>18.2</v>
      </c>
      <c r="AP749" s="19">
        <v>990.0</v>
      </c>
      <c r="AQ749" s="19">
        <v>748.0</v>
      </c>
      <c r="AR749" s="19">
        <v>102.0</v>
      </c>
      <c r="AS749" s="19"/>
      <c r="AT749" s="19" t="s">
        <v>2163</v>
      </c>
      <c r="AU749" s="19" t="s">
        <v>14615</v>
      </c>
      <c r="AV749" s="19" t="s">
        <v>14616</v>
      </c>
      <c r="AW749" s="19" t="s">
        <v>2257</v>
      </c>
      <c r="AX749" s="20">
        <v>38377.0</v>
      </c>
      <c r="AY749" s="19" t="s">
        <v>3015</v>
      </c>
      <c r="AZ749" s="19" t="s">
        <v>2310</v>
      </c>
      <c r="BA749" s="19" t="s">
        <v>14617</v>
      </c>
      <c r="BB749" s="19" t="s">
        <v>5171</v>
      </c>
      <c r="BC749" s="19" t="s">
        <v>14618</v>
      </c>
      <c r="BD749" s="19" t="s">
        <v>14619</v>
      </c>
      <c r="BE749" s="19" t="s">
        <v>14620</v>
      </c>
      <c r="BF749" s="19">
        <v>1.1941106487E10</v>
      </c>
      <c r="BG749" s="19" t="s">
        <v>3518</v>
      </c>
      <c r="BH749" s="19" t="s">
        <v>2128</v>
      </c>
      <c r="BI749" s="19"/>
      <c r="BJ749" s="19" t="s">
        <v>2427</v>
      </c>
      <c r="BK749" s="19" t="s">
        <v>17</v>
      </c>
      <c r="BL749" s="19"/>
      <c r="BM749" s="19" t="s">
        <v>5563</v>
      </c>
      <c r="BN749" s="19" t="s">
        <v>2172</v>
      </c>
      <c r="BO749" s="19" t="s">
        <v>2473</v>
      </c>
      <c r="BP749" s="19"/>
      <c r="BQ749" s="19" t="s">
        <v>2133</v>
      </c>
      <c r="BR749" s="19" t="s">
        <v>2133</v>
      </c>
      <c r="BS749" s="19" t="s">
        <v>2134</v>
      </c>
      <c r="BT749" s="19" t="s">
        <v>38</v>
      </c>
      <c r="BU749" s="19"/>
      <c r="BV749" s="19"/>
      <c r="BW749" s="19"/>
      <c r="BX749" s="19"/>
      <c r="BY749" s="19"/>
      <c r="BZ749" s="19"/>
      <c r="CA749" s="19"/>
      <c r="CB749" s="19"/>
      <c r="CC749" s="19"/>
      <c r="CD749" s="19" t="s">
        <v>2137</v>
      </c>
      <c r="CE749" s="19" t="s">
        <v>16</v>
      </c>
      <c r="CF749" s="19"/>
      <c r="CG749" s="19"/>
      <c r="CH749" s="19" t="s">
        <v>16</v>
      </c>
      <c r="CI749" s="21">
        <v>0.0</v>
      </c>
      <c r="CJ749" s="19" t="s">
        <v>17</v>
      </c>
      <c r="CK749" s="19"/>
      <c r="CL749" s="19"/>
      <c r="CM749" s="19" t="s">
        <v>2344</v>
      </c>
      <c r="CN749" s="19" t="s">
        <v>3020</v>
      </c>
      <c r="CO749" s="19"/>
      <c r="CP749" s="19" t="s">
        <v>2140</v>
      </c>
      <c r="CQ749" s="19"/>
      <c r="CR749" s="19" t="s">
        <v>2113</v>
      </c>
      <c r="CS749" s="19" t="s">
        <v>2113</v>
      </c>
      <c r="CT749" s="19" t="s">
        <v>2113</v>
      </c>
      <c r="CU749" s="19" t="s">
        <v>2113</v>
      </c>
      <c r="CV749" s="19" t="s">
        <v>2141</v>
      </c>
      <c r="CW749" s="19"/>
      <c r="CX749" s="19"/>
      <c r="CY749" s="19"/>
      <c r="CZ749" s="19"/>
      <c r="DA749" s="19" t="s">
        <v>16</v>
      </c>
      <c r="DB749" s="19" t="s">
        <v>17</v>
      </c>
      <c r="DC749" s="19" t="s">
        <v>2142</v>
      </c>
      <c r="DD749" s="19" t="s">
        <v>2113</v>
      </c>
      <c r="DE749" s="19" t="s">
        <v>2113</v>
      </c>
      <c r="DF749" s="19" t="s">
        <v>2477</v>
      </c>
      <c r="DG749" s="19" t="s">
        <v>2406</v>
      </c>
      <c r="DH749" s="19" t="s">
        <v>2144</v>
      </c>
      <c r="DI749" s="24">
        <v>45533.0</v>
      </c>
      <c r="DJ749" s="19" t="s">
        <v>2133</v>
      </c>
      <c r="DK749" s="19" t="s">
        <v>2271</v>
      </c>
      <c r="DL749" s="19" t="s">
        <v>2207</v>
      </c>
      <c r="DM749" s="19" t="s">
        <v>4927</v>
      </c>
      <c r="DN749" s="19">
        <v>10.0</v>
      </c>
      <c r="DO749" s="19">
        <v>10.0</v>
      </c>
      <c r="DP749" s="19" t="s">
        <v>14621</v>
      </c>
      <c r="DQ749" s="19" t="s">
        <v>14622</v>
      </c>
      <c r="DR749" s="19" t="s">
        <v>14623</v>
      </c>
      <c r="DS749" s="19" t="s">
        <v>2185</v>
      </c>
      <c r="DT749" s="19" t="s">
        <v>2209</v>
      </c>
      <c r="DU749" s="19"/>
      <c r="DV749" s="19" t="s">
        <v>14624</v>
      </c>
      <c r="DW749" s="19" t="s">
        <v>2479</v>
      </c>
      <c r="DX749" s="19">
        <v>6.0</v>
      </c>
      <c r="DY749" s="19">
        <v>5.0</v>
      </c>
      <c r="DZ749" s="19">
        <v>0.0</v>
      </c>
      <c r="EA749" s="19">
        <v>5.0</v>
      </c>
      <c r="EB749" s="19">
        <v>0.0</v>
      </c>
      <c r="EC749" s="19">
        <v>0.0</v>
      </c>
      <c r="ED749" s="19" t="s">
        <v>2133</v>
      </c>
      <c r="EE749" s="24">
        <v>45533.0</v>
      </c>
      <c r="EF749" s="19" t="s">
        <v>2133</v>
      </c>
      <c r="EG749" s="19" t="s">
        <v>2271</v>
      </c>
      <c r="EH749" s="19" t="s">
        <v>2207</v>
      </c>
      <c r="EI749" s="22">
        <v>10.171875</v>
      </c>
      <c r="EJ749" s="19">
        <v>0.0</v>
      </c>
      <c r="EK749" s="19" t="s">
        <v>2113</v>
      </c>
      <c r="EL749" s="19" t="s">
        <v>2163</v>
      </c>
      <c r="EM749" s="19" t="s">
        <v>14615</v>
      </c>
      <c r="EN749" s="19" t="s">
        <v>14610</v>
      </c>
      <c r="EO749" s="19" t="s">
        <v>3015</v>
      </c>
      <c r="EP749" s="19" t="s">
        <v>2310</v>
      </c>
      <c r="EQ749" s="19" t="s">
        <v>3020</v>
      </c>
      <c r="ER749" s="19"/>
      <c r="ES749" s="19" t="s">
        <v>14610</v>
      </c>
      <c r="ET749" s="19" t="s">
        <v>14610</v>
      </c>
      <c r="EU749" s="19" t="s">
        <v>14612</v>
      </c>
      <c r="EV749" s="19">
        <v>7084.0</v>
      </c>
      <c r="EW749" s="19" t="s">
        <v>16</v>
      </c>
      <c r="EX749" s="19">
        <v>3.0</v>
      </c>
      <c r="EY749" s="25" t="s">
        <v>14613</v>
      </c>
      <c r="EZ749" s="19" t="s">
        <v>2154</v>
      </c>
      <c r="FA749" s="5" t="s">
        <v>14625</v>
      </c>
      <c r="FB749" s="26" t="s">
        <v>2633</v>
      </c>
      <c r="FC749" s="26" t="s">
        <v>11913</v>
      </c>
    </row>
    <row r="750" hidden="1">
      <c r="A750" s="19" t="s">
        <v>2112</v>
      </c>
      <c r="B750" s="19"/>
      <c r="C750" s="19" t="s">
        <v>2113</v>
      </c>
      <c r="D750" s="19" t="s">
        <v>14626</v>
      </c>
      <c r="E750" s="19" t="s">
        <v>14627</v>
      </c>
      <c r="F750" s="19" t="s">
        <v>14628</v>
      </c>
      <c r="G750" s="19" t="s">
        <v>14629</v>
      </c>
      <c r="H750" s="19" t="s">
        <v>14626</v>
      </c>
      <c r="I750" s="19" t="s">
        <v>14630</v>
      </c>
      <c r="J750" s="19" t="s">
        <v>14631</v>
      </c>
      <c r="K750" s="19" t="s">
        <v>14632</v>
      </c>
      <c r="L750" s="20">
        <v>45455.0</v>
      </c>
      <c r="M750" s="20">
        <v>45456.0</v>
      </c>
      <c r="N750" s="20">
        <v>45456.0</v>
      </c>
      <c r="O750" s="19" t="s">
        <v>14633</v>
      </c>
      <c r="P750" s="19">
        <v>0.0</v>
      </c>
      <c r="Q750" s="19">
        <v>23.0</v>
      </c>
      <c r="R750" s="19">
        <v>8685.0</v>
      </c>
      <c r="S750" s="20" t="s">
        <v>14634</v>
      </c>
      <c r="T750" s="20">
        <v>45461.0</v>
      </c>
      <c r="U750" s="19" t="s">
        <v>14628</v>
      </c>
      <c r="V750" s="19"/>
      <c r="W750" s="19"/>
      <c r="X750" s="21">
        <v>0.0</v>
      </c>
      <c r="Y750" s="21">
        <v>0.0</v>
      </c>
      <c r="Z750" s="21">
        <v>5.0</v>
      </c>
      <c r="AA750" s="21">
        <v>0.0</v>
      </c>
      <c r="AB750" s="5">
        <v>5.0</v>
      </c>
      <c r="AC750" s="19">
        <v>4.2</v>
      </c>
      <c r="AD750" s="19">
        <v>4.6</v>
      </c>
      <c r="AE750" s="19">
        <v>4.6</v>
      </c>
      <c r="AF750" s="19">
        <v>4.4</v>
      </c>
      <c r="AG750" s="19">
        <v>3.8</v>
      </c>
      <c r="AH750" s="19">
        <v>4.6</v>
      </c>
      <c r="AI750" s="22">
        <v>13.237499999999999</v>
      </c>
      <c r="AJ750" s="19"/>
      <c r="AK750" s="19"/>
      <c r="AL750" s="19"/>
      <c r="AM750" s="19">
        <v>0.0</v>
      </c>
      <c r="AN750" s="19">
        <v>13.2</v>
      </c>
      <c r="AO750" s="19">
        <v>18.2</v>
      </c>
      <c r="AP750" s="19">
        <v>1068.0</v>
      </c>
      <c r="AQ750" s="19">
        <v>749.0</v>
      </c>
      <c r="AR750" s="19">
        <v>83.0</v>
      </c>
      <c r="AS750" s="22"/>
      <c r="AT750" s="19" t="s">
        <v>2163</v>
      </c>
      <c r="AU750" s="19" t="s">
        <v>14635</v>
      </c>
      <c r="AV750" s="19" t="s">
        <v>14636</v>
      </c>
      <c r="AW750" s="19" t="s">
        <v>14637</v>
      </c>
      <c r="AX750" s="20">
        <v>36776.0</v>
      </c>
      <c r="AY750" s="19" t="s">
        <v>5516</v>
      </c>
      <c r="AZ750" s="19" t="s">
        <v>2310</v>
      </c>
      <c r="BA750" s="19" t="s">
        <v>14638</v>
      </c>
      <c r="BB750" s="19" t="s">
        <v>5660</v>
      </c>
      <c r="BC750" s="19" t="s">
        <v>14639</v>
      </c>
      <c r="BD750" s="19" t="s">
        <v>14640</v>
      </c>
      <c r="BE750" s="19" t="s">
        <v>14631</v>
      </c>
      <c r="BF750" s="19">
        <v>1.1953797918E10</v>
      </c>
      <c r="BG750" s="19" t="s">
        <v>2127</v>
      </c>
      <c r="BH750" s="19" t="s">
        <v>2128</v>
      </c>
      <c r="BI750" s="19"/>
      <c r="BJ750" s="19" t="s">
        <v>2128</v>
      </c>
      <c r="BK750" s="19" t="s">
        <v>16</v>
      </c>
      <c r="BL750" s="19" t="s">
        <v>2113</v>
      </c>
      <c r="BM750" s="19" t="s">
        <v>5563</v>
      </c>
      <c r="BN750" s="19" t="s">
        <v>17</v>
      </c>
      <c r="BO750" s="19" t="s">
        <v>2132</v>
      </c>
      <c r="BP750" s="19" t="s">
        <v>14641</v>
      </c>
      <c r="BQ750" s="19" t="s">
        <v>2174</v>
      </c>
      <c r="BR750" s="19" t="s">
        <v>2174</v>
      </c>
      <c r="BS750" s="19" t="s">
        <v>3521</v>
      </c>
      <c r="BT750" s="19" t="s">
        <v>21</v>
      </c>
      <c r="BU750" s="19" t="s">
        <v>14642</v>
      </c>
      <c r="BV750" s="19"/>
      <c r="BW750" s="19"/>
      <c r="BX750" s="19"/>
      <c r="BY750" s="19"/>
      <c r="BZ750" s="19"/>
      <c r="CA750" s="19" t="s">
        <v>2113</v>
      </c>
      <c r="CB750" s="19"/>
      <c r="CC750" s="19"/>
      <c r="CD750" s="19" t="s">
        <v>2137</v>
      </c>
      <c r="CE750" s="19" t="s">
        <v>16</v>
      </c>
      <c r="CF750" s="19"/>
      <c r="CG750" s="19"/>
      <c r="CH750" s="19" t="s">
        <v>16</v>
      </c>
      <c r="CI750" s="21">
        <v>0.0</v>
      </c>
      <c r="CJ750" s="19" t="s">
        <v>17</v>
      </c>
      <c r="CK750" s="19"/>
      <c r="CL750" s="19"/>
      <c r="CM750" s="19" t="s">
        <v>2138</v>
      </c>
      <c r="CN750" s="19" t="s">
        <v>2176</v>
      </c>
      <c r="CO750" s="19"/>
      <c r="CP750" s="19" t="s">
        <v>2246</v>
      </c>
      <c r="CQ750" s="19"/>
      <c r="CR750" s="19"/>
      <c r="CS750" s="19"/>
      <c r="CT750" s="19" t="s">
        <v>2113</v>
      </c>
      <c r="CU750" s="19" t="s">
        <v>2113</v>
      </c>
      <c r="CV750" s="19" t="s">
        <v>2179</v>
      </c>
      <c r="CW750" s="19"/>
      <c r="CX750" s="19"/>
      <c r="CY750" s="19" t="s">
        <v>2113</v>
      </c>
      <c r="CZ750" s="19" t="s">
        <v>2113</v>
      </c>
      <c r="DA750" s="19" t="s">
        <v>16</v>
      </c>
      <c r="DB750" s="19" t="s">
        <v>17</v>
      </c>
      <c r="DC750" s="19" t="s">
        <v>7081</v>
      </c>
      <c r="DD750" s="19" t="s">
        <v>2113</v>
      </c>
      <c r="DE750" s="19" t="s">
        <v>2113</v>
      </c>
      <c r="DF750" s="19" t="s">
        <v>6757</v>
      </c>
      <c r="DG750" s="19" t="s">
        <v>7359</v>
      </c>
      <c r="DH750" s="19" t="s">
        <v>2144</v>
      </c>
      <c r="DI750" s="24">
        <v>45518.0</v>
      </c>
      <c r="DJ750" s="19" t="s">
        <v>2174</v>
      </c>
      <c r="DK750" s="19" t="s">
        <v>2145</v>
      </c>
      <c r="DL750" s="19" t="s">
        <v>2183</v>
      </c>
      <c r="DM750" s="19" t="s">
        <v>2228</v>
      </c>
      <c r="DN750" s="19">
        <v>3.0</v>
      </c>
      <c r="DO750" s="19">
        <v>3.0</v>
      </c>
      <c r="DP750" s="19"/>
      <c r="DQ750" s="19"/>
      <c r="DR750" s="19"/>
      <c r="DS750" s="19" t="s">
        <v>2151</v>
      </c>
      <c r="DT750" s="19" t="s">
        <v>2301</v>
      </c>
      <c r="DU750" s="19" t="s">
        <v>14643</v>
      </c>
      <c r="DV750" s="19"/>
      <c r="DW750" s="19" t="s">
        <v>2153</v>
      </c>
      <c r="DX750" s="19">
        <v>13.0</v>
      </c>
      <c r="DY750" s="19">
        <v>0.0</v>
      </c>
      <c r="DZ750" s="19">
        <v>0.0</v>
      </c>
      <c r="EA750" s="19">
        <v>0.0</v>
      </c>
      <c r="EB750" s="19">
        <v>0.0</v>
      </c>
      <c r="EC750" s="19">
        <v>0.0</v>
      </c>
      <c r="ED750" s="19" t="s">
        <v>2174</v>
      </c>
      <c r="EE750" s="24">
        <v>45518.0</v>
      </c>
      <c r="EF750" s="19" t="s">
        <v>2174</v>
      </c>
      <c r="EG750" s="19" t="s">
        <v>2145</v>
      </c>
      <c r="EH750" s="19" t="s">
        <v>2183</v>
      </c>
      <c r="EI750" s="22">
        <v>13.237499999999999</v>
      </c>
      <c r="EJ750" s="19">
        <v>0.0</v>
      </c>
      <c r="EK750" s="19" t="s">
        <v>2113</v>
      </c>
      <c r="EL750" s="19" t="s">
        <v>2163</v>
      </c>
      <c r="EM750" s="19" t="s">
        <v>14635</v>
      </c>
      <c r="EN750" s="19" t="s">
        <v>14630</v>
      </c>
      <c r="EO750" s="19" t="s">
        <v>5516</v>
      </c>
      <c r="EP750" s="19" t="s">
        <v>2310</v>
      </c>
      <c r="EQ750" s="19" t="s">
        <v>2176</v>
      </c>
      <c r="ER750" s="19"/>
      <c r="ES750" s="19" t="s">
        <v>14630</v>
      </c>
      <c r="ET750" s="19" t="s">
        <v>14630</v>
      </c>
      <c r="EU750" s="19" t="s">
        <v>14632</v>
      </c>
      <c r="EV750" s="19">
        <v>8685.0</v>
      </c>
      <c r="EW750" s="19" t="s">
        <v>16</v>
      </c>
      <c r="EX750" s="19">
        <v>5.0</v>
      </c>
      <c r="EY750" s="25" t="s">
        <v>14633</v>
      </c>
      <c r="EZ750" s="19" t="s">
        <v>2154</v>
      </c>
      <c r="FA750" s="5" t="s">
        <v>14644</v>
      </c>
      <c r="FB750" s="26" t="s">
        <v>2633</v>
      </c>
      <c r="FC750" s="26" t="s">
        <v>10773</v>
      </c>
    </row>
    <row r="751" hidden="1">
      <c r="A751" s="19" t="s">
        <v>2112</v>
      </c>
      <c r="B751" s="19"/>
      <c r="C751" s="19" t="s">
        <v>2113</v>
      </c>
      <c r="D751" s="19" t="s">
        <v>14645</v>
      </c>
      <c r="E751" s="19" t="s">
        <v>14646</v>
      </c>
      <c r="F751" s="19" t="s">
        <v>14645</v>
      </c>
      <c r="G751" s="19" t="s">
        <v>14646</v>
      </c>
      <c r="H751" s="19" t="s">
        <v>14645</v>
      </c>
      <c r="I751" s="19" t="s">
        <v>14647</v>
      </c>
      <c r="J751" s="19" t="s">
        <v>14648</v>
      </c>
      <c r="K751" s="19" t="s">
        <v>14649</v>
      </c>
      <c r="L751" s="20">
        <v>45447.0</v>
      </c>
      <c r="M751" s="20">
        <v>45448.0</v>
      </c>
      <c r="N751" s="20">
        <v>45448.0</v>
      </c>
      <c r="O751" s="19" t="s">
        <v>14650</v>
      </c>
      <c r="P751" s="19">
        <v>0.0</v>
      </c>
      <c r="Q751" s="19">
        <v>19.0</v>
      </c>
      <c r="R751" s="19">
        <v>6979.0</v>
      </c>
      <c r="S751" s="20" t="s">
        <v>14651</v>
      </c>
      <c r="T751" s="20">
        <v>45461.0</v>
      </c>
      <c r="U751" s="19" t="s">
        <v>14645</v>
      </c>
      <c r="V751" s="19"/>
      <c r="W751" s="19"/>
      <c r="X751" s="21">
        <v>0.0</v>
      </c>
      <c r="Y751" s="21">
        <v>0.0</v>
      </c>
      <c r="Z751" s="21">
        <v>5.0</v>
      </c>
      <c r="AA751" s="21">
        <v>0.0</v>
      </c>
      <c r="AB751" s="5">
        <v>5.0</v>
      </c>
      <c r="AC751" s="19">
        <v>4.4</v>
      </c>
      <c r="AD751" s="19">
        <v>4.4</v>
      </c>
      <c r="AE751" s="19">
        <v>4.4</v>
      </c>
      <c r="AF751" s="19">
        <v>4.4</v>
      </c>
      <c r="AG751" s="19">
        <v>3.8</v>
      </c>
      <c r="AH751" s="19">
        <v>4.4</v>
      </c>
      <c r="AI751" s="22">
        <v>12.975</v>
      </c>
      <c r="AJ751" s="19"/>
      <c r="AK751" s="19"/>
      <c r="AL751" s="19"/>
      <c r="AM751" s="19">
        <v>0.0</v>
      </c>
      <c r="AN751" s="19">
        <v>13.0</v>
      </c>
      <c r="AO751" s="19">
        <v>18.0</v>
      </c>
      <c r="AP751" s="19">
        <v>1137.0</v>
      </c>
      <c r="AQ751" s="19">
        <v>750.0</v>
      </c>
      <c r="AR751" s="19">
        <v>61.0</v>
      </c>
      <c r="AS751" s="22"/>
      <c r="AT751" s="19" t="s">
        <v>2163</v>
      </c>
      <c r="AU751" s="19" t="s">
        <v>11327</v>
      </c>
      <c r="AV751" s="19" t="s">
        <v>14652</v>
      </c>
      <c r="AW751" s="19"/>
      <c r="AX751" s="20">
        <v>38482.0</v>
      </c>
      <c r="AY751" s="19" t="s">
        <v>2529</v>
      </c>
      <c r="AZ751" s="19" t="s">
        <v>2310</v>
      </c>
      <c r="BA751" s="19" t="s">
        <v>14653</v>
      </c>
      <c r="BB751" s="19" t="s">
        <v>14654</v>
      </c>
      <c r="BC751" s="19" t="s">
        <v>14655</v>
      </c>
      <c r="BD751" s="19" t="s">
        <v>14656</v>
      </c>
      <c r="BE751" s="19" t="s">
        <v>14648</v>
      </c>
      <c r="BF751" s="19">
        <v>1.1945054621E10</v>
      </c>
      <c r="BG751" s="19" t="s">
        <v>4038</v>
      </c>
      <c r="BH751" s="19" t="s">
        <v>2128</v>
      </c>
      <c r="BI751" s="19"/>
      <c r="BJ751" s="19" t="s">
        <v>2129</v>
      </c>
      <c r="BK751" s="19" t="s">
        <v>17</v>
      </c>
      <c r="BL751" s="19"/>
      <c r="BM751" s="19" t="s">
        <v>5411</v>
      </c>
      <c r="BN751" s="19" t="s">
        <v>2172</v>
      </c>
      <c r="BO751" s="19" t="s">
        <v>2132</v>
      </c>
      <c r="BP751" s="19" t="s">
        <v>14657</v>
      </c>
      <c r="BQ751" s="19" t="s">
        <v>2174</v>
      </c>
      <c r="BR751" s="19" t="s">
        <v>2174</v>
      </c>
      <c r="BS751" s="19" t="s">
        <v>2134</v>
      </c>
      <c r="BT751" s="19" t="s">
        <v>75</v>
      </c>
      <c r="BU751" s="19"/>
      <c r="BV751" s="19"/>
      <c r="BW751" s="19"/>
      <c r="BX751" s="19"/>
      <c r="BY751" s="19"/>
      <c r="BZ751" s="19" t="s">
        <v>2113</v>
      </c>
      <c r="CA751" s="19" t="s">
        <v>2113</v>
      </c>
      <c r="CB751" s="19" t="s">
        <v>2113</v>
      </c>
      <c r="CC751" s="19"/>
      <c r="CD751" s="19" t="s">
        <v>2137</v>
      </c>
      <c r="CE751" s="19" t="s">
        <v>16</v>
      </c>
      <c r="CF751" s="19"/>
      <c r="CG751" s="19"/>
      <c r="CH751" s="19" t="s">
        <v>16</v>
      </c>
      <c r="CI751" s="21">
        <v>0.0</v>
      </c>
      <c r="CJ751" s="19" t="s">
        <v>17</v>
      </c>
      <c r="CK751" s="19"/>
      <c r="CL751" s="19"/>
      <c r="CM751" s="19" t="s">
        <v>2138</v>
      </c>
      <c r="CN751" s="19" t="s">
        <v>2537</v>
      </c>
      <c r="CO751" s="19"/>
      <c r="CP751" s="19" t="s">
        <v>2246</v>
      </c>
      <c r="CQ751" s="19"/>
      <c r="CR751" s="19"/>
      <c r="CS751" s="19"/>
      <c r="CT751" s="19" t="s">
        <v>2113</v>
      </c>
      <c r="CU751" s="19" t="s">
        <v>2113</v>
      </c>
      <c r="CV751" s="19" t="s">
        <v>2141</v>
      </c>
      <c r="CW751" s="19" t="s">
        <v>2113</v>
      </c>
      <c r="CX751" s="19" t="s">
        <v>2113</v>
      </c>
      <c r="CY751" s="19"/>
      <c r="CZ751" s="19"/>
      <c r="DA751" s="19" t="s">
        <v>16</v>
      </c>
      <c r="DB751" s="19" t="s">
        <v>17</v>
      </c>
      <c r="DC751" s="19" t="s">
        <v>2538</v>
      </c>
      <c r="DD751" s="19" t="s">
        <v>2113</v>
      </c>
      <c r="DE751" s="19" t="s">
        <v>2113</v>
      </c>
      <c r="DF751" s="19" t="s">
        <v>4042</v>
      </c>
      <c r="DG751" s="19" t="s">
        <v>2539</v>
      </c>
      <c r="DH751" s="19" t="s">
        <v>2144</v>
      </c>
      <c r="DI751" s="24">
        <v>45518.0</v>
      </c>
      <c r="DJ751" s="19" t="s">
        <v>2174</v>
      </c>
      <c r="DK751" s="19" t="s">
        <v>2145</v>
      </c>
      <c r="DL751" s="19" t="s">
        <v>2183</v>
      </c>
      <c r="DM751" s="19" t="s">
        <v>2228</v>
      </c>
      <c r="DN751" s="19">
        <v>3.0</v>
      </c>
      <c r="DO751" s="19">
        <v>3.0</v>
      </c>
      <c r="DP751" s="19" t="s">
        <v>14658</v>
      </c>
      <c r="DQ751" s="19" t="s">
        <v>14659</v>
      </c>
      <c r="DR751" s="19" t="s">
        <v>14660</v>
      </c>
      <c r="DS751" s="19" t="s">
        <v>2365</v>
      </c>
      <c r="DT751" s="19" t="s">
        <v>2366</v>
      </c>
      <c r="DU751" s="19"/>
      <c r="DV751" s="19"/>
      <c r="DW751" s="19" t="s">
        <v>2479</v>
      </c>
      <c r="DX751" s="19">
        <v>11.0</v>
      </c>
      <c r="DY751" s="19">
        <v>0.0</v>
      </c>
      <c r="DZ751" s="19">
        <v>0.0</v>
      </c>
      <c r="EA751" s="19">
        <v>0.0</v>
      </c>
      <c r="EB751" s="19">
        <v>0.0</v>
      </c>
      <c r="EC751" s="19">
        <v>0.0</v>
      </c>
      <c r="ED751" s="19" t="s">
        <v>2174</v>
      </c>
      <c r="EE751" s="24">
        <v>45518.0</v>
      </c>
      <c r="EF751" s="19" t="s">
        <v>2174</v>
      </c>
      <c r="EG751" s="19" t="s">
        <v>2145</v>
      </c>
      <c r="EH751" s="19" t="s">
        <v>2183</v>
      </c>
      <c r="EI751" s="22">
        <v>12.975</v>
      </c>
      <c r="EJ751" s="19">
        <v>0.0</v>
      </c>
      <c r="EK751" s="19" t="s">
        <v>2113</v>
      </c>
      <c r="EL751" s="19" t="s">
        <v>2163</v>
      </c>
      <c r="EM751" s="19" t="s">
        <v>11327</v>
      </c>
      <c r="EN751" s="19" t="s">
        <v>14647</v>
      </c>
      <c r="EO751" s="19" t="s">
        <v>2529</v>
      </c>
      <c r="EP751" s="19" t="s">
        <v>2310</v>
      </c>
      <c r="EQ751" s="19" t="s">
        <v>2537</v>
      </c>
      <c r="ER751" s="19"/>
      <c r="ES751" s="19" t="s">
        <v>14647</v>
      </c>
      <c r="ET751" s="19" t="s">
        <v>14647</v>
      </c>
      <c r="EU751" s="19" t="s">
        <v>14649</v>
      </c>
      <c r="EV751" s="19">
        <v>6979.0</v>
      </c>
      <c r="EW751" s="19" t="s">
        <v>16</v>
      </c>
      <c r="EX751" s="19">
        <v>5.0</v>
      </c>
      <c r="EY751" s="25" t="s">
        <v>14650</v>
      </c>
      <c r="EZ751" s="19" t="s">
        <v>2154</v>
      </c>
      <c r="FA751" s="5" t="s">
        <v>14661</v>
      </c>
      <c r="FB751" s="26" t="s">
        <v>2633</v>
      </c>
      <c r="FC751" s="26" t="s">
        <v>10773</v>
      </c>
    </row>
    <row r="752" hidden="1">
      <c r="A752" s="19" t="s">
        <v>2112</v>
      </c>
      <c r="B752" s="19"/>
      <c r="C752" s="19" t="s">
        <v>2113</v>
      </c>
      <c r="D752" s="19" t="s">
        <v>14662</v>
      </c>
      <c r="E752" s="19" t="s">
        <v>14663</v>
      </c>
      <c r="F752" s="19" t="s">
        <v>14662</v>
      </c>
      <c r="G752" s="19"/>
      <c r="H752" s="19" t="s">
        <v>14662</v>
      </c>
      <c r="I752" s="19" t="s">
        <v>14664</v>
      </c>
      <c r="J752" s="19" t="s">
        <v>14665</v>
      </c>
      <c r="K752" s="19" t="s">
        <v>14666</v>
      </c>
      <c r="L752" s="20">
        <v>45443.0</v>
      </c>
      <c r="M752" s="20">
        <v>45446.0</v>
      </c>
      <c r="N752" s="20">
        <v>45446.0</v>
      </c>
      <c r="O752" s="19" t="s">
        <v>14667</v>
      </c>
      <c r="P752" s="19">
        <v>0.0</v>
      </c>
      <c r="Q752" s="19">
        <v>22.0</v>
      </c>
      <c r="R752" s="19">
        <v>8068.0</v>
      </c>
      <c r="S752" s="20" t="s">
        <v>14668</v>
      </c>
      <c r="T752" s="20">
        <v>45461.0</v>
      </c>
      <c r="U752" s="19" t="s">
        <v>14662</v>
      </c>
      <c r="V752" s="19"/>
      <c r="W752" s="19" t="s">
        <v>14669</v>
      </c>
      <c r="X752" s="21">
        <v>0.0</v>
      </c>
      <c r="Y752" s="21">
        <v>0.0</v>
      </c>
      <c r="Z752" s="21">
        <v>3.0</v>
      </c>
      <c r="AA752" s="21">
        <v>0.0</v>
      </c>
      <c r="AB752" s="5">
        <v>3.0</v>
      </c>
      <c r="AC752" s="19">
        <v>5.0</v>
      </c>
      <c r="AD752" s="19">
        <v>5.0</v>
      </c>
      <c r="AE752" s="19">
        <v>5.0</v>
      </c>
      <c r="AF752" s="19">
        <v>5.0</v>
      </c>
      <c r="AG752" s="19">
        <v>5.0</v>
      </c>
      <c r="AH752" s="19">
        <v>5.0</v>
      </c>
      <c r="AI752" s="22">
        <v>15.0</v>
      </c>
      <c r="AJ752" s="19"/>
      <c r="AK752" s="19"/>
      <c r="AL752" s="19"/>
      <c r="AM752" s="19">
        <v>0.0</v>
      </c>
      <c r="AN752" s="19">
        <v>15.0</v>
      </c>
      <c r="AO752" s="19">
        <v>18.0</v>
      </c>
      <c r="AP752" s="19">
        <v>1283.0</v>
      </c>
      <c r="AQ752" s="19">
        <v>751.0</v>
      </c>
      <c r="AR752" s="19">
        <v>81.0</v>
      </c>
      <c r="AS752" s="22"/>
      <c r="AT752" s="19" t="s">
        <v>2117</v>
      </c>
      <c r="AU752" s="19" t="s">
        <v>14670</v>
      </c>
      <c r="AV752" s="19" t="s">
        <v>14671</v>
      </c>
      <c r="AW752" s="19" t="s">
        <v>2166</v>
      </c>
      <c r="AX752" s="20">
        <v>37393.0</v>
      </c>
      <c r="AY752" s="19" t="s">
        <v>3537</v>
      </c>
      <c r="AZ752" s="19" t="s">
        <v>2122</v>
      </c>
      <c r="BA752" s="19" t="s">
        <v>14672</v>
      </c>
      <c r="BB752" s="19" t="s">
        <v>14673</v>
      </c>
      <c r="BC752" s="19" t="s">
        <v>14674</v>
      </c>
      <c r="BD752" s="19" t="s">
        <v>14675</v>
      </c>
      <c r="BE752" s="19" t="s">
        <v>14676</v>
      </c>
      <c r="BF752" s="19">
        <v>1.1934284677E10</v>
      </c>
      <c r="BG752" s="19" t="s">
        <v>4038</v>
      </c>
      <c r="BH752" s="19" t="s">
        <v>2649</v>
      </c>
      <c r="BI752" s="19"/>
      <c r="BJ752" s="19" t="s">
        <v>2129</v>
      </c>
      <c r="BK752" s="19" t="s">
        <v>17</v>
      </c>
      <c r="BL752" s="19" t="s">
        <v>2113</v>
      </c>
      <c r="BM752" s="19" t="s">
        <v>5411</v>
      </c>
      <c r="BN752" s="19" t="s">
        <v>3951</v>
      </c>
      <c r="BO752" s="19" t="s">
        <v>2473</v>
      </c>
      <c r="BP752" s="19" t="s">
        <v>14677</v>
      </c>
      <c r="BQ752" s="19" t="s">
        <v>2133</v>
      </c>
      <c r="BR752" s="19" t="s">
        <v>2133</v>
      </c>
      <c r="BS752" s="19" t="s">
        <v>2134</v>
      </c>
      <c r="BT752" s="19" t="s">
        <v>52</v>
      </c>
      <c r="BU752" s="19" t="s">
        <v>4319</v>
      </c>
      <c r="BV752" s="19"/>
      <c r="BW752" s="19"/>
      <c r="BX752" s="19"/>
      <c r="BY752" s="19" t="s">
        <v>2113</v>
      </c>
      <c r="BZ752" s="19" t="s">
        <v>2113</v>
      </c>
      <c r="CA752" s="19"/>
      <c r="CB752" s="19" t="s">
        <v>2113</v>
      </c>
      <c r="CC752" s="19"/>
      <c r="CD752" s="19" t="s">
        <v>2137</v>
      </c>
      <c r="CE752" s="19" t="s">
        <v>16</v>
      </c>
      <c r="CF752" s="19"/>
      <c r="CG752" s="19"/>
      <c r="CH752" s="19" t="s">
        <v>16</v>
      </c>
      <c r="CI752" s="21">
        <v>0.0</v>
      </c>
      <c r="CJ752" s="19" t="s">
        <v>17</v>
      </c>
      <c r="CK752" s="19"/>
      <c r="CL752" s="19" t="s">
        <v>2113</v>
      </c>
      <c r="CM752" s="19" t="s">
        <v>2926</v>
      </c>
      <c r="CN752" s="19" t="s">
        <v>3544</v>
      </c>
      <c r="CO752" s="19"/>
      <c r="CP752" s="19" t="s">
        <v>2246</v>
      </c>
      <c r="CQ752" s="19"/>
      <c r="CR752" s="19" t="s">
        <v>2113</v>
      </c>
      <c r="CS752" s="19" t="s">
        <v>2113</v>
      </c>
      <c r="CT752" s="19" t="s">
        <v>2113</v>
      </c>
      <c r="CU752" s="19" t="s">
        <v>2113</v>
      </c>
      <c r="CV752" s="19" t="s">
        <v>2141</v>
      </c>
      <c r="CW752" s="19" t="s">
        <v>2113</v>
      </c>
      <c r="CX752" s="19" t="s">
        <v>2113</v>
      </c>
      <c r="CY752" s="19"/>
      <c r="CZ752" s="19"/>
      <c r="DA752" s="19" t="s">
        <v>16</v>
      </c>
      <c r="DB752" s="19" t="s">
        <v>17</v>
      </c>
      <c r="DC752" s="19" t="s">
        <v>2146</v>
      </c>
      <c r="DD752" s="19" t="s">
        <v>2113</v>
      </c>
      <c r="DE752" s="19" t="s">
        <v>2113</v>
      </c>
      <c r="DF752" s="19" t="s">
        <v>2433</v>
      </c>
      <c r="DG752" s="19" t="s">
        <v>2579</v>
      </c>
      <c r="DH752" s="19" t="s">
        <v>2144</v>
      </c>
      <c r="DI752" s="24">
        <v>45524.0</v>
      </c>
      <c r="DJ752" s="19" t="s">
        <v>2133</v>
      </c>
      <c r="DK752" s="19" t="s">
        <v>2145</v>
      </c>
      <c r="DL752" s="19" t="s">
        <v>2146</v>
      </c>
      <c r="DM752" s="19" t="s">
        <v>3302</v>
      </c>
      <c r="DN752" s="19">
        <v>7.0</v>
      </c>
      <c r="DO752" s="19">
        <v>7.0</v>
      </c>
      <c r="DP752" s="19" t="s">
        <v>14678</v>
      </c>
      <c r="DQ752" s="19" t="s">
        <v>14679</v>
      </c>
      <c r="DR752" s="19" t="s">
        <v>14680</v>
      </c>
      <c r="DS752" s="19" t="s">
        <v>2365</v>
      </c>
      <c r="DT752" s="19" t="s">
        <v>2186</v>
      </c>
      <c r="DU752" s="19"/>
      <c r="DV752" s="19"/>
      <c r="DW752" s="19" t="s">
        <v>2153</v>
      </c>
      <c r="DX752" s="19">
        <v>9.0</v>
      </c>
      <c r="DY752" s="19">
        <v>0.0</v>
      </c>
      <c r="DZ752" s="19">
        <v>0.0</v>
      </c>
      <c r="EA752" s="19">
        <v>0.0</v>
      </c>
      <c r="EB752" s="19">
        <v>0.0</v>
      </c>
      <c r="EC752" s="19">
        <v>0.0</v>
      </c>
      <c r="ED752" s="19" t="s">
        <v>2133</v>
      </c>
      <c r="EE752" s="24">
        <v>45524.0</v>
      </c>
      <c r="EF752" s="19" t="s">
        <v>2133</v>
      </c>
      <c r="EG752" s="19" t="s">
        <v>2145</v>
      </c>
      <c r="EH752" s="19" t="s">
        <v>2146</v>
      </c>
      <c r="EI752" s="22">
        <v>15.0</v>
      </c>
      <c r="EJ752" s="19">
        <v>0.0</v>
      </c>
      <c r="EK752" s="19" t="s">
        <v>2113</v>
      </c>
      <c r="EL752" s="19" t="s">
        <v>2117</v>
      </c>
      <c r="EM752" s="19" t="s">
        <v>14670</v>
      </c>
      <c r="EN752" s="19" t="s">
        <v>14664</v>
      </c>
      <c r="EO752" s="19" t="s">
        <v>3537</v>
      </c>
      <c r="EP752" s="19" t="s">
        <v>2122</v>
      </c>
      <c r="EQ752" s="19" t="s">
        <v>3544</v>
      </c>
      <c r="ER752" s="19"/>
      <c r="ES752" s="19" t="s">
        <v>14664</v>
      </c>
      <c r="ET752" s="19" t="s">
        <v>14664</v>
      </c>
      <c r="EU752" s="19" t="s">
        <v>14666</v>
      </c>
      <c r="EV752" s="19">
        <v>8068.0</v>
      </c>
      <c r="EW752" s="19" t="s">
        <v>16</v>
      </c>
      <c r="EX752" s="19">
        <v>3.0</v>
      </c>
      <c r="EY752" s="25" t="s">
        <v>14667</v>
      </c>
      <c r="EZ752" s="19" t="s">
        <v>2154</v>
      </c>
      <c r="FA752" s="5" t="s">
        <v>14681</v>
      </c>
      <c r="FB752" s="26" t="s">
        <v>2633</v>
      </c>
      <c r="FC752" s="26" t="s">
        <v>10773</v>
      </c>
    </row>
    <row r="753" hidden="1">
      <c r="A753" s="19" t="s">
        <v>11494</v>
      </c>
      <c r="B753" s="19"/>
      <c r="C753" s="19" t="s">
        <v>2113</v>
      </c>
      <c r="D753" s="19" t="s">
        <v>14682</v>
      </c>
      <c r="E753" s="19" t="s">
        <v>14683</v>
      </c>
      <c r="F753" s="19" t="s">
        <v>14682</v>
      </c>
      <c r="G753" s="19" t="s">
        <v>14683</v>
      </c>
      <c r="H753" s="19" t="s">
        <v>14682</v>
      </c>
      <c r="I753" s="19" t="s">
        <v>14684</v>
      </c>
      <c r="J753" s="19" t="s">
        <v>14685</v>
      </c>
      <c r="K753" s="19" t="s">
        <v>14686</v>
      </c>
      <c r="L753" s="20">
        <v>45419.0</v>
      </c>
      <c r="M753" s="20">
        <v>45428.0</v>
      </c>
      <c r="N753" s="20">
        <v>45428.0</v>
      </c>
      <c r="O753" s="19" t="s">
        <v>14687</v>
      </c>
      <c r="P753" s="19">
        <v>0.0</v>
      </c>
      <c r="Q753" s="19">
        <v>27.0</v>
      </c>
      <c r="R753" s="19">
        <v>10174.0</v>
      </c>
      <c r="S753" s="20" t="s">
        <v>14688</v>
      </c>
      <c r="T753" s="20">
        <v>45461.0</v>
      </c>
      <c r="U753" s="19" t="s">
        <v>14682</v>
      </c>
      <c r="V753" s="19"/>
      <c r="W753" s="19" t="s">
        <v>14689</v>
      </c>
      <c r="X753" s="21">
        <v>0.0</v>
      </c>
      <c r="Y753" s="21">
        <v>0.0</v>
      </c>
      <c r="Z753" s="21">
        <v>3.0</v>
      </c>
      <c r="AA753" s="21">
        <v>0.0</v>
      </c>
      <c r="AB753" s="5">
        <v>3.0</v>
      </c>
      <c r="AC753" s="19">
        <v>5.0</v>
      </c>
      <c r="AD753" s="19">
        <v>5.0</v>
      </c>
      <c r="AE753" s="19">
        <v>5.0</v>
      </c>
      <c r="AF753" s="19">
        <v>5.0</v>
      </c>
      <c r="AG753" s="19">
        <v>5.0</v>
      </c>
      <c r="AH753" s="19">
        <v>4.0</v>
      </c>
      <c r="AI753" s="22">
        <v>14.625</v>
      </c>
      <c r="AJ753" s="19">
        <v>0.0</v>
      </c>
      <c r="AK753" s="19">
        <v>0.0</v>
      </c>
      <c r="AL753" s="19">
        <v>0.0</v>
      </c>
      <c r="AM753" s="19">
        <v>0.0</v>
      </c>
      <c r="AN753" s="19">
        <v>14.6</v>
      </c>
      <c r="AO753" s="19">
        <v>17.6</v>
      </c>
      <c r="AP753" s="19">
        <v>1218.0</v>
      </c>
      <c r="AQ753" s="19">
        <v>752.0</v>
      </c>
      <c r="AR753" s="19">
        <v>103.0</v>
      </c>
      <c r="AS753" s="22"/>
      <c r="AT753" s="19" t="s">
        <v>2163</v>
      </c>
      <c r="AU753" s="19" t="s">
        <v>14690</v>
      </c>
      <c r="AV753" s="19" t="s">
        <v>14691</v>
      </c>
      <c r="AW753" s="19" t="s">
        <v>11070</v>
      </c>
      <c r="AX753" s="20">
        <v>35287.0</v>
      </c>
      <c r="AY753" s="19" t="s">
        <v>3015</v>
      </c>
      <c r="AZ753" s="19" t="s">
        <v>2310</v>
      </c>
      <c r="BA753" s="19" t="s">
        <v>14692</v>
      </c>
      <c r="BB753" s="19" t="s">
        <v>8265</v>
      </c>
      <c r="BC753" s="19" t="s">
        <v>14693</v>
      </c>
      <c r="BD753" s="19" t="s">
        <v>14694</v>
      </c>
      <c r="BE753" s="19" t="s">
        <v>14685</v>
      </c>
      <c r="BF753" s="19">
        <v>1.1999320028E10</v>
      </c>
      <c r="BG753" s="19" t="s">
        <v>2127</v>
      </c>
      <c r="BH753" s="19" t="s">
        <v>2128</v>
      </c>
      <c r="BI753" s="19"/>
      <c r="BJ753" s="19"/>
      <c r="BK753" s="19" t="s">
        <v>16</v>
      </c>
      <c r="BL753" s="19"/>
      <c r="BM753" s="19" t="s">
        <v>5411</v>
      </c>
      <c r="BN753" s="19" t="s">
        <v>3521</v>
      </c>
      <c r="BO753" s="19" t="s">
        <v>2473</v>
      </c>
      <c r="BP753" s="19"/>
      <c r="BQ753" s="19" t="s">
        <v>2133</v>
      </c>
      <c r="BR753" s="19" t="s">
        <v>2133</v>
      </c>
      <c r="BS753" s="19" t="s">
        <v>3521</v>
      </c>
      <c r="BT753" s="19" t="s">
        <v>38</v>
      </c>
      <c r="BU753" s="19" t="s">
        <v>14695</v>
      </c>
      <c r="BV753" s="19"/>
      <c r="BW753" s="19"/>
      <c r="BX753" s="19"/>
      <c r="BY753" s="19"/>
      <c r="BZ753" s="19"/>
      <c r="CA753" s="19"/>
      <c r="CB753" s="19" t="s">
        <v>2113</v>
      </c>
      <c r="CC753" s="19"/>
      <c r="CD753" s="19" t="s">
        <v>2137</v>
      </c>
      <c r="CE753" s="19" t="s">
        <v>16</v>
      </c>
      <c r="CF753" s="19" t="s">
        <v>2113</v>
      </c>
      <c r="CG753" s="19"/>
      <c r="CH753" s="19" t="s">
        <v>16</v>
      </c>
      <c r="CI753" s="21">
        <v>0.0</v>
      </c>
      <c r="CJ753" s="19" t="s">
        <v>17</v>
      </c>
      <c r="CK753" s="19"/>
      <c r="CL753" s="19"/>
      <c r="CM753" s="19" t="s">
        <v>2138</v>
      </c>
      <c r="CN753" s="19" t="s">
        <v>3020</v>
      </c>
      <c r="CO753" s="19"/>
      <c r="CP753" s="19"/>
      <c r="CQ753" s="19"/>
      <c r="CR753" s="19" t="s">
        <v>2113</v>
      </c>
      <c r="CS753" s="19" t="s">
        <v>2113</v>
      </c>
      <c r="CT753" s="19" t="s">
        <v>2113</v>
      </c>
      <c r="CU753" s="19" t="s">
        <v>2113</v>
      </c>
      <c r="CV753" s="19" t="s">
        <v>2141</v>
      </c>
      <c r="CW753" s="19" t="s">
        <v>2113</v>
      </c>
      <c r="CX753" s="19" t="s">
        <v>2113</v>
      </c>
      <c r="CY753" s="19" t="s">
        <v>2113</v>
      </c>
      <c r="CZ753" s="19" t="s">
        <v>2113</v>
      </c>
      <c r="DA753" s="19" t="s">
        <v>16</v>
      </c>
      <c r="DB753" s="19" t="s">
        <v>17</v>
      </c>
      <c r="DC753" s="19" t="s">
        <v>2143</v>
      </c>
      <c r="DD753" s="19" t="s">
        <v>2113</v>
      </c>
      <c r="DE753" s="19" t="s">
        <v>2113</v>
      </c>
      <c r="DF753" s="19" t="s">
        <v>2601</v>
      </c>
      <c r="DG753" s="19" t="s">
        <v>4425</v>
      </c>
      <c r="DH753" s="19" t="s">
        <v>2144</v>
      </c>
      <c r="DI753" s="24">
        <v>45519.0</v>
      </c>
      <c r="DJ753" s="19" t="s">
        <v>2133</v>
      </c>
      <c r="DK753" s="19" t="s">
        <v>2145</v>
      </c>
      <c r="DL753" s="19" t="s">
        <v>2146</v>
      </c>
      <c r="DM753" s="19"/>
      <c r="DN753" s="19">
        <v>5.0</v>
      </c>
      <c r="DO753" s="19">
        <v>5.0</v>
      </c>
      <c r="DP753" s="19" t="s">
        <v>14696</v>
      </c>
      <c r="DQ753" s="19" t="s">
        <v>14697</v>
      </c>
      <c r="DR753" s="19" t="s">
        <v>14698</v>
      </c>
      <c r="DS753" s="19" t="s">
        <v>2185</v>
      </c>
      <c r="DT753" s="19" t="s">
        <v>2152</v>
      </c>
      <c r="DU753" s="19"/>
      <c r="DV753" s="19"/>
      <c r="DW753" s="19" t="s">
        <v>2153</v>
      </c>
      <c r="DX753" s="19">
        <v>1.0</v>
      </c>
      <c r="DY753" s="19">
        <v>0.0</v>
      </c>
      <c r="DZ753" s="19">
        <v>0.0</v>
      </c>
      <c r="EA753" s="19">
        <v>0.0</v>
      </c>
      <c r="EB753" s="19">
        <v>0.0</v>
      </c>
      <c r="EC753" s="19">
        <v>0.0</v>
      </c>
      <c r="ED753" s="19" t="s">
        <v>2133</v>
      </c>
      <c r="EE753" s="24">
        <v>45519.0</v>
      </c>
      <c r="EF753" s="19" t="s">
        <v>2133</v>
      </c>
      <c r="EG753" s="19" t="s">
        <v>2145</v>
      </c>
      <c r="EH753" s="19" t="s">
        <v>2146</v>
      </c>
      <c r="EI753" s="22">
        <v>14.625</v>
      </c>
      <c r="EJ753" s="19">
        <v>0.0</v>
      </c>
      <c r="EK753" s="19" t="s">
        <v>2113</v>
      </c>
      <c r="EL753" s="19" t="s">
        <v>2163</v>
      </c>
      <c r="EM753" s="19" t="s">
        <v>14690</v>
      </c>
      <c r="EN753" s="19" t="s">
        <v>14684</v>
      </c>
      <c r="EO753" s="19" t="s">
        <v>3015</v>
      </c>
      <c r="EP753" s="19" t="s">
        <v>2310</v>
      </c>
      <c r="EQ753" s="19" t="s">
        <v>3020</v>
      </c>
      <c r="ER753" s="19"/>
      <c r="ES753" s="19" t="s">
        <v>14684</v>
      </c>
      <c r="ET753" s="19" t="s">
        <v>14684</v>
      </c>
      <c r="EU753" s="19" t="s">
        <v>14686</v>
      </c>
      <c r="EV753" s="19">
        <v>10174.0</v>
      </c>
      <c r="EW753" s="19" t="s">
        <v>16</v>
      </c>
      <c r="EX753" s="19">
        <v>3.0</v>
      </c>
      <c r="EY753" s="25" t="s">
        <v>14687</v>
      </c>
      <c r="EZ753" s="19" t="s">
        <v>2154</v>
      </c>
      <c r="FA753" s="5" t="s">
        <v>14699</v>
      </c>
      <c r="FB753" s="26" t="s">
        <v>2633</v>
      </c>
      <c r="FC753" s="26" t="s">
        <v>10773</v>
      </c>
    </row>
    <row r="754" hidden="1">
      <c r="A754" s="19" t="s">
        <v>2156</v>
      </c>
      <c r="B754" s="19"/>
      <c r="C754" s="19" t="s">
        <v>2113</v>
      </c>
      <c r="D754" s="19" t="s">
        <v>14700</v>
      </c>
      <c r="E754" s="19" t="s">
        <v>14701</v>
      </c>
      <c r="F754" s="19" t="s">
        <v>14700</v>
      </c>
      <c r="G754" s="19"/>
      <c r="H754" s="19" t="s">
        <v>14700</v>
      </c>
      <c r="I754" s="19" t="s">
        <v>14702</v>
      </c>
      <c r="J754" s="19" t="s">
        <v>14703</v>
      </c>
      <c r="K754" s="19" t="s">
        <v>14704</v>
      </c>
      <c r="L754" s="20">
        <v>45446.0</v>
      </c>
      <c r="M754" s="20">
        <v>45447.0</v>
      </c>
      <c r="N754" s="20">
        <v>45447.0</v>
      </c>
      <c r="O754" s="19" t="s">
        <v>14705</v>
      </c>
      <c r="P754" s="19">
        <v>0.0</v>
      </c>
      <c r="Q754" s="19">
        <v>19.0</v>
      </c>
      <c r="R754" s="19">
        <v>6994.0</v>
      </c>
      <c r="S754" s="20" t="s">
        <v>14706</v>
      </c>
      <c r="T754" s="20">
        <v>45461.0</v>
      </c>
      <c r="U754" s="19" t="s">
        <v>14700</v>
      </c>
      <c r="V754" s="19"/>
      <c r="W754" s="19" t="s">
        <v>8063</v>
      </c>
      <c r="X754" s="21">
        <v>0.0</v>
      </c>
      <c r="Y754" s="21">
        <v>0.0</v>
      </c>
      <c r="Z754" s="21">
        <v>5.0</v>
      </c>
      <c r="AA754" s="21">
        <v>0.0</v>
      </c>
      <c r="AB754" s="5">
        <v>5.0</v>
      </c>
      <c r="AC754" s="19">
        <v>5.0</v>
      </c>
      <c r="AD754" s="19">
        <v>4.0</v>
      </c>
      <c r="AE754" s="19">
        <v>4.0</v>
      </c>
      <c r="AF754" s="19">
        <v>4.0</v>
      </c>
      <c r="AG754" s="19">
        <v>4.0</v>
      </c>
      <c r="AH754" s="19">
        <v>4.0</v>
      </c>
      <c r="AI754" s="22">
        <v>12.46875</v>
      </c>
      <c r="AJ754" s="19">
        <v>0.0</v>
      </c>
      <c r="AK754" s="19">
        <v>0.0</v>
      </c>
      <c r="AL754" s="19">
        <v>0.0</v>
      </c>
      <c r="AM754" s="19">
        <v>0.0</v>
      </c>
      <c r="AN754" s="19">
        <v>12.5</v>
      </c>
      <c r="AO754" s="19">
        <v>17.5</v>
      </c>
      <c r="AP754" s="19">
        <v>1135.0</v>
      </c>
      <c r="AQ754" s="19">
        <v>753.0</v>
      </c>
      <c r="AR754" s="19">
        <v>68.0</v>
      </c>
      <c r="AS754" s="22"/>
      <c r="AT754" s="19" t="s">
        <v>2163</v>
      </c>
      <c r="AU754" s="19" t="s">
        <v>6300</v>
      </c>
      <c r="AV754" s="19" t="s">
        <v>14707</v>
      </c>
      <c r="AW754" s="19"/>
      <c r="AX754" s="20">
        <v>38467.0</v>
      </c>
      <c r="AY754" s="19" t="s">
        <v>5405</v>
      </c>
      <c r="AZ754" s="19" t="s">
        <v>2310</v>
      </c>
      <c r="BA754" s="19" t="s">
        <v>14708</v>
      </c>
      <c r="BB754" s="19" t="s">
        <v>14709</v>
      </c>
      <c r="BC754" s="19" t="s">
        <v>14710</v>
      </c>
      <c r="BD754" s="19" t="s">
        <v>14711</v>
      </c>
      <c r="BE754" s="19" t="s">
        <v>14712</v>
      </c>
      <c r="BF754" s="19">
        <v>1.1910513713E10</v>
      </c>
      <c r="BG754" s="19" t="s">
        <v>4038</v>
      </c>
      <c r="BH754" s="19" t="s">
        <v>2128</v>
      </c>
      <c r="BI754" s="19"/>
      <c r="BJ754" s="19" t="s">
        <v>2128</v>
      </c>
      <c r="BK754" s="19" t="s">
        <v>17</v>
      </c>
      <c r="BL754" s="19" t="s">
        <v>2113</v>
      </c>
      <c r="BM754" s="19" t="s">
        <v>5411</v>
      </c>
      <c r="BN754" s="19" t="s">
        <v>3521</v>
      </c>
      <c r="BO754" s="19" t="s">
        <v>2132</v>
      </c>
      <c r="BP754" s="19"/>
      <c r="BQ754" s="19" t="s">
        <v>2133</v>
      </c>
      <c r="BR754" s="19" t="s">
        <v>2133</v>
      </c>
      <c r="BS754" s="19" t="s">
        <v>2134</v>
      </c>
      <c r="BT754" s="19" t="s">
        <v>15</v>
      </c>
      <c r="BU754" s="19" t="s">
        <v>14713</v>
      </c>
      <c r="BV754" s="19"/>
      <c r="BW754" s="19"/>
      <c r="BX754" s="19"/>
      <c r="BY754" s="19"/>
      <c r="BZ754" s="19"/>
      <c r="CA754" s="19"/>
      <c r="CB754" s="19" t="s">
        <v>2113</v>
      </c>
      <c r="CC754" s="19"/>
      <c r="CD754" s="19" t="s">
        <v>2137</v>
      </c>
      <c r="CE754" s="19" t="s">
        <v>16</v>
      </c>
      <c r="CF754" s="19"/>
      <c r="CG754" s="19"/>
      <c r="CH754" s="19" t="s">
        <v>16</v>
      </c>
      <c r="CI754" s="21">
        <v>0.0</v>
      </c>
      <c r="CJ754" s="19" t="s">
        <v>17</v>
      </c>
      <c r="CK754" s="19"/>
      <c r="CL754" s="19"/>
      <c r="CM754" s="19" t="s">
        <v>2138</v>
      </c>
      <c r="CN754" s="19" t="s">
        <v>2139</v>
      </c>
      <c r="CO754" s="19"/>
      <c r="CP754" s="19" t="s">
        <v>2246</v>
      </c>
      <c r="CQ754" s="19"/>
      <c r="CR754" s="19" t="s">
        <v>2113</v>
      </c>
      <c r="CS754" s="19" t="s">
        <v>2113</v>
      </c>
      <c r="CT754" s="19" t="s">
        <v>2113</v>
      </c>
      <c r="CU754" s="19" t="s">
        <v>2113</v>
      </c>
      <c r="CV754" s="19" t="s">
        <v>2141</v>
      </c>
      <c r="CW754" s="19" t="s">
        <v>2113</v>
      </c>
      <c r="CX754" s="19" t="s">
        <v>2113</v>
      </c>
      <c r="CY754" s="19" t="s">
        <v>2113</v>
      </c>
      <c r="CZ754" s="19" t="s">
        <v>2113</v>
      </c>
      <c r="DA754" s="19" t="s">
        <v>16</v>
      </c>
      <c r="DB754" s="19" t="s">
        <v>17</v>
      </c>
      <c r="DC754" s="19" t="s">
        <v>2405</v>
      </c>
      <c r="DD754" s="19" t="s">
        <v>2113</v>
      </c>
      <c r="DE754" s="19" t="s">
        <v>2113</v>
      </c>
      <c r="DF754" s="19" t="s">
        <v>3525</v>
      </c>
      <c r="DG754" s="19" t="s">
        <v>2407</v>
      </c>
      <c r="DH754" s="19" t="s">
        <v>2144</v>
      </c>
      <c r="DI754" s="24">
        <v>45519.0</v>
      </c>
      <c r="DJ754" s="19" t="s">
        <v>2133</v>
      </c>
      <c r="DK754" s="19" t="s">
        <v>2145</v>
      </c>
      <c r="DL754" s="19" t="s">
        <v>2146</v>
      </c>
      <c r="DM754" s="19"/>
      <c r="DN754" s="19">
        <v>5.0</v>
      </c>
      <c r="DO754" s="19">
        <v>5.0</v>
      </c>
      <c r="DP754" s="19" t="s">
        <v>14714</v>
      </c>
      <c r="DQ754" s="19" t="s">
        <v>14715</v>
      </c>
      <c r="DR754" s="19" t="s">
        <v>14716</v>
      </c>
      <c r="DS754" s="19" t="s">
        <v>2365</v>
      </c>
      <c r="DT754" s="19" t="s">
        <v>2301</v>
      </c>
      <c r="DU754" s="19"/>
      <c r="DV754" s="19"/>
      <c r="DW754" s="19" t="s">
        <v>2153</v>
      </c>
      <c r="DX754" s="19">
        <v>7.0</v>
      </c>
      <c r="DY754" s="19">
        <v>0.0</v>
      </c>
      <c r="DZ754" s="19">
        <v>0.0</v>
      </c>
      <c r="EA754" s="19">
        <v>0.0</v>
      </c>
      <c r="EB754" s="19">
        <v>0.0</v>
      </c>
      <c r="EC754" s="19">
        <v>0.0</v>
      </c>
      <c r="ED754" s="19" t="s">
        <v>2133</v>
      </c>
      <c r="EE754" s="24">
        <v>45519.0</v>
      </c>
      <c r="EF754" s="19" t="s">
        <v>2133</v>
      </c>
      <c r="EG754" s="19" t="s">
        <v>2145</v>
      </c>
      <c r="EH754" s="19" t="s">
        <v>2146</v>
      </c>
      <c r="EI754" s="22">
        <v>12.46875</v>
      </c>
      <c r="EJ754" s="19">
        <v>0.0</v>
      </c>
      <c r="EK754" s="19" t="s">
        <v>2113</v>
      </c>
      <c r="EL754" s="19" t="s">
        <v>2163</v>
      </c>
      <c r="EM754" s="19" t="s">
        <v>6300</v>
      </c>
      <c r="EN754" s="19" t="s">
        <v>14702</v>
      </c>
      <c r="EO754" s="19" t="s">
        <v>5405</v>
      </c>
      <c r="EP754" s="19" t="s">
        <v>2310</v>
      </c>
      <c r="EQ754" s="19" t="s">
        <v>2139</v>
      </c>
      <c r="ER754" s="19"/>
      <c r="ES754" s="19" t="s">
        <v>14702</v>
      </c>
      <c r="ET754" s="19" t="s">
        <v>14702</v>
      </c>
      <c r="EU754" s="19" t="s">
        <v>14704</v>
      </c>
      <c r="EV754" s="19">
        <v>6994.0</v>
      </c>
      <c r="EW754" s="19" t="s">
        <v>16</v>
      </c>
      <c r="EX754" s="19">
        <v>5.0</v>
      </c>
      <c r="EY754" s="25" t="s">
        <v>14705</v>
      </c>
      <c r="EZ754" s="19" t="s">
        <v>2154</v>
      </c>
      <c r="FA754" s="5" t="s">
        <v>14717</v>
      </c>
      <c r="FB754" s="26" t="s">
        <v>2633</v>
      </c>
      <c r="FC754" s="26" t="s">
        <v>10773</v>
      </c>
    </row>
    <row r="755" hidden="1">
      <c r="A755" s="19" t="s">
        <v>2156</v>
      </c>
      <c r="B755" s="19"/>
      <c r="C755" s="19" t="s">
        <v>2113</v>
      </c>
      <c r="D755" s="19" t="s">
        <v>14718</v>
      </c>
      <c r="E755" s="19" t="s">
        <v>14719</v>
      </c>
      <c r="F755" s="19" t="s">
        <v>14718</v>
      </c>
      <c r="G755" s="19" t="s">
        <v>14719</v>
      </c>
      <c r="H755" s="19" t="s">
        <v>14718</v>
      </c>
      <c r="I755" s="19" t="s">
        <v>14720</v>
      </c>
      <c r="J755" s="19" t="s">
        <v>14721</v>
      </c>
      <c r="K755" s="19" t="s">
        <v>14722</v>
      </c>
      <c r="L755" s="20">
        <v>45447.0</v>
      </c>
      <c r="M755" s="20">
        <v>45448.0</v>
      </c>
      <c r="N755" s="20">
        <v>45448.0</v>
      </c>
      <c r="O755" s="19" t="s">
        <v>14723</v>
      </c>
      <c r="P755" s="19">
        <v>0.0</v>
      </c>
      <c r="Q755" s="19">
        <v>19.0</v>
      </c>
      <c r="R755" s="19">
        <v>7251.0</v>
      </c>
      <c r="S755" s="20" t="s">
        <v>14724</v>
      </c>
      <c r="T755" s="20">
        <v>45461.0</v>
      </c>
      <c r="U755" s="19" t="s">
        <v>14718</v>
      </c>
      <c r="V755" s="19"/>
      <c r="W755" s="19"/>
      <c r="X755" s="21">
        <v>0.0</v>
      </c>
      <c r="Y755" s="21">
        <v>10.0</v>
      </c>
      <c r="Z755" s="21">
        <v>3.0</v>
      </c>
      <c r="AA755" s="21">
        <v>0.0</v>
      </c>
      <c r="AB755" s="5">
        <v>13.0</v>
      </c>
      <c r="AC755" s="19">
        <v>2.0</v>
      </c>
      <c r="AD755" s="19">
        <v>1.0</v>
      </c>
      <c r="AE755" s="19">
        <v>1.0</v>
      </c>
      <c r="AF755" s="19">
        <v>2.0</v>
      </c>
      <c r="AG755" s="19">
        <v>1.5</v>
      </c>
      <c r="AH755" s="19">
        <v>1.5</v>
      </c>
      <c r="AI755" s="22">
        <v>4.21875</v>
      </c>
      <c r="AJ755" s="19"/>
      <c r="AK755" s="19"/>
      <c r="AL755" s="19"/>
      <c r="AM755" s="19">
        <v>0.0</v>
      </c>
      <c r="AN755" s="19">
        <v>4.2</v>
      </c>
      <c r="AO755" s="19">
        <v>17.2</v>
      </c>
      <c r="AP755" s="19">
        <v>777.0</v>
      </c>
      <c r="AQ755" s="19">
        <v>754.0</v>
      </c>
      <c r="AR755" s="19">
        <v>52.0</v>
      </c>
      <c r="AS755" s="22" t="s">
        <v>14725</v>
      </c>
      <c r="AT755" s="19" t="s">
        <v>2117</v>
      </c>
      <c r="AU755" s="19" t="s">
        <v>8910</v>
      </c>
      <c r="AV755" s="19" t="s">
        <v>14396</v>
      </c>
      <c r="AW755" s="19"/>
      <c r="AX755" s="20">
        <v>38210.0</v>
      </c>
      <c r="AY755" s="19" t="s">
        <v>11996</v>
      </c>
      <c r="AZ755" s="19" t="s">
        <v>2310</v>
      </c>
      <c r="BA755" s="19" t="s">
        <v>14397</v>
      </c>
      <c r="BB755" s="19" t="s">
        <v>2667</v>
      </c>
      <c r="BC755" s="19" t="s">
        <v>14726</v>
      </c>
      <c r="BD755" s="19" t="s">
        <v>14727</v>
      </c>
      <c r="BE755" s="19" t="s">
        <v>14721</v>
      </c>
      <c r="BF755" s="19">
        <v>1.1934057451E10</v>
      </c>
      <c r="BG755" s="19" t="s">
        <v>2127</v>
      </c>
      <c r="BH755" s="19" t="s">
        <v>2128</v>
      </c>
      <c r="BI755" s="19"/>
      <c r="BJ755" s="19" t="s">
        <v>2128</v>
      </c>
      <c r="BK755" s="19" t="s">
        <v>16</v>
      </c>
      <c r="BL755" s="19"/>
      <c r="BM755" s="19" t="s">
        <v>5411</v>
      </c>
      <c r="BN755" s="19" t="s">
        <v>2172</v>
      </c>
      <c r="BO755" s="19" t="s">
        <v>2473</v>
      </c>
      <c r="BP755" s="19"/>
      <c r="BQ755" s="19" t="s">
        <v>3832</v>
      </c>
      <c r="BR755" s="19" t="s">
        <v>3832</v>
      </c>
      <c r="BS755" s="19" t="s">
        <v>2134</v>
      </c>
      <c r="BT755" s="19" t="s">
        <v>268</v>
      </c>
      <c r="BU755" s="19"/>
      <c r="BV755" s="19"/>
      <c r="BW755" s="19" t="s">
        <v>2113</v>
      </c>
      <c r="BX755" s="19"/>
      <c r="BY755" s="19"/>
      <c r="BZ755" s="19"/>
      <c r="CA755" s="19"/>
      <c r="CB755" s="19" t="s">
        <v>2113</v>
      </c>
      <c r="CC755" s="19"/>
      <c r="CD755" s="19" t="s">
        <v>2137</v>
      </c>
      <c r="CE755" s="19" t="s">
        <v>16</v>
      </c>
      <c r="CF755" s="19"/>
      <c r="CG755" s="19"/>
      <c r="CH755" s="19" t="s">
        <v>16</v>
      </c>
      <c r="CI755" s="21">
        <v>0.0</v>
      </c>
      <c r="CJ755" s="19" t="s">
        <v>17</v>
      </c>
      <c r="CK755" s="19"/>
      <c r="CL755" s="19"/>
      <c r="CM755" s="19" t="s">
        <v>2344</v>
      </c>
      <c r="CN755" s="19" t="s">
        <v>3835</v>
      </c>
      <c r="CO755" s="19"/>
      <c r="CP755" s="19" t="s">
        <v>2134</v>
      </c>
      <c r="CQ755" s="19"/>
      <c r="CR755" s="19" t="s">
        <v>2113</v>
      </c>
      <c r="CS755" s="19" t="s">
        <v>2113</v>
      </c>
      <c r="CT755" s="19" t="s">
        <v>2113</v>
      </c>
      <c r="CU755" s="19" t="s">
        <v>2113</v>
      </c>
      <c r="CV755" s="19" t="s">
        <v>2141</v>
      </c>
      <c r="CW755" s="19"/>
      <c r="CX755" s="19"/>
      <c r="CY755" s="19"/>
      <c r="CZ755" s="19"/>
      <c r="DA755" s="19" t="s">
        <v>16</v>
      </c>
      <c r="DB755" s="19" t="s">
        <v>17</v>
      </c>
      <c r="DC755" s="19" t="s">
        <v>4083</v>
      </c>
      <c r="DD755" s="19" t="s">
        <v>2113</v>
      </c>
      <c r="DE755" s="19" t="s">
        <v>2113</v>
      </c>
      <c r="DF755" s="19" t="s">
        <v>14728</v>
      </c>
      <c r="DG755" s="19" t="s">
        <v>2248</v>
      </c>
      <c r="DH755" s="19" t="s">
        <v>2144</v>
      </c>
      <c r="DI755" s="24">
        <v>45518.0</v>
      </c>
      <c r="DJ755" s="19" t="s">
        <v>3257</v>
      </c>
      <c r="DK755" s="19" t="s">
        <v>2271</v>
      </c>
      <c r="DL755" s="19" t="s">
        <v>2207</v>
      </c>
      <c r="DM755" s="22" t="s">
        <v>3743</v>
      </c>
      <c r="DN755" s="19">
        <v>1.0</v>
      </c>
      <c r="DO755" s="19">
        <v>1.0</v>
      </c>
      <c r="DP755" s="19" t="s">
        <v>14729</v>
      </c>
      <c r="DQ755" s="19" t="s">
        <v>14730</v>
      </c>
      <c r="DR755" s="19" t="s">
        <v>14731</v>
      </c>
      <c r="DS755" s="19" t="s">
        <v>2185</v>
      </c>
      <c r="DT755" s="19" t="s">
        <v>2186</v>
      </c>
      <c r="DU755" s="19"/>
      <c r="DV755" s="19"/>
      <c r="DW755" s="19" t="s">
        <v>2153</v>
      </c>
      <c r="DX755" s="19">
        <v>1.0</v>
      </c>
      <c r="DY755" s="19">
        <v>10.0</v>
      </c>
      <c r="DZ755" s="19">
        <v>0.0</v>
      </c>
      <c r="EA755" s="19">
        <v>10.0</v>
      </c>
      <c r="EB755" s="19">
        <v>0.0</v>
      </c>
      <c r="EC755" s="19">
        <v>0.0</v>
      </c>
      <c r="ED755" s="19" t="s">
        <v>3257</v>
      </c>
      <c r="EE755" s="24">
        <v>45518.0</v>
      </c>
      <c r="EF755" s="19" t="s">
        <v>3257</v>
      </c>
      <c r="EG755" s="19" t="s">
        <v>2271</v>
      </c>
      <c r="EH755" s="19" t="s">
        <v>2207</v>
      </c>
      <c r="EI755" s="22">
        <v>4.21875</v>
      </c>
      <c r="EJ755" s="19">
        <v>0.0</v>
      </c>
      <c r="EK755" s="19" t="s">
        <v>2113</v>
      </c>
      <c r="EL755" s="19" t="s">
        <v>2117</v>
      </c>
      <c r="EM755" s="19" t="s">
        <v>8910</v>
      </c>
      <c r="EN755" s="19" t="s">
        <v>14720</v>
      </c>
      <c r="EO755" s="19" t="s">
        <v>11996</v>
      </c>
      <c r="EP755" s="19" t="s">
        <v>2310</v>
      </c>
      <c r="EQ755" s="19" t="s">
        <v>3835</v>
      </c>
      <c r="ER755" s="19"/>
      <c r="ES755" s="19" t="s">
        <v>14720</v>
      </c>
      <c r="ET755" s="19" t="s">
        <v>14720</v>
      </c>
      <c r="EU755" s="19" t="s">
        <v>14722</v>
      </c>
      <c r="EV755" s="19">
        <v>7251.0</v>
      </c>
      <c r="EW755" s="19" t="s">
        <v>16</v>
      </c>
      <c r="EX755" s="19">
        <v>3.0</v>
      </c>
      <c r="EY755" s="25" t="s">
        <v>14723</v>
      </c>
      <c r="EZ755" s="19" t="s">
        <v>2154</v>
      </c>
      <c r="FA755" s="5" t="s">
        <v>14732</v>
      </c>
      <c r="FB755" s="26" t="s">
        <v>2633</v>
      </c>
      <c r="FC755" s="26" t="s">
        <v>10773</v>
      </c>
    </row>
    <row r="756" hidden="1">
      <c r="A756" s="19" t="s">
        <v>2156</v>
      </c>
      <c r="B756" s="19"/>
      <c r="C756" s="19" t="s">
        <v>2113</v>
      </c>
      <c r="D756" s="19" t="s">
        <v>14733</v>
      </c>
      <c r="E756" s="19" t="s">
        <v>14734</v>
      </c>
      <c r="F756" s="19" t="s">
        <v>14733</v>
      </c>
      <c r="G756" s="19"/>
      <c r="H756" s="19" t="s">
        <v>14735</v>
      </c>
      <c r="I756" s="19" t="s">
        <v>14736</v>
      </c>
      <c r="J756" s="19" t="s">
        <v>14737</v>
      </c>
      <c r="K756" s="19" t="s">
        <v>14738</v>
      </c>
      <c r="L756" s="20">
        <v>45420.0</v>
      </c>
      <c r="M756" s="20">
        <v>45428.0</v>
      </c>
      <c r="N756" s="20">
        <v>45428.0</v>
      </c>
      <c r="O756" s="19" t="s">
        <v>14739</v>
      </c>
      <c r="P756" s="19">
        <v>0.0</v>
      </c>
      <c r="Q756" s="19">
        <v>25.0</v>
      </c>
      <c r="R756" s="19">
        <v>9312.0</v>
      </c>
      <c r="S756" s="20" t="s">
        <v>14740</v>
      </c>
      <c r="T756" s="20">
        <v>45461.0</v>
      </c>
      <c r="U756" s="19" t="s">
        <v>14733</v>
      </c>
      <c r="V756" s="19"/>
      <c r="W756" s="19"/>
      <c r="X756" s="21">
        <v>0.0</v>
      </c>
      <c r="Y756" s="21">
        <v>0.0</v>
      </c>
      <c r="Z756" s="21">
        <v>3.0</v>
      </c>
      <c r="AA756" s="21">
        <v>0.0</v>
      </c>
      <c r="AB756" s="5">
        <v>3.0</v>
      </c>
      <c r="AC756" s="19">
        <v>5.0</v>
      </c>
      <c r="AD756" s="19">
        <v>5.0</v>
      </c>
      <c r="AE756" s="19">
        <v>4.0</v>
      </c>
      <c r="AF756" s="19">
        <v>4.0</v>
      </c>
      <c r="AG756" s="19">
        <v>5.0</v>
      </c>
      <c r="AH756" s="19">
        <v>4.0</v>
      </c>
      <c r="AI756" s="22">
        <v>13.5</v>
      </c>
      <c r="AJ756" s="19">
        <v>0.0</v>
      </c>
      <c r="AK756" s="19">
        <v>0.0</v>
      </c>
      <c r="AL756" s="19">
        <v>0.0</v>
      </c>
      <c r="AM756" s="19">
        <v>0.0</v>
      </c>
      <c r="AN756" s="19">
        <v>13.5</v>
      </c>
      <c r="AO756" s="19">
        <v>16.5</v>
      </c>
      <c r="AP756" s="19">
        <v>1239.0</v>
      </c>
      <c r="AQ756" s="19">
        <v>755.0</v>
      </c>
      <c r="AR756" s="19">
        <v>53.0</v>
      </c>
      <c r="AS756" s="22"/>
      <c r="AT756" s="19" t="s">
        <v>2282</v>
      </c>
      <c r="AU756" s="19" t="s">
        <v>7464</v>
      </c>
      <c r="AV756" s="19" t="s">
        <v>4073</v>
      </c>
      <c r="AW756" s="19" t="s">
        <v>14741</v>
      </c>
      <c r="AX756" s="20">
        <v>36149.0</v>
      </c>
      <c r="AY756" s="19" t="e">
        <v>#REF!</v>
      </c>
      <c r="AZ756" s="19" t="s">
        <v>2122</v>
      </c>
      <c r="BA756" s="19" t="s">
        <v>4075</v>
      </c>
      <c r="BB756" s="19" t="s">
        <v>4076</v>
      </c>
      <c r="BC756" s="19" t="s">
        <v>14742</v>
      </c>
      <c r="BD756" s="19" t="s">
        <v>14743</v>
      </c>
      <c r="BE756" s="19" t="s">
        <v>14737</v>
      </c>
      <c r="BF756" s="19">
        <v>1.1954929769E10</v>
      </c>
      <c r="BG756" s="19" t="s">
        <v>4038</v>
      </c>
      <c r="BH756" s="19" t="s">
        <v>2128</v>
      </c>
      <c r="BI756" s="19"/>
      <c r="BJ756" s="19" t="s">
        <v>2128</v>
      </c>
      <c r="BK756" s="19" t="s">
        <v>17</v>
      </c>
      <c r="BL756" s="19"/>
      <c r="BM756" s="19" t="s">
        <v>5411</v>
      </c>
      <c r="BN756" s="19" t="s">
        <v>17</v>
      </c>
      <c r="BO756" s="19" t="s">
        <v>2473</v>
      </c>
      <c r="BP756" s="19"/>
      <c r="BQ756" s="19" t="s">
        <v>3832</v>
      </c>
      <c r="BR756" s="19" t="s">
        <v>3832</v>
      </c>
      <c r="BS756" s="19" t="s">
        <v>2134</v>
      </c>
      <c r="BT756" s="19" t="s">
        <v>268</v>
      </c>
      <c r="BU756" s="19" t="s">
        <v>14744</v>
      </c>
      <c r="BV756" s="19"/>
      <c r="BW756" s="19" t="s">
        <v>2113</v>
      </c>
      <c r="BX756" s="19"/>
      <c r="BY756" s="19"/>
      <c r="BZ756" s="19"/>
      <c r="CA756" s="19"/>
      <c r="CB756" s="19" t="s">
        <v>2113</v>
      </c>
      <c r="CC756" s="19"/>
      <c r="CD756" s="19" t="s">
        <v>2137</v>
      </c>
      <c r="CE756" s="19" t="s">
        <v>16</v>
      </c>
      <c r="CF756" s="19"/>
      <c r="CG756" s="19"/>
      <c r="CH756" s="19" t="s">
        <v>16</v>
      </c>
      <c r="CI756" s="21">
        <v>0.0</v>
      </c>
      <c r="CJ756" s="19" t="s">
        <v>16</v>
      </c>
      <c r="CK756" s="19"/>
      <c r="CL756" s="19"/>
      <c r="CM756" s="19" t="s">
        <v>2344</v>
      </c>
      <c r="CN756" s="19" t="s">
        <v>3835</v>
      </c>
      <c r="CO756" s="19"/>
      <c r="CP756" s="19" t="s">
        <v>2246</v>
      </c>
      <c r="CQ756" s="19"/>
      <c r="CR756" s="19" t="s">
        <v>2113</v>
      </c>
      <c r="CS756" s="19" t="s">
        <v>2113</v>
      </c>
      <c r="CT756" s="19" t="s">
        <v>2113</v>
      </c>
      <c r="CU756" s="19" t="s">
        <v>2113</v>
      </c>
      <c r="CV756" s="19" t="s">
        <v>2141</v>
      </c>
      <c r="CW756" s="19" t="s">
        <v>2113</v>
      </c>
      <c r="CX756" s="19" t="s">
        <v>2113</v>
      </c>
      <c r="CY756" s="19"/>
      <c r="CZ756" s="19"/>
      <c r="DA756" s="19" t="s">
        <v>16</v>
      </c>
      <c r="DB756" s="19" t="s">
        <v>16</v>
      </c>
      <c r="DC756" s="19" t="s">
        <v>4083</v>
      </c>
      <c r="DD756" s="19" t="s">
        <v>2113</v>
      </c>
      <c r="DE756" s="19" t="s">
        <v>2113</v>
      </c>
      <c r="DF756" s="19" t="s">
        <v>2602</v>
      </c>
      <c r="DG756" s="19" t="s">
        <v>2433</v>
      </c>
      <c r="DH756" s="19" t="s">
        <v>2144</v>
      </c>
      <c r="DI756" s="24">
        <v>45519.0</v>
      </c>
      <c r="DJ756" s="19" t="s">
        <v>3257</v>
      </c>
      <c r="DK756" s="19" t="s">
        <v>2271</v>
      </c>
      <c r="DL756" s="19" t="s">
        <v>2207</v>
      </c>
      <c r="DM756" s="19" t="s">
        <v>3450</v>
      </c>
      <c r="DN756" s="19">
        <v>3.0</v>
      </c>
      <c r="DO756" s="19">
        <v>3.0</v>
      </c>
      <c r="DP756" s="19" t="s">
        <v>14745</v>
      </c>
      <c r="DQ756" s="19" t="s">
        <v>14746</v>
      </c>
      <c r="DR756" s="19" t="s">
        <v>14747</v>
      </c>
      <c r="DS756" s="19" t="s">
        <v>2185</v>
      </c>
      <c r="DT756" s="19" t="s">
        <v>2209</v>
      </c>
      <c r="DU756" s="19"/>
      <c r="DV756" s="19"/>
      <c r="DW756" s="19" t="s">
        <v>2153</v>
      </c>
      <c r="DX756" s="19">
        <v>2.0</v>
      </c>
      <c r="DY756" s="19">
        <v>0.0</v>
      </c>
      <c r="DZ756" s="19">
        <v>0.0</v>
      </c>
      <c r="EA756" s="19">
        <v>0.0</v>
      </c>
      <c r="EB756" s="19">
        <v>0.0</v>
      </c>
      <c r="EC756" s="19">
        <v>0.0</v>
      </c>
      <c r="ED756" s="19" t="s">
        <v>3257</v>
      </c>
      <c r="EE756" s="24">
        <v>45519.0</v>
      </c>
      <c r="EF756" s="19" t="s">
        <v>3257</v>
      </c>
      <c r="EG756" s="19" t="s">
        <v>2271</v>
      </c>
      <c r="EH756" s="19" t="s">
        <v>2207</v>
      </c>
      <c r="EI756" s="22">
        <v>13.5</v>
      </c>
      <c r="EJ756" s="19">
        <v>0.0</v>
      </c>
      <c r="EK756" s="19"/>
      <c r="EL756" s="19" t="s">
        <v>2282</v>
      </c>
      <c r="EM756" s="19" t="s">
        <v>7464</v>
      </c>
      <c r="EN756" s="19" t="s">
        <v>14736</v>
      </c>
      <c r="EO756" s="19" t="e">
        <v>#REF!</v>
      </c>
      <c r="EP756" s="19" t="s">
        <v>2122</v>
      </c>
      <c r="EQ756" s="19" t="s">
        <v>3835</v>
      </c>
      <c r="ER756" s="19"/>
      <c r="ES756" s="19" t="s">
        <v>14736</v>
      </c>
      <c r="ET756" s="19" t="s">
        <v>14736</v>
      </c>
      <c r="EU756" s="19" t="s">
        <v>14738</v>
      </c>
      <c r="EV756" s="19">
        <v>9312.0</v>
      </c>
      <c r="EW756" s="19" t="s">
        <v>16</v>
      </c>
      <c r="EX756" s="19">
        <v>3.0</v>
      </c>
      <c r="EY756" s="25" t="s">
        <v>14739</v>
      </c>
      <c r="EZ756" s="19" t="s">
        <v>2154</v>
      </c>
      <c r="FA756" s="5" t="s">
        <v>14748</v>
      </c>
      <c r="FB756" s="26" t="s">
        <v>2633</v>
      </c>
      <c r="FC756" s="26" t="s">
        <v>11913</v>
      </c>
    </row>
    <row r="757" hidden="1">
      <c r="A757" s="19" t="s">
        <v>2156</v>
      </c>
      <c r="B757" s="19"/>
      <c r="C757" s="19" t="s">
        <v>2113</v>
      </c>
      <c r="D757" s="19" t="s">
        <v>14749</v>
      </c>
      <c r="E757" s="19" t="s">
        <v>14750</v>
      </c>
      <c r="F757" s="19" t="s">
        <v>14749</v>
      </c>
      <c r="G757" s="19"/>
      <c r="H757" s="19" t="s">
        <v>14749</v>
      </c>
      <c r="I757" s="19" t="s">
        <v>14751</v>
      </c>
      <c r="J757" s="19" t="s">
        <v>14752</v>
      </c>
      <c r="K757" s="19" t="s">
        <v>14753</v>
      </c>
      <c r="L757" s="20">
        <v>45428.0</v>
      </c>
      <c r="M757" s="20">
        <v>45429.0</v>
      </c>
      <c r="N757" s="20">
        <v>45429.0</v>
      </c>
      <c r="O757" s="19" t="s">
        <v>14754</v>
      </c>
      <c r="P757" s="19">
        <v>0.0</v>
      </c>
      <c r="Q757" s="19">
        <v>23.0</v>
      </c>
      <c r="R757" s="19">
        <v>8559.0</v>
      </c>
      <c r="S757" s="20" t="s">
        <v>14755</v>
      </c>
      <c r="T757" s="20">
        <v>45461.0</v>
      </c>
      <c r="U757" s="19" t="s">
        <v>14749</v>
      </c>
      <c r="V757" s="19"/>
      <c r="W757" s="19" t="s">
        <v>14756</v>
      </c>
      <c r="X757" s="21">
        <v>0.0</v>
      </c>
      <c r="Y757" s="21">
        <v>0.0</v>
      </c>
      <c r="Z757" s="21">
        <v>3.0</v>
      </c>
      <c r="AA757" s="21">
        <v>0.0</v>
      </c>
      <c r="AB757" s="5">
        <v>3.0</v>
      </c>
      <c r="AC757" s="19">
        <v>3.0</v>
      </c>
      <c r="AD757" s="19">
        <v>5.0</v>
      </c>
      <c r="AE757" s="19">
        <v>5.0</v>
      </c>
      <c r="AF757" s="19">
        <v>5.0</v>
      </c>
      <c r="AG757" s="19">
        <v>4.0</v>
      </c>
      <c r="AH757" s="19">
        <v>4.0</v>
      </c>
      <c r="AI757" s="22">
        <v>13.3125</v>
      </c>
      <c r="AJ757" s="19">
        <v>0.0</v>
      </c>
      <c r="AK757" s="19">
        <v>0.0</v>
      </c>
      <c r="AL757" s="19">
        <v>0.0</v>
      </c>
      <c r="AM757" s="19">
        <v>0.0</v>
      </c>
      <c r="AN757" s="19">
        <v>13.3</v>
      </c>
      <c r="AO757" s="19">
        <v>16.3</v>
      </c>
      <c r="AP757" s="19">
        <v>1262.0</v>
      </c>
      <c r="AQ757" s="19">
        <v>756.0</v>
      </c>
      <c r="AR757" s="19">
        <v>50.0</v>
      </c>
      <c r="AS757" s="22"/>
      <c r="AT757" s="19" t="s">
        <v>2282</v>
      </c>
      <c r="AU757" s="19" t="s">
        <v>6636</v>
      </c>
      <c r="AV757" s="19" t="s">
        <v>14757</v>
      </c>
      <c r="AW757" s="19" t="s">
        <v>14758</v>
      </c>
      <c r="AX757" s="20">
        <v>36902.0</v>
      </c>
      <c r="AY757" s="19" t="s">
        <v>3537</v>
      </c>
      <c r="AZ757" s="19" t="s">
        <v>2122</v>
      </c>
      <c r="BA757" s="19" t="s">
        <v>14759</v>
      </c>
      <c r="BB757" s="19" t="s">
        <v>6537</v>
      </c>
      <c r="BC757" s="19" t="s">
        <v>14760</v>
      </c>
      <c r="BD757" s="19" t="s">
        <v>14761</v>
      </c>
      <c r="BE757" s="19" t="s">
        <v>14762</v>
      </c>
      <c r="BF757" s="19">
        <v>1.1947144788E10</v>
      </c>
      <c r="BG757" s="19" t="s">
        <v>2127</v>
      </c>
      <c r="BH757" s="19" t="s">
        <v>2128</v>
      </c>
      <c r="BI757" s="19"/>
      <c r="BJ757" s="19" t="s">
        <v>2128</v>
      </c>
      <c r="BK757" s="19" t="s">
        <v>17</v>
      </c>
      <c r="BL757" s="19"/>
      <c r="BM757" s="19" t="s">
        <v>5796</v>
      </c>
      <c r="BN757" s="19" t="s">
        <v>3910</v>
      </c>
      <c r="BO757" s="19" t="s">
        <v>2473</v>
      </c>
      <c r="BP757" s="19" t="s">
        <v>14763</v>
      </c>
      <c r="BQ757" s="19" t="s">
        <v>2133</v>
      </c>
      <c r="BR757" s="19" t="s">
        <v>2133</v>
      </c>
      <c r="BS757" s="19" t="s">
        <v>3521</v>
      </c>
      <c r="BT757" s="19" t="s">
        <v>222</v>
      </c>
      <c r="BU757" s="19" t="s">
        <v>14764</v>
      </c>
      <c r="BV757" s="19"/>
      <c r="BW757" s="19" t="s">
        <v>2113</v>
      </c>
      <c r="BX757" s="19"/>
      <c r="BY757" s="19"/>
      <c r="BZ757" s="19"/>
      <c r="CA757" s="19"/>
      <c r="CB757" s="19" t="s">
        <v>2113</v>
      </c>
      <c r="CC757" s="19"/>
      <c r="CD757" s="19" t="s">
        <v>2137</v>
      </c>
      <c r="CE757" s="19" t="s">
        <v>16</v>
      </c>
      <c r="CF757" s="19"/>
      <c r="CG757" s="19"/>
      <c r="CH757" s="19" t="s">
        <v>16</v>
      </c>
      <c r="CI757" s="21">
        <v>0.0</v>
      </c>
      <c r="CJ757" s="19" t="s">
        <v>16</v>
      </c>
      <c r="CK757" s="19"/>
      <c r="CL757" s="19"/>
      <c r="CM757" s="19" t="s">
        <v>2344</v>
      </c>
      <c r="CN757" s="19" t="s">
        <v>3544</v>
      </c>
      <c r="CO757" s="19"/>
      <c r="CP757" s="19" t="s">
        <v>2178</v>
      </c>
      <c r="CQ757" s="19"/>
      <c r="CR757" s="19"/>
      <c r="CS757" s="19"/>
      <c r="CT757" s="19" t="s">
        <v>2113</v>
      </c>
      <c r="CU757" s="19" t="s">
        <v>2113</v>
      </c>
      <c r="CV757" s="19" t="s">
        <v>2141</v>
      </c>
      <c r="CW757" s="19"/>
      <c r="CX757" s="19"/>
      <c r="CY757" s="19"/>
      <c r="CZ757" s="19"/>
      <c r="DA757" s="19" t="s">
        <v>16</v>
      </c>
      <c r="DB757" s="19" t="s">
        <v>16</v>
      </c>
      <c r="DC757" s="19" t="s">
        <v>2146</v>
      </c>
      <c r="DD757" s="19" t="s">
        <v>2113</v>
      </c>
      <c r="DE757" s="19" t="s">
        <v>2113</v>
      </c>
      <c r="DF757" s="19" t="s">
        <v>3255</v>
      </c>
      <c r="DG757" s="19" t="s">
        <v>2433</v>
      </c>
      <c r="DH757" s="19" t="s">
        <v>2144</v>
      </c>
      <c r="DI757" s="24">
        <v>45519.0</v>
      </c>
      <c r="DJ757" s="19" t="s">
        <v>2133</v>
      </c>
      <c r="DK757" s="19" t="s">
        <v>2271</v>
      </c>
      <c r="DL757" s="19" t="s">
        <v>2146</v>
      </c>
      <c r="DM757" s="19" t="s">
        <v>2751</v>
      </c>
      <c r="DN757" s="19">
        <v>6.0</v>
      </c>
      <c r="DO757" s="19">
        <v>6.0</v>
      </c>
      <c r="DP757" s="19" t="s">
        <v>14765</v>
      </c>
      <c r="DQ757" s="19" t="s">
        <v>14766</v>
      </c>
      <c r="DR757" s="19" t="s">
        <v>14767</v>
      </c>
      <c r="DS757" s="19" t="s">
        <v>2365</v>
      </c>
      <c r="DT757" s="19" t="s">
        <v>2209</v>
      </c>
      <c r="DU757" s="19"/>
      <c r="DV757" s="19"/>
      <c r="DW757" s="19" t="s">
        <v>2153</v>
      </c>
      <c r="DX757" s="19">
        <v>7.0</v>
      </c>
      <c r="DY757" s="19">
        <v>0.0</v>
      </c>
      <c r="DZ757" s="19">
        <v>0.0</v>
      </c>
      <c r="EA757" s="19">
        <v>0.0</v>
      </c>
      <c r="EB757" s="19">
        <v>0.0</v>
      </c>
      <c r="EC757" s="19">
        <v>0.0</v>
      </c>
      <c r="ED757" s="19" t="s">
        <v>2133</v>
      </c>
      <c r="EE757" s="24">
        <v>45519.0</v>
      </c>
      <c r="EF757" s="19" t="s">
        <v>2133</v>
      </c>
      <c r="EG757" s="19" t="s">
        <v>2271</v>
      </c>
      <c r="EH757" s="19" t="s">
        <v>2146</v>
      </c>
      <c r="EI757" s="22">
        <v>13.3125</v>
      </c>
      <c r="EJ757" s="19">
        <v>0.0</v>
      </c>
      <c r="EK757" s="19"/>
      <c r="EL757" s="19" t="s">
        <v>2282</v>
      </c>
      <c r="EM757" s="19" t="s">
        <v>6636</v>
      </c>
      <c r="EN757" s="19" t="s">
        <v>14751</v>
      </c>
      <c r="EO757" s="19" t="s">
        <v>3537</v>
      </c>
      <c r="EP757" s="19" t="s">
        <v>2122</v>
      </c>
      <c r="EQ757" s="19" t="s">
        <v>3544</v>
      </c>
      <c r="ER757" s="19"/>
      <c r="ES757" s="19" t="s">
        <v>14751</v>
      </c>
      <c r="ET757" s="19" t="s">
        <v>14751</v>
      </c>
      <c r="EU757" s="19" t="s">
        <v>14753</v>
      </c>
      <c r="EV757" s="19">
        <v>8559.0</v>
      </c>
      <c r="EW757" s="19" t="s">
        <v>16</v>
      </c>
      <c r="EX757" s="19">
        <v>3.0</v>
      </c>
      <c r="EY757" s="25" t="s">
        <v>14754</v>
      </c>
      <c r="EZ757" s="19" t="s">
        <v>2154</v>
      </c>
      <c r="FA757" s="5" t="s">
        <v>14768</v>
      </c>
      <c r="FB757" s="26" t="s">
        <v>2633</v>
      </c>
      <c r="FC757" s="26" t="s">
        <v>10773</v>
      </c>
    </row>
    <row r="758" hidden="1">
      <c r="A758" s="19" t="s">
        <v>2156</v>
      </c>
      <c r="B758" s="19"/>
      <c r="C758" s="19" t="s">
        <v>2113</v>
      </c>
      <c r="D758" s="19" t="s">
        <v>14769</v>
      </c>
      <c r="E758" s="19" t="s">
        <v>14770</v>
      </c>
      <c r="F758" s="19" t="s">
        <v>14769</v>
      </c>
      <c r="G758" s="19"/>
      <c r="H758" s="19" t="s">
        <v>14769</v>
      </c>
      <c r="I758" s="19" t="s">
        <v>14771</v>
      </c>
      <c r="J758" s="19" t="s">
        <v>14772</v>
      </c>
      <c r="K758" s="19" t="s">
        <v>14773</v>
      </c>
      <c r="L758" s="20">
        <v>45460.0</v>
      </c>
      <c r="M758" s="20">
        <v>45462.0</v>
      </c>
      <c r="N758" s="20">
        <v>45462.0</v>
      </c>
      <c r="O758" s="19" t="s">
        <v>14774</v>
      </c>
      <c r="P758" s="19">
        <v>0.0</v>
      </c>
      <c r="Q758" s="19">
        <v>21.0</v>
      </c>
      <c r="R758" s="19">
        <v>7845.0</v>
      </c>
      <c r="S758" s="20" t="s">
        <v>14775</v>
      </c>
      <c r="T758" s="20">
        <v>45461.0</v>
      </c>
      <c r="U758" s="19" t="s">
        <v>14769</v>
      </c>
      <c r="V758" s="19"/>
      <c r="W758" s="19" t="s">
        <v>14776</v>
      </c>
      <c r="X758" s="21">
        <v>0.0</v>
      </c>
      <c r="Y758" s="21">
        <v>0.0</v>
      </c>
      <c r="Z758" s="21">
        <v>3.0</v>
      </c>
      <c r="AA758" s="21">
        <v>0.0</v>
      </c>
      <c r="AB758" s="5">
        <v>3.0</v>
      </c>
      <c r="AC758" s="19">
        <v>3.0</v>
      </c>
      <c r="AD758" s="19">
        <v>5.0</v>
      </c>
      <c r="AE758" s="19">
        <v>5.0</v>
      </c>
      <c r="AF758" s="19">
        <v>5.0</v>
      </c>
      <c r="AG758" s="19">
        <v>4.0</v>
      </c>
      <c r="AH758" s="19">
        <v>4.0</v>
      </c>
      <c r="AI758" s="22">
        <v>13.3125</v>
      </c>
      <c r="AJ758" s="19">
        <v>0.0</v>
      </c>
      <c r="AK758" s="19">
        <v>0.0</v>
      </c>
      <c r="AL758" s="19">
        <v>0.0</v>
      </c>
      <c r="AM758" s="19">
        <v>0.0</v>
      </c>
      <c r="AN758" s="19">
        <v>13.3</v>
      </c>
      <c r="AO758" s="19">
        <v>16.3</v>
      </c>
      <c r="AP758" s="19">
        <v>1288.0</v>
      </c>
      <c r="AQ758" s="19">
        <v>757.0</v>
      </c>
      <c r="AR758" s="19">
        <v>104.0</v>
      </c>
      <c r="AS758" s="22"/>
      <c r="AT758" s="19" t="s">
        <v>2282</v>
      </c>
      <c r="AU758" s="19" t="s">
        <v>10070</v>
      </c>
      <c r="AV758" s="19" t="s">
        <v>14777</v>
      </c>
      <c r="AW758" s="19"/>
      <c r="AX758" s="20">
        <v>37616.0</v>
      </c>
      <c r="AY758" s="19" t="s">
        <v>5729</v>
      </c>
      <c r="AZ758" s="19" t="s">
        <v>2310</v>
      </c>
      <c r="BA758" s="19" t="s">
        <v>14778</v>
      </c>
      <c r="BB758" s="19" t="s">
        <v>3868</v>
      </c>
      <c r="BC758" s="19" t="s">
        <v>14779</v>
      </c>
      <c r="BD758" s="19" t="s">
        <v>14780</v>
      </c>
      <c r="BE758" s="19" t="s">
        <v>14772</v>
      </c>
      <c r="BF758" s="19">
        <v>1.1991432766E10</v>
      </c>
      <c r="BG758" s="19" t="s">
        <v>4038</v>
      </c>
      <c r="BH758" s="19" t="s">
        <v>2128</v>
      </c>
      <c r="BI758" s="19"/>
      <c r="BJ758" s="19" t="s">
        <v>2129</v>
      </c>
      <c r="BK758" s="19" t="s">
        <v>17</v>
      </c>
      <c r="BL758" s="19"/>
      <c r="BM758" s="19" t="s">
        <v>5563</v>
      </c>
      <c r="BN758" s="19" t="s">
        <v>3521</v>
      </c>
      <c r="BO758" s="19" t="s">
        <v>2473</v>
      </c>
      <c r="BP758" s="19"/>
      <c r="BQ758" s="19" t="s">
        <v>2133</v>
      </c>
      <c r="BR758" s="19" t="s">
        <v>2133</v>
      </c>
      <c r="BS758" s="19" t="s">
        <v>2134</v>
      </c>
      <c r="BT758" s="19" t="s">
        <v>38</v>
      </c>
      <c r="BU758" s="19" t="s">
        <v>14781</v>
      </c>
      <c r="BV758" s="19"/>
      <c r="BW758" s="19" t="s">
        <v>2113</v>
      </c>
      <c r="BX758" s="19"/>
      <c r="BY758" s="19"/>
      <c r="BZ758" s="19"/>
      <c r="CA758" s="19"/>
      <c r="CB758" s="19" t="s">
        <v>2113</v>
      </c>
      <c r="CC758" s="19"/>
      <c r="CD758" s="19" t="s">
        <v>2137</v>
      </c>
      <c r="CE758" s="19" t="s">
        <v>16</v>
      </c>
      <c r="CF758" s="19"/>
      <c r="CG758" s="19"/>
      <c r="CH758" s="19" t="s">
        <v>16</v>
      </c>
      <c r="CI758" s="21">
        <v>0.0</v>
      </c>
      <c r="CJ758" s="19" t="s">
        <v>16</v>
      </c>
      <c r="CK758" s="19"/>
      <c r="CL758" s="19"/>
      <c r="CM758" s="19" t="s">
        <v>2138</v>
      </c>
      <c r="CN758" s="19" t="s">
        <v>3020</v>
      </c>
      <c r="CO758" s="19"/>
      <c r="CP758" s="19" t="s">
        <v>2140</v>
      </c>
      <c r="CQ758" s="19"/>
      <c r="CR758" s="19" t="s">
        <v>2113</v>
      </c>
      <c r="CS758" s="19" t="s">
        <v>2113</v>
      </c>
      <c r="CT758" s="19" t="s">
        <v>2113</v>
      </c>
      <c r="CU758" s="19" t="s">
        <v>2113</v>
      </c>
      <c r="CV758" s="19" t="s">
        <v>2141</v>
      </c>
      <c r="CW758" s="19" t="s">
        <v>2113</v>
      </c>
      <c r="CX758" s="19" t="s">
        <v>2113</v>
      </c>
      <c r="CY758" s="19" t="s">
        <v>2113</v>
      </c>
      <c r="CZ758" s="19" t="s">
        <v>2113</v>
      </c>
      <c r="DA758" s="19" t="s">
        <v>16</v>
      </c>
      <c r="DB758" s="19" t="s">
        <v>16</v>
      </c>
      <c r="DC758" s="19" t="s">
        <v>8396</v>
      </c>
      <c r="DD758" s="19" t="s">
        <v>2113</v>
      </c>
      <c r="DE758" s="19" t="s">
        <v>2113</v>
      </c>
      <c r="DF758" s="19" t="s">
        <v>4425</v>
      </c>
      <c r="DG758" s="19" t="s">
        <v>2601</v>
      </c>
      <c r="DH758" s="19" t="s">
        <v>2144</v>
      </c>
      <c r="DI758" s="24">
        <v>45519.0</v>
      </c>
      <c r="DJ758" s="19" t="s">
        <v>2133</v>
      </c>
      <c r="DK758" s="19" t="s">
        <v>2271</v>
      </c>
      <c r="DL758" s="19" t="s">
        <v>2146</v>
      </c>
      <c r="DM758" s="19" t="s">
        <v>2751</v>
      </c>
      <c r="DN758" s="19">
        <v>6.0</v>
      </c>
      <c r="DO758" s="19">
        <v>6.0</v>
      </c>
      <c r="DP758" s="19" t="s">
        <v>14782</v>
      </c>
      <c r="DQ758" s="19" t="s">
        <v>14783</v>
      </c>
      <c r="DR758" s="19" t="s">
        <v>14784</v>
      </c>
      <c r="DS758" s="19" t="s">
        <v>2185</v>
      </c>
      <c r="DT758" s="19" t="s">
        <v>2152</v>
      </c>
      <c r="DU758" s="19"/>
      <c r="DV758" s="19"/>
      <c r="DW758" s="19" t="s">
        <v>3306</v>
      </c>
      <c r="DX758" s="19">
        <v>4.0</v>
      </c>
      <c r="DY758" s="19">
        <v>0.0</v>
      </c>
      <c r="DZ758" s="19">
        <v>0.0</v>
      </c>
      <c r="EA758" s="19">
        <v>0.0</v>
      </c>
      <c r="EB758" s="19">
        <v>0.0</v>
      </c>
      <c r="EC758" s="19">
        <v>0.0</v>
      </c>
      <c r="ED758" s="19" t="s">
        <v>2133</v>
      </c>
      <c r="EE758" s="24">
        <v>45519.0</v>
      </c>
      <c r="EF758" s="19" t="s">
        <v>2133</v>
      </c>
      <c r="EG758" s="19" t="s">
        <v>2271</v>
      </c>
      <c r="EH758" s="19" t="s">
        <v>2146</v>
      </c>
      <c r="EI758" s="22">
        <v>13.3125</v>
      </c>
      <c r="EJ758" s="19">
        <v>0.0</v>
      </c>
      <c r="EK758" s="19"/>
      <c r="EL758" s="19" t="s">
        <v>2282</v>
      </c>
      <c r="EM758" s="19" t="s">
        <v>10070</v>
      </c>
      <c r="EN758" s="19" t="s">
        <v>14771</v>
      </c>
      <c r="EO758" s="19" t="s">
        <v>5729</v>
      </c>
      <c r="EP758" s="19" t="s">
        <v>2310</v>
      </c>
      <c r="EQ758" s="19" t="s">
        <v>3020</v>
      </c>
      <c r="ER758" s="19"/>
      <c r="ES758" s="19" t="s">
        <v>14771</v>
      </c>
      <c r="ET758" s="19" t="s">
        <v>14771</v>
      </c>
      <c r="EU758" s="19" t="s">
        <v>14773</v>
      </c>
      <c r="EV758" s="19">
        <v>7845.0</v>
      </c>
      <c r="EW758" s="19" t="s">
        <v>16</v>
      </c>
      <c r="EX758" s="19">
        <v>3.0</v>
      </c>
      <c r="EY758" s="25" t="s">
        <v>14774</v>
      </c>
      <c r="EZ758" s="19" t="s">
        <v>2154</v>
      </c>
      <c r="FA758" s="5" t="s">
        <v>14785</v>
      </c>
      <c r="FB758" s="26" t="s">
        <v>2633</v>
      </c>
      <c r="FC758" s="26" t="s">
        <v>11913</v>
      </c>
    </row>
    <row r="759" hidden="1">
      <c r="A759" s="19" t="s">
        <v>2112</v>
      </c>
      <c r="B759" s="19"/>
      <c r="C759" s="19" t="s">
        <v>2113</v>
      </c>
      <c r="D759" s="19" t="s">
        <v>14786</v>
      </c>
      <c r="E759" s="19" t="s">
        <v>14787</v>
      </c>
      <c r="F759" s="19" t="s">
        <v>14786</v>
      </c>
      <c r="G759" s="19"/>
      <c r="H759" s="19" t="s">
        <v>14786</v>
      </c>
      <c r="I759" s="19" t="s">
        <v>14788</v>
      </c>
      <c r="J759" s="19" t="s">
        <v>14789</v>
      </c>
      <c r="K759" s="19" t="s">
        <v>14790</v>
      </c>
      <c r="L759" s="20">
        <v>45398.0</v>
      </c>
      <c r="M759" s="20">
        <v>45411.0</v>
      </c>
      <c r="N759" s="20">
        <v>45411.0</v>
      </c>
      <c r="O759" s="19" t="s">
        <v>14791</v>
      </c>
      <c r="P759" s="19">
        <v>0.0</v>
      </c>
      <c r="Q759" s="19">
        <v>26.0</v>
      </c>
      <c r="R759" s="19">
        <v>9832.0</v>
      </c>
      <c r="S759" s="20" t="s">
        <v>5527</v>
      </c>
      <c r="T759" s="20">
        <v>45461.0</v>
      </c>
      <c r="U759" s="19" t="s">
        <v>14786</v>
      </c>
      <c r="V759" s="19"/>
      <c r="W759" s="19" t="s">
        <v>14792</v>
      </c>
      <c r="X759" s="21">
        <v>0.0</v>
      </c>
      <c r="Y759" s="21">
        <v>0.0</v>
      </c>
      <c r="Z759" s="21">
        <v>4.0</v>
      </c>
      <c r="AA759" s="21">
        <v>0.0</v>
      </c>
      <c r="AB759" s="5">
        <v>4.0</v>
      </c>
      <c r="AC759" s="19">
        <v>4.0</v>
      </c>
      <c r="AD759" s="19">
        <v>3.0</v>
      </c>
      <c r="AE759" s="19">
        <v>5.0</v>
      </c>
      <c r="AF759" s="19">
        <v>4.0</v>
      </c>
      <c r="AG759" s="19">
        <v>3.0</v>
      </c>
      <c r="AH759" s="19">
        <v>5.0</v>
      </c>
      <c r="AI759" s="22">
        <v>12.09375</v>
      </c>
      <c r="AJ759" s="19"/>
      <c r="AK759" s="19"/>
      <c r="AL759" s="19"/>
      <c r="AM759" s="19">
        <v>0.0</v>
      </c>
      <c r="AN759" s="19">
        <v>12.1</v>
      </c>
      <c r="AO759" s="19">
        <v>16.1</v>
      </c>
      <c r="AP759" s="19">
        <v>1167.0</v>
      </c>
      <c r="AQ759" s="19">
        <v>758.0</v>
      </c>
      <c r="AR759" s="19">
        <v>82.0</v>
      </c>
      <c r="AS759" s="22"/>
      <c r="AT759" s="19" t="s">
        <v>2282</v>
      </c>
      <c r="AU759" s="19" t="s">
        <v>7756</v>
      </c>
      <c r="AV759" s="19" t="s">
        <v>14793</v>
      </c>
      <c r="AW759" s="19" t="s">
        <v>14794</v>
      </c>
      <c r="AX759" s="20">
        <v>35629.0</v>
      </c>
      <c r="AY759" s="19" t="s">
        <v>2619</v>
      </c>
      <c r="AZ759" s="19" t="s">
        <v>2122</v>
      </c>
      <c r="BA759" s="19" t="s">
        <v>14795</v>
      </c>
      <c r="BB759" s="19" t="s">
        <v>2764</v>
      </c>
      <c r="BC759" s="19" t="s">
        <v>14796</v>
      </c>
      <c r="BD759" s="19" t="s">
        <v>14797</v>
      </c>
      <c r="BE759" s="19" t="s">
        <v>14798</v>
      </c>
      <c r="BF759" s="19">
        <v>1.191339937E10</v>
      </c>
      <c r="BG759" s="19" t="s">
        <v>4038</v>
      </c>
      <c r="BH759" s="19" t="s">
        <v>2128</v>
      </c>
      <c r="BI759" s="19"/>
      <c r="BJ759" s="19" t="s">
        <v>2129</v>
      </c>
      <c r="BK759" s="19" t="s">
        <v>17</v>
      </c>
      <c r="BL759" s="19"/>
      <c r="BM759" s="19" t="s">
        <v>5411</v>
      </c>
      <c r="BN759" s="19" t="s">
        <v>5646</v>
      </c>
      <c r="BO759" s="19" t="s">
        <v>2317</v>
      </c>
      <c r="BP759" s="19"/>
      <c r="BQ759" s="19" t="s">
        <v>2133</v>
      </c>
      <c r="BR759" s="19" t="s">
        <v>2133</v>
      </c>
      <c r="BS759" s="19" t="s">
        <v>2134</v>
      </c>
      <c r="BT759" s="19" t="s">
        <v>52</v>
      </c>
      <c r="BU759" s="19" t="s">
        <v>14799</v>
      </c>
      <c r="BV759" s="19"/>
      <c r="BW759" s="19" t="s">
        <v>2113</v>
      </c>
      <c r="BX759" s="19"/>
      <c r="BY759" s="19"/>
      <c r="BZ759" s="19"/>
      <c r="CA759" s="19"/>
      <c r="CB759" s="19" t="s">
        <v>2113</v>
      </c>
      <c r="CC759" s="19"/>
      <c r="CD759" s="19" t="s">
        <v>2137</v>
      </c>
      <c r="CE759" s="19" t="s">
        <v>16</v>
      </c>
      <c r="CF759" s="19"/>
      <c r="CG759" s="19"/>
      <c r="CH759" s="19" t="s">
        <v>16</v>
      </c>
      <c r="CI759" s="21">
        <v>0.0</v>
      </c>
      <c r="CJ759" s="19" t="s">
        <v>16</v>
      </c>
      <c r="CK759" s="19"/>
      <c r="CL759" s="19"/>
      <c r="CM759" s="19" t="s">
        <v>2138</v>
      </c>
      <c r="CN759" s="19" t="s">
        <v>2626</v>
      </c>
      <c r="CO759" s="19"/>
      <c r="CP759" s="19" t="s">
        <v>2246</v>
      </c>
      <c r="CQ759" s="19"/>
      <c r="CR759" s="19"/>
      <c r="CS759" s="19"/>
      <c r="CT759" s="19"/>
      <c r="CU759" s="19"/>
      <c r="CV759" s="19" t="s">
        <v>2141</v>
      </c>
      <c r="CW759" s="19" t="s">
        <v>2113</v>
      </c>
      <c r="CX759" s="19" t="s">
        <v>2113</v>
      </c>
      <c r="CY759" s="19" t="s">
        <v>2113</v>
      </c>
      <c r="CZ759" s="19" t="s">
        <v>2113</v>
      </c>
      <c r="DA759" s="19" t="s">
        <v>16</v>
      </c>
      <c r="DB759" s="19" t="s">
        <v>16</v>
      </c>
      <c r="DC759" s="19" t="s">
        <v>2627</v>
      </c>
      <c r="DD759" s="19" t="s">
        <v>2113</v>
      </c>
      <c r="DE759" s="19" t="s">
        <v>2113</v>
      </c>
      <c r="DF759" s="19" t="s">
        <v>2578</v>
      </c>
      <c r="DG759" s="19" t="s">
        <v>2146</v>
      </c>
      <c r="DH759" s="19" t="s">
        <v>2144</v>
      </c>
      <c r="DI759" s="24">
        <v>45524.0</v>
      </c>
      <c r="DJ759" s="19" t="s">
        <v>2133</v>
      </c>
      <c r="DK759" s="19" t="s">
        <v>2271</v>
      </c>
      <c r="DL759" s="19" t="s">
        <v>2146</v>
      </c>
      <c r="DM759" s="19" t="s">
        <v>2628</v>
      </c>
      <c r="DN759" s="19">
        <v>8.0</v>
      </c>
      <c r="DO759" s="19">
        <v>8.0</v>
      </c>
      <c r="DP759" s="19" t="s">
        <v>14800</v>
      </c>
      <c r="DQ759" s="19" t="s">
        <v>14801</v>
      </c>
      <c r="DR759" s="19" t="s">
        <v>14802</v>
      </c>
      <c r="DS759" s="19" t="s">
        <v>2365</v>
      </c>
      <c r="DT759" s="19" t="s">
        <v>2350</v>
      </c>
      <c r="DU759" s="19"/>
      <c r="DV759" s="19"/>
      <c r="DW759" s="19" t="s">
        <v>2153</v>
      </c>
      <c r="DX759" s="19">
        <v>9.0</v>
      </c>
      <c r="DY759" s="19">
        <v>0.0</v>
      </c>
      <c r="DZ759" s="19">
        <v>0.0</v>
      </c>
      <c r="EA759" s="19">
        <v>0.0</v>
      </c>
      <c r="EB759" s="19">
        <v>0.0</v>
      </c>
      <c r="EC759" s="19">
        <v>0.0</v>
      </c>
      <c r="ED759" s="19" t="s">
        <v>2133</v>
      </c>
      <c r="EE759" s="24">
        <v>45524.0</v>
      </c>
      <c r="EF759" s="19" t="s">
        <v>2133</v>
      </c>
      <c r="EG759" s="19" t="s">
        <v>2271</v>
      </c>
      <c r="EH759" s="19" t="s">
        <v>2146</v>
      </c>
      <c r="EI759" s="22">
        <v>12.09375</v>
      </c>
      <c r="EJ759" s="19">
        <v>0.0</v>
      </c>
      <c r="EK759" s="19"/>
      <c r="EL759" s="19" t="s">
        <v>2282</v>
      </c>
      <c r="EM759" s="19" t="s">
        <v>7756</v>
      </c>
      <c r="EN759" s="19" t="s">
        <v>14788</v>
      </c>
      <c r="EO759" s="19" t="s">
        <v>2619</v>
      </c>
      <c r="EP759" s="19" t="s">
        <v>2122</v>
      </c>
      <c r="EQ759" s="19" t="s">
        <v>2626</v>
      </c>
      <c r="ER759" s="19"/>
      <c r="ES759" s="19" t="s">
        <v>14788</v>
      </c>
      <c r="ET759" s="19" t="s">
        <v>14788</v>
      </c>
      <c r="EU759" s="19" t="s">
        <v>14790</v>
      </c>
      <c r="EV759" s="19">
        <v>9832.0</v>
      </c>
      <c r="EW759" s="19" t="s">
        <v>16</v>
      </c>
      <c r="EX759" s="19">
        <v>4.0</v>
      </c>
      <c r="EY759" s="25" t="s">
        <v>14791</v>
      </c>
      <c r="EZ759" s="19" t="s">
        <v>2154</v>
      </c>
      <c r="FA759" s="5" t="s">
        <v>14803</v>
      </c>
      <c r="FB759" s="26" t="s">
        <v>2633</v>
      </c>
      <c r="FC759" s="26" t="s">
        <v>10773</v>
      </c>
    </row>
    <row r="760" hidden="1">
      <c r="A760" s="19" t="s">
        <v>2156</v>
      </c>
      <c r="B760" s="19"/>
      <c r="C760" s="19" t="s">
        <v>2113</v>
      </c>
      <c r="D760" s="19" t="s">
        <v>14804</v>
      </c>
      <c r="E760" s="19" t="s">
        <v>14805</v>
      </c>
      <c r="F760" s="19" t="s">
        <v>14804</v>
      </c>
      <c r="G760" s="19"/>
      <c r="H760" s="19" t="s">
        <v>14804</v>
      </c>
      <c r="I760" s="19" t="s">
        <v>14806</v>
      </c>
      <c r="J760" s="19" t="s">
        <v>14807</v>
      </c>
      <c r="K760" s="19" t="s">
        <v>14808</v>
      </c>
      <c r="L760" s="20">
        <v>45405.0</v>
      </c>
      <c r="M760" s="20">
        <v>45411.0</v>
      </c>
      <c r="N760" s="20">
        <v>45411.0</v>
      </c>
      <c r="O760" s="19" t="s">
        <v>14809</v>
      </c>
      <c r="P760" s="19">
        <v>0.0</v>
      </c>
      <c r="Q760" s="19">
        <v>18.0</v>
      </c>
      <c r="R760" s="19">
        <v>6917.0</v>
      </c>
      <c r="S760" s="20" t="s">
        <v>14810</v>
      </c>
      <c r="T760" s="20">
        <v>45461.0</v>
      </c>
      <c r="U760" s="19" t="s">
        <v>14804</v>
      </c>
      <c r="V760" s="19"/>
      <c r="W760" s="19"/>
      <c r="X760" s="21">
        <v>0.0</v>
      </c>
      <c r="Y760" s="21">
        <v>10.0</v>
      </c>
      <c r="Z760" s="21">
        <v>2.0</v>
      </c>
      <c r="AA760" s="21">
        <v>0.0</v>
      </c>
      <c r="AB760" s="5">
        <v>12.0</v>
      </c>
      <c r="AC760" s="19">
        <v>1.5</v>
      </c>
      <c r="AD760" s="19">
        <v>1.5</v>
      </c>
      <c r="AE760" s="19">
        <v>1.5</v>
      </c>
      <c r="AF760" s="19">
        <v>1.0</v>
      </c>
      <c r="AG760" s="19">
        <v>1.0</v>
      </c>
      <c r="AH760" s="19">
        <v>1.0</v>
      </c>
      <c r="AI760" s="22">
        <v>3.9375</v>
      </c>
      <c r="AJ760" s="19"/>
      <c r="AK760" s="19"/>
      <c r="AL760" s="19"/>
      <c r="AM760" s="19">
        <v>0.0</v>
      </c>
      <c r="AN760" s="19">
        <v>3.9</v>
      </c>
      <c r="AO760" s="19">
        <v>15.9</v>
      </c>
      <c r="AP760" s="19">
        <v>897.0</v>
      </c>
      <c r="AQ760" s="19">
        <v>759.0</v>
      </c>
      <c r="AR760" s="19">
        <v>58.0</v>
      </c>
      <c r="AS760" s="22"/>
      <c r="AT760" s="19" t="s">
        <v>2282</v>
      </c>
      <c r="AU760" s="19" t="s">
        <v>3230</v>
      </c>
      <c r="AV760" s="19" t="s">
        <v>14811</v>
      </c>
      <c r="AW760" s="19" t="s">
        <v>3923</v>
      </c>
      <c r="AX760" s="20">
        <v>38544.0</v>
      </c>
      <c r="AY760" s="19" t="s">
        <v>4564</v>
      </c>
      <c r="AZ760" s="19" t="s">
        <v>2310</v>
      </c>
      <c r="BA760" s="19" t="s">
        <v>14812</v>
      </c>
      <c r="BB760" s="19" t="s">
        <v>3385</v>
      </c>
      <c r="BC760" s="19" t="s">
        <v>14813</v>
      </c>
      <c r="BD760" s="19" t="s">
        <v>14814</v>
      </c>
      <c r="BE760" s="19"/>
      <c r="BF760" s="19"/>
      <c r="BG760" s="19" t="s">
        <v>2127</v>
      </c>
      <c r="BH760" s="19" t="s">
        <v>2128</v>
      </c>
      <c r="BI760" s="19"/>
      <c r="BJ760" s="19"/>
      <c r="BK760" s="19" t="s">
        <v>16</v>
      </c>
      <c r="BL760" s="19"/>
      <c r="BM760" s="19" t="s">
        <v>5411</v>
      </c>
      <c r="BN760" s="19" t="s">
        <v>2172</v>
      </c>
      <c r="BO760" s="19" t="s">
        <v>3199</v>
      </c>
      <c r="BP760" s="19"/>
      <c r="BQ760" s="19" t="s">
        <v>2325</v>
      </c>
      <c r="BR760" s="19" t="s">
        <v>2325</v>
      </c>
      <c r="BS760" s="19" t="s">
        <v>2134</v>
      </c>
      <c r="BT760" s="19" t="s">
        <v>118</v>
      </c>
      <c r="BU760" s="19" t="s">
        <v>2651</v>
      </c>
      <c r="BV760" s="19"/>
      <c r="BW760" s="19" t="s">
        <v>2113</v>
      </c>
      <c r="BX760" s="19"/>
      <c r="BY760" s="19"/>
      <c r="BZ760" s="19"/>
      <c r="CA760" s="19"/>
      <c r="CB760" s="19"/>
      <c r="CC760" s="19"/>
      <c r="CD760" s="19" t="s">
        <v>2137</v>
      </c>
      <c r="CE760" s="19" t="s">
        <v>16</v>
      </c>
      <c r="CF760" s="19"/>
      <c r="CG760" s="19"/>
      <c r="CH760" s="19" t="s">
        <v>16</v>
      </c>
      <c r="CI760" s="21">
        <v>0.0</v>
      </c>
      <c r="CJ760" s="19" t="s">
        <v>16</v>
      </c>
      <c r="CK760" s="19"/>
      <c r="CL760" s="19"/>
      <c r="CM760" s="19" t="s">
        <v>2138</v>
      </c>
      <c r="CN760" s="19" t="s">
        <v>3220</v>
      </c>
      <c r="CO760" s="19"/>
      <c r="CP760" s="19" t="s">
        <v>2134</v>
      </c>
      <c r="CQ760" s="19"/>
      <c r="CR760" s="19" t="s">
        <v>2113</v>
      </c>
      <c r="CS760" s="19" t="s">
        <v>2113</v>
      </c>
      <c r="CT760" s="19"/>
      <c r="CU760" s="19"/>
      <c r="CV760" s="19" t="s">
        <v>2141</v>
      </c>
      <c r="CW760" s="19" t="s">
        <v>2113</v>
      </c>
      <c r="CX760" s="19" t="s">
        <v>2113</v>
      </c>
      <c r="CY760" s="19"/>
      <c r="CZ760" s="19"/>
      <c r="DA760" s="19" t="s">
        <v>16</v>
      </c>
      <c r="DB760" s="19" t="s">
        <v>16</v>
      </c>
      <c r="DC760" s="19" t="s">
        <v>3933</v>
      </c>
      <c r="DD760" s="19"/>
      <c r="DE760" s="19"/>
      <c r="DF760" s="19" t="s">
        <v>2455</v>
      </c>
      <c r="DG760" s="19" t="s">
        <v>3221</v>
      </c>
      <c r="DH760" s="19" t="s">
        <v>2144</v>
      </c>
      <c r="DI760" s="24">
        <v>45517.0</v>
      </c>
      <c r="DJ760" s="19" t="s">
        <v>2325</v>
      </c>
      <c r="DK760" s="19" t="s">
        <v>2271</v>
      </c>
      <c r="DL760" s="19" t="s">
        <v>2326</v>
      </c>
      <c r="DM760" s="19"/>
      <c r="DN760" s="19">
        <v>2.0</v>
      </c>
      <c r="DO760" s="19">
        <v>2.0</v>
      </c>
      <c r="DP760" s="19" t="s">
        <v>14815</v>
      </c>
      <c r="DQ760" s="19" t="s">
        <v>14816</v>
      </c>
      <c r="DR760" s="19" t="s">
        <v>14817</v>
      </c>
      <c r="DS760" s="19" t="s">
        <v>2185</v>
      </c>
      <c r="DT760" s="19" t="s">
        <v>2229</v>
      </c>
      <c r="DU760" s="19"/>
      <c r="DV760" s="19"/>
      <c r="DW760" s="19" t="s">
        <v>2153</v>
      </c>
      <c r="DX760" s="19">
        <v>3.0</v>
      </c>
      <c r="DY760" s="19">
        <v>10.0</v>
      </c>
      <c r="DZ760" s="19">
        <v>0.0</v>
      </c>
      <c r="EA760" s="19">
        <v>10.0</v>
      </c>
      <c r="EB760" s="19">
        <v>0.0</v>
      </c>
      <c r="EC760" s="19">
        <v>0.0</v>
      </c>
      <c r="ED760" s="19" t="s">
        <v>2325</v>
      </c>
      <c r="EE760" s="24">
        <v>45517.0</v>
      </c>
      <c r="EF760" s="19" t="s">
        <v>2325</v>
      </c>
      <c r="EG760" s="19" t="s">
        <v>2271</v>
      </c>
      <c r="EH760" s="19" t="s">
        <v>2326</v>
      </c>
      <c r="EI760" s="22">
        <v>3.9375</v>
      </c>
      <c r="EJ760" s="19">
        <v>0.0</v>
      </c>
      <c r="EK760" s="19"/>
      <c r="EL760" s="19" t="s">
        <v>2282</v>
      </c>
      <c r="EM760" s="19" t="s">
        <v>3230</v>
      </c>
      <c r="EN760" s="19" t="s">
        <v>14806</v>
      </c>
      <c r="EO760" s="19" t="s">
        <v>4564</v>
      </c>
      <c r="EP760" s="19" t="s">
        <v>2310</v>
      </c>
      <c r="EQ760" s="19" t="s">
        <v>3220</v>
      </c>
      <c r="ER760" s="19"/>
      <c r="ES760" s="19" t="s">
        <v>14806</v>
      </c>
      <c r="ET760" s="19" t="s">
        <v>14806</v>
      </c>
      <c r="EU760" s="19" t="s">
        <v>14808</v>
      </c>
      <c r="EV760" s="19">
        <v>6917.0</v>
      </c>
      <c r="EW760" s="19" t="s">
        <v>16</v>
      </c>
      <c r="EX760" s="19">
        <v>2.0</v>
      </c>
      <c r="EY760" s="25" t="s">
        <v>14809</v>
      </c>
      <c r="EZ760" s="19" t="s">
        <v>2154</v>
      </c>
      <c r="FA760" s="5" t="s">
        <v>14818</v>
      </c>
      <c r="FB760" s="26" t="s">
        <v>2633</v>
      </c>
      <c r="FC760" s="26" t="s">
        <v>11913</v>
      </c>
    </row>
    <row r="761" hidden="1">
      <c r="A761" s="19" t="s">
        <v>2112</v>
      </c>
      <c r="B761" s="19"/>
      <c r="C761" s="19" t="s">
        <v>2113</v>
      </c>
      <c r="D761" s="19" t="s">
        <v>14819</v>
      </c>
      <c r="E761" s="19" t="s">
        <v>14820</v>
      </c>
      <c r="F761" s="19" t="s">
        <v>14819</v>
      </c>
      <c r="G761" s="19"/>
      <c r="H761" s="19" t="s">
        <v>14821</v>
      </c>
      <c r="I761" s="19" t="s">
        <v>14822</v>
      </c>
      <c r="J761" s="19" t="s">
        <v>14823</v>
      </c>
      <c r="K761" s="19" t="s">
        <v>14824</v>
      </c>
      <c r="L761" s="20">
        <v>45413.0</v>
      </c>
      <c r="M761" s="20">
        <v>45414.0</v>
      </c>
      <c r="N761" s="20">
        <v>45414.0</v>
      </c>
      <c r="O761" s="19" t="s">
        <v>14825</v>
      </c>
      <c r="P761" s="19">
        <v>0.0</v>
      </c>
      <c r="Q761" s="19">
        <v>26.0</v>
      </c>
      <c r="R761" s="19">
        <v>9655.0</v>
      </c>
      <c r="S761" s="20" t="s">
        <v>4236</v>
      </c>
      <c r="T761" s="20">
        <v>45461.0</v>
      </c>
      <c r="U761" s="19" t="s">
        <v>14819</v>
      </c>
      <c r="V761" s="19"/>
      <c r="W761" s="19"/>
      <c r="X761" s="21">
        <v>0.0</v>
      </c>
      <c r="Y761" s="21">
        <v>0.0</v>
      </c>
      <c r="Z761" s="21">
        <v>4.0</v>
      </c>
      <c r="AA761" s="21">
        <v>0.0</v>
      </c>
      <c r="AB761" s="5">
        <v>4.0</v>
      </c>
      <c r="AC761" s="19">
        <v>4.0</v>
      </c>
      <c r="AD761" s="19">
        <v>4.0</v>
      </c>
      <c r="AE761" s="19">
        <v>4.0</v>
      </c>
      <c r="AF761" s="19">
        <v>4.0</v>
      </c>
      <c r="AG761" s="19">
        <v>3.0</v>
      </c>
      <c r="AH761" s="19">
        <v>4.0</v>
      </c>
      <c r="AI761" s="22">
        <v>11.625</v>
      </c>
      <c r="AJ761" s="19"/>
      <c r="AK761" s="19"/>
      <c r="AL761" s="19"/>
      <c r="AM761" s="19">
        <v>0.0</v>
      </c>
      <c r="AN761" s="19">
        <v>11.6</v>
      </c>
      <c r="AO761" s="19">
        <v>15.6</v>
      </c>
      <c r="AP761" s="19">
        <v>1168.0</v>
      </c>
      <c r="AQ761" s="19">
        <v>760.0</v>
      </c>
      <c r="AR761" s="19">
        <v>83.0</v>
      </c>
      <c r="AS761" s="22"/>
      <c r="AT761" s="19" t="s">
        <v>2163</v>
      </c>
      <c r="AU761" s="19" t="s">
        <v>14557</v>
      </c>
      <c r="AV761" s="19" t="s">
        <v>14826</v>
      </c>
      <c r="AW761" s="19" t="s">
        <v>8392</v>
      </c>
      <c r="AX761" s="20">
        <v>35806.0</v>
      </c>
      <c r="AY761" s="19" t="s">
        <v>2619</v>
      </c>
      <c r="AZ761" s="19" t="s">
        <v>2122</v>
      </c>
      <c r="BA761" s="19" t="s">
        <v>14827</v>
      </c>
      <c r="BB761" s="19" t="s">
        <v>14541</v>
      </c>
      <c r="BC761" s="19" t="s">
        <v>14828</v>
      </c>
      <c r="BD761" s="19" t="s">
        <v>14829</v>
      </c>
      <c r="BE761" s="19" t="s">
        <v>14830</v>
      </c>
      <c r="BF761" s="19">
        <v>1.1995964522E10</v>
      </c>
      <c r="BG761" s="19" t="s">
        <v>4038</v>
      </c>
      <c r="BH761" s="19" t="s">
        <v>2128</v>
      </c>
      <c r="BI761" s="19"/>
      <c r="BJ761" s="19" t="s">
        <v>2129</v>
      </c>
      <c r="BK761" s="19" t="s">
        <v>17</v>
      </c>
      <c r="BL761" s="19"/>
      <c r="BM761" s="19" t="s">
        <v>5411</v>
      </c>
      <c r="BN761" s="19" t="s">
        <v>2172</v>
      </c>
      <c r="BO761" s="19" t="s">
        <v>2317</v>
      </c>
      <c r="BP761" s="19"/>
      <c r="BQ761" s="19" t="s">
        <v>2133</v>
      </c>
      <c r="BR761" s="19" t="s">
        <v>2133</v>
      </c>
      <c r="BS761" s="19" t="s">
        <v>2134</v>
      </c>
      <c r="BT761" s="19" t="s">
        <v>52</v>
      </c>
      <c r="BU761" s="19" t="s">
        <v>4099</v>
      </c>
      <c r="BV761" s="19"/>
      <c r="BW761" s="19" t="s">
        <v>2113</v>
      </c>
      <c r="BX761" s="19"/>
      <c r="BY761" s="19"/>
      <c r="BZ761" s="19"/>
      <c r="CA761" s="19"/>
      <c r="CB761" s="19" t="s">
        <v>2113</v>
      </c>
      <c r="CC761" s="19"/>
      <c r="CD761" s="19" t="s">
        <v>2137</v>
      </c>
      <c r="CE761" s="19" t="s">
        <v>16</v>
      </c>
      <c r="CF761" s="19"/>
      <c r="CG761" s="19"/>
      <c r="CH761" s="19" t="s">
        <v>16</v>
      </c>
      <c r="CI761" s="21">
        <v>0.0</v>
      </c>
      <c r="CJ761" s="19" t="s">
        <v>17</v>
      </c>
      <c r="CK761" s="19"/>
      <c r="CL761" s="19"/>
      <c r="CM761" s="19" t="s">
        <v>2138</v>
      </c>
      <c r="CN761" s="19" t="s">
        <v>2626</v>
      </c>
      <c r="CO761" s="19"/>
      <c r="CP761" s="19" t="s">
        <v>2178</v>
      </c>
      <c r="CQ761" s="19"/>
      <c r="CR761" s="19" t="s">
        <v>2113</v>
      </c>
      <c r="CS761" s="19" t="s">
        <v>2113</v>
      </c>
      <c r="CT761" s="19" t="s">
        <v>2113</v>
      </c>
      <c r="CU761" s="19" t="s">
        <v>2113</v>
      </c>
      <c r="CV761" s="19" t="s">
        <v>2141</v>
      </c>
      <c r="CW761" s="19" t="s">
        <v>2113</v>
      </c>
      <c r="CX761" s="19" t="s">
        <v>2113</v>
      </c>
      <c r="CY761" s="19" t="s">
        <v>2113</v>
      </c>
      <c r="CZ761" s="19" t="s">
        <v>2113</v>
      </c>
      <c r="DA761" s="19" t="s">
        <v>16</v>
      </c>
      <c r="DB761" s="19" t="s">
        <v>17</v>
      </c>
      <c r="DC761" s="19" t="s">
        <v>2627</v>
      </c>
      <c r="DD761" s="19" t="s">
        <v>2113</v>
      </c>
      <c r="DE761" s="19" t="s">
        <v>2113</v>
      </c>
      <c r="DF761" s="19" t="s">
        <v>2407</v>
      </c>
      <c r="DG761" s="19" t="s">
        <v>2383</v>
      </c>
      <c r="DH761" s="19" t="s">
        <v>2144</v>
      </c>
      <c r="DI761" s="24">
        <v>45524.0</v>
      </c>
      <c r="DJ761" s="19" t="s">
        <v>2133</v>
      </c>
      <c r="DK761" s="19" t="s">
        <v>2271</v>
      </c>
      <c r="DL761" s="19" t="s">
        <v>2146</v>
      </c>
      <c r="DM761" s="19" t="s">
        <v>2628</v>
      </c>
      <c r="DN761" s="19">
        <v>8.0</v>
      </c>
      <c r="DO761" s="19">
        <v>8.0</v>
      </c>
      <c r="DP761" s="19" t="s">
        <v>14831</v>
      </c>
      <c r="DQ761" s="19" t="s">
        <v>14832</v>
      </c>
      <c r="DR761" s="19" t="s">
        <v>14833</v>
      </c>
      <c r="DS761" s="19" t="s">
        <v>2365</v>
      </c>
      <c r="DT761" s="19" t="s">
        <v>2186</v>
      </c>
      <c r="DU761" s="19"/>
      <c r="DV761" s="19"/>
      <c r="DW761" s="19" t="s">
        <v>2153</v>
      </c>
      <c r="DX761" s="19">
        <v>9.0</v>
      </c>
      <c r="DY761" s="19">
        <v>0.0</v>
      </c>
      <c r="DZ761" s="19">
        <v>0.0</v>
      </c>
      <c r="EA761" s="19">
        <v>0.0</v>
      </c>
      <c r="EB761" s="19">
        <v>0.0</v>
      </c>
      <c r="EC761" s="19">
        <v>0.0</v>
      </c>
      <c r="ED761" s="19" t="s">
        <v>2133</v>
      </c>
      <c r="EE761" s="24">
        <v>45524.0</v>
      </c>
      <c r="EF761" s="19" t="s">
        <v>2133</v>
      </c>
      <c r="EG761" s="19" t="s">
        <v>2271</v>
      </c>
      <c r="EH761" s="19" t="s">
        <v>2146</v>
      </c>
      <c r="EI761" s="22">
        <v>11.625</v>
      </c>
      <c r="EJ761" s="19">
        <v>0.0</v>
      </c>
      <c r="EK761" s="19" t="s">
        <v>2113</v>
      </c>
      <c r="EL761" s="19" t="s">
        <v>2163</v>
      </c>
      <c r="EM761" s="19" t="s">
        <v>14557</v>
      </c>
      <c r="EN761" s="19" t="s">
        <v>14822</v>
      </c>
      <c r="EO761" s="19" t="s">
        <v>2619</v>
      </c>
      <c r="EP761" s="19" t="s">
        <v>2122</v>
      </c>
      <c r="EQ761" s="19" t="s">
        <v>2626</v>
      </c>
      <c r="ER761" s="19"/>
      <c r="ES761" s="19" t="s">
        <v>14822</v>
      </c>
      <c r="ET761" s="19" t="s">
        <v>14822</v>
      </c>
      <c r="EU761" s="19" t="s">
        <v>14824</v>
      </c>
      <c r="EV761" s="19">
        <v>9655.0</v>
      </c>
      <c r="EW761" s="19" t="s">
        <v>16</v>
      </c>
      <c r="EX761" s="19">
        <v>4.0</v>
      </c>
      <c r="EY761" s="25" t="s">
        <v>14825</v>
      </c>
      <c r="EZ761" s="19" t="s">
        <v>2154</v>
      </c>
      <c r="FA761" s="5" t="s">
        <v>14834</v>
      </c>
      <c r="FB761" s="26" t="s">
        <v>2633</v>
      </c>
      <c r="FC761" s="26" t="s">
        <v>10773</v>
      </c>
    </row>
    <row r="762" hidden="1">
      <c r="A762" s="19" t="s">
        <v>17</v>
      </c>
      <c r="B762" s="19"/>
      <c r="C762" s="19" t="s">
        <v>2113</v>
      </c>
      <c r="D762" s="19" t="s">
        <v>14835</v>
      </c>
      <c r="E762" s="19" t="s">
        <v>14836</v>
      </c>
      <c r="F762" s="19" t="s">
        <v>14837</v>
      </c>
      <c r="G762" s="19" t="s">
        <v>14837</v>
      </c>
      <c r="H762" s="19" t="s">
        <v>14837</v>
      </c>
      <c r="I762" s="19" t="s">
        <v>14838</v>
      </c>
      <c r="J762" s="19" t="s">
        <v>14839</v>
      </c>
      <c r="K762" s="19" t="s">
        <v>14840</v>
      </c>
      <c r="L762" s="20">
        <v>45459.0</v>
      </c>
      <c r="M762" s="20">
        <v>45460.0</v>
      </c>
      <c r="N762" s="20">
        <v>45460.0</v>
      </c>
      <c r="O762" s="19" t="s">
        <v>14841</v>
      </c>
      <c r="P762" s="19">
        <v>0.0</v>
      </c>
      <c r="Q762" s="19">
        <v>22.0</v>
      </c>
      <c r="R762" s="19">
        <v>8265.0</v>
      </c>
      <c r="S762" s="20" t="s">
        <v>2372</v>
      </c>
      <c r="T762" s="20">
        <v>45461.0</v>
      </c>
      <c r="U762" s="19" t="s">
        <v>14837</v>
      </c>
      <c r="V762" s="19"/>
      <c r="W762" s="19"/>
      <c r="X762" s="21">
        <v>0.0</v>
      </c>
      <c r="Y762" s="21">
        <v>0.0</v>
      </c>
      <c r="Z762" s="21">
        <v>3.0</v>
      </c>
      <c r="AA762" s="21">
        <v>0.0</v>
      </c>
      <c r="AB762" s="5">
        <v>3.0</v>
      </c>
      <c r="AC762" s="19">
        <v>4.5</v>
      </c>
      <c r="AD762" s="19">
        <v>3.5</v>
      </c>
      <c r="AE762" s="19">
        <v>4.0</v>
      </c>
      <c r="AF762" s="19">
        <v>4.5</v>
      </c>
      <c r="AG762" s="19">
        <v>3.5</v>
      </c>
      <c r="AH762" s="19">
        <v>4.0</v>
      </c>
      <c r="AI762" s="22">
        <v>11.90625</v>
      </c>
      <c r="AJ762" s="19">
        <v>0.0</v>
      </c>
      <c r="AK762" s="19">
        <v>0.0</v>
      </c>
      <c r="AL762" s="19">
        <v>0.0</v>
      </c>
      <c r="AM762" s="19">
        <v>0.0</v>
      </c>
      <c r="AN762" s="19">
        <v>11.9</v>
      </c>
      <c r="AO762" s="19">
        <v>14.9</v>
      </c>
      <c r="AP762" s="19">
        <v>1274.0</v>
      </c>
      <c r="AQ762" s="19">
        <v>761.0</v>
      </c>
      <c r="AR762" s="19">
        <v>54.0</v>
      </c>
      <c r="AS762" s="22" t="s">
        <v>4071</v>
      </c>
      <c r="AT762" s="19" t="s">
        <v>2282</v>
      </c>
      <c r="AU762" s="19" t="s">
        <v>14842</v>
      </c>
      <c r="AV762" s="19" t="s">
        <v>14843</v>
      </c>
      <c r="AW762" s="19"/>
      <c r="AX762" s="20">
        <v>37196.0</v>
      </c>
      <c r="AY762" s="19" t="s">
        <v>3826</v>
      </c>
      <c r="AZ762" s="19" t="s">
        <v>2122</v>
      </c>
      <c r="BA762" s="19" t="s">
        <v>14844</v>
      </c>
      <c r="BB762" s="19" t="s">
        <v>14845</v>
      </c>
      <c r="BC762" s="19" t="s">
        <v>14846</v>
      </c>
      <c r="BD762" s="19" t="s">
        <v>14847</v>
      </c>
      <c r="BE762" s="19" t="s">
        <v>14839</v>
      </c>
      <c r="BF762" s="19">
        <v>1.1953393548E10</v>
      </c>
      <c r="BG762" s="19" t="s">
        <v>4038</v>
      </c>
      <c r="BH762" s="19" t="s">
        <v>2649</v>
      </c>
      <c r="BI762" s="19"/>
      <c r="BJ762" s="19" t="s">
        <v>2128</v>
      </c>
      <c r="BK762" s="19" t="s">
        <v>17</v>
      </c>
      <c r="BL762" s="19"/>
      <c r="BM762" s="19" t="s">
        <v>5411</v>
      </c>
      <c r="BN762" s="19" t="s">
        <v>5335</v>
      </c>
      <c r="BO762" s="19" t="s">
        <v>2473</v>
      </c>
      <c r="BP762" s="19" t="s">
        <v>14848</v>
      </c>
      <c r="BQ762" s="19" t="s">
        <v>3832</v>
      </c>
      <c r="BR762" s="19" t="s">
        <v>3832</v>
      </c>
      <c r="BS762" s="19" t="s">
        <v>3521</v>
      </c>
      <c r="BT762" s="19" t="s">
        <v>268</v>
      </c>
      <c r="BU762" s="19" t="s">
        <v>12288</v>
      </c>
      <c r="BV762" s="19"/>
      <c r="BW762" s="19" t="s">
        <v>2113</v>
      </c>
      <c r="BX762" s="19"/>
      <c r="BY762" s="19"/>
      <c r="BZ762" s="19"/>
      <c r="CA762" s="19"/>
      <c r="CB762" s="19" t="s">
        <v>2113</v>
      </c>
      <c r="CC762" s="19"/>
      <c r="CD762" s="19" t="s">
        <v>2137</v>
      </c>
      <c r="CE762" s="19" t="s">
        <v>16</v>
      </c>
      <c r="CF762" s="19"/>
      <c r="CG762" s="19"/>
      <c r="CH762" s="19" t="s">
        <v>16</v>
      </c>
      <c r="CI762" s="21">
        <v>0.0</v>
      </c>
      <c r="CJ762" s="19" t="s">
        <v>16</v>
      </c>
      <c r="CK762" s="19"/>
      <c r="CL762" s="19"/>
      <c r="CM762" s="19" t="s">
        <v>2138</v>
      </c>
      <c r="CN762" s="19" t="s">
        <v>3835</v>
      </c>
      <c r="CO762" s="19"/>
      <c r="CP762" s="19" t="s">
        <v>2246</v>
      </c>
      <c r="CQ762" s="19"/>
      <c r="CR762" s="19" t="s">
        <v>2113</v>
      </c>
      <c r="CS762" s="19" t="s">
        <v>2113</v>
      </c>
      <c r="CT762" s="19" t="s">
        <v>2113</v>
      </c>
      <c r="CU762" s="19" t="s">
        <v>2113</v>
      </c>
      <c r="CV762" s="19" t="s">
        <v>2141</v>
      </c>
      <c r="CW762" s="19"/>
      <c r="CX762" s="19"/>
      <c r="CY762" s="19"/>
      <c r="CZ762" s="19"/>
      <c r="DA762" s="19" t="s">
        <v>16</v>
      </c>
      <c r="DB762" s="19" t="s">
        <v>16</v>
      </c>
      <c r="DC762" s="19" t="s">
        <v>3836</v>
      </c>
      <c r="DD762" s="19" t="s">
        <v>2113</v>
      </c>
      <c r="DE762" s="19" t="s">
        <v>2113</v>
      </c>
      <c r="DF762" s="19" t="s">
        <v>4084</v>
      </c>
      <c r="DG762" s="19" t="s">
        <v>4083</v>
      </c>
      <c r="DH762" s="19" t="s">
        <v>2144</v>
      </c>
      <c r="DI762" s="24">
        <v>45519.0</v>
      </c>
      <c r="DJ762" s="19" t="s">
        <v>3257</v>
      </c>
      <c r="DK762" s="19" t="s">
        <v>2145</v>
      </c>
      <c r="DL762" s="19" t="s">
        <v>2207</v>
      </c>
      <c r="DM762" s="19" t="s">
        <v>4615</v>
      </c>
      <c r="DN762" s="19">
        <v>2.0</v>
      </c>
      <c r="DO762" s="19">
        <v>2.0</v>
      </c>
      <c r="DP762" s="19" t="s">
        <v>14849</v>
      </c>
      <c r="DQ762" s="19" t="s">
        <v>14850</v>
      </c>
      <c r="DR762" s="19" t="s">
        <v>14851</v>
      </c>
      <c r="DS762" s="19" t="s">
        <v>2185</v>
      </c>
      <c r="DT762" s="19" t="s">
        <v>2301</v>
      </c>
      <c r="DU762" s="19"/>
      <c r="DV762" s="19"/>
      <c r="DW762" s="19" t="s">
        <v>2153</v>
      </c>
      <c r="DX762" s="19">
        <v>2.0</v>
      </c>
      <c r="DY762" s="19">
        <v>0.0</v>
      </c>
      <c r="DZ762" s="19">
        <v>0.0</v>
      </c>
      <c r="EA762" s="19">
        <v>0.0</v>
      </c>
      <c r="EB762" s="19">
        <v>0.0</v>
      </c>
      <c r="EC762" s="19">
        <v>0.0</v>
      </c>
      <c r="ED762" s="19" t="s">
        <v>3257</v>
      </c>
      <c r="EE762" s="24">
        <v>45519.0</v>
      </c>
      <c r="EF762" s="19" t="s">
        <v>3257</v>
      </c>
      <c r="EG762" s="19" t="s">
        <v>2145</v>
      </c>
      <c r="EH762" s="19" t="s">
        <v>2207</v>
      </c>
      <c r="EI762" s="22">
        <v>11.90625</v>
      </c>
      <c r="EJ762" s="19">
        <v>0.0</v>
      </c>
      <c r="EK762" s="19"/>
      <c r="EL762" s="19" t="s">
        <v>2282</v>
      </c>
      <c r="EM762" s="19" t="s">
        <v>14842</v>
      </c>
      <c r="EN762" s="19" t="s">
        <v>14838</v>
      </c>
      <c r="EO762" s="19" t="s">
        <v>3826</v>
      </c>
      <c r="EP762" s="19" t="s">
        <v>2122</v>
      </c>
      <c r="EQ762" s="19" t="s">
        <v>3835</v>
      </c>
      <c r="ER762" s="19"/>
      <c r="ES762" s="19" t="s">
        <v>14838</v>
      </c>
      <c r="ET762" s="19" t="s">
        <v>14838</v>
      </c>
      <c r="EU762" s="19" t="s">
        <v>14840</v>
      </c>
      <c r="EV762" s="19">
        <v>8265.0</v>
      </c>
      <c r="EW762" s="19" t="s">
        <v>16</v>
      </c>
      <c r="EX762" s="19">
        <v>3.0</v>
      </c>
      <c r="EY762" s="25" t="s">
        <v>14841</v>
      </c>
      <c r="EZ762" s="19" t="s">
        <v>2154</v>
      </c>
      <c r="FA762" s="5" t="s">
        <v>14852</v>
      </c>
      <c r="FB762" s="26" t="s">
        <v>2633</v>
      </c>
      <c r="FC762" s="26" t="s">
        <v>11913</v>
      </c>
    </row>
    <row r="763" hidden="1">
      <c r="A763" s="19" t="s">
        <v>2112</v>
      </c>
      <c r="B763" s="19"/>
      <c r="C763" s="19" t="s">
        <v>2113</v>
      </c>
      <c r="D763" s="19" t="s">
        <v>14853</v>
      </c>
      <c r="E763" s="19" t="s">
        <v>14854</v>
      </c>
      <c r="F763" s="19" t="s">
        <v>14853</v>
      </c>
      <c r="G763" s="19"/>
      <c r="H763" s="19" t="s">
        <v>14853</v>
      </c>
      <c r="I763" s="19" t="s">
        <v>14855</v>
      </c>
      <c r="J763" s="19" t="s">
        <v>14856</v>
      </c>
      <c r="K763" s="19" t="s">
        <v>14857</v>
      </c>
      <c r="L763" s="20">
        <v>45405.0</v>
      </c>
      <c r="M763" s="20">
        <v>45411.0</v>
      </c>
      <c r="N763" s="20">
        <v>45411.0</v>
      </c>
      <c r="O763" s="19" t="s">
        <v>14858</v>
      </c>
      <c r="P763" s="19">
        <v>0.0</v>
      </c>
      <c r="Q763" s="19">
        <v>27.0</v>
      </c>
      <c r="R763" s="19">
        <v>10006.0</v>
      </c>
      <c r="S763" s="20" t="s">
        <v>14859</v>
      </c>
      <c r="T763" s="20">
        <v>45461.0</v>
      </c>
      <c r="U763" s="19" t="s">
        <v>14853</v>
      </c>
      <c r="V763" s="19"/>
      <c r="W763" s="19" t="s">
        <v>14860</v>
      </c>
      <c r="X763" s="21">
        <v>0.0</v>
      </c>
      <c r="Y763" s="21">
        <v>0.0</v>
      </c>
      <c r="Z763" s="21">
        <v>5.0</v>
      </c>
      <c r="AA763" s="21">
        <v>0.0</v>
      </c>
      <c r="AB763" s="5">
        <v>5.0</v>
      </c>
      <c r="AC763" s="19">
        <v>4.0</v>
      </c>
      <c r="AD763" s="19">
        <v>3.0</v>
      </c>
      <c r="AE763" s="19">
        <v>3.0</v>
      </c>
      <c r="AF763" s="19">
        <v>3.0</v>
      </c>
      <c r="AG763" s="19">
        <v>3.0</v>
      </c>
      <c r="AH763" s="19">
        <v>3.0</v>
      </c>
      <c r="AI763" s="22">
        <v>9.46875</v>
      </c>
      <c r="AJ763" s="19"/>
      <c r="AK763" s="19"/>
      <c r="AL763" s="19"/>
      <c r="AM763" s="19">
        <v>0.0</v>
      </c>
      <c r="AN763" s="19">
        <v>9.5</v>
      </c>
      <c r="AO763" s="19">
        <v>14.5</v>
      </c>
      <c r="AP763" s="19">
        <v>1034.0</v>
      </c>
      <c r="AQ763" s="19">
        <v>762.0</v>
      </c>
      <c r="AR763" s="19">
        <v>84.0</v>
      </c>
      <c r="AS763" s="22"/>
      <c r="AT763" s="19" t="s">
        <v>2117</v>
      </c>
      <c r="AU763" s="19" t="s">
        <v>14861</v>
      </c>
      <c r="AV763" s="19" t="s">
        <v>14862</v>
      </c>
      <c r="AW763" s="19" t="s">
        <v>14863</v>
      </c>
      <c r="AX763" s="20">
        <v>35455.0</v>
      </c>
      <c r="AY763" s="19" t="s">
        <v>2938</v>
      </c>
      <c r="AZ763" s="19" t="s">
        <v>2310</v>
      </c>
      <c r="BA763" s="19" t="s">
        <v>14864</v>
      </c>
      <c r="BB763" s="19" t="s">
        <v>14865</v>
      </c>
      <c r="BC763" s="19" t="s">
        <v>14866</v>
      </c>
      <c r="BD763" s="19" t="s">
        <v>14867</v>
      </c>
      <c r="BE763" s="19" t="s">
        <v>14868</v>
      </c>
      <c r="BF763" s="19">
        <v>1.1959166821E10</v>
      </c>
      <c r="BG763" s="19" t="s">
        <v>2127</v>
      </c>
      <c r="BH763" s="19" t="s">
        <v>2649</v>
      </c>
      <c r="BI763" s="19"/>
      <c r="BJ763" s="19" t="s">
        <v>2427</v>
      </c>
      <c r="BK763" s="19" t="s">
        <v>16</v>
      </c>
      <c r="BL763" s="19"/>
      <c r="BM763" s="19" t="s">
        <v>5411</v>
      </c>
      <c r="BN763" s="19" t="s">
        <v>17</v>
      </c>
      <c r="BO763" s="19" t="s">
        <v>2132</v>
      </c>
      <c r="BP763" s="19" t="s">
        <v>14869</v>
      </c>
      <c r="BQ763" s="19" t="s">
        <v>2174</v>
      </c>
      <c r="BR763" s="19" t="s">
        <v>2174</v>
      </c>
      <c r="BS763" s="19" t="s">
        <v>3521</v>
      </c>
      <c r="BT763" s="19" t="s">
        <v>21</v>
      </c>
      <c r="BU763" s="19" t="s">
        <v>14870</v>
      </c>
      <c r="BV763" s="19"/>
      <c r="BW763" s="19"/>
      <c r="BX763" s="19"/>
      <c r="BY763" s="19"/>
      <c r="BZ763" s="19"/>
      <c r="CA763" s="19"/>
      <c r="CB763" s="19" t="s">
        <v>2113</v>
      </c>
      <c r="CC763" s="19" t="s">
        <v>2113</v>
      </c>
      <c r="CD763" s="19" t="s">
        <v>2137</v>
      </c>
      <c r="CE763" s="19" t="s">
        <v>16</v>
      </c>
      <c r="CF763" s="19"/>
      <c r="CG763" s="19"/>
      <c r="CH763" s="19" t="s">
        <v>16</v>
      </c>
      <c r="CI763" s="21">
        <v>0.0</v>
      </c>
      <c r="CJ763" s="19" t="s">
        <v>17</v>
      </c>
      <c r="CK763" s="19"/>
      <c r="CL763" s="19"/>
      <c r="CM763" s="19" t="s">
        <v>2138</v>
      </c>
      <c r="CN763" s="19" t="s">
        <v>2176</v>
      </c>
      <c r="CO763" s="19"/>
      <c r="CP763" s="19" t="s">
        <v>2246</v>
      </c>
      <c r="CQ763" s="19"/>
      <c r="CR763" s="19" t="s">
        <v>2113</v>
      </c>
      <c r="CS763" s="19" t="s">
        <v>2113</v>
      </c>
      <c r="CT763" s="19"/>
      <c r="CU763" s="19"/>
      <c r="CV763" s="19" t="s">
        <v>2141</v>
      </c>
      <c r="CW763" s="19"/>
      <c r="CX763" s="19"/>
      <c r="CY763" s="19"/>
      <c r="CZ763" s="19"/>
      <c r="DA763" s="19" t="s">
        <v>16</v>
      </c>
      <c r="DB763" s="19" t="s">
        <v>17</v>
      </c>
      <c r="DC763" s="19" t="s">
        <v>5213</v>
      </c>
      <c r="DD763" s="19" t="s">
        <v>2113</v>
      </c>
      <c r="DE763" s="19" t="s">
        <v>2113</v>
      </c>
      <c r="DF763" s="19" t="s">
        <v>2433</v>
      </c>
      <c r="DG763" s="19" t="s">
        <v>3163</v>
      </c>
      <c r="DH763" s="19" t="s">
        <v>2144</v>
      </c>
      <c r="DI763" s="24">
        <v>45525.0</v>
      </c>
      <c r="DJ763" s="19" t="s">
        <v>2174</v>
      </c>
      <c r="DK763" s="19" t="s">
        <v>2271</v>
      </c>
      <c r="DL763" s="19" t="s">
        <v>2183</v>
      </c>
      <c r="DM763" s="19" t="s">
        <v>2249</v>
      </c>
      <c r="DN763" s="19">
        <v>10.0</v>
      </c>
      <c r="DO763" s="19">
        <v>10.0</v>
      </c>
      <c r="DP763" s="19" t="s">
        <v>14871</v>
      </c>
      <c r="DQ763" s="19" t="s">
        <v>14872</v>
      </c>
      <c r="DR763" s="19" t="s">
        <v>14873</v>
      </c>
      <c r="DS763" s="19" t="s">
        <v>2151</v>
      </c>
      <c r="DT763" s="19" t="s">
        <v>2350</v>
      </c>
      <c r="DU763" s="19"/>
      <c r="DV763" s="19"/>
      <c r="DW763" s="19" t="s">
        <v>2188</v>
      </c>
      <c r="DX763" s="19">
        <v>15.0</v>
      </c>
      <c r="DY763" s="19">
        <v>0.0</v>
      </c>
      <c r="DZ763" s="19">
        <v>0.0</v>
      </c>
      <c r="EA763" s="19">
        <v>0.0</v>
      </c>
      <c r="EB763" s="19">
        <v>0.0</v>
      </c>
      <c r="EC763" s="19">
        <v>0.0</v>
      </c>
      <c r="ED763" s="19" t="s">
        <v>2174</v>
      </c>
      <c r="EE763" s="24">
        <v>45525.0</v>
      </c>
      <c r="EF763" s="19" t="s">
        <v>2174</v>
      </c>
      <c r="EG763" s="19" t="s">
        <v>2271</v>
      </c>
      <c r="EH763" s="19" t="s">
        <v>2183</v>
      </c>
      <c r="EI763" s="22">
        <v>9.46875</v>
      </c>
      <c r="EJ763" s="19">
        <v>0.0</v>
      </c>
      <c r="EK763" s="19" t="s">
        <v>2113</v>
      </c>
      <c r="EL763" s="19" t="s">
        <v>2117</v>
      </c>
      <c r="EM763" s="19" t="s">
        <v>14861</v>
      </c>
      <c r="EN763" s="19" t="s">
        <v>14855</v>
      </c>
      <c r="EO763" s="19" t="s">
        <v>2938</v>
      </c>
      <c r="EP763" s="19" t="s">
        <v>2310</v>
      </c>
      <c r="EQ763" s="19" t="s">
        <v>2176</v>
      </c>
      <c r="ER763" s="19"/>
      <c r="ES763" s="19" t="s">
        <v>14855</v>
      </c>
      <c r="ET763" s="19" t="s">
        <v>14855</v>
      </c>
      <c r="EU763" s="19" t="s">
        <v>14857</v>
      </c>
      <c r="EV763" s="19">
        <v>10006.0</v>
      </c>
      <c r="EW763" s="19" t="s">
        <v>16</v>
      </c>
      <c r="EX763" s="19">
        <v>5.0</v>
      </c>
      <c r="EY763" s="25" t="s">
        <v>14858</v>
      </c>
      <c r="EZ763" s="19" t="s">
        <v>2154</v>
      </c>
      <c r="FA763" s="5" t="s">
        <v>14874</v>
      </c>
      <c r="FB763" s="26" t="s">
        <v>2633</v>
      </c>
      <c r="FC763" s="26" t="s">
        <v>10773</v>
      </c>
    </row>
    <row r="764" hidden="1">
      <c r="A764" s="19" t="s">
        <v>2156</v>
      </c>
      <c r="B764" s="19"/>
      <c r="C764" s="19" t="s">
        <v>2113</v>
      </c>
      <c r="D764" s="19" t="s">
        <v>14875</v>
      </c>
      <c r="E764" s="19" t="s">
        <v>14876</v>
      </c>
      <c r="F764" s="19" t="s">
        <v>4952</v>
      </c>
      <c r="G764" s="19" t="s">
        <v>4953</v>
      </c>
      <c r="H764" s="19" t="s">
        <v>14875</v>
      </c>
      <c r="I764" s="19" t="s">
        <v>14877</v>
      </c>
      <c r="J764" s="19" t="s">
        <v>14878</v>
      </c>
      <c r="K764" s="19" t="s">
        <v>14879</v>
      </c>
      <c r="L764" s="20">
        <v>45394.0</v>
      </c>
      <c r="M764" s="20">
        <v>45404.0</v>
      </c>
      <c r="N764" s="20">
        <v>45404.0</v>
      </c>
      <c r="O764" s="19" t="s">
        <v>14880</v>
      </c>
      <c r="P764" s="19">
        <v>0.0</v>
      </c>
      <c r="Q764" s="19">
        <v>23.0</v>
      </c>
      <c r="R764" s="19">
        <v>8761.0</v>
      </c>
      <c r="S764" s="20" t="s">
        <v>14881</v>
      </c>
      <c r="T764" s="20">
        <v>45461.0</v>
      </c>
      <c r="U764" s="19" t="s">
        <v>4952</v>
      </c>
      <c r="V764" s="19"/>
      <c r="W764" s="19"/>
      <c r="X764" s="21">
        <v>0.0</v>
      </c>
      <c r="Y764" s="21">
        <v>0.0</v>
      </c>
      <c r="Z764" s="21">
        <v>3.0</v>
      </c>
      <c r="AA764" s="21">
        <v>0.0</v>
      </c>
      <c r="AB764" s="5">
        <v>3.0</v>
      </c>
      <c r="AC764" s="19">
        <v>3.0</v>
      </c>
      <c r="AD764" s="19">
        <v>4.0</v>
      </c>
      <c r="AE764" s="19">
        <v>3.0</v>
      </c>
      <c r="AF764" s="19">
        <v>5.0</v>
      </c>
      <c r="AG764" s="19">
        <v>4.0</v>
      </c>
      <c r="AH764" s="19">
        <v>4.0</v>
      </c>
      <c r="AI764" s="22">
        <v>11.15625</v>
      </c>
      <c r="AJ764" s="19">
        <v>0.0</v>
      </c>
      <c r="AK764" s="19">
        <v>0.0</v>
      </c>
      <c r="AL764" s="19">
        <v>0.0</v>
      </c>
      <c r="AM764" s="19">
        <v>0.0</v>
      </c>
      <c r="AN764" s="19">
        <v>11.2</v>
      </c>
      <c r="AO764" s="19">
        <v>14.2</v>
      </c>
      <c r="AP764" s="19">
        <v>1254.0</v>
      </c>
      <c r="AQ764" s="19">
        <v>763.0</v>
      </c>
      <c r="AR764" s="19">
        <v>51.0</v>
      </c>
      <c r="AS764" s="22"/>
      <c r="AT764" s="19" t="s">
        <v>2282</v>
      </c>
      <c r="AU764" s="19" t="s">
        <v>2815</v>
      </c>
      <c r="AV764" s="19" t="s">
        <v>14882</v>
      </c>
      <c r="AW764" s="19"/>
      <c r="AX764" s="20">
        <v>36700.0</v>
      </c>
      <c r="AY764" s="19" t="s">
        <v>3905</v>
      </c>
      <c r="AZ764" s="19" t="s">
        <v>2310</v>
      </c>
      <c r="BA764" s="19" t="s">
        <v>14883</v>
      </c>
      <c r="BB764" s="19" t="s">
        <v>6605</v>
      </c>
      <c r="BC764" s="19" t="s">
        <v>14884</v>
      </c>
      <c r="BD764" s="19" t="s">
        <v>14885</v>
      </c>
      <c r="BE764" s="19" t="s">
        <v>14886</v>
      </c>
      <c r="BF764" s="19">
        <v>1.1987261551E10</v>
      </c>
      <c r="BG764" s="19" t="s">
        <v>2127</v>
      </c>
      <c r="BH764" s="19" t="s">
        <v>2128</v>
      </c>
      <c r="BI764" s="19"/>
      <c r="BJ764" s="19"/>
      <c r="BK764" s="19" t="s">
        <v>16</v>
      </c>
      <c r="BL764" s="19"/>
      <c r="BM764" s="19" t="s">
        <v>5563</v>
      </c>
      <c r="BN764" s="19" t="s">
        <v>17</v>
      </c>
      <c r="BO764" s="19" t="s">
        <v>2473</v>
      </c>
      <c r="BP764" s="19" t="s">
        <v>14887</v>
      </c>
      <c r="BQ764" s="19" t="s">
        <v>2133</v>
      </c>
      <c r="BR764" s="19" t="s">
        <v>2133</v>
      </c>
      <c r="BS764" s="19" t="s">
        <v>3521</v>
      </c>
      <c r="BT764" s="19" t="s">
        <v>222</v>
      </c>
      <c r="BU764" s="19" t="s">
        <v>14888</v>
      </c>
      <c r="BV764" s="19"/>
      <c r="BW764" s="19" t="s">
        <v>2113</v>
      </c>
      <c r="BX764" s="19"/>
      <c r="BY764" s="19"/>
      <c r="BZ764" s="19"/>
      <c r="CA764" s="19"/>
      <c r="CB764" s="19" t="s">
        <v>2113</v>
      </c>
      <c r="CC764" s="19"/>
      <c r="CD764" s="19" t="s">
        <v>2137</v>
      </c>
      <c r="CE764" s="19" t="s">
        <v>16</v>
      </c>
      <c r="CF764" s="19"/>
      <c r="CG764" s="19"/>
      <c r="CH764" s="19" t="s">
        <v>16</v>
      </c>
      <c r="CI764" s="21">
        <v>0.0</v>
      </c>
      <c r="CJ764" s="19" t="s">
        <v>16</v>
      </c>
      <c r="CK764" s="19"/>
      <c r="CL764" s="19"/>
      <c r="CM764" s="19"/>
      <c r="CN764" s="19" t="s">
        <v>3544</v>
      </c>
      <c r="CO764" s="19"/>
      <c r="CP764" s="19"/>
      <c r="CQ764" s="19"/>
      <c r="CR764" s="19" t="s">
        <v>2113</v>
      </c>
      <c r="CS764" s="19" t="s">
        <v>2113</v>
      </c>
      <c r="CT764" s="19" t="s">
        <v>2113</v>
      </c>
      <c r="CU764" s="19" t="s">
        <v>2113</v>
      </c>
      <c r="CV764" s="19" t="s">
        <v>2141</v>
      </c>
      <c r="CW764" s="19" t="s">
        <v>2113</v>
      </c>
      <c r="CX764" s="19" t="s">
        <v>2113</v>
      </c>
      <c r="CY764" s="19" t="s">
        <v>2113</v>
      </c>
      <c r="CZ764" s="19" t="s">
        <v>2113</v>
      </c>
      <c r="DA764" s="19" t="s">
        <v>16</v>
      </c>
      <c r="DB764" s="19" t="s">
        <v>16</v>
      </c>
      <c r="DC764" s="19" t="s">
        <v>4541</v>
      </c>
      <c r="DD764" s="19" t="s">
        <v>2113</v>
      </c>
      <c r="DE764" s="19" t="s">
        <v>2113</v>
      </c>
      <c r="DF764" s="19" t="s">
        <v>5320</v>
      </c>
      <c r="DG764" s="19" t="s">
        <v>2407</v>
      </c>
      <c r="DH764" s="19" t="s">
        <v>2144</v>
      </c>
      <c r="DI764" s="24">
        <v>45519.0</v>
      </c>
      <c r="DJ764" s="19" t="s">
        <v>2133</v>
      </c>
      <c r="DK764" s="19" t="s">
        <v>2271</v>
      </c>
      <c r="DL764" s="19" t="s">
        <v>2146</v>
      </c>
      <c r="DM764" s="19" t="s">
        <v>2751</v>
      </c>
      <c r="DN764" s="19">
        <v>6.0</v>
      </c>
      <c r="DO764" s="19">
        <v>6.0</v>
      </c>
      <c r="DP764" s="19" t="s">
        <v>14889</v>
      </c>
      <c r="DQ764" s="19" t="s">
        <v>14890</v>
      </c>
      <c r="DR764" s="19" t="s">
        <v>14891</v>
      </c>
      <c r="DS764" s="19" t="s">
        <v>2365</v>
      </c>
      <c r="DT764" s="19" t="s">
        <v>2209</v>
      </c>
      <c r="DU764" s="19"/>
      <c r="DV764" s="19"/>
      <c r="DW764" s="19" t="s">
        <v>2153</v>
      </c>
      <c r="DX764" s="19">
        <v>7.0</v>
      </c>
      <c r="DY764" s="19">
        <v>0.0</v>
      </c>
      <c r="DZ764" s="19">
        <v>0.0</v>
      </c>
      <c r="EA764" s="19">
        <v>0.0</v>
      </c>
      <c r="EB764" s="19">
        <v>0.0</v>
      </c>
      <c r="EC764" s="19">
        <v>0.0</v>
      </c>
      <c r="ED764" s="19" t="s">
        <v>2133</v>
      </c>
      <c r="EE764" s="24">
        <v>45519.0</v>
      </c>
      <c r="EF764" s="19" t="s">
        <v>2133</v>
      </c>
      <c r="EG764" s="19" t="s">
        <v>2271</v>
      </c>
      <c r="EH764" s="19" t="s">
        <v>2146</v>
      </c>
      <c r="EI764" s="22">
        <v>11.15625</v>
      </c>
      <c r="EJ764" s="19">
        <v>0.0</v>
      </c>
      <c r="EK764" s="19"/>
      <c r="EL764" s="19" t="s">
        <v>2282</v>
      </c>
      <c r="EM764" s="19" t="s">
        <v>2815</v>
      </c>
      <c r="EN764" s="19" t="s">
        <v>14877</v>
      </c>
      <c r="EO764" s="19" t="s">
        <v>3905</v>
      </c>
      <c r="EP764" s="19" t="s">
        <v>2310</v>
      </c>
      <c r="EQ764" s="19" t="s">
        <v>3544</v>
      </c>
      <c r="ER764" s="19"/>
      <c r="ES764" s="19" t="s">
        <v>14877</v>
      </c>
      <c r="ET764" s="19" t="s">
        <v>14877</v>
      </c>
      <c r="EU764" s="19" t="s">
        <v>14879</v>
      </c>
      <c r="EV764" s="19">
        <v>8761.0</v>
      </c>
      <c r="EW764" s="19" t="s">
        <v>16</v>
      </c>
      <c r="EX764" s="19">
        <v>3.0</v>
      </c>
      <c r="EY764" s="25" t="s">
        <v>14880</v>
      </c>
      <c r="EZ764" s="19" t="s">
        <v>2154</v>
      </c>
      <c r="FA764" s="5" t="s">
        <v>14892</v>
      </c>
      <c r="FB764" s="26" t="s">
        <v>2633</v>
      </c>
      <c r="FC764" s="26" t="s">
        <v>10773</v>
      </c>
    </row>
    <row r="765" hidden="1">
      <c r="A765" s="19" t="s">
        <v>2112</v>
      </c>
      <c r="B765" s="19"/>
      <c r="C765" s="19" t="s">
        <v>2113</v>
      </c>
      <c r="D765" s="19" t="s">
        <v>14893</v>
      </c>
      <c r="E765" s="19" t="s">
        <v>14894</v>
      </c>
      <c r="F765" s="19" t="s">
        <v>14895</v>
      </c>
      <c r="G765" s="19" t="s">
        <v>14896</v>
      </c>
      <c r="H765" s="19" t="s">
        <v>14893</v>
      </c>
      <c r="I765" s="19" t="s">
        <v>14897</v>
      </c>
      <c r="J765" s="19" t="s">
        <v>14898</v>
      </c>
      <c r="K765" s="19" t="s">
        <v>14899</v>
      </c>
      <c r="L765" s="20">
        <v>45396.0</v>
      </c>
      <c r="M765" s="20">
        <v>45411.0</v>
      </c>
      <c r="N765" s="20">
        <v>45411.0</v>
      </c>
      <c r="O765" s="19" t="s">
        <v>14900</v>
      </c>
      <c r="P765" s="19">
        <v>0.0</v>
      </c>
      <c r="Q765" s="19">
        <v>27.0</v>
      </c>
      <c r="R765" s="19">
        <v>10179.0</v>
      </c>
      <c r="S765" s="20" t="s">
        <v>14901</v>
      </c>
      <c r="T765" s="20">
        <v>45461.0</v>
      </c>
      <c r="U765" s="19" t="s">
        <v>14895</v>
      </c>
      <c r="V765" s="19"/>
      <c r="W765" s="19" t="s">
        <v>14902</v>
      </c>
      <c r="X765" s="21">
        <v>0.0</v>
      </c>
      <c r="Y765" s="21">
        <v>0.0</v>
      </c>
      <c r="Z765" s="21">
        <v>3.0</v>
      </c>
      <c r="AA765" s="21">
        <v>0.0</v>
      </c>
      <c r="AB765" s="5">
        <v>3.0</v>
      </c>
      <c r="AC765" s="19">
        <v>4.0</v>
      </c>
      <c r="AD765" s="19">
        <v>3.0</v>
      </c>
      <c r="AE765" s="19">
        <v>4.0</v>
      </c>
      <c r="AF765" s="19">
        <v>4.0</v>
      </c>
      <c r="AG765" s="19">
        <v>4.0</v>
      </c>
      <c r="AH765" s="19">
        <v>3.0</v>
      </c>
      <c r="AI765" s="22">
        <v>10.96875</v>
      </c>
      <c r="AJ765" s="19"/>
      <c r="AK765" s="19"/>
      <c r="AL765" s="19"/>
      <c r="AM765" s="19">
        <v>0.0</v>
      </c>
      <c r="AN765" s="19">
        <v>11.0</v>
      </c>
      <c r="AO765" s="19">
        <v>14.0</v>
      </c>
      <c r="AP765" s="19">
        <v>1217.0</v>
      </c>
      <c r="AQ765" s="19">
        <v>764.0</v>
      </c>
      <c r="AR765" s="19">
        <v>52.0</v>
      </c>
      <c r="AS765" s="22"/>
      <c r="AT765" s="19" t="s">
        <v>2117</v>
      </c>
      <c r="AU765" s="19" t="s">
        <v>8531</v>
      </c>
      <c r="AV765" s="19" t="s">
        <v>14903</v>
      </c>
      <c r="AW765" s="19" t="s">
        <v>3791</v>
      </c>
      <c r="AX765" s="20">
        <v>35282.0</v>
      </c>
      <c r="AY765" s="19" t="s">
        <v>3905</v>
      </c>
      <c r="AZ765" s="19" t="s">
        <v>2310</v>
      </c>
      <c r="BA765" s="19" t="s">
        <v>14904</v>
      </c>
      <c r="BB765" s="19" t="s">
        <v>4312</v>
      </c>
      <c r="BC765" s="19" t="s">
        <v>14905</v>
      </c>
      <c r="BD765" s="19" t="s">
        <v>14906</v>
      </c>
      <c r="BE765" s="19" t="s">
        <v>14907</v>
      </c>
      <c r="BF765" s="19">
        <v>1.1986197303E10</v>
      </c>
      <c r="BG765" s="19" t="s">
        <v>4038</v>
      </c>
      <c r="BH765" s="19" t="s">
        <v>2128</v>
      </c>
      <c r="BI765" s="19"/>
      <c r="BJ765" s="19" t="s">
        <v>2129</v>
      </c>
      <c r="BK765" s="19" t="s">
        <v>17</v>
      </c>
      <c r="BL765" s="19"/>
      <c r="BM765" s="19" t="s">
        <v>5411</v>
      </c>
      <c r="BN765" s="19" t="s">
        <v>17</v>
      </c>
      <c r="BO765" s="19" t="s">
        <v>2473</v>
      </c>
      <c r="BP765" s="19" t="s">
        <v>14908</v>
      </c>
      <c r="BQ765" s="19" t="s">
        <v>2133</v>
      </c>
      <c r="BR765" s="19" t="s">
        <v>2133</v>
      </c>
      <c r="BS765" s="19" t="s">
        <v>3521</v>
      </c>
      <c r="BT765" s="19" t="s">
        <v>222</v>
      </c>
      <c r="BU765" s="19" t="s">
        <v>14909</v>
      </c>
      <c r="BV765" s="19"/>
      <c r="BW765" s="19" t="s">
        <v>2113</v>
      </c>
      <c r="BX765" s="19"/>
      <c r="BY765" s="19"/>
      <c r="BZ765" s="19"/>
      <c r="CA765" s="19"/>
      <c r="CB765" s="19" t="s">
        <v>2113</v>
      </c>
      <c r="CC765" s="19" t="s">
        <v>2113</v>
      </c>
      <c r="CD765" s="19" t="s">
        <v>2137</v>
      </c>
      <c r="CE765" s="19" t="s">
        <v>16</v>
      </c>
      <c r="CF765" s="19"/>
      <c r="CG765" s="19"/>
      <c r="CH765" s="19" t="s">
        <v>16</v>
      </c>
      <c r="CI765" s="21">
        <v>0.0</v>
      </c>
      <c r="CJ765" s="19" t="s">
        <v>16</v>
      </c>
      <c r="CK765" s="19"/>
      <c r="CL765" s="19"/>
      <c r="CM765" s="19" t="s">
        <v>2926</v>
      </c>
      <c r="CN765" s="19" t="s">
        <v>3544</v>
      </c>
      <c r="CO765" s="19"/>
      <c r="CP765" s="19" t="s">
        <v>2246</v>
      </c>
      <c r="CQ765" s="19"/>
      <c r="CR765" s="19" t="s">
        <v>2113</v>
      </c>
      <c r="CS765" s="19" t="s">
        <v>2113</v>
      </c>
      <c r="CT765" s="19" t="s">
        <v>2113</v>
      </c>
      <c r="CU765" s="19" t="s">
        <v>2113</v>
      </c>
      <c r="CV765" s="19" t="s">
        <v>2141</v>
      </c>
      <c r="CW765" s="19" t="s">
        <v>2113</v>
      </c>
      <c r="CX765" s="19" t="s">
        <v>2113</v>
      </c>
      <c r="CY765" s="19"/>
      <c r="CZ765" s="19"/>
      <c r="DA765" s="19" t="s">
        <v>16</v>
      </c>
      <c r="DB765" s="19" t="s">
        <v>16</v>
      </c>
      <c r="DC765" s="19" t="s">
        <v>2146</v>
      </c>
      <c r="DD765" s="19" t="s">
        <v>2113</v>
      </c>
      <c r="DE765" s="19" t="s">
        <v>2113</v>
      </c>
      <c r="DF765" s="19" t="s">
        <v>2578</v>
      </c>
      <c r="DG765" s="19" t="s">
        <v>2433</v>
      </c>
      <c r="DH765" s="19" t="s">
        <v>2144</v>
      </c>
      <c r="DI765" s="24">
        <v>45531.0</v>
      </c>
      <c r="DJ765" s="19" t="s">
        <v>2133</v>
      </c>
      <c r="DK765" s="19" t="s">
        <v>2271</v>
      </c>
      <c r="DL765" s="19" t="s">
        <v>2146</v>
      </c>
      <c r="DM765" s="19" t="s">
        <v>2827</v>
      </c>
      <c r="DN765" s="19">
        <v>14.0</v>
      </c>
      <c r="DO765" s="19">
        <v>14.0</v>
      </c>
      <c r="DP765" s="19" t="s">
        <v>14910</v>
      </c>
      <c r="DQ765" s="19" t="s">
        <v>14911</v>
      </c>
      <c r="DR765" s="19" t="s">
        <v>14912</v>
      </c>
      <c r="DS765" s="19" t="s">
        <v>2365</v>
      </c>
      <c r="DT765" s="19" t="s">
        <v>2301</v>
      </c>
      <c r="DU765" s="19"/>
      <c r="DV765" s="19"/>
      <c r="DW765" s="19" t="s">
        <v>2153</v>
      </c>
      <c r="DX765" s="19">
        <v>8.0</v>
      </c>
      <c r="DY765" s="19">
        <v>0.0</v>
      </c>
      <c r="DZ765" s="19">
        <v>0.0</v>
      </c>
      <c r="EA765" s="19">
        <v>0.0</v>
      </c>
      <c r="EB765" s="19">
        <v>0.0</v>
      </c>
      <c r="EC765" s="19">
        <v>0.0</v>
      </c>
      <c r="ED765" s="19" t="s">
        <v>2133</v>
      </c>
      <c r="EE765" s="24">
        <v>45531.0</v>
      </c>
      <c r="EF765" s="19" t="s">
        <v>2133</v>
      </c>
      <c r="EG765" s="19" t="s">
        <v>2271</v>
      </c>
      <c r="EH765" s="19" t="s">
        <v>2146</v>
      </c>
      <c r="EI765" s="22">
        <v>10.96875</v>
      </c>
      <c r="EJ765" s="19">
        <v>0.0</v>
      </c>
      <c r="EK765" s="19"/>
      <c r="EL765" s="19" t="s">
        <v>2117</v>
      </c>
      <c r="EM765" s="19" t="s">
        <v>8531</v>
      </c>
      <c r="EN765" s="19" t="s">
        <v>14897</v>
      </c>
      <c r="EO765" s="19" t="s">
        <v>3905</v>
      </c>
      <c r="EP765" s="19" t="s">
        <v>2310</v>
      </c>
      <c r="EQ765" s="19" t="s">
        <v>3544</v>
      </c>
      <c r="ER765" s="19"/>
      <c r="ES765" s="19" t="s">
        <v>14897</v>
      </c>
      <c r="ET765" s="19" t="s">
        <v>14897</v>
      </c>
      <c r="EU765" s="19" t="s">
        <v>14899</v>
      </c>
      <c r="EV765" s="19">
        <v>10179.0</v>
      </c>
      <c r="EW765" s="19" t="s">
        <v>16</v>
      </c>
      <c r="EX765" s="19">
        <v>3.0</v>
      </c>
      <c r="EY765" s="25" t="s">
        <v>14900</v>
      </c>
      <c r="EZ765" s="19" t="s">
        <v>2154</v>
      </c>
      <c r="FA765" s="5" t="s">
        <v>14913</v>
      </c>
      <c r="FB765" s="26" t="s">
        <v>2633</v>
      </c>
      <c r="FC765" s="26" t="s">
        <v>10773</v>
      </c>
    </row>
    <row r="766" hidden="1">
      <c r="A766" s="19" t="s">
        <v>2112</v>
      </c>
      <c r="B766" s="19"/>
      <c r="C766" s="19" t="s">
        <v>2113</v>
      </c>
      <c r="D766" s="19" t="s">
        <v>14914</v>
      </c>
      <c r="E766" s="19" t="s">
        <v>14915</v>
      </c>
      <c r="F766" s="19" t="s">
        <v>14914</v>
      </c>
      <c r="G766" s="19"/>
      <c r="H766" s="19" t="s">
        <v>14914</v>
      </c>
      <c r="I766" s="19" t="s">
        <v>14916</v>
      </c>
      <c r="J766" s="19" t="s">
        <v>14917</v>
      </c>
      <c r="K766" s="19" t="s">
        <v>14918</v>
      </c>
      <c r="L766" s="20">
        <v>45414.0</v>
      </c>
      <c r="M766" s="20">
        <v>45414.0</v>
      </c>
      <c r="N766" s="20">
        <v>45414.0</v>
      </c>
      <c r="O766" s="19" t="s">
        <v>14919</v>
      </c>
      <c r="P766" s="19">
        <v>0.0</v>
      </c>
      <c r="Q766" s="19">
        <v>23.0</v>
      </c>
      <c r="R766" s="19">
        <v>8715.0</v>
      </c>
      <c r="S766" s="20" t="s">
        <v>8724</v>
      </c>
      <c r="T766" s="20">
        <v>45461.0</v>
      </c>
      <c r="U766" s="19" t="s">
        <v>14914</v>
      </c>
      <c r="V766" s="19"/>
      <c r="W766" s="19"/>
      <c r="X766" s="21">
        <v>0.0</v>
      </c>
      <c r="Y766" s="21">
        <v>0.0</v>
      </c>
      <c r="Z766" s="21">
        <v>3.0</v>
      </c>
      <c r="AA766" s="21">
        <v>0.0</v>
      </c>
      <c r="AB766" s="5">
        <v>3.0</v>
      </c>
      <c r="AC766" s="19">
        <v>4.0</v>
      </c>
      <c r="AD766" s="19">
        <v>3.0</v>
      </c>
      <c r="AE766" s="19">
        <v>3.0</v>
      </c>
      <c r="AF766" s="19">
        <v>4.0</v>
      </c>
      <c r="AG766" s="19">
        <v>4.0</v>
      </c>
      <c r="AH766" s="19">
        <v>3.0</v>
      </c>
      <c r="AI766" s="22">
        <v>10.21875</v>
      </c>
      <c r="AJ766" s="19"/>
      <c r="AK766" s="19"/>
      <c r="AL766" s="19"/>
      <c r="AM766" s="19">
        <v>0.0</v>
      </c>
      <c r="AN766" s="19">
        <v>10.2</v>
      </c>
      <c r="AO766" s="19">
        <v>13.2</v>
      </c>
      <c r="AP766" s="19">
        <v>1256.0</v>
      </c>
      <c r="AQ766" s="19">
        <v>765.0</v>
      </c>
      <c r="AR766" s="19">
        <v>53.0</v>
      </c>
      <c r="AS766" s="22"/>
      <c r="AT766" s="19" t="s">
        <v>2282</v>
      </c>
      <c r="AU766" s="19" t="s">
        <v>3943</v>
      </c>
      <c r="AV766" s="19" t="s">
        <v>14920</v>
      </c>
      <c r="AW766" s="19"/>
      <c r="AX766" s="20">
        <v>36746.0</v>
      </c>
      <c r="AY766" s="19" t="s">
        <v>3946</v>
      </c>
      <c r="AZ766" s="19" t="s">
        <v>2122</v>
      </c>
      <c r="BA766" s="19" t="s">
        <v>14921</v>
      </c>
      <c r="BB766" s="19" t="s">
        <v>7175</v>
      </c>
      <c r="BC766" s="19" t="s">
        <v>14922</v>
      </c>
      <c r="BD766" s="19" t="s">
        <v>14923</v>
      </c>
      <c r="BE766" s="19" t="s">
        <v>14924</v>
      </c>
      <c r="BF766" s="19">
        <v>1.1963694613E10</v>
      </c>
      <c r="BG766" s="19" t="s">
        <v>4038</v>
      </c>
      <c r="BH766" s="19" t="s">
        <v>2649</v>
      </c>
      <c r="BI766" s="19"/>
      <c r="BJ766" s="19" t="s">
        <v>2129</v>
      </c>
      <c r="BK766" s="19" t="s">
        <v>17</v>
      </c>
      <c r="BL766" s="19" t="s">
        <v>2113</v>
      </c>
      <c r="BM766" s="19" t="s">
        <v>5411</v>
      </c>
      <c r="BN766" s="19" t="s">
        <v>17</v>
      </c>
      <c r="BO766" s="19" t="s">
        <v>2473</v>
      </c>
      <c r="BP766" s="19"/>
      <c r="BQ766" s="19" t="s">
        <v>2133</v>
      </c>
      <c r="BR766" s="19" t="s">
        <v>2133</v>
      </c>
      <c r="BS766" s="19" t="s">
        <v>2134</v>
      </c>
      <c r="BT766" s="19" t="s">
        <v>222</v>
      </c>
      <c r="BU766" s="19" t="s">
        <v>14925</v>
      </c>
      <c r="BV766" s="19"/>
      <c r="BW766" s="19"/>
      <c r="BX766" s="19" t="s">
        <v>2113</v>
      </c>
      <c r="BY766" s="19" t="s">
        <v>2113</v>
      </c>
      <c r="BZ766" s="19" t="s">
        <v>2113</v>
      </c>
      <c r="CA766" s="19"/>
      <c r="CB766" s="19" t="s">
        <v>2113</v>
      </c>
      <c r="CC766" s="19"/>
      <c r="CD766" s="19" t="s">
        <v>2137</v>
      </c>
      <c r="CE766" s="19" t="s">
        <v>16</v>
      </c>
      <c r="CF766" s="19"/>
      <c r="CG766" s="19"/>
      <c r="CH766" s="19" t="s">
        <v>16</v>
      </c>
      <c r="CI766" s="21">
        <v>0.0</v>
      </c>
      <c r="CJ766" s="19" t="s">
        <v>16</v>
      </c>
      <c r="CK766" s="19"/>
      <c r="CL766" s="19"/>
      <c r="CM766" s="19" t="s">
        <v>2344</v>
      </c>
      <c r="CN766" s="19" t="s">
        <v>3544</v>
      </c>
      <c r="CO766" s="19"/>
      <c r="CP766" s="19" t="s">
        <v>2246</v>
      </c>
      <c r="CQ766" s="19"/>
      <c r="CR766" s="19"/>
      <c r="CS766" s="19"/>
      <c r="CT766" s="19"/>
      <c r="CU766" s="19"/>
      <c r="CV766" s="19" t="s">
        <v>2141</v>
      </c>
      <c r="CW766" s="19" t="s">
        <v>2113</v>
      </c>
      <c r="CX766" s="19" t="s">
        <v>2113</v>
      </c>
      <c r="CY766" s="19"/>
      <c r="CZ766" s="19"/>
      <c r="DA766" s="19" t="s">
        <v>16</v>
      </c>
      <c r="DB766" s="19" t="s">
        <v>16</v>
      </c>
      <c r="DC766" s="19" t="s">
        <v>2146</v>
      </c>
      <c r="DD766" s="19" t="s">
        <v>2113</v>
      </c>
      <c r="DE766" s="19" t="s">
        <v>2113</v>
      </c>
      <c r="DF766" s="19" t="s">
        <v>2826</v>
      </c>
      <c r="DG766" s="19" t="s">
        <v>2407</v>
      </c>
      <c r="DH766" s="19" t="s">
        <v>2144</v>
      </c>
      <c r="DI766" s="24">
        <v>45526.0</v>
      </c>
      <c r="DJ766" s="19" t="s">
        <v>2133</v>
      </c>
      <c r="DK766" s="19" t="s">
        <v>2145</v>
      </c>
      <c r="DL766" s="19" t="s">
        <v>2146</v>
      </c>
      <c r="DM766" s="19" t="s">
        <v>3338</v>
      </c>
      <c r="DN766" s="19">
        <v>11.0</v>
      </c>
      <c r="DO766" s="19">
        <v>11.0</v>
      </c>
      <c r="DP766" s="19" t="s">
        <v>14926</v>
      </c>
      <c r="DQ766" s="19" t="s">
        <v>14927</v>
      </c>
      <c r="DR766" s="19" t="s">
        <v>14928</v>
      </c>
      <c r="DS766" s="19" t="s">
        <v>2365</v>
      </c>
      <c r="DT766" s="19" t="s">
        <v>2229</v>
      </c>
      <c r="DU766" s="19"/>
      <c r="DV766" s="19"/>
      <c r="DW766" s="19" t="s">
        <v>2153</v>
      </c>
      <c r="DX766" s="19">
        <v>8.0</v>
      </c>
      <c r="DY766" s="19">
        <v>0.0</v>
      </c>
      <c r="DZ766" s="19">
        <v>0.0</v>
      </c>
      <c r="EA766" s="19">
        <v>0.0</v>
      </c>
      <c r="EB766" s="19">
        <v>0.0</v>
      </c>
      <c r="EC766" s="19">
        <v>0.0</v>
      </c>
      <c r="ED766" s="19" t="s">
        <v>2133</v>
      </c>
      <c r="EE766" s="24">
        <v>45526.0</v>
      </c>
      <c r="EF766" s="19" t="s">
        <v>2133</v>
      </c>
      <c r="EG766" s="19" t="s">
        <v>2145</v>
      </c>
      <c r="EH766" s="19" t="s">
        <v>2146</v>
      </c>
      <c r="EI766" s="22">
        <v>10.21875</v>
      </c>
      <c r="EJ766" s="19">
        <v>0.0</v>
      </c>
      <c r="EK766" s="19"/>
      <c r="EL766" s="19" t="s">
        <v>2282</v>
      </c>
      <c r="EM766" s="19" t="s">
        <v>3943</v>
      </c>
      <c r="EN766" s="19" t="s">
        <v>14916</v>
      </c>
      <c r="EO766" s="19" t="s">
        <v>3946</v>
      </c>
      <c r="EP766" s="19" t="s">
        <v>2122</v>
      </c>
      <c r="EQ766" s="19" t="s">
        <v>3544</v>
      </c>
      <c r="ER766" s="19"/>
      <c r="ES766" s="19" t="s">
        <v>14916</v>
      </c>
      <c r="ET766" s="19" t="s">
        <v>14916</v>
      </c>
      <c r="EU766" s="19" t="s">
        <v>14918</v>
      </c>
      <c r="EV766" s="19">
        <v>8715.0</v>
      </c>
      <c r="EW766" s="19" t="s">
        <v>16</v>
      </c>
      <c r="EX766" s="19">
        <v>3.0</v>
      </c>
      <c r="EY766" s="25" t="s">
        <v>14919</v>
      </c>
      <c r="EZ766" s="19" t="s">
        <v>2154</v>
      </c>
      <c r="FA766" s="5" t="s">
        <v>14929</v>
      </c>
      <c r="FB766" s="26" t="s">
        <v>2633</v>
      </c>
      <c r="FC766" s="26" t="s">
        <v>10773</v>
      </c>
    </row>
    <row r="767" hidden="1">
      <c r="A767" s="19" t="s">
        <v>2112</v>
      </c>
      <c r="B767" s="19"/>
      <c r="C767" s="19" t="s">
        <v>2113</v>
      </c>
      <c r="D767" s="19" t="s">
        <v>14930</v>
      </c>
      <c r="E767" s="19" t="s">
        <v>14931</v>
      </c>
      <c r="F767" s="19" t="s">
        <v>14930</v>
      </c>
      <c r="G767" s="19"/>
      <c r="H767" s="19" t="s">
        <v>14932</v>
      </c>
      <c r="I767" s="19" t="s">
        <v>14933</v>
      </c>
      <c r="J767" s="19" t="s">
        <v>14934</v>
      </c>
      <c r="K767" s="19" t="s">
        <v>14935</v>
      </c>
      <c r="L767" s="20">
        <v>45395.0</v>
      </c>
      <c r="M767" s="20">
        <v>45411.0</v>
      </c>
      <c r="N767" s="20">
        <v>45411.0</v>
      </c>
      <c r="O767" s="19" t="s">
        <v>14936</v>
      </c>
      <c r="P767" s="19">
        <v>0.0</v>
      </c>
      <c r="Q767" s="19">
        <v>19.0</v>
      </c>
      <c r="R767" s="19">
        <v>7193.0</v>
      </c>
      <c r="S767" s="20" t="s">
        <v>14937</v>
      </c>
      <c r="T767" s="20">
        <v>45461.0</v>
      </c>
      <c r="U767" s="19" t="s">
        <v>14930</v>
      </c>
      <c r="V767" s="19"/>
      <c r="W767" s="19"/>
      <c r="X767" s="21">
        <v>0.0</v>
      </c>
      <c r="Y767" s="21">
        <v>0.0</v>
      </c>
      <c r="Z767" s="21">
        <v>4.0</v>
      </c>
      <c r="AA767" s="21">
        <v>0.0</v>
      </c>
      <c r="AB767" s="5">
        <v>4.0</v>
      </c>
      <c r="AC767" s="19">
        <v>3.0</v>
      </c>
      <c r="AD767" s="19">
        <v>3.0</v>
      </c>
      <c r="AE767" s="19">
        <v>2.0</v>
      </c>
      <c r="AF767" s="19">
        <v>2.5</v>
      </c>
      <c r="AG767" s="19">
        <v>2.5</v>
      </c>
      <c r="AH767" s="19">
        <v>4.0</v>
      </c>
      <c r="AI767" s="22">
        <v>8.25</v>
      </c>
      <c r="AJ767" s="19">
        <v>0.0</v>
      </c>
      <c r="AK767" s="19">
        <v>0.0</v>
      </c>
      <c r="AL767" s="19">
        <v>0.0</v>
      </c>
      <c r="AM767" s="19">
        <v>0.0</v>
      </c>
      <c r="AN767" s="19">
        <v>8.3</v>
      </c>
      <c r="AO767" s="19">
        <v>12.3</v>
      </c>
      <c r="AP767" s="19">
        <v>1200.0</v>
      </c>
      <c r="AQ767" s="19">
        <v>766.0</v>
      </c>
      <c r="AR767" s="19">
        <v>84.0</v>
      </c>
      <c r="AS767" s="19"/>
      <c r="AT767" s="19" t="s">
        <v>2117</v>
      </c>
      <c r="AU767" s="19" t="s">
        <v>2664</v>
      </c>
      <c r="AV767" s="19" t="s">
        <v>14938</v>
      </c>
      <c r="AW767" s="19" t="s">
        <v>3907</v>
      </c>
      <c r="AX767" s="20">
        <v>38268.0</v>
      </c>
      <c r="AY767" s="19" t="s">
        <v>2375</v>
      </c>
      <c r="AZ767" s="19" t="s">
        <v>2122</v>
      </c>
      <c r="BA767" s="19" t="s">
        <v>14939</v>
      </c>
      <c r="BB767" s="19" t="s">
        <v>3907</v>
      </c>
      <c r="BC767" s="19" t="s">
        <v>14940</v>
      </c>
      <c r="BD767" s="19" t="s">
        <v>14941</v>
      </c>
      <c r="BE767" s="19" t="s">
        <v>14942</v>
      </c>
      <c r="BF767" s="19">
        <v>1.1979952818E10</v>
      </c>
      <c r="BG767" s="19" t="s">
        <v>4038</v>
      </c>
      <c r="BH767" s="19" t="s">
        <v>2128</v>
      </c>
      <c r="BI767" s="19"/>
      <c r="BJ767" s="19" t="s">
        <v>2129</v>
      </c>
      <c r="BK767" s="19" t="s">
        <v>17</v>
      </c>
      <c r="BL767" s="19"/>
      <c r="BM767" s="19" t="s">
        <v>5411</v>
      </c>
      <c r="BN767" s="19" t="s">
        <v>17</v>
      </c>
      <c r="BO767" s="19" t="s">
        <v>2317</v>
      </c>
      <c r="BP767" s="19"/>
      <c r="BQ767" s="19" t="s">
        <v>2133</v>
      </c>
      <c r="BR767" s="19" t="s">
        <v>2133</v>
      </c>
      <c r="BS767" s="19" t="s">
        <v>2134</v>
      </c>
      <c r="BT767" s="19" t="s">
        <v>52</v>
      </c>
      <c r="BU767" s="19" t="s">
        <v>14943</v>
      </c>
      <c r="BV767" s="19"/>
      <c r="BW767" s="19" t="s">
        <v>2113</v>
      </c>
      <c r="BX767" s="19"/>
      <c r="BY767" s="19"/>
      <c r="BZ767" s="19"/>
      <c r="CA767" s="19"/>
      <c r="CB767" s="19" t="s">
        <v>2113</v>
      </c>
      <c r="CC767" s="19"/>
      <c r="CD767" s="19" t="s">
        <v>2137</v>
      </c>
      <c r="CE767" s="19" t="s">
        <v>16</v>
      </c>
      <c r="CF767" s="19"/>
      <c r="CG767" s="19"/>
      <c r="CH767" s="19" t="s">
        <v>16</v>
      </c>
      <c r="CI767" s="21">
        <v>0.0</v>
      </c>
      <c r="CJ767" s="19" t="s">
        <v>17</v>
      </c>
      <c r="CK767" s="19"/>
      <c r="CL767" s="19"/>
      <c r="CM767" s="19" t="s">
        <v>2344</v>
      </c>
      <c r="CN767" s="19" t="s">
        <v>2382</v>
      </c>
      <c r="CO767" s="19"/>
      <c r="CP767" s="19" t="s">
        <v>2140</v>
      </c>
      <c r="CQ767" s="19"/>
      <c r="CR767" s="19" t="s">
        <v>2113</v>
      </c>
      <c r="CS767" s="19" t="s">
        <v>2113</v>
      </c>
      <c r="CT767" s="19"/>
      <c r="CU767" s="19"/>
      <c r="CV767" s="19" t="s">
        <v>2141</v>
      </c>
      <c r="CW767" s="19"/>
      <c r="CX767" s="19"/>
      <c r="CY767" s="19" t="s">
        <v>2113</v>
      </c>
      <c r="CZ767" s="19" t="s">
        <v>2113</v>
      </c>
      <c r="DA767" s="19" t="s">
        <v>16</v>
      </c>
      <c r="DB767" s="19" t="s">
        <v>17</v>
      </c>
      <c r="DC767" s="19" t="s">
        <v>2297</v>
      </c>
      <c r="DD767" s="19" t="s">
        <v>2113</v>
      </c>
      <c r="DE767" s="19" t="s">
        <v>2113</v>
      </c>
      <c r="DF767" s="19" t="s">
        <v>2142</v>
      </c>
      <c r="DG767" s="19" t="s">
        <v>4424</v>
      </c>
      <c r="DH767" s="19" t="s">
        <v>2144</v>
      </c>
      <c r="DI767" s="24">
        <v>45533.0</v>
      </c>
      <c r="DJ767" s="19" t="s">
        <v>2133</v>
      </c>
      <c r="DK767" s="19" t="s">
        <v>2145</v>
      </c>
      <c r="DL767" s="19" t="s">
        <v>2207</v>
      </c>
      <c r="DM767" s="19" t="s">
        <v>3353</v>
      </c>
      <c r="DN767" s="19">
        <v>5.0</v>
      </c>
      <c r="DO767" s="19">
        <v>5.0</v>
      </c>
      <c r="DP767" s="19" t="s">
        <v>14944</v>
      </c>
      <c r="DQ767" s="19" t="s">
        <v>14945</v>
      </c>
      <c r="DR767" s="19" t="s">
        <v>14946</v>
      </c>
      <c r="DS767" s="19" t="s">
        <v>2365</v>
      </c>
      <c r="DT767" s="19" t="s">
        <v>2229</v>
      </c>
      <c r="DU767" s="19"/>
      <c r="DV767" s="19" t="s">
        <v>14947</v>
      </c>
      <c r="DW767" s="19" t="s">
        <v>2153</v>
      </c>
      <c r="DX767" s="19">
        <v>9.0</v>
      </c>
      <c r="DY767" s="19">
        <v>0.0</v>
      </c>
      <c r="DZ767" s="19">
        <v>0.0</v>
      </c>
      <c r="EA767" s="19">
        <v>0.0</v>
      </c>
      <c r="EB767" s="19">
        <v>0.0</v>
      </c>
      <c r="EC767" s="19">
        <v>0.0</v>
      </c>
      <c r="ED767" s="19" t="s">
        <v>2133</v>
      </c>
      <c r="EE767" s="24">
        <v>45533.0</v>
      </c>
      <c r="EF767" s="19" t="s">
        <v>2133</v>
      </c>
      <c r="EG767" s="19" t="s">
        <v>2145</v>
      </c>
      <c r="EH767" s="19" t="s">
        <v>2207</v>
      </c>
      <c r="EI767" s="22">
        <v>8.25</v>
      </c>
      <c r="EJ767" s="19">
        <v>0.0</v>
      </c>
      <c r="EK767" s="19" t="s">
        <v>2113</v>
      </c>
      <c r="EL767" s="19" t="s">
        <v>2117</v>
      </c>
      <c r="EM767" s="19" t="s">
        <v>2664</v>
      </c>
      <c r="EN767" s="19" t="s">
        <v>14933</v>
      </c>
      <c r="EO767" s="19" t="s">
        <v>2375</v>
      </c>
      <c r="EP767" s="19" t="s">
        <v>2122</v>
      </c>
      <c r="EQ767" s="19" t="s">
        <v>2382</v>
      </c>
      <c r="ER767" s="19"/>
      <c r="ES767" s="19" t="s">
        <v>14933</v>
      </c>
      <c r="ET767" s="19" t="s">
        <v>14933</v>
      </c>
      <c r="EU767" s="19" t="s">
        <v>14935</v>
      </c>
      <c r="EV767" s="19">
        <v>7193.0</v>
      </c>
      <c r="EW767" s="19" t="s">
        <v>16</v>
      </c>
      <c r="EX767" s="19">
        <v>4.0</v>
      </c>
      <c r="EY767" s="25" t="s">
        <v>14936</v>
      </c>
      <c r="EZ767" s="19" t="s">
        <v>2154</v>
      </c>
      <c r="FA767" s="5" t="s">
        <v>14948</v>
      </c>
      <c r="FB767" s="26" t="s">
        <v>2633</v>
      </c>
      <c r="FC767" s="26" t="s">
        <v>10773</v>
      </c>
    </row>
    <row r="768" hidden="1">
      <c r="A768" s="19" t="s">
        <v>2112</v>
      </c>
      <c r="B768" s="19"/>
      <c r="C768" s="19" t="s">
        <v>2113</v>
      </c>
      <c r="D768" s="19" t="s">
        <v>14949</v>
      </c>
      <c r="E768" s="19" t="s">
        <v>14950</v>
      </c>
      <c r="F768" s="19" t="s">
        <v>14951</v>
      </c>
      <c r="G768" s="19" t="s">
        <v>14952</v>
      </c>
      <c r="H768" s="19" t="s">
        <v>14949</v>
      </c>
      <c r="I768" s="19" t="s">
        <v>14953</v>
      </c>
      <c r="J768" s="19" t="s">
        <v>14954</v>
      </c>
      <c r="K768" s="19" t="s">
        <v>14955</v>
      </c>
      <c r="L768" s="20">
        <v>45460.0</v>
      </c>
      <c r="M768" s="20">
        <v>45462.0</v>
      </c>
      <c r="N768" s="20">
        <v>45462.0</v>
      </c>
      <c r="O768" s="19" t="s">
        <v>14956</v>
      </c>
      <c r="P768" s="19">
        <v>0.0</v>
      </c>
      <c r="Q768" s="19">
        <v>26.0</v>
      </c>
      <c r="R768" s="19">
        <v>9785.0</v>
      </c>
      <c r="S768" s="20" t="s">
        <v>3901</v>
      </c>
      <c r="T768" s="20">
        <v>45461.0</v>
      </c>
      <c r="U768" s="19" t="s">
        <v>14951</v>
      </c>
      <c r="V768" s="19"/>
      <c r="W768" s="19"/>
      <c r="X768" s="21">
        <v>0.0</v>
      </c>
      <c r="Y768" s="21">
        <v>0.0</v>
      </c>
      <c r="Z768" s="21">
        <v>3.0</v>
      </c>
      <c r="AA768" s="21">
        <v>0.0</v>
      </c>
      <c r="AB768" s="5">
        <v>3.0</v>
      </c>
      <c r="AC768" s="19">
        <v>2.8</v>
      </c>
      <c r="AD768" s="19">
        <v>2.8</v>
      </c>
      <c r="AE768" s="19">
        <v>2.8</v>
      </c>
      <c r="AF768" s="19">
        <v>3.6</v>
      </c>
      <c r="AG768" s="19">
        <v>2.8</v>
      </c>
      <c r="AH768" s="19">
        <v>3.8</v>
      </c>
      <c r="AI768" s="22">
        <v>9.075</v>
      </c>
      <c r="AJ768" s="19"/>
      <c r="AK768" s="19"/>
      <c r="AL768" s="19"/>
      <c r="AM768" s="19">
        <v>0.0</v>
      </c>
      <c r="AN768" s="19">
        <v>9.1</v>
      </c>
      <c r="AO768" s="19">
        <v>12.1</v>
      </c>
      <c r="AP768" s="19">
        <v>1227.0</v>
      </c>
      <c r="AQ768" s="19">
        <v>767.0</v>
      </c>
      <c r="AR768" s="19">
        <v>62.0</v>
      </c>
      <c r="AS768" s="22"/>
      <c r="AT768" s="19" t="s">
        <v>2282</v>
      </c>
      <c r="AU768" s="19" t="s">
        <v>14957</v>
      </c>
      <c r="AV768" s="19" t="s">
        <v>14958</v>
      </c>
      <c r="AW768" s="19" t="s">
        <v>14959</v>
      </c>
      <c r="AX768" s="20">
        <v>35676.0</v>
      </c>
      <c r="AY768" s="19" t="s">
        <v>3053</v>
      </c>
      <c r="AZ768" s="19" t="s">
        <v>2310</v>
      </c>
      <c r="BA768" s="19" t="s">
        <v>14960</v>
      </c>
      <c r="BB768" s="19" t="s">
        <v>14961</v>
      </c>
      <c r="BC768" s="19" t="s">
        <v>14962</v>
      </c>
      <c r="BD768" s="19" t="s">
        <v>14963</v>
      </c>
      <c r="BE768" s="19" t="s">
        <v>14964</v>
      </c>
      <c r="BF768" s="19">
        <v>1.196091163E9</v>
      </c>
      <c r="BG768" s="19" t="s">
        <v>4038</v>
      </c>
      <c r="BH768" s="19" t="s">
        <v>2128</v>
      </c>
      <c r="BI768" s="19"/>
      <c r="BJ768" s="19" t="s">
        <v>2129</v>
      </c>
      <c r="BK768" s="19" t="s">
        <v>17</v>
      </c>
      <c r="BL768" s="19"/>
      <c r="BM768" s="19" t="s">
        <v>5411</v>
      </c>
      <c r="BN768" s="19" t="s">
        <v>4223</v>
      </c>
      <c r="BO768" s="19" t="s">
        <v>2473</v>
      </c>
      <c r="BP768" s="19"/>
      <c r="BQ768" s="19" t="s">
        <v>2325</v>
      </c>
      <c r="BR768" s="19" t="s">
        <v>2325</v>
      </c>
      <c r="BS768" s="19" t="s">
        <v>2243</v>
      </c>
      <c r="BT768" s="19" t="s">
        <v>59</v>
      </c>
      <c r="BU768" s="19" t="s">
        <v>14965</v>
      </c>
      <c r="BV768" s="19"/>
      <c r="BW768" s="19" t="s">
        <v>2113</v>
      </c>
      <c r="BX768" s="19"/>
      <c r="BY768" s="19"/>
      <c r="BZ768" s="19"/>
      <c r="CA768" s="19"/>
      <c r="CB768" s="19"/>
      <c r="CC768" s="19"/>
      <c r="CD768" s="19" t="s">
        <v>2137</v>
      </c>
      <c r="CE768" s="19" t="s">
        <v>17</v>
      </c>
      <c r="CF768" s="19"/>
      <c r="CG768" s="19"/>
      <c r="CH768" s="19" t="s">
        <v>16</v>
      </c>
      <c r="CI768" s="21">
        <v>0.0</v>
      </c>
      <c r="CJ768" s="19" t="s">
        <v>16</v>
      </c>
      <c r="CK768" s="19"/>
      <c r="CL768" s="19"/>
      <c r="CM768" s="19" t="s">
        <v>2344</v>
      </c>
      <c r="CN768" s="19" t="s">
        <v>3064</v>
      </c>
      <c r="CO768" s="19" t="s">
        <v>3932</v>
      </c>
      <c r="CP768" s="19" t="s">
        <v>2246</v>
      </c>
      <c r="CQ768" s="19"/>
      <c r="CR768" s="19" t="s">
        <v>2113</v>
      </c>
      <c r="CS768" s="19" t="s">
        <v>2113</v>
      </c>
      <c r="CT768" s="19" t="s">
        <v>2113</v>
      </c>
      <c r="CU768" s="19" t="s">
        <v>2113</v>
      </c>
      <c r="CV768" s="19" t="s">
        <v>2141</v>
      </c>
      <c r="CW768" s="19" t="s">
        <v>2113</v>
      </c>
      <c r="CX768" s="19" t="s">
        <v>2113</v>
      </c>
      <c r="CY768" s="19" t="s">
        <v>2113</v>
      </c>
      <c r="CZ768" s="19" t="s">
        <v>2113</v>
      </c>
      <c r="DA768" s="19" t="s">
        <v>17</v>
      </c>
      <c r="DB768" s="19" t="s">
        <v>16</v>
      </c>
      <c r="DC768" s="19" t="s">
        <v>2432</v>
      </c>
      <c r="DD768" s="19"/>
      <c r="DE768" s="19"/>
      <c r="DF768" s="19" t="s">
        <v>2496</v>
      </c>
      <c r="DG768" s="19" t="s">
        <v>2454</v>
      </c>
      <c r="DH768" s="19" t="s">
        <v>2144</v>
      </c>
      <c r="DI768" s="24">
        <v>45525.0</v>
      </c>
      <c r="DJ768" s="19" t="s">
        <v>2325</v>
      </c>
      <c r="DK768" s="19" t="s">
        <v>2145</v>
      </c>
      <c r="DL768" s="19" t="s">
        <v>2326</v>
      </c>
      <c r="DM768" s="19"/>
      <c r="DN768" s="19">
        <v>9.0</v>
      </c>
      <c r="DO768" s="19">
        <v>9.0</v>
      </c>
      <c r="DP768" s="19" t="s">
        <v>14966</v>
      </c>
      <c r="DQ768" s="19" t="s">
        <v>14967</v>
      </c>
      <c r="DR768" s="19" t="s">
        <v>14968</v>
      </c>
      <c r="DS768" s="19" t="s">
        <v>2365</v>
      </c>
      <c r="DT768" s="19" t="s">
        <v>2229</v>
      </c>
      <c r="DU768" s="19"/>
      <c r="DV768" s="19"/>
      <c r="DW768" s="19" t="s">
        <v>2479</v>
      </c>
      <c r="DX768" s="19">
        <v>11.0</v>
      </c>
      <c r="DY768" s="19">
        <v>0.0</v>
      </c>
      <c r="DZ768" s="19">
        <v>0.0</v>
      </c>
      <c r="EA768" s="19">
        <v>0.0</v>
      </c>
      <c r="EB768" s="19">
        <v>0.0</v>
      </c>
      <c r="EC768" s="19">
        <v>0.0</v>
      </c>
      <c r="ED768" s="19" t="s">
        <v>2325</v>
      </c>
      <c r="EE768" s="24">
        <v>45525.0</v>
      </c>
      <c r="EF768" s="19" t="s">
        <v>2325</v>
      </c>
      <c r="EG768" s="19" t="s">
        <v>2145</v>
      </c>
      <c r="EH768" s="19" t="s">
        <v>2326</v>
      </c>
      <c r="EI768" s="22">
        <v>9.075</v>
      </c>
      <c r="EJ768" s="19">
        <v>0.0</v>
      </c>
      <c r="EK768" s="19"/>
      <c r="EL768" s="19" t="s">
        <v>2282</v>
      </c>
      <c r="EM768" s="19" t="s">
        <v>14957</v>
      </c>
      <c r="EN768" s="19" t="s">
        <v>14953</v>
      </c>
      <c r="EO768" s="19" t="s">
        <v>3053</v>
      </c>
      <c r="EP768" s="19" t="s">
        <v>2310</v>
      </c>
      <c r="EQ768" s="19" t="s">
        <v>3064</v>
      </c>
      <c r="ER768" s="19" t="s">
        <v>3932</v>
      </c>
      <c r="ES768" s="19" t="s">
        <v>14953</v>
      </c>
      <c r="ET768" s="19" t="s">
        <v>14953</v>
      </c>
      <c r="EU768" s="19" t="s">
        <v>14955</v>
      </c>
      <c r="EV768" s="19">
        <v>9785.0</v>
      </c>
      <c r="EW768" s="19" t="s">
        <v>17</v>
      </c>
      <c r="EX768" s="19">
        <v>3.0</v>
      </c>
      <c r="EY768" s="25" t="s">
        <v>14956</v>
      </c>
      <c r="EZ768" s="19" t="s">
        <v>14969</v>
      </c>
      <c r="FA768" s="5" t="s">
        <v>14970</v>
      </c>
      <c r="FB768" s="26" t="s">
        <v>2633</v>
      </c>
      <c r="FC768" s="26" t="s">
        <v>10773</v>
      </c>
    </row>
    <row r="769" hidden="1">
      <c r="A769" s="19" t="s">
        <v>2112</v>
      </c>
      <c r="B769" s="19"/>
      <c r="C769" s="19" t="s">
        <v>2113</v>
      </c>
      <c r="D769" s="19" t="s">
        <v>14971</v>
      </c>
      <c r="E769" s="19" t="s">
        <v>14972</v>
      </c>
      <c r="F769" s="19" t="s">
        <v>14971</v>
      </c>
      <c r="G769" s="19" t="s">
        <v>14972</v>
      </c>
      <c r="H769" s="19" t="s">
        <v>14971</v>
      </c>
      <c r="I769" s="19" t="s">
        <v>14973</v>
      </c>
      <c r="J769" s="19" t="s">
        <v>14974</v>
      </c>
      <c r="K769" s="19" t="s">
        <v>14975</v>
      </c>
      <c r="L769" s="20">
        <v>45407.0</v>
      </c>
      <c r="M769" s="20">
        <v>45411.0</v>
      </c>
      <c r="N769" s="20">
        <v>45411.0</v>
      </c>
      <c r="O769" s="19" t="s">
        <v>14976</v>
      </c>
      <c r="P769" s="19">
        <v>0.0</v>
      </c>
      <c r="Q769" s="19">
        <v>23.0</v>
      </c>
      <c r="R769" s="19">
        <v>8435.0</v>
      </c>
      <c r="S769" s="20" t="s">
        <v>14977</v>
      </c>
      <c r="T769" s="20">
        <v>45461.0</v>
      </c>
      <c r="U769" s="19" t="s">
        <v>14971</v>
      </c>
      <c r="V769" s="19"/>
      <c r="W769" s="19"/>
      <c r="X769" s="21">
        <v>0.0</v>
      </c>
      <c r="Y769" s="21">
        <v>0.0</v>
      </c>
      <c r="Z769" s="21">
        <v>3.0</v>
      </c>
      <c r="AA769" s="21">
        <v>0.0</v>
      </c>
      <c r="AB769" s="5">
        <v>3.0</v>
      </c>
      <c r="AC769" s="19">
        <v>2.6666666666666665</v>
      </c>
      <c r="AD769" s="19">
        <v>2.6666666666666665</v>
      </c>
      <c r="AE769" s="19">
        <v>3.0</v>
      </c>
      <c r="AF769" s="19">
        <v>3.0</v>
      </c>
      <c r="AG769" s="19">
        <v>2.0</v>
      </c>
      <c r="AH769" s="19">
        <v>4.666666666666667</v>
      </c>
      <c r="AI769" s="22">
        <v>8.875</v>
      </c>
      <c r="AJ769" s="19"/>
      <c r="AK769" s="19"/>
      <c r="AL769" s="19"/>
      <c r="AM769" s="19">
        <v>0.0</v>
      </c>
      <c r="AN769" s="19">
        <v>8.9</v>
      </c>
      <c r="AO769" s="19">
        <v>11.9</v>
      </c>
      <c r="AP769" s="19">
        <v>1269.0</v>
      </c>
      <c r="AQ769" s="19">
        <v>768.0</v>
      </c>
      <c r="AR769" s="19">
        <v>55.0</v>
      </c>
      <c r="AS769" s="22" t="s">
        <v>14978</v>
      </c>
      <c r="AT769" s="19" t="s">
        <v>2282</v>
      </c>
      <c r="AU769" s="19" t="s">
        <v>14979</v>
      </c>
      <c r="AV769" s="19" t="s">
        <v>14980</v>
      </c>
      <c r="AW769" s="19" t="s">
        <v>14981</v>
      </c>
      <c r="AX769" s="20">
        <v>37026.0</v>
      </c>
      <c r="AY769" s="19" t="s">
        <v>3826</v>
      </c>
      <c r="AZ769" s="19" t="s">
        <v>2310</v>
      </c>
      <c r="BA769" s="19" t="s">
        <v>14982</v>
      </c>
      <c r="BB769" s="19" t="s">
        <v>5038</v>
      </c>
      <c r="BC769" s="19" t="s">
        <v>14983</v>
      </c>
      <c r="BD769" s="19" t="s">
        <v>14984</v>
      </c>
      <c r="BE769" s="19" t="s">
        <v>14985</v>
      </c>
      <c r="BF769" s="19">
        <v>1.1947763411E10</v>
      </c>
      <c r="BG769" s="19" t="s">
        <v>2127</v>
      </c>
      <c r="BH769" s="19" t="s">
        <v>2128</v>
      </c>
      <c r="BI769" s="19"/>
      <c r="BJ769" s="19"/>
      <c r="BK769" s="19" t="s">
        <v>16</v>
      </c>
      <c r="BL769" s="19"/>
      <c r="BM769" s="19" t="s">
        <v>5796</v>
      </c>
      <c r="BN769" s="19" t="s">
        <v>17</v>
      </c>
      <c r="BO769" s="19" t="s">
        <v>2473</v>
      </c>
      <c r="BP769" s="19"/>
      <c r="BQ769" s="19" t="s">
        <v>3832</v>
      </c>
      <c r="BR769" s="19" t="s">
        <v>3832</v>
      </c>
      <c r="BS769" s="19" t="s">
        <v>3521</v>
      </c>
      <c r="BT769" s="19" t="s">
        <v>268</v>
      </c>
      <c r="BU769" s="19" t="s">
        <v>4613</v>
      </c>
      <c r="BV769" s="19"/>
      <c r="BW769" s="19"/>
      <c r="BX769" s="19"/>
      <c r="BY769" s="19"/>
      <c r="BZ769" s="19"/>
      <c r="CA769" s="19" t="s">
        <v>2113</v>
      </c>
      <c r="CB769" s="19" t="s">
        <v>2113</v>
      </c>
      <c r="CC769" s="19"/>
      <c r="CD769" s="19" t="s">
        <v>2137</v>
      </c>
      <c r="CE769" s="19" t="s">
        <v>17</v>
      </c>
      <c r="CF769" s="19"/>
      <c r="CG769" s="19"/>
      <c r="CH769" s="19" t="s">
        <v>16</v>
      </c>
      <c r="CI769" s="21">
        <v>0.0</v>
      </c>
      <c r="CJ769" s="19" t="s">
        <v>16</v>
      </c>
      <c r="CK769" s="19"/>
      <c r="CL769" s="19"/>
      <c r="CM769" s="19" t="s">
        <v>2138</v>
      </c>
      <c r="CN769" s="19" t="s">
        <v>3835</v>
      </c>
      <c r="CO769" s="19" t="s">
        <v>3932</v>
      </c>
      <c r="CP769" s="19"/>
      <c r="CQ769" s="19"/>
      <c r="CR769" s="19" t="s">
        <v>2113</v>
      </c>
      <c r="CS769" s="19" t="s">
        <v>2113</v>
      </c>
      <c r="CT769" s="19"/>
      <c r="CU769" s="19"/>
      <c r="CV769" s="19" t="s">
        <v>2141</v>
      </c>
      <c r="CW769" s="19" t="s">
        <v>2113</v>
      </c>
      <c r="CX769" s="19" t="s">
        <v>2113</v>
      </c>
      <c r="CY769" s="19" t="s">
        <v>2113</v>
      </c>
      <c r="CZ769" s="19" t="s">
        <v>2113</v>
      </c>
      <c r="DA769" s="19" t="s">
        <v>17</v>
      </c>
      <c r="DB769" s="19" t="s">
        <v>16</v>
      </c>
      <c r="DC769" s="19" t="s">
        <v>4083</v>
      </c>
      <c r="DD769" s="19"/>
      <c r="DE769" s="19"/>
      <c r="DF769" s="19" t="s">
        <v>5145</v>
      </c>
      <c r="DG769" s="19" t="s">
        <v>3836</v>
      </c>
      <c r="DH769" s="19" t="s">
        <v>2144</v>
      </c>
      <c r="DI769" s="24">
        <v>45525.0</v>
      </c>
      <c r="DJ769" s="19" t="s">
        <v>3257</v>
      </c>
      <c r="DK769" s="19" t="s">
        <v>2271</v>
      </c>
      <c r="DL769" s="19" t="s">
        <v>2207</v>
      </c>
      <c r="DM769" s="22" t="s">
        <v>9043</v>
      </c>
      <c r="DN769" s="19">
        <v>4.0</v>
      </c>
      <c r="DO769" s="19">
        <v>4.0</v>
      </c>
      <c r="DP769" s="19" t="s">
        <v>14986</v>
      </c>
      <c r="DQ769" s="19" t="s">
        <v>14987</v>
      </c>
      <c r="DR769" s="19" t="s">
        <v>14988</v>
      </c>
      <c r="DS769" s="19" t="s">
        <v>2365</v>
      </c>
      <c r="DT769" s="19" t="s">
        <v>2301</v>
      </c>
      <c r="DU769" s="19"/>
      <c r="DV769" s="19"/>
      <c r="DW769" s="19" t="s">
        <v>2188</v>
      </c>
      <c r="DX769" s="19">
        <v>10.0</v>
      </c>
      <c r="DY769" s="19">
        <v>0.0</v>
      </c>
      <c r="DZ769" s="19">
        <v>0.0</v>
      </c>
      <c r="EA769" s="19">
        <v>0.0</v>
      </c>
      <c r="EB769" s="19">
        <v>0.0</v>
      </c>
      <c r="EC769" s="19">
        <v>0.0</v>
      </c>
      <c r="ED769" s="19" t="s">
        <v>3257</v>
      </c>
      <c r="EE769" s="24">
        <v>45525.0</v>
      </c>
      <c r="EF769" s="19" t="s">
        <v>3257</v>
      </c>
      <c r="EG769" s="19" t="s">
        <v>2271</v>
      </c>
      <c r="EH769" s="19" t="s">
        <v>2207</v>
      </c>
      <c r="EI769" s="22">
        <v>8.875</v>
      </c>
      <c r="EJ769" s="19">
        <v>0.0</v>
      </c>
      <c r="EK769" s="19"/>
      <c r="EL769" s="19" t="s">
        <v>2282</v>
      </c>
      <c r="EM769" s="19" t="s">
        <v>14979</v>
      </c>
      <c r="EN769" s="19" t="s">
        <v>14973</v>
      </c>
      <c r="EO769" s="19" t="s">
        <v>3826</v>
      </c>
      <c r="EP769" s="19" t="s">
        <v>2310</v>
      </c>
      <c r="EQ769" s="19" t="s">
        <v>3835</v>
      </c>
      <c r="ER769" s="19" t="s">
        <v>3932</v>
      </c>
      <c r="ES769" s="19" t="s">
        <v>14973</v>
      </c>
      <c r="ET769" s="19" t="s">
        <v>14973</v>
      </c>
      <c r="EU769" s="19" t="s">
        <v>14975</v>
      </c>
      <c r="EV769" s="19">
        <v>8435.0</v>
      </c>
      <c r="EW769" s="19" t="s">
        <v>17</v>
      </c>
      <c r="EX769" s="19">
        <v>3.0</v>
      </c>
      <c r="EY769" s="25" t="s">
        <v>14976</v>
      </c>
      <c r="EZ769" s="19" t="s">
        <v>14989</v>
      </c>
      <c r="FA769" s="5" t="s">
        <v>14990</v>
      </c>
      <c r="FB769" s="26" t="s">
        <v>2633</v>
      </c>
      <c r="FC769" s="26" t="s">
        <v>10773</v>
      </c>
    </row>
    <row r="770" hidden="1">
      <c r="A770" s="19" t="s">
        <v>4099</v>
      </c>
      <c r="B770" s="19"/>
      <c r="C770" s="19" t="s">
        <v>2113</v>
      </c>
      <c r="D770" s="19" t="s">
        <v>14991</v>
      </c>
      <c r="E770" s="19" t="s">
        <v>14992</v>
      </c>
      <c r="F770" s="19" t="s">
        <v>14993</v>
      </c>
      <c r="G770" s="19" t="s">
        <v>14994</v>
      </c>
      <c r="H770" s="19" t="s">
        <v>14991</v>
      </c>
      <c r="I770" s="19" t="s">
        <v>14995</v>
      </c>
      <c r="J770" s="19" t="s">
        <v>14996</v>
      </c>
      <c r="K770" s="19" t="s">
        <v>14997</v>
      </c>
      <c r="L770" s="20">
        <v>45439.0</v>
      </c>
      <c r="M770" s="20">
        <v>45440.0</v>
      </c>
      <c r="N770" s="20">
        <v>45440.0</v>
      </c>
      <c r="O770" s="19" t="s">
        <v>14998</v>
      </c>
      <c r="P770" s="19">
        <v>0.0</v>
      </c>
      <c r="Q770" s="19">
        <v>18.0</v>
      </c>
      <c r="R770" s="19">
        <v>6847.0</v>
      </c>
      <c r="S770" s="20" t="s">
        <v>11898</v>
      </c>
      <c r="T770" s="20">
        <v>45461.0</v>
      </c>
      <c r="U770" s="19" t="s">
        <v>14993</v>
      </c>
      <c r="V770" s="19"/>
      <c r="W770" s="19" t="s">
        <v>14999</v>
      </c>
      <c r="X770" s="21">
        <v>0.0</v>
      </c>
      <c r="Y770" s="21">
        <v>0.0</v>
      </c>
      <c r="Z770" s="21">
        <v>5.0</v>
      </c>
      <c r="AA770" s="21">
        <v>0.0</v>
      </c>
      <c r="AB770" s="5">
        <v>5.0</v>
      </c>
      <c r="AC770" s="19">
        <v>2.1</v>
      </c>
      <c r="AD770" s="19">
        <v>2.0</v>
      </c>
      <c r="AE770" s="19">
        <v>2.3</v>
      </c>
      <c r="AF770" s="19">
        <v>2.1</v>
      </c>
      <c r="AG770" s="19">
        <v>2.3</v>
      </c>
      <c r="AH770" s="19">
        <v>2.3</v>
      </c>
      <c r="AI770" s="22">
        <v>6.534375000000001</v>
      </c>
      <c r="AJ770" s="19"/>
      <c r="AK770" s="19"/>
      <c r="AL770" s="19"/>
      <c r="AM770" s="19">
        <v>0.0</v>
      </c>
      <c r="AN770" s="19">
        <v>6.5</v>
      </c>
      <c r="AO770" s="19">
        <v>11.5</v>
      </c>
      <c r="AP770" s="19">
        <v>1141.0</v>
      </c>
      <c r="AQ770" s="19">
        <v>769.0</v>
      </c>
      <c r="AR770" s="19">
        <v>62.0</v>
      </c>
      <c r="AS770" s="22"/>
      <c r="AT770" s="19" t="s">
        <v>2117</v>
      </c>
      <c r="AU770" s="19" t="s">
        <v>15000</v>
      </c>
      <c r="AV770" s="19" t="s">
        <v>15001</v>
      </c>
      <c r="AW770" s="19" t="s">
        <v>3476</v>
      </c>
      <c r="AX770" s="20">
        <v>38614.0</v>
      </c>
      <c r="AY770" s="19" t="s">
        <v>2529</v>
      </c>
      <c r="AZ770" s="19" t="s">
        <v>2122</v>
      </c>
      <c r="BA770" s="19" t="s">
        <v>15002</v>
      </c>
      <c r="BB770" s="19" t="s">
        <v>4020</v>
      </c>
      <c r="BC770" s="19" t="s">
        <v>15003</v>
      </c>
      <c r="BD770" s="19" t="s">
        <v>15004</v>
      </c>
      <c r="BE770" s="19" t="s">
        <v>14996</v>
      </c>
      <c r="BF770" s="19">
        <v>1.1971542079E10</v>
      </c>
      <c r="BG770" s="19" t="s">
        <v>4038</v>
      </c>
      <c r="BH770" s="19" t="s">
        <v>2128</v>
      </c>
      <c r="BI770" s="19"/>
      <c r="BJ770" s="19" t="s">
        <v>2129</v>
      </c>
      <c r="BK770" s="19" t="s">
        <v>17</v>
      </c>
      <c r="BL770" s="19"/>
      <c r="BM770" s="19" t="s">
        <v>5411</v>
      </c>
      <c r="BN770" s="19" t="s">
        <v>17</v>
      </c>
      <c r="BO770" s="19" t="s">
        <v>2132</v>
      </c>
      <c r="BP770" s="19"/>
      <c r="BQ770" s="19" t="s">
        <v>2174</v>
      </c>
      <c r="BR770" s="19" t="s">
        <v>2174</v>
      </c>
      <c r="BS770" s="19" t="s">
        <v>4723</v>
      </c>
      <c r="BT770" s="19" t="s">
        <v>75</v>
      </c>
      <c r="BU770" s="19" t="s">
        <v>15005</v>
      </c>
      <c r="BV770" s="19"/>
      <c r="BW770" s="19" t="s">
        <v>2113</v>
      </c>
      <c r="BX770" s="19"/>
      <c r="BY770" s="19"/>
      <c r="BZ770" s="19"/>
      <c r="CA770" s="19"/>
      <c r="CB770" s="19"/>
      <c r="CC770" s="19"/>
      <c r="CD770" s="19" t="s">
        <v>2137</v>
      </c>
      <c r="CE770" s="19" t="s">
        <v>16</v>
      </c>
      <c r="CF770" s="19"/>
      <c r="CG770" s="19"/>
      <c r="CH770" s="19" t="s">
        <v>16</v>
      </c>
      <c r="CI770" s="21">
        <v>0.0</v>
      </c>
      <c r="CJ770" s="19" t="s">
        <v>16</v>
      </c>
      <c r="CK770" s="19"/>
      <c r="CL770" s="19"/>
      <c r="CM770" s="19" t="s">
        <v>2138</v>
      </c>
      <c r="CN770" s="19" t="s">
        <v>2537</v>
      </c>
      <c r="CO770" s="19"/>
      <c r="CP770" s="19" t="s">
        <v>2246</v>
      </c>
      <c r="CQ770" s="19"/>
      <c r="CR770" s="19"/>
      <c r="CS770" s="19"/>
      <c r="CT770" s="19" t="s">
        <v>2113</v>
      </c>
      <c r="CU770" s="19" t="s">
        <v>2113</v>
      </c>
      <c r="CV770" s="19" t="s">
        <v>2141</v>
      </c>
      <c r="CW770" s="19"/>
      <c r="CX770" s="19"/>
      <c r="CY770" s="19" t="s">
        <v>2113</v>
      </c>
      <c r="CZ770" s="19" t="s">
        <v>2113</v>
      </c>
      <c r="DA770" s="19" t="s">
        <v>16</v>
      </c>
      <c r="DB770" s="19" t="s">
        <v>16</v>
      </c>
      <c r="DC770" s="19" t="s">
        <v>2538</v>
      </c>
      <c r="DD770" s="19" t="s">
        <v>2113</v>
      </c>
      <c r="DE770" s="19" t="s">
        <v>2113</v>
      </c>
      <c r="DF770" s="19" t="s">
        <v>2433</v>
      </c>
      <c r="DG770" s="19" t="s">
        <v>2248</v>
      </c>
      <c r="DH770" s="19" t="s">
        <v>2144</v>
      </c>
      <c r="DI770" s="24">
        <v>45526.0</v>
      </c>
      <c r="DJ770" s="19" t="s">
        <v>2174</v>
      </c>
      <c r="DK770" s="19" t="s">
        <v>2145</v>
      </c>
      <c r="DL770" s="19" t="s">
        <v>2183</v>
      </c>
      <c r="DM770" s="19"/>
      <c r="DN770" s="19">
        <v>11.0</v>
      </c>
      <c r="DO770" s="19">
        <v>11.0</v>
      </c>
      <c r="DP770" s="19" t="s">
        <v>15006</v>
      </c>
      <c r="DQ770" s="19" t="s">
        <v>15007</v>
      </c>
      <c r="DR770" s="19" t="s">
        <v>15008</v>
      </c>
      <c r="DS770" s="19" t="s">
        <v>2151</v>
      </c>
      <c r="DT770" s="19" t="s">
        <v>2186</v>
      </c>
      <c r="DU770" s="19"/>
      <c r="DV770" s="19"/>
      <c r="DW770" s="19" t="s">
        <v>2479</v>
      </c>
      <c r="DX770" s="19">
        <v>16.0</v>
      </c>
      <c r="DY770" s="19">
        <v>0.0</v>
      </c>
      <c r="DZ770" s="19">
        <v>0.0</v>
      </c>
      <c r="EA770" s="19">
        <v>0.0</v>
      </c>
      <c r="EB770" s="19">
        <v>0.0</v>
      </c>
      <c r="EC770" s="19">
        <v>0.0</v>
      </c>
      <c r="ED770" s="19" t="s">
        <v>2174</v>
      </c>
      <c r="EE770" s="24">
        <v>45526.0</v>
      </c>
      <c r="EF770" s="19" t="s">
        <v>2174</v>
      </c>
      <c r="EG770" s="19" t="s">
        <v>2145</v>
      </c>
      <c r="EH770" s="19" t="s">
        <v>2183</v>
      </c>
      <c r="EI770" s="22">
        <v>6.534375000000001</v>
      </c>
      <c r="EJ770" s="19">
        <v>0.0</v>
      </c>
      <c r="EK770" s="19"/>
      <c r="EL770" s="19" t="s">
        <v>2117</v>
      </c>
      <c r="EM770" s="19" t="s">
        <v>15000</v>
      </c>
      <c r="EN770" s="19" t="s">
        <v>14995</v>
      </c>
      <c r="EO770" s="19" t="s">
        <v>2529</v>
      </c>
      <c r="EP770" s="19" t="s">
        <v>2122</v>
      </c>
      <c r="EQ770" s="19" t="s">
        <v>2537</v>
      </c>
      <c r="ER770" s="19"/>
      <c r="ES770" s="19" t="s">
        <v>14995</v>
      </c>
      <c r="ET770" s="19" t="s">
        <v>14995</v>
      </c>
      <c r="EU770" s="19" t="s">
        <v>14997</v>
      </c>
      <c r="EV770" s="19">
        <v>6847.0</v>
      </c>
      <c r="EW770" s="19" t="s">
        <v>16</v>
      </c>
      <c r="EX770" s="19">
        <v>5.0</v>
      </c>
      <c r="EY770" s="25" t="s">
        <v>14998</v>
      </c>
      <c r="EZ770" s="19" t="s">
        <v>2154</v>
      </c>
      <c r="FA770" s="5" t="s">
        <v>15009</v>
      </c>
      <c r="FB770" s="26" t="s">
        <v>2633</v>
      </c>
      <c r="FC770" s="26" t="s">
        <v>10773</v>
      </c>
    </row>
  </sheetData>
  <autoFilter ref="$A$1:$FC$770">
    <filterColumn colId="157">
      <filters>
        <filter val="sim"/>
      </filters>
    </filterColumn>
    <sortState ref="A1:FC770">
      <sortCondition descending="1" ref="AO1:AO770"/>
      <sortCondition descending="1" ref="X1:X770"/>
      <sortCondition descending="1" ref="Y1:Y770"/>
      <sortCondition descending="1" ref="Z1:Z770"/>
      <sortCondition descending="1" ref="EB1:EB770"/>
      <sortCondition descending="1" ref="DZ1:DZ770"/>
      <sortCondition descending="1" ref="AM1:AM770"/>
      <sortCondition descending="1" ref="AI1:AI770"/>
      <sortCondition descending="1" ref="R1:R770"/>
      <sortCondition ref="AQ1:AQ770"/>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3.5"/>
    <col customWidth="1" min="2" max="2" width="5.13"/>
    <col customWidth="1" hidden="1" min="3" max="3" width="36.38"/>
    <col customWidth="1" hidden="1" min="4" max="4" width="31.63"/>
    <col customWidth="1" hidden="1" min="5" max="5" width="19.13"/>
    <col customWidth="1" hidden="1" min="6" max="6" width="5.13"/>
    <col customWidth="1" hidden="1" min="7" max="7" width="19.38"/>
    <col customWidth="1" hidden="1" min="8" max="9" width="5.25"/>
    <col customWidth="1" min="10" max="10" width="26.88"/>
    <col customWidth="1" min="11" max="11" width="13.5"/>
    <col customWidth="1" min="12" max="12" width="16.13"/>
    <col customWidth="1" min="13" max="13" width="10.63"/>
    <col customWidth="1" min="14" max="14" width="18.13"/>
    <col customWidth="1" min="15" max="15" width="9.88"/>
    <col customWidth="1" min="16" max="17" width="4.63"/>
  </cols>
  <sheetData>
    <row r="1">
      <c r="A1" s="54" t="s">
        <v>15010</v>
      </c>
      <c r="B1" s="55" t="s">
        <v>15011</v>
      </c>
      <c r="C1" s="54" t="s">
        <v>15012</v>
      </c>
      <c r="D1" s="54" t="s">
        <v>15013</v>
      </c>
      <c r="E1" s="54" t="s">
        <v>15014</v>
      </c>
      <c r="F1" s="54" t="s">
        <v>15015</v>
      </c>
      <c r="G1" s="54" t="s">
        <v>15016</v>
      </c>
      <c r="H1" s="54" t="s">
        <v>15017</v>
      </c>
      <c r="I1" s="54" t="s">
        <v>15018</v>
      </c>
      <c r="J1" s="56" t="s">
        <v>15012</v>
      </c>
      <c r="K1" s="57" t="s">
        <v>15013</v>
      </c>
      <c r="L1" s="57" t="s">
        <v>15014</v>
      </c>
      <c r="M1" s="57" t="s">
        <v>15015</v>
      </c>
      <c r="N1" s="57" t="s">
        <v>15016</v>
      </c>
      <c r="O1" s="57" t="s">
        <v>15019</v>
      </c>
      <c r="P1" s="57" t="s">
        <v>15018</v>
      </c>
      <c r="Q1" s="57" t="s">
        <v>15020</v>
      </c>
    </row>
    <row r="2">
      <c r="A2" s="19" t="s">
        <v>15021</v>
      </c>
      <c r="B2" s="58" t="s">
        <v>3269</v>
      </c>
      <c r="C2" s="59" t="s">
        <v>1953</v>
      </c>
      <c r="D2" s="19" t="s">
        <v>15022</v>
      </c>
      <c r="E2" s="23" t="s">
        <v>15023</v>
      </c>
      <c r="F2" s="6"/>
      <c r="G2" s="6"/>
      <c r="H2" s="6"/>
      <c r="I2" s="59">
        <v>1.0</v>
      </c>
      <c r="J2" s="26" t="str">
        <f>IFERROR(__xludf.DUMMYFUNCTION("FLATTEN(ARRAYFORMULA('bd_normalizado PJMC (769)'!1:1))"),"ace_cond_autorizacao_uso_imagem_sim")</f>
        <v>ace_cond_autorizacao_uso_imagem_sim</v>
      </c>
      <c r="K2" s="59" t="str">
        <f t="shared" ref="K2:K158" si="1">VLOOKUP($J2,$C:$I,2,false)</f>
        <v>AUTORIZAÇAO DE USO DE IMAGEM (SIM)</v>
      </c>
      <c r="L2" s="59" t="str">
        <f>VLOOKUP($J2,$C:$I,3,false)</f>
        <v>aceite_condições</v>
      </c>
      <c r="M2" s="59" t="str">
        <f>VLOOKUP($J2,$C:$I,4,false)</f>
        <v/>
      </c>
      <c r="N2" s="59" t="str">
        <f t="shared" ref="N2:N160" si="3">VLOOKUP($J2,$C:$I,5,false)</f>
        <v/>
      </c>
      <c r="O2" s="59" t="s">
        <v>15024</v>
      </c>
      <c r="P2" s="59">
        <f t="shared" ref="P2:P87" si="4">VLOOKUP($J2,$C:$I,7,false)</f>
        <v>1</v>
      </c>
      <c r="Q2" s="60" t="str">
        <f>IFERROR(__xludf.DUMMYFUNCTION("FLATTEN(ARRAYFORMULA('bd_normalizado PJMC (769)'!A2:ZZ2))"),"SIM")</f>
        <v>SIM</v>
      </c>
    </row>
    <row r="3">
      <c r="A3" s="39" t="s">
        <v>15025</v>
      </c>
      <c r="B3" s="58" t="s">
        <v>4438</v>
      </c>
      <c r="C3" s="59" t="s">
        <v>1954</v>
      </c>
      <c r="D3" s="39" t="s">
        <v>15026</v>
      </c>
      <c r="E3" s="61" t="s">
        <v>15023</v>
      </c>
      <c r="F3" s="62"/>
      <c r="G3" s="62"/>
      <c r="H3" s="62"/>
      <c r="I3" s="59">
        <v>1.0</v>
      </c>
      <c r="J3" s="26" t="str">
        <f>IFERROR(__xludf.DUMMYFUNCTION("""COMPUTED_VALUE"""),"ace_cond_declaro_familia_baixa_renda")</f>
        <v>ace_cond_declaro_familia_baixa_renda</v>
      </c>
      <c r="K3" s="59" t="str">
        <f t="shared" si="1"/>
        <v>Declaro para o fim específico de atender ao edital  do processo seletivo, que pertenço à família de baixa renda. Conforme a Lei 13.841/2004, considera-se como família o núcleo de pessoas formado por, no mínimo, um dos pais ou responsável legal, filhos e/ou dependentes que estejam sob tutela ou guarda, devidamente formalizadas pelo juízo competente, bem como parentes ou outros indivíduos que residam com o grupo sob o mesmo teto e que contribuam economicamente para a sua subsistência.</v>
      </c>
      <c r="L3" s="59" t="str">
        <f t="shared" ref="L3:M3" si="2">VLOOKUP(K3,D:J,2,false)</f>
        <v>aceite_condições</v>
      </c>
      <c r="M3" s="59" t="str">
        <f t="shared" si="2"/>
        <v/>
      </c>
      <c r="N3" s="59" t="str">
        <f t="shared" si="3"/>
        <v/>
      </c>
      <c r="O3" s="59" t="s">
        <v>15024</v>
      </c>
      <c r="P3" s="59">
        <f t="shared" si="4"/>
        <v>1</v>
      </c>
      <c r="Q3" s="59" t="str">
        <f>IFERROR(__xludf.DUMMYFUNCTION("""COMPUTED_VALUE"""),"on")</f>
        <v>on</v>
      </c>
    </row>
    <row r="4">
      <c r="A4" s="19" t="s">
        <v>15027</v>
      </c>
      <c r="B4" s="58" t="s">
        <v>12044</v>
      </c>
      <c r="C4" s="59" t="s">
        <v>1955</v>
      </c>
      <c r="D4" s="19" t="s">
        <v>15028</v>
      </c>
      <c r="E4" s="23" t="s">
        <v>15023</v>
      </c>
      <c r="F4" s="6"/>
      <c r="G4" s="6"/>
      <c r="H4" s="6"/>
      <c r="I4" s="59">
        <v>1.0</v>
      </c>
      <c r="J4" s="26" t="str">
        <f>IFERROR(__xludf.DUMMYFUNCTION("""COMPUTED_VALUE"""),"ace_cond_receber_emails_cultura_sp")</f>
        <v>ace_cond_receber_emails_cultura_sp</v>
      </c>
      <c r="K4" s="59" t="str">
        <f t="shared" si="1"/>
        <v>Aceito receber e-mails com as ações realizadas pela Supervisão de Formação Cultural, da Secretaria Municipal de Cultura de São Paulo</v>
      </c>
      <c r="L4" s="59" t="str">
        <f t="shared" ref="L4:M4" si="5">VLOOKUP(K4,D:J,2,false)</f>
        <v>aceite_condições</v>
      </c>
      <c r="M4" s="59" t="str">
        <f t="shared" si="5"/>
        <v/>
      </c>
      <c r="N4" s="59" t="str">
        <f t="shared" si="3"/>
        <v/>
      </c>
      <c r="O4" s="59" t="s">
        <v>15024</v>
      </c>
      <c r="P4" s="59">
        <f t="shared" si="4"/>
        <v>1</v>
      </c>
      <c r="Q4" s="59" t="str">
        <f>IFERROR(__xludf.DUMMYFUNCTION("""COMPUTED_VALUE"""),"on")</f>
        <v>on</v>
      </c>
    </row>
    <row r="5">
      <c r="A5" s="19" t="s">
        <v>15029</v>
      </c>
      <c r="B5" s="58" t="s">
        <v>7120</v>
      </c>
      <c r="C5" s="59" t="s">
        <v>1956</v>
      </c>
      <c r="D5" s="19" t="s">
        <v>0</v>
      </c>
      <c r="E5" s="23" t="s">
        <v>15030</v>
      </c>
      <c r="F5" s="59">
        <v>1.0</v>
      </c>
      <c r="G5" s="6"/>
      <c r="H5" s="6"/>
      <c r="I5" s="59">
        <v>1.0</v>
      </c>
      <c r="J5" s="26" t="str">
        <f>IFERROR(__xludf.DUMMYFUNCTION("""COMPUTED_VALUE"""),"dc_nome")</f>
        <v>dc_nome</v>
      </c>
      <c r="K5" s="59" t="str">
        <f t="shared" si="1"/>
        <v>Nome</v>
      </c>
      <c r="L5" s="59" t="str">
        <f t="shared" ref="L5:M5" si="6">VLOOKUP(K5,D:J,2,false)</f>
        <v>dados_cadastrais</v>
      </c>
      <c r="M5" s="59">
        <f t="shared" si="6"/>
        <v>1</v>
      </c>
      <c r="N5" s="59" t="str">
        <f t="shared" si="3"/>
        <v/>
      </c>
      <c r="O5" s="59" t="s">
        <v>15031</v>
      </c>
      <c r="P5" s="59">
        <f t="shared" si="4"/>
        <v>1</v>
      </c>
      <c r="Q5" s="59" t="str">
        <f>IFERROR(__xludf.DUMMYFUNCTION("""COMPUTED_VALUE"""),"VANESSA PIRES DA SILVA MARCAL")</f>
        <v>VANESSA PIRES DA SILVA MARCAL</v>
      </c>
    </row>
    <row r="6">
      <c r="A6" s="19" t="s">
        <v>15032</v>
      </c>
      <c r="B6" s="58" t="s">
        <v>15033</v>
      </c>
      <c r="C6" s="59" t="s">
        <v>1957</v>
      </c>
      <c r="D6" s="19" t="s">
        <v>15034</v>
      </c>
      <c r="E6" s="23" t="s">
        <v>15030</v>
      </c>
      <c r="F6" s="59">
        <v>1.0</v>
      </c>
      <c r="G6" s="6"/>
      <c r="H6" s="6"/>
      <c r="I6" s="59">
        <v>1.0</v>
      </c>
      <c r="J6" s="26" t="str">
        <f>IFERROR(__xludf.DUMMYFUNCTION("""COMPUTED_VALUE"""),"dc_nome_completo")</f>
        <v>dc_nome_completo</v>
      </c>
      <c r="K6" s="59" t="str">
        <f t="shared" si="1"/>
        <v>Nome completo</v>
      </c>
      <c r="L6" s="59" t="str">
        <f t="shared" ref="L6:M6" si="7">VLOOKUP(K6,D:J,2,false)</f>
        <v>dados_cadastrais</v>
      </c>
      <c r="M6" s="59">
        <f t="shared" si="7"/>
        <v>1</v>
      </c>
      <c r="N6" s="59" t="str">
        <f t="shared" si="3"/>
        <v/>
      </c>
      <c r="O6" s="59" t="s">
        <v>15031</v>
      </c>
      <c r="P6" s="59">
        <f t="shared" si="4"/>
        <v>1</v>
      </c>
      <c r="Q6" s="59" t="str">
        <f>IFERROR(__xludf.DUMMYFUNCTION("""COMPUTED_VALUE"""),"VANESSA PIRES DA SILVA MARCAL")</f>
        <v>VANESSA PIRES DA SILVA MARCAL</v>
      </c>
    </row>
    <row r="7">
      <c r="A7" s="19" t="s">
        <v>7120</v>
      </c>
      <c r="B7" s="58" t="s">
        <v>15035</v>
      </c>
      <c r="C7" s="59" t="s">
        <v>1958</v>
      </c>
      <c r="D7" s="19" t="s">
        <v>15036</v>
      </c>
      <c r="E7" s="23" t="s">
        <v>15030</v>
      </c>
      <c r="F7" s="59">
        <v>1.0</v>
      </c>
      <c r="G7" s="6"/>
      <c r="H7" s="6"/>
      <c r="I7" s="59">
        <v>1.0</v>
      </c>
      <c r="J7" s="26" t="str">
        <f>IFERROR(__xludf.DUMMYFUNCTION("""COMPUTED_VALUE"""),"dc_nome_publicado_inscricao_fase1")</f>
        <v>dc_nome_publicado_inscricao_fase1</v>
      </c>
      <c r="K7" s="59" t="str">
        <f t="shared" si="1"/>
        <v>Nome Publicado Inscrição (1ª Fase)</v>
      </c>
      <c r="L7" s="59" t="str">
        <f t="shared" ref="L7:M7" si="8">VLOOKUP(K7,D:J,2,false)</f>
        <v>dados_cadastrais</v>
      </c>
      <c r="M7" s="59">
        <f t="shared" si="8"/>
        <v>1</v>
      </c>
      <c r="N7" s="59" t="str">
        <f t="shared" si="3"/>
        <v/>
      </c>
      <c r="O7" s="59" t="s">
        <v>15031</v>
      </c>
      <c r="P7" s="59">
        <f t="shared" si="4"/>
        <v>1</v>
      </c>
      <c r="Q7" s="59" t="str">
        <f>IFERROR(__xludf.DUMMYFUNCTION("""COMPUTED_VALUE"""),"VANESSA PIRES DA SILVA MARCAL")</f>
        <v>VANESSA PIRES DA SILVA MARCAL</v>
      </c>
    </row>
    <row r="8">
      <c r="A8" s="19" t="s">
        <v>15037</v>
      </c>
      <c r="B8" s="58" t="s">
        <v>15038</v>
      </c>
      <c r="C8" s="59" t="s">
        <v>1959</v>
      </c>
      <c r="D8" s="19" t="s">
        <v>15039</v>
      </c>
      <c r="E8" s="23" t="s">
        <v>15030</v>
      </c>
      <c r="F8" s="59">
        <v>1.0</v>
      </c>
      <c r="G8" s="6"/>
      <c r="H8" s="6"/>
      <c r="I8" s="59">
        <v>1.0</v>
      </c>
      <c r="J8" s="26" t="str">
        <f>IFERROR(__xludf.DUMMYFUNCTION("""COMPUTED_VALUE"""),"dc_nome_social")</f>
        <v>dc_nome_social</v>
      </c>
      <c r="K8" s="59" t="str">
        <f t="shared" si="1"/>
        <v>Nome social</v>
      </c>
      <c r="L8" s="59" t="str">
        <f t="shared" ref="L8:M8" si="9">VLOOKUP(K8,D:J,2,false)</f>
        <v>dados_cadastrais</v>
      </c>
      <c r="M8" s="59">
        <f t="shared" si="9"/>
        <v>1</v>
      </c>
      <c r="N8" s="59" t="str">
        <f t="shared" si="3"/>
        <v/>
      </c>
      <c r="O8" s="59" t="s">
        <v>15031</v>
      </c>
      <c r="P8" s="59">
        <f t="shared" si="4"/>
        <v>1</v>
      </c>
      <c r="Q8" s="59" t="str">
        <f>IFERROR(__xludf.DUMMYFUNCTION("""COMPUTED_VALUE"""),"VANESSA PIRES DA SILVA MARCAL")</f>
        <v>VANESSA PIRES DA SILVA MARCAL</v>
      </c>
    </row>
    <row r="9">
      <c r="A9" s="63" t="s">
        <v>12044</v>
      </c>
      <c r="B9" s="58" t="s">
        <v>15040</v>
      </c>
      <c r="C9" s="64" t="s">
        <v>1960</v>
      </c>
      <c r="D9" s="63" t="s">
        <v>15041</v>
      </c>
      <c r="E9" s="65" t="s">
        <v>15042</v>
      </c>
      <c r="F9" s="64">
        <v>1.0</v>
      </c>
      <c r="G9" s="66"/>
      <c r="H9" s="66"/>
      <c r="I9" s="64">
        <v>1.0</v>
      </c>
      <c r="J9" s="67" t="str">
        <f>IFERROR(__xludf.DUMMYFUNCTION("""COMPUTED_VALUE"""),"dc_upd_nome_atualizado_14082024")</f>
        <v>dc_upd_nome_atualizado_14082024</v>
      </c>
      <c r="K9" s="59" t="str">
        <f t="shared" si="1"/>
        <v>Nome atualizado 14/08/2024</v>
      </c>
      <c r="L9" s="59" t="str">
        <f t="shared" ref="L9:M9" si="10">VLOOKUP(K9,D:J,2,false)</f>
        <v>dados_cadastrais_update</v>
      </c>
      <c r="M9" s="59">
        <f t="shared" si="10"/>
        <v>1</v>
      </c>
      <c r="N9" s="59" t="str">
        <f t="shared" si="3"/>
        <v/>
      </c>
      <c r="O9" s="59" t="s">
        <v>15031</v>
      </c>
      <c r="P9" s="59">
        <f t="shared" si="4"/>
        <v>1</v>
      </c>
      <c r="Q9" s="59" t="str">
        <f>IFERROR(__xludf.DUMMYFUNCTION("""COMPUTED_VALUE"""),"VANESSA PIRES DA SILVA MARCAL")</f>
        <v>VANESSA PIRES DA SILVA MARCAL</v>
      </c>
    </row>
    <row r="10">
      <c r="A10" s="39" t="s">
        <v>15035</v>
      </c>
      <c r="B10" s="58" t="s">
        <v>15043</v>
      </c>
      <c r="C10" s="59" t="s">
        <v>1961</v>
      </c>
      <c r="D10" s="39" t="s">
        <v>2</v>
      </c>
      <c r="E10" s="61" t="s">
        <v>15044</v>
      </c>
      <c r="F10" s="68">
        <v>1.0</v>
      </c>
      <c r="G10" s="62"/>
      <c r="H10" s="62"/>
      <c r="I10" s="59">
        <v>1.0</v>
      </c>
      <c r="J10" s="26" t="str">
        <f>IFERROR(__xludf.DUMMYFUNCTION("""COMPUTED_VALUE"""),"id_chv_cpf")</f>
        <v>id_chv_cpf</v>
      </c>
      <c r="K10" s="59" t="str">
        <f t="shared" si="1"/>
        <v>CPF</v>
      </c>
      <c r="L10" s="59" t="str">
        <f t="shared" ref="L10:M10" si="11">VLOOKUP(K10,D:J,2,false)</f>
        <v>id_chave</v>
      </c>
      <c r="M10" s="59">
        <f t="shared" si="11"/>
        <v>1</v>
      </c>
      <c r="N10" s="59" t="str">
        <f t="shared" si="3"/>
        <v/>
      </c>
      <c r="O10" s="59" t="s">
        <v>15031</v>
      </c>
      <c r="P10" s="59">
        <f t="shared" si="4"/>
        <v>1</v>
      </c>
      <c r="Q10" s="59" t="str">
        <f>IFERROR(__xludf.DUMMYFUNCTION("""COMPUTED_VALUE"""),"504.***.***-71")</f>
        <v>504.***.***-71</v>
      </c>
    </row>
    <row r="11">
      <c r="A11" s="27" t="s">
        <v>15045</v>
      </c>
      <c r="B11" s="58" t="s">
        <v>15046</v>
      </c>
      <c r="C11" s="59" t="s">
        <v>1962</v>
      </c>
      <c r="D11" s="27" t="s">
        <v>15047</v>
      </c>
      <c r="E11" s="32" t="s">
        <v>15044</v>
      </c>
      <c r="F11" s="69">
        <v>1.0</v>
      </c>
      <c r="G11" s="70"/>
      <c r="H11" s="70"/>
      <c r="I11" s="59">
        <v>1.0</v>
      </c>
      <c r="J11" s="26" t="str">
        <f>IFERROR(__xludf.DUMMYFUNCTION("""COMPUTED_VALUE"""),"id_chv_email")</f>
        <v>id_chv_email</v>
      </c>
      <c r="K11" s="59" t="str">
        <f t="shared" si="1"/>
        <v>E-mail</v>
      </c>
      <c r="L11" s="59" t="str">
        <f t="shared" ref="L11:M11" si="12">VLOOKUP(K11,D:J,2,false)</f>
        <v>id_chave</v>
      </c>
      <c r="M11" s="59">
        <f t="shared" si="12"/>
        <v>1</v>
      </c>
      <c r="N11" s="59" t="str">
        <f t="shared" si="3"/>
        <v/>
      </c>
      <c r="O11" s="59" t="s">
        <v>15031</v>
      </c>
      <c r="P11" s="59">
        <f t="shared" si="4"/>
        <v>1</v>
      </c>
      <c r="Q11" s="59" t="str">
        <f>IFERROR(__xludf.DUMMYFUNCTION("""COMPUTED_VALUE"""),"vanessapires221@gmail.com")</f>
        <v>vanessapires221@gmail.com</v>
      </c>
    </row>
    <row r="12">
      <c r="A12" s="39" t="s">
        <v>15048</v>
      </c>
      <c r="B12" s="58" t="s">
        <v>15049</v>
      </c>
      <c r="C12" s="59" t="s">
        <v>1963</v>
      </c>
      <c r="D12" s="39" t="s">
        <v>15050</v>
      </c>
      <c r="E12" s="61" t="s">
        <v>15044</v>
      </c>
      <c r="F12" s="68">
        <v>1.0</v>
      </c>
      <c r="G12" s="62"/>
      <c r="H12" s="68" t="s">
        <v>15051</v>
      </c>
      <c r="I12" s="59">
        <v>1.0</v>
      </c>
      <c r="J12" s="26" t="str">
        <f>IFERROR(__xludf.DUMMYFUNCTION("""COMPUTED_VALUE"""),"id_chv_foto_3_4")</f>
        <v>id_chv_foto_3_4</v>
      </c>
      <c r="K12" s="59" t="str">
        <f t="shared" si="1"/>
        <v>Foto 3/4 (ver especificações da dica</v>
      </c>
      <c r="L12" s="59" t="str">
        <f t="shared" ref="L12:M12" si="13">VLOOKUP(K12,D:J,2,false)</f>
        <v>id_chave</v>
      </c>
      <c r="M12" s="59">
        <f t="shared" si="13"/>
        <v>1</v>
      </c>
      <c r="N12" s="59" t="str">
        <f t="shared" si="3"/>
        <v/>
      </c>
      <c r="O12" s="59" t="s">
        <v>15031</v>
      </c>
      <c r="P12" s="59">
        <f t="shared" si="4"/>
        <v>1</v>
      </c>
      <c r="Q12" s="71" t="str">
        <f>IFERROR(__xludf.DUMMYFUNCTION("""COMPUTED_VALUE"""),"https://yz2spukd8h-jbrk7pf7uvw.s3.amazonaws.com/2024/06/0CcKHuZDIU2x6Bn8wZUsbSO1ucMxdNyuH8r7qjY2e9s%3D.jpg")</f>
        <v>https://yz2spukd8h-jbrk7pf7uvw.s3.amazonaws.com/2024/06/0CcKHuZDIU2x6Bn8wZUsbSO1ucMxdNyuH8r7qjY2e9s%3D.jpg</v>
      </c>
    </row>
    <row r="13">
      <c r="A13" s="19" t="s">
        <v>15052</v>
      </c>
      <c r="B13" s="58" t="s">
        <v>15053</v>
      </c>
      <c r="C13" s="59" t="s">
        <v>1964</v>
      </c>
      <c r="D13" s="72" t="s">
        <v>15054</v>
      </c>
      <c r="E13" s="23" t="s">
        <v>15055</v>
      </c>
      <c r="F13" s="59">
        <v>1.0</v>
      </c>
      <c r="G13" s="6"/>
      <c r="H13" s="6"/>
      <c r="I13" s="59">
        <v>1.0</v>
      </c>
      <c r="J13" s="26" t="str">
        <f>IFERROR(__xludf.DUMMYFUNCTION("""COMPUTED_VALUE"""),"sp156_data_abertura")</f>
        <v>sp156_data_abertura</v>
      </c>
      <c r="K13" s="73" t="str">
        <f t="shared" si="1"/>
        <v>Data de Abertura</v>
      </c>
      <c r="L13" s="59" t="str">
        <f t="shared" ref="L13:M13" si="14">VLOOKUP(K13,D:J,2,false)</f>
        <v>sp156</v>
      </c>
      <c r="M13" s="59">
        <f t="shared" si="14"/>
        <v>1</v>
      </c>
      <c r="N13" s="59" t="str">
        <f t="shared" si="3"/>
        <v/>
      </c>
      <c r="O13" s="59" t="s">
        <v>15056</v>
      </c>
      <c r="P13" s="59">
        <f t="shared" si="4"/>
        <v>1</v>
      </c>
      <c r="Q13" s="74">
        <f>IFERROR(__xludf.DUMMYFUNCTION("""COMPUTED_VALUE"""),45446.0)</f>
        <v>45446</v>
      </c>
    </row>
    <row r="14">
      <c r="A14" s="19" t="s">
        <v>15057</v>
      </c>
      <c r="B14" s="58" t="s">
        <v>15058</v>
      </c>
      <c r="C14" s="59" t="s">
        <v>1965</v>
      </c>
      <c r="D14" s="72" t="s">
        <v>15059</v>
      </c>
      <c r="E14" s="23" t="s">
        <v>15055</v>
      </c>
      <c r="F14" s="59">
        <v>1.0</v>
      </c>
      <c r="G14" s="6"/>
      <c r="H14" s="6"/>
      <c r="I14" s="59">
        <v>1.0</v>
      </c>
      <c r="J14" s="26" t="str">
        <f>IFERROR(__xludf.DUMMYFUNCTION("""COMPUTED_VALUE"""),"sp156_data_atualizacao")</f>
        <v>sp156_data_atualizacao</v>
      </c>
      <c r="K14" s="73" t="str">
        <f t="shared" si="1"/>
        <v>Data de Atualização</v>
      </c>
      <c r="L14" s="59" t="str">
        <f t="shared" ref="L14:M14" si="15">VLOOKUP(K14,D:J,2,false)</f>
        <v>sp156</v>
      </c>
      <c r="M14" s="59">
        <f t="shared" si="15"/>
        <v>1</v>
      </c>
      <c r="N14" s="59" t="str">
        <f t="shared" si="3"/>
        <v/>
      </c>
      <c r="O14" s="59" t="s">
        <v>15056</v>
      </c>
      <c r="P14" s="59">
        <f t="shared" si="4"/>
        <v>1</v>
      </c>
      <c r="Q14" s="74">
        <f>IFERROR(__xludf.DUMMYFUNCTION("""COMPUTED_VALUE"""),45447.0)</f>
        <v>45447</v>
      </c>
    </row>
    <row r="15">
      <c r="A15" s="19" t="s">
        <v>15060</v>
      </c>
      <c r="B15" s="58" t="s">
        <v>15061</v>
      </c>
      <c r="C15" s="59" t="s">
        <v>1966</v>
      </c>
      <c r="D15" s="72" t="s">
        <v>15062</v>
      </c>
      <c r="E15" s="23" t="s">
        <v>15055</v>
      </c>
      <c r="F15" s="59">
        <v>1.0</v>
      </c>
      <c r="G15" s="6"/>
      <c r="H15" s="6"/>
      <c r="I15" s="59">
        <v>1.0</v>
      </c>
      <c r="J15" s="26" t="str">
        <f>IFERROR(__xludf.DUMMYFUNCTION("""COMPUTED_VALUE"""),"sp156_data_finalizacao")</f>
        <v>sp156_data_finalizacao</v>
      </c>
      <c r="K15" s="73" t="str">
        <f t="shared" si="1"/>
        <v>Data de Finalização</v>
      </c>
      <c r="L15" s="59" t="str">
        <f t="shared" ref="L15:M15" si="16">VLOOKUP(K15,D:J,2,false)</f>
        <v>sp156</v>
      </c>
      <c r="M15" s="59">
        <f t="shared" si="16"/>
        <v>1</v>
      </c>
      <c r="N15" s="59" t="str">
        <f t="shared" si="3"/>
        <v/>
      </c>
      <c r="O15" s="59" t="s">
        <v>15056</v>
      </c>
      <c r="P15" s="59">
        <f t="shared" si="4"/>
        <v>1</v>
      </c>
      <c r="Q15" s="74">
        <f>IFERROR(__xludf.DUMMYFUNCTION("""COMPUTED_VALUE"""),45447.0)</f>
        <v>45447</v>
      </c>
    </row>
    <row r="16">
      <c r="A16" s="19" t="s">
        <v>15063</v>
      </c>
      <c r="B16" s="58" t="s">
        <v>15064</v>
      </c>
      <c r="C16" s="59" t="s">
        <v>1967</v>
      </c>
      <c r="D16" s="27" t="s">
        <v>15065</v>
      </c>
      <c r="E16" s="23" t="s">
        <v>15055</v>
      </c>
      <c r="F16" s="59">
        <v>1.0</v>
      </c>
      <c r="G16" s="6"/>
      <c r="H16" s="6"/>
      <c r="I16" s="59">
        <v>1.0</v>
      </c>
      <c r="J16" s="26" t="str">
        <f>IFERROR(__xludf.DUMMYFUNCTION("""COMPUTED_VALUE"""),"sp156_protocolo_solicitacao")</f>
        <v>sp156_protocolo_solicitacao</v>
      </c>
      <c r="K16" s="59" t="str">
        <f t="shared" si="1"/>
        <v>Protocolo da Solicitação</v>
      </c>
      <c r="L16" s="59" t="str">
        <f t="shared" ref="L16:M16" si="17">VLOOKUP(K16,D:J,2,false)</f>
        <v>sp156</v>
      </c>
      <c r="M16" s="59">
        <f t="shared" si="17"/>
        <v>1</v>
      </c>
      <c r="N16" s="59" t="str">
        <f t="shared" si="3"/>
        <v/>
      </c>
      <c r="O16" s="59" t="s">
        <v>15031</v>
      </c>
      <c r="P16" s="59">
        <f t="shared" si="4"/>
        <v>1</v>
      </c>
      <c r="Q16" s="59" t="str">
        <f>IFERROR(__xludf.DUMMYFUNCTION("""COMPUTED_VALUE"""),"32835686")</f>
        <v>32835686</v>
      </c>
    </row>
    <row r="17">
      <c r="A17" s="19" t="s">
        <v>15066</v>
      </c>
      <c r="B17" s="58" t="s">
        <v>2144</v>
      </c>
      <c r="C17" s="59" t="s">
        <v>1968</v>
      </c>
      <c r="D17" s="19" t="s">
        <v>15067</v>
      </c>
      <c r="E17" s="23" t="s">
        <v>15068</v>
      </c>
      <c r="F17" s="6"/>
      <c r="G17" s="6"/>
      <c r="H17" s="6"/>
      <c r="I17" s="59">
        <v>1.0</v>
      </c>
      <c r="J17" s="26" t="str">
        <f>IFERROR(__xludf.DUMMYFUNCTION("""COMPUTED_VALUE"""),"trat_bd_duplicado")</f>
        <v>trat_bd_duplicado</v>
      </c>
      <c r="K17" s="59" t="str">
        <f t="shared" si="1"/>
        <v>DUPLICADO</v>
      </c>
      <c r="L17" s="59" t="str">
        <f t="shared" ref="L17:M17" si="18">VLOOKUP(K17,D:J,2,false)</f>
        <v>tratamento_bd</v>
      </c>
      <c r="M17" s="59" t="str">
        <f t="shared" si="18"/>
        <v/>
      </c>
      <c r="N17" s="59" t="str">
        <f t="shared" si="3"/>
        <v/>
      </c>
      <c r="O17" s="59" t="s">
        <v>15069</v>
      </c>
      <c r="P17" s="59">
        <f t="shared" si="4"/>
        <v>1</v>
      </c>
      <c r="Q17" s="59">
        <f>IFERROR(__xludf.DUMMYFUNCTION("""COMPUTED_VALUE"""),0.0)</f>
        <v>0</v>
      </c>
    </row>
    <row r="18">
      <c r="A18" s="19" t="s">
        <v>15070</v>
      </c>
      <c r="B18" s="58" t="s">
        <v>15071</v>
      </c>
      <c r="C18" s="59" t="s">
        <v>1969</v>
      </c>
      <c r="D18" s="19" t="s">
        <v>15072</v>
      </c>
      <c r="E18" s="23" t="s">
        <v>15068</v>
      </c>
      <c r="F18" s="6"/>
      <c r="G18" s="6"/>
      <c r="H18" s="6"/>
      <c r="I18" s="59">
        <v>1.0</v>
      </c>
      <c r="J18" s="26" t="str">
        <f>IFERROR(__xludf.DUMMYFUNCTION("""COMPUTED_VALUE"""),"trat_bd_idade_anos")</f>
        <v>trat_bd_idade_anos</v>
      </c>
      <c r="K18" s="59" t="str">
        <f t="shared" si="1"/>
        <v>IDADE ANOS</v>
      </c>
      <c r="L18" s="59" t="str">
        <f t="shared" ref="L18:M18" si="19">VLOOKUP(K18,D:J,2,false)</f>
        <v>tratamento_bd</v>
      </c>
      <c r="M18" s="59" t="str">
        <f t="shared" si="19"/>
        <v/>
      </c>
      <c r="N18" s="59" t="str">
        <f t="shared" si="3"/>
        <v/>
      </c>
      <c r="O18" s="59" t="s">
        <v>15069</v>
      </c>
      <c r="P18" s="59">
        <f t="shared" si="4"/>
        <v>1</v>
      </c>
      <c r="Q18" s="59">
        <f>IFERROR(__xludf.DUMMYFUNCTION("""COMPUTED_VALUE"""),23.0)</f>
        <v>23</v>
      </c>
    </row>
    <row r="19">
      <c r="A19" s="19" t="s">
        <v>15073</v>
      </c>
      <c r="B19" s="58" t="s">
        <v>15074</v>
      </c>
      <c r="C19" s="59" t="s">
        <v>1970</v>
      </c>
      <c r="D19" s="19" t="s">
        <v>15075</v>
      </c>
      <c r="E19" s="23" t="s">
        <v>15068</v>
      </c>
      <c r="F19" s="6"/>
      <c r="G19" s="6"/>
      <c r="H19" s="6"/>
      <c r="I19" s="59">
        <v>1.0</v>
      </c>
      <c r="J19" s="26" t="str">
        <f>IFERROR(__xludf.DUMMYFUNCTION("""COMPUTED_VALUE"""),"trat_bd_idade_dias")</f>
        <v>trat_bd_idade_dias</v>
      </c>
      <c r="K19" s="59" t="str">
        <f t="shared" si="1"/>
        <v>IDADE EM DIAS</v>
      </c>
      <c r="L19" s="59" t="str">
        <f t="shared" ref="L19:M19" si="20">VLOOKUP(K19,D:J,2,false)</f>
        <v>tratamento_bd</v>
      </c>
      <c r="M19" s="59" t="str">
        <f t="shared" si="20"/>
        <v/>
      </c>
      <c r="N19" s="59" t="str">
        <f t="shared" si="3"/>
        <v/>
      </c>
      <c r="O19" s="59" t="s">
        <v>15069</v>
      </c>
      <c r="P19" s="59">
        <f t="shared" si="4"/>
        <v>1</v>
      </c>
      <c r="Q19" s="59">
        <f>IFERROR(__xludf.DUMMYFUNCTION("""COMPUTED_VALUE"""),8548.0)</f>
        <v>8548</v>
      </c>
    </row>
    <row r="20">
      <c r="A20" s="19" t="s">
        <v>15076</v>
      </c>
      <c r="B20" s="58" t="s">
        <v>15077</v>
      </c>
      <c r="C20" s="59" t="s">
        <v>1971</v>
      </c>
      <c r="D20" s="19" t="s">
        <v>15078</v>
      </c>
      <c r="E20" s="23" t="s">
        <v>15068</v>
      </c>
      <c r="F20" s="6"/>
      <c r="G20" s="6"/>
      <c r="H20" s="6"/>
      <c r="I20" s="59">
        <v>1.0</v>
      </c>
      <c r="J20" s="26" t="str">
        <f>IFERROR(__xludf.DUMMYFUNCTION("""COMPUTED_VALUE"""),"trat_bd_idade_fim_insc")</f>
        <v>trat_bd_idade_fim_insc</v>
      </c>
      <c r="K20" s="59" t="str">
        <f t="shared" si="1"/>
        <v>IDADE FIM DA INSC</v>
      </c>
      <c r="L20" s="59" t="str">
        <f t="shared" ref="L20:M20" si="21">VLOOKUP(K20,D:J,2,false)</f>
        <v>tratamento_bd</v>
      </c>
      <c r="M20" s="59" t="str">
        <f t="shared" si="21"/>
        <v/>
      </c>
      <c r="N20" s="59" t="str">
        <f t="shared" si="3"/>
        <v/>
      </c>
      <c r="O20" s="59" t="s">
        <v>15069</v>
      </c>
      <c r="P20" s="59">
        <f t="shared" si="4"/>
        <v>1</v>
      </c>
      <c r="Q20" s="74" t="str">
        <f>IFERROR(__xludf.DUMMYFUNCTION("""COMPUTED_VALUE"""),"23 anos, 4 meses, 27 dias")</f>
        <v>23 anos, 4 meses, 27 dias</v>
      </c>
    </row>
    <row r="21">
      <c r="A21" s="19" t="s">
        <v>15079</v>
      </c>
      <c r="B21" s="58" t="s">
        <v>15080</v>
      </c>
      <c r="C21" s="59" t="s">
        <v>1972</v>
      </c>
      <c r="D21" s="19" t="s">
        <v>15081</v>
      </c>
      <c r="E21" s="23" t="s">
        <v>15068</v>
      </c>
      <c r="F21" s="6"/>
      <c r="G21" s="6"/>
      <c r="H21" s="6"/>
      <c r="I21" s="59">
        <v>1.0</v>
      </c>
      <c r="J21" s="26" t="str">
        <f>IFERROR(__xludf.DUMMYFUNCTION("""COMPUTED_VALUE"""),"trat_bd_idade_ref")</f>
        <v>trat_bd_idade_ref</v>
      </c>
      <c r="K21" s="59" t="str">
        <f t="shared" si="1"/>
        <v>IDADE REF</v>
      </c>
      <c r="L21" s="59" t="str">
        <f t="shared" ref="L21:M21" si="22">VLOOKUP(K21,D:J,2,false)</f>
        <v>tratamento_bd</v>
      </c>
      <c r="M21" s="59" t="str">
        <f t="shared" si="22"/>
        <v/>
      </c>
      <c r="N21" s="59" t="str">
        <f t="shared" si="3"/>
        <v/>
      </c>
      <c r="O21" s="59" t="s">
        <v>15056</v>
      </c>
      <c r="P21" s="59">
        <f t="shared" si="4"/>
        <v>1</v>
      </c>
      <c r="Q21" s="74">
        <f>IFERROR(__xludf.DUMMYFUNCTION("""COMPUTED_VALUE"""),45461.0)</f>
        <v>45461</v>
      </c>
    </row>
    <row r="22">
      <c r="A22" s="19" t="s">
        <v>15082</v>
      </c>
      <c r="B22" s="58" t="s">
        <v>15083</v>
      </c>
      <c r="C22" s="59" t="s">
        <v>1973</v>
      </c>
      <c r="D22" s="19" t="s">
        <v>15084</v>
      </c>
      <c r="E22" s="23" t="s">
        <v>15068</v>
      </c>
      <c r="F22" s="6"/>
      <c r="G22" s="6"/>
      <c r="H22" s="6"/>
      <c r="I22" s="59">
        <v>1.0</v>
      </c>
      <c r="J22" s="26" t="str">
        <f>IFERROR(__xludf.DUMMYFUNCTION("""COMPUTED_VALUE"""),"trat_bd_nome_publicado")</f>
        <v>trat_bd_nome_publicado</v>
      </c>
      <c r="K22" s="59" t="str">
        <f t="shared" si="1"/>
        <v>NOME PUBLICADO</v>
      </c>
      <c r="L22" s="59" t="str">
        <f t="shared" ref="L22:M22" si="23">VLOOKUP(K22,D:J,2,false)</f>
        <v>tratamento_bd</v>
      </c>
      <c r="M22" s="59" t="str">
        <f t="shared" si="23"/>
        <v/>
      </c>
      <c r="N22" s="59" t="str">
        <f t="shared" si="3"/>
        <v/>
      </c>
      <c r="O22" s="59" t="s">
        <v>15031</v>
      </c>
      <c r="P22" s="59">
        <f t="shared" si="4"/>
        <v>1</v>
      </c>
      <c r="Q22" s="59" t="str">
        <f>IFERROR(__xludf.DUMMYFUNCTION("""COMPUTED_VALUE"""),"VANESSA PIRES DA SILVA MARCAL")</f>
        <v>VANESSA PIRES DA SILVA MARCAL</v>
      </c>
    </row>
    <row r="23">
      <c r="A23" s="19" t="s">
        <v>15085</v>
      </c>
      <c r="B23" s="58" t="s">
        <v>15048</v>
      </c>
      <c r="C23" s="59" t="s">
        <v>2039</v>
      </c>
      <c r="D23" s="23" t="s">
        <v>15086</v>
      </c>
      <c r="E23" s="23" t="s">
        <v>15087</v>
      </c>
      <c r="F23" s="59"/>
      <c r="G23" s="59" t="s">
        <v>15088</v>
      </c>
      <c r="H23" s="6"/>
      <c r="I23" s="59">
        <v>2.0</v>
      </c>
      <c r="J23" s="26" t="str">
        <f>IFERROR(__xludf.DUMMYFUNCTION("""COMPUTED_VALUE"""),"avc_obs_primeira_fase")</f>
        <v>avc_obs_primeira_fase</v>
      </c>
      <c r="K23" s="59" t="str">
        <f t="shared" si="1"/>
        <v>OBS PRIMEIRA FASE</v>
      </c>
      <c r="L23" s="59" t="str">
        <f t="shared" ref="L23:M23" si="24">VLOOKUP(K23,D:J,2,false)</f>
        <v>avaliação_classificação</v>
      </c>
      <c r="M23" s="59" t="str">
        <f t="shared" si="24"/>
        <v/>
      </c>
      <c r="N23" s="59" t="str">
        <f t="shared" si="3"/>
        <v>1ª fase</v>
      </c>
      <c r="O23" s="59" t="s">
        <v>15031</v>
      </c>
      <c r="P23" s="59">
        <f t="shared" si="4"/>
        <v>2</v>
      </c>
      <c r="Q23" s="59"/>
    </row>
    <row r="24">
      <c r="A24" s="19" t="s">
        <v>15089</v>
      </c>
      <c r="B24" s="58" t="s">
        <v>15090</v>
      </c>
      <c r="C24" s="59" t="s">
        <v>1974</v>
      </c>
      <c r="D24" s="19" t="s">
        <v>15091</v>
      </c>
      <c r="E24" s="23" t="s">
        <v>15087</v>
      </c>
      <c r="F24" s="59"/>
      <c r="G24" s="59" t="s">
        <v>15088</v>
      </c>
      <c r="H24" s="59"/>
      <c r="I24" s="59">
        <v>2.0</v>
      </c>
      <c r="J24" s="26" t="str">
        <f>IFERROR(__xludf.DUMMYFUNCTION("""COMPUTED_VALUE"""),"avc_observacoes_fase1")</f>
        <v>avc_observacoes_fase1</v>
      </c>
      <c r="K24" s="59" t="str">
        <f t="shared" si="1"/>
        <v>OBSERVAÇOES</v>
      </c>
      <c r="L24" s="59" t="str">
        <f t="shared" ref="L24:M24" si="25">VLOOKUP(K24,D:J,2,false)</f>
        <v>avaliação_classificação</v>
      </c>
      <c r="M24" s="59" t="str">
        <f t="shared" si="25"/>
        <v/>
      </c>
      <c r="N24" s="59" t="str">
        <f t="shared" si="3"/>
        <v>1ª fase</v>
      </c>
      <c r="O24" s="59" t="s">
        <v>15031</v>
      </c>
      <c r="P24" s="59">
        <f t="shared" si="4"/>
        <v>2</v>
      </c>
      <c r="Q24" s="59"/>
    </row>
    <row r="25">
      <c r="A25" s="19" t="s">
        <v>15092</v>
      </c>
      <c r="B25" s="58" t="s">
        <v>15093</v>
      </c>
      <c r="C25" s="59" t="s">
        <v>1975</v>
      </c>
      <c r="D25" s="19" t="s">
        <v>15094</v>
      </c>
      <c r="E25" s="23" t="s">
        <v>15087</v>
      </c>
      <c r="F25" s="59"/>
      <c r="G25" s="59" t="s">
        <v>15088</v>
      </c>
      <c r="H25" s="59"/>
      <c r="I25" s="59">
        <v>2.0</v>
      </c>
      <c r="J25" s="26" t="str">
        <f>IFERROR(__xludf.DUMMYFUNCTION("""COMPUTED_VALUE"""),"avc_c1_fase1")</f>
        <v>avc_c1_fase1</v>
      </c>
      <c r="K25" s="59" t="str">
        <f t="shared" si="1"/>
        <v>C1</v>
      </c>
      <c r="L25" s="59" t="str">
        <f t="shared" ref="L25:M25" si="26">VLOOKUP(K25,D:J,2,false)</f>
        <v>avaliação_classificação</v>
      </c>
      <c r="M25" s="59" t="str">
        <f t="shared" si="26"/>
        <v/>
      </c>
      <c r="N25" s="59" t="str">
        <f t="shared" si="3"/>
        <v>1ª fase </v>
      </c>
      <c r="O25" s="59" t="s">
        <v>15069</v>
      </c>
      <c r="P25" s="59">
        <f t="shared" si="4"/>
        <v>2</v>
      </c>
      <c r="Q25" s="75">
        <f>IFERROR(__xludf.DUMMYFUNCTION("""COMPUTED_VALUE"""),20.0)</f>
        <v>20</v>
      </c>
    </row>
    <row r="26">
      <c r="A26" s="19" t="s">
        <v>15095</v>
      </c>
      <c r="B26" s="58" t="s">
        <v>15096</v>
      </c>
      <c r="C26" s="59" t="s">
        <v>1976</v>
      </c>
      <c r="D26" s="19" t="s">
        <v>15097</v>
      </c>
      <c r="E26" s="23" t="s">
        <v>15087</v>
      </c>
      <c r="F26" s="6"/>
      <c r="G26" s="59" t="s">
        <v>15098</v>
      </c>
      <c r="H26" s="59"/>
      <c r="I26" s="59">
        <v>2.0</v>
      </c>
      <c r="J26" s="26" t="str">
        <f>IFERROR(__xludf.DUMMYFUNCTION("""COMPUTED_VALUE"""),"avc_c2_fase1")</f>
        <v>avc_c2_fase1</v>
      </c>
      <c r="K26" s="59" t="str">
        <f t="shared" si="1"/>
        <v>C2</v>
      </c>
      <c r="L26" s="59" t="str">
        <f t="shared" ref="L26:M26" si="27">VLOOKUP(K26,D:J,2,false)</f>
        <v>avaliação_classificação</v>
      </c>
      <c r="M26" s="59" t="str">
        <f t="shared" si="27"/>
        <v/>
      </c>
      <c r="N26" s="59" t="str">
        <f t="shared" si="3"/>
        <v>1ª fase </v>
      </c>
      <c r="O26" s="59" t="s">
        <v>15069</v>
      </c>
      <c r="P26" s="59">
        <f t="shared" si="4"/>
        <v>2</v>
      </c>
      <c r="Q26" s="75">
        <f>IFERROR(__xludf.DUMMYFUNCTION("""COMPUTED_VALUE"""),10.0)</f>
        <v>10</v>
      </c>
    </row>
    <row r="27">
      <c r="A27" s="19" t="s">
        <v>15099</v>
      </c>
      <c r="B27" s="58" t="s">
        <v>15100</v>
      </c>
      <c r="C27" s="59" t="s">
        <v>1977</v>
      </c>
      <c r="D27" s="19" t="s">
        <v>15101</v>
      </c>
      <c r="E27" s="23" t="s">
        <v>15087</v>
      </c>
      <c r="F27" s="6"/>
      <c r="G27" s="59" t="s">
        <v>15098</v>
      </c>
      <c r="H27" s="59"/>
      <c r="I27" s="59">
        <v>2.0</v>
      </c>
      <c r="J27" s="26" t="str">
        <f>IFERROR(__xludf.DUMMYFUNCTION("""COMPUTED_VALUE"""),"avc_c3_fase1")</f>
        <v>avc_c3_fase1</v>
      </c>
      <c r="K27" s="59" t="str">
        <f t="shared" si="1"/>
        <v>C3</v>
      </c>
      <c r="L27" s="59" t="str">
        <f t="shared" ref="L27:M27" si="28">VLOOKUP(K27,D:J,2,false)</f>
        <v>avaliação_classificação</v>
      </c>
      <c r="M27" s="59" t="str">
        <f t="shared" si="28"/>
        <v/>
      </c>
      <c r="N27" s="59" t="str">
        <f t="shared" si="3"/>
        <v>1ª fase </v>
      </c>
      <c r="O27" s="59" t="s">
        <v>15069</v>
      </c>
      <c r="P27" s="59">
        <f t="shared" si="4"/>
        <v>2</v>
      </c>
      <c r="Q27" s="75">
        <f>IFERROR(__xludf.DUMMYFUNCTION("""COMPUTED_VALUE"""),5.0)</f>
        <v>5</v>
      </c>
    </row>
    <row r="28">
      <c r="A28" s="19" t="s">
        <v>15102</v>
      </c>
      <c r="B28" s="58" t="s">
        <v>15103</v>
      </c>
      <c r="C28" s="59" t="s">
        <v>1978</v>
      </c>
      <c r="D28" s="19" t="s">
        <v>8797</v>
      </c>
      <c r="E28" s="23" t="s">
        <v>15087</v>
      </c>
      <c r="F28" s="6"/>
      <c r="G28" s="59" t="s">
        <v>15098</v>
      </c>
      <c r="H28" s="59"/>
      <c r="I28" s="59">
        <v>2.0</v>
      </c>
      <c r="J28" s="26" t="str">
        <f>IFERROR(__xludf.DUMMYFUNCTION("""COMPUTED_VALUE"""),"avc_c4_fase1")</f>
        <v>avc_c4_fase1</v>
      </c>
      <c r="K28" s="59" t="str">
        <f t="shared" si="1"/>
        <v>C4</v>
      </c>
      <c r="L28" s="59" t="str">
        <f t="shared" ref="L28:M28" si="29">VLOOKUP(K28,D:J,2,false)</f>
        <v>avaliação_classificação</v>
      </c>
      <c r="M28" s="59" t="str">
        <f t="shared" si="29"/>
        <v/>
      </c>
      <c r="N28" s="59" t="str">
        <f t="shared" si="3"/>
        <v>1ª fase </v>
      </c>
      <c r="O28" s="59" t="s">
        <v>15069</v>
      </c>
      <c r="P28" s="59">
        <f t="shared" si="4"/>
        <v>2</v>
      </c>
      <c r="Q28" s="75">
        <f>IFERROR(__xludf.DUMMYFUNCTION("""COMPUTED_VALUE"""),3.0)</f>
        <v>3</v>
      </c>
    </row>
    <row r="29">
      <c r="A29" s="19" t="s">
        <v>15104</v>
      </c>
      <c r="B29" s="76" t="s">
        <v>15105</v>
      </c>
      <c r="C29" s="59" t="s">
        <v>1979</v>
      </c>
      <c r="D29" s="19" t="s">
        <v>15106</v>
      </c>
      <c r="E29" s="23" t="s">
        <v>15087</v>
      </c>
      <c r="F29" s="6"/>
      <c r="G29" s="59" t="s">
        <v>15098</v>
      </c>
      <c r="H29" s="59"/>
      <c r="I29" s="59">
        <v>2.0</v>
      </c>
      <c r="J29" s="26" t="str">
        <f>IFERROR(__xludf.DUMMYFUNCTION("""COMPUTED_VALUE"""),"avc_nota_total_fase1")</f>
        <v>avc_nota_total_fase1</v>
      </c>
      <c r="K29" s="59" t="str">
        <f t="shared" si="1"/>
        <v>Total 1ª Fase</v>
      </c>
      <c r="L29" s="59" t="str">
        <f t="shared" ref="L29:M29" si="30">VLOOKUP(K29,D:J,2,false)</f>
        <v>avaliação_classificação</v>
      </c>
      <c r="M29" s="59" t="str">
        <f t="shared" si="30"/>
        <v/>
      </c>
      <c r="N29" s="59" t="str">
        <f t="shared" si="3"/>
        <v>1ª fase </v>
      </c>
      <c r="O29" s="59" t="s">
        <v>15069</v>
      </c>
      <c r="P29" s="59">
        <f t="shared" si="4"/>
        <v>2</v>
      </c>
      <c r="Q29" s="59">
        <f>IFERROR(__xludf.DUMMYFUNCTION("""COMPUTED_VALUE"""),38.0)</f>
        <v>38</v>
      </c>
    </row>
    <row r="30">
      <c r="A30" s="19" t="s">
        <v>15107</v>
      </c>
      <c r="B30" s="58" t="s">
        <v>15108</v>
      </c>
      <c r="C30" s="59" t="s">
        <v>1994</v>
      </c>
      <c r="D30" s="19" t="s">
        <v>15109</v>
      </c>
      <c r="E30" s="23" t="s">
        <v>15087</v>
      </c>
      <c r="F30" s="6"/>
      <c r="G30" s="59" t="s">
        <v>15098</v>
      </c>
      <c r="H30" s="59"/>
      <c r="I30" s="59">
        <v>2.0</v>
      </c>
      <c r="J30" s="26" t="str">
        <f>IFERROR(__xludf.DUMMYFUNCTION("""COMPUTED_VALUE"""),"avc_colaboracao_fase2_etapa1_dinamica")</f>
        <v>avc_colaboracao_fase2_etapa1_dinamica</v>
      </c>
      <c r="K30" s="59" t="str">
        <f t="shared" si="1"/>
        <v>2) Colaboração</v>
      </c>
      <c r="L30" s="59" t="str">
        <f t="shared" ref="L30:M30" si="31">VLOOKUP(K30,D:J,2,false)</f>
        <v>avaliação_classificação</v>
      </c>
      <c r="M30" s="59" t="str">
        <f t="shared" si="31"/>
        <v/>
      </c>
      <c r="N30" s="59" t="str">
        <f t="shared" si="3"/>
        <v>2ª fase - 1ª etapa - dinâmica</v>
      </c>
      <c r="O30" s="59" t="s">
        <v>15069</v>
      </c>
      <c r="P30" s="59">
        <f t="shared" si="4"/>
        <v>2</v>
      </c>
      <c r="Q30" s="59">
        <f>IFERROR(__xludf.DUMMYFUNCTION("""COMPUTED_VALUE"""),5.0)</f>
        <v>5</v>
      </c>
    </row>
    <row r="31">
      <c r="A31" s="19" t="s">
        <v>15110</v>
      </c>
      <c r="B31" s="58" t="s">
        <v>15111</v>
      </c>
      <c r="C31" s="77" t="s">
        <v>2091</v>
      </c>
      <c r="D31" s="19" t="s">
        <v>15112</v>
      </c>
      <c r="E31" s="23" t="s">
        <v>15087</v>
      </c>
      <c r="F31" s="6"/>
      <c r="G31" s="59" t="s">
        <v>15098</v>
      </c>
      <c r="H31" s="59"/>
      <c r="I31" s="59">
        <v>2.0</v>
      </c>
      <c r="J31" s="26" t="str">
        <f>IFERROR(__xludf.DUMMYFUNCTION("""COMPUTED_VALUE"""),"avc_comunicacao_fase2_etapa1_dinamica")</f>
        <v>avc_comunicacao_fase2_etapa1_dinamica</v>
      </c>
      <c r="K31" s="59" t="str">
        <f t="shared" si="1"/>
        <v>4) Comunicação</v>
      </c>
      <c r="L31" s="59" t="str">
        <f t="shared" ref="L31:M31" si="32">VLOOKUP(K31,D:J,2,false)</f>
        <v>avaliação_classificação</v>
      </c>
      <c r="M31" s="59" t="str">
        <f t="shared" si="32"/>
        <v/>
      </c>
      <c r="N31" s="59" t="str">
        <f t="shared" si="3"/>
        <v>2ª fase - 1ª etapa - dinâmica</v>
      </c>
      <c r="O31" s="59" t="s">
        <v>15069</v>
      </c>
      <c r="P31" s="59">
        <f t="shared" si="4"/>
        <v>2</v>
      </c>
      <c r="Q31" s="59">
        <f>IFERROR(__xludf.DUMMYFUNCTION("""COMPUTED_VALUE"""),5.0)</f>
        <v>5</v>
      </c>
    </row>
    <row r="32">
      <c r="A32" s="19" t="s">
        <v>15058</v>
      </c>
      <c r="B32" s="58" t="s">
        <v>15113</v>
      </c>
      <c r="C32" s="59" t="s">
        <v>1981</v>
      </c>
      <c r="D32" s="19" t="s">
        <v>15114</v>
      </c>
      <c r="E32" s="23" t="s">
        <v>15087</v>
      </c>
      <c r="F32" s="59"/>
      <c r="G32" s="59" t="s">
        <v>15115</v>
      </c>
      <c r="H32" s="59"/>
      <c r="I32" s="59">
        <v>2.0</v>
      </c>
      <c r="J32" s="26" t="str">
        <f>IFERROR(__xludf.DUMMYFUNCTION("""COMPUTED_VALUE"""),"avc_engajamento_fase2_etapa1_dinamica")</f>
        <v>avc_engajamento_fase2_etapa1_dinamica</v>
      </c>
      <c r="K32" s="59" t="str">
        <f t="shared" si="1"/>
        <v>5) Engajamento</v>
      </c>
      <c r="L32" s="59" t="str">
        <f t="shared" ref="L32:M32" si="33">VLOOKUP(K32,D:J,2,false)</f>
        <v>avaliação_classificação</v>
      </c>
      <c r="M32" s="59" t="str">
        <f t="shared" si="33"/>
        <v/>
      </c>
      <c r="N32" s="59" t="str">
        <f t="shared" si="3"/>
        <v>2ª fase - 1ª etapa - dinâmica</v>
      </c>
      <c r="O32" s="59" t="s">
        <v>15069</v>
      </c>
      <c r="P32" s="59">
        <f t="shared" si="4"/>
        <v>2</v>
      </c>
      <c r="Q32" s="59">
        <f>IFERROR(__xludf.DUMMYFUNCTION("""COMPUTED_VALUE"""),5.0)</f>
        <v>5</v>
      </c>
    </row>
    <row r="33">
      <c r="A33" s="19" t="s">
        <v>15064</v>
      </c>
      <c r="B33" s="58" t="s">
        <v>15116</v>
      </c>
      <c r="C33" s="59" t="s">
        <v>1982</v>
      </c>
      <c r="D33" s="19" t="s">
        <v>15117</v>
      </c>
      <c r="E33" s="23" t="s">
        <v>15087</v>
      </c>
      <c r="F33" s="59"/>
      <c r="G33" s="59" t="s">
        <v>15115</v>
      </c>
      <c r="H33" s="59"/>
      <c r="I33" s="59">
        <v>2.0</v>
      </c>
      <c r="J33" s="26" t="str">
        <f>IFERROR(__xludf.DUMMYFUNCTION("""COMPUTED_VALUE"""),"avc_estrategia_fase2_etapa1_dinamica")</f>
        <v>avc_estrategia_fase2_etapa1_dinamica</v>
      </c>
      <c r="K33" s="59" t="str">
        <f t="shared" si="1"/>
        <v>3) Estratégia</v>
      </c>
      <c r="L33" s="59" t="str">
        <f t="shared" ref="L33:M33" si="34">VLOOKUP(K33,D:J,2,false)</f>
        <v>avaliação_classificação</v>
      </c>
      <c r="M33" s="59" t="str">
        <f t="shared" si="34"/>
        <v/>
      </c>
      <c r="N33" s="59" t="str">
        <f t="shared" si="3"/>
        <v>2ª fase - 1ª etapa - dinâmica</v>
      </c>
      <c r="O33" s="59" t="s">
        <v>15069</v>
      </c>
      <c r="P33" s="59">
        <f t="shared" si="4"/>
        <v>2</v>
      </c>
      <c r="Q33" s="59">
        <f>IFERROR(__xludf.DUMMYFUNCTION("""COMPUTED_VALUE"""),5.0)</f>
        <v>5</v>
      </c>
    </row>
    <row r="34">
      <c r="A34" s="19" t="s">
        <v>2144</v>
      </c>
      <c r="B34" s="58" t="s">
        <v>15118</v>
      </c>
      <c r="C34" s="59" t="s">
        <v>1983</v>
      </c>
      <c r="D34" s="19" t="s">
        <v>15119</v>
      </c>
      <c r="E34" s="23" t="s">
        <v>15087</v>
      </c>
      <c r="F34" s="59"/>
      <c r="G34" s="59" t="s">
        <v>15115</v>
      </c>
      <c r="H34" s="59"/>
      <c r="I34" s="59">
        <v>2.0</v>
      </c>
      <c r="J34" s="26" t="str">
        <f>IFERROR(__xludf.DUMMYFUNCTION("""COMPUTED_VALUE"""),"avc_lideranca_fase2_etapa1_dinamica")</f>
        <v>avc_lideranca_fase2_etapa1_dinamica</v>
      </c>
      <c r="K34" s="59" t="str">
        <f t="shared" si="1"/>
        <v>1) Liderança</v>
      </c>
      <c r="L34" s="59" t="str">
        <f t="shared" ref="L34:M34" si="35">VLOOKUP(K34,D:J,2,false)</f>
        <v>avaliação_classificação</v>
      </c>
      <c r="M34" s="59" t="str">
        <f t="shared" si="35"/>
        <v/>
      </c>
      <c r="N34" s="59" t="str">
        <f t="shared" si="3"/>
        <v>2ª fase - 1ª etapa - dinâmica</v>
      </c>
      <c r="O34" s="59" t="s">
        <v>15069</v>
      </c>
      <c r="P34" s="59" t="str">
        <f t="shared" si="4"/>
        <v>dup</v>
      </c>
      <c r="Q34" s="59">
        <f>IFERROR(__xludf.DUMMYFUNCTION("""COMPUTED_VALUE"""),5.0)</f>
        <v>5</v>
      </c>
    </row>
    <row r="35">
      <c r="A35" s="19" t="s">
        <v>15061</v>
      </c>
      <c r="B35" s="58" t="s">
        <v>15120</v>
      </c>
      <c r="C35" s="59" t="s">
        <v>1984</v>
      </c>
      <c r="D35" s="19" t="s">
        <v>15121</v>
      </c>
      <c r="E35" s="23" t="s">
        <v>15087</v>
      </c>
      <c r="F35" s="59"/>
      <c r="G35" s="59" t="s">
        <v>15115</v>
      </c>
      <c r="H35" s="59"/>
      <c r="I35" s="59">
        <v>2.0</v>
      </c>
      <c r="J35" s="26" t="str">
        <f>IFERROR(__xludf.DUMMYFUNCTION("""COMPUTED_VALUE"""),"avc_trabalho_pressao_fase2_etapa1_dinamica")</f>
        <v>avc_trabalho_pressao_fase2_etapa1_dinamica</v>
      </c>
      <c r="K35" s="59" t="str">
        <f t="shared" si="1"/>
        <v>6) Trabalho sob pressão</v>
      </c>
      <c r="L35" s="59" t="str">
        <f t="shared" ref="L35:M35" si="36">VLOOKUP(K35,D:J,2,false)</f>
        <v>avaliação_classificação</v>
      </c>
      <c r="M35" s="59" t="str">
        <f t="shared" si="36"/>
        <v/>
      </c>
      <c r="N35" s="59" t="str">
        <f t="shared" si="3"/>
        <v>2ª fase - 1ª etapa - dinâmica</v>
      </c>
      <c r="O35" s="59" t="s">
        <v>15069</v>
      </c>
      <c r="P35" s="59">
        <f t="shared" si="4"/>
        <v>2</v>
      </c>
      <c r="Q35" s="59">
        <f>IFERROR(__xludf.DUMMYFUNCTION("""COMPUTED_VALUE"""),5.0)</f>
        <v>5</v>
      </c>
    </row>
    <row r="36">
      <c r="A36" s="19" t="s">
        <v>15053</v>
      </c>
      <c r="B36" s="58" t="s">
        <v>15122</v>
      </c>
      <c r="C36" s="59" t="s">
        <v>1985</v>
      </c>
      <c r="D36" s="19" t="s">
        <v>15123</v>
      </c>
      <c r="E36" s="23" t="s">
        <v>15087</v>
      </c>
      <c r="F36" s="59"/>
      <c r="G36" s="59" t="s">
        <v>15115</v>
      </c>
      <c r="H36" s="59"/>
      <c r="I36" s="59" t="s">
        <v>15124</v>
      </c>
      <c r="J36" s="26" t="str">
        <f>IFERROR(__xludf.DUMMYFUNCTION("""COMPUTED_VALUE"""),"avc_total_fase2_etapa1_dinamica")</f>
        <v>avc_total_fase2_etapa1_dinamica</v>
      </c>
      <c r="K36" s="59" t="str">
        <f t="shared" si="1"/>
        <v>Total</v>
      </c>
      <c r="L36" s="59" t="str">
        <f t="shared" ref="L36:M36" si="37">VLOOKUP(K36,D:J,2,false)</f>
        <v>avaliação_classificação</v>
      </c>
      <c r="M36" s="59" t="str">
        <f t="shared" si="37"/>
        <v/>
      </c>
      <c r="N36" s="59" t="str">
        <f t="shared" si="3"/>
        <v>2ª fase - 1ª etapa - dinâmica</v>
      </c>
      <c r="O36" s="59" t="s">
        <v>15125</v>
      </c>
      <c r="P36" s="59">
        <f t="shared" si="4"/>
        <v>2</v>
      </c>
      <c r="Q36" s="78">
        <f>IFERROR(__xludf.DUMMYFUNCTION("""COMPUTED_VALUE"""),15.0)</f>
        <v>15</v>
      </c>
    </row>
    <row r="37">
      <c r="A37" s="19" t="s">
        <v>15080</v>
      </c>
      <c r="B37" s="58" t="s">
        <v>15126</v>
      </c>
      <c r="C37" s="59" t="s">
        <v>1997</v>
      </c>
      <c r="D37" s="19" t="s">
        <v>15127</v>
      </c>
      <c r="E37" s="23" t="s">
        <v>15087</v>
      </c>
      <c r="F37" s="59"/>
      <c r="G37" s="59" t="s">
        <v>15115</v>
      </c>
      <c r="H37" s="59"/>
      <c r="I37" s="59">
        <v>2.0</v>
      </c>
      <c r="J37" s="26" t="str">
        <f>IFERROR(__xludf.DUMMYFUNCTION("""COMPUTED_VALUE"""),"avc_disponibilidade_atividades_rotina_cultura")</f>
        <v>avc_disponibilidade_atividades_rotina_cultura</v>
      </c>
      <c r="K37" s="59" t="str">
        <f t="shared" si="1"/>
        <v>Disponibilidade para atuação nas atividades de rotina dos espaços e/ou departamento da Secretaria Municipal de Cultura (15 pontos)</v>
      </c>
      <c r="L37" s="59" t="str">
        <f t="shared" ref="L37:M37" si="38">VLOOKUP(K37,D:J,2,false)</f>
        <v>avaliação_classificação</v>
      </c>
      <c r="M37" s="59" t="str">
        <f t="shared" si="38"/>
        <v/>
      </c>
      <c r="N37" s="59" t="str">
        <f t="shared" si="3"/>
        <v>2ª fase - 1ª etapa - entrevista</v>
      </c>
      <c r="O37" s="59" t="s">
        <v>15125</v>
      </c>
      <c r="P37" s="59">
        <f t="shared" si="4"/>
        <v>2</v>
      </c>
      <c r="Q37" s="59">
        <f>IFERROR(__xludf.DUMMYFUNCTION("""COMPUTED_VALUE"""),15.0)</f>
        <v>15</v>
      </c>
    </row>
    <row r="38">
      <c r="A38" s="19" t="s">
        <v>15074</v>
      </c>
      <c r="B38" s="58" t="s">
        <v>15021</v>
      </c>
      <c r="C38" s="59" t="s">
        <v>1987</v>
      </c>
      <c r="D38" s="19" t="s">
        <v>15112</v>
      </c>
      <c r="E38" s="23" t="s">
        <v>15087</v>
      </c>
      <c r="F38" s="59"/>
      <c r="G38" s="59" t="s">
        <v>15115</v>
      </c>
      <c r="H38" s="59"/>
      <c r="I38" s="59">
        <v>2.0</v>
      </c>
      <c r="J38" s="26" t="str">
        <f>IFERROR(__xludf.DUMMYFUNCTION("""COMPUTED_VALUE"""),"avc_iniciativa_abertura_formacao_cultural")</f>
        <v>avc_iniciativa_abertura_formacao_cultural</v>
      </c>
      <c r="K38" s="59" t="str">
        <f t="shared" si="1"/>
        <v>Iniciativa e abertura para formação e atuação no campo cultural conforme metodologia do Programa  (15 pontos);
</v>
      </c>
      <c r="L38" s="59" t="str">
        <f t="shared" ref="L38:M38" si="39">VLOOKUP(K38,D:J,2,false)</f>
        <v>avaliação_classificação</v>
      </c>
      <c r="M38" s="59" t="str">
        <f t="shared" si="39"/>
        <v/>
      </c>
      <c r="N38" s="59" t="str">
        <f t="shared" si="3"/>
        <v>2ª fase - 1ª etapa - entrevista</v>
      </c>
      <c r="O38" s="59" t="s">
        <v>15125</v>
      </c>
      <c r="P38" s="59">
        <f t="shared" si="4"/>
        <v>2</v>
      </c>
      <c r="Q38" s="59">
        <f>IFERROR(__xludf.DUMMYFUNCTION("""COMPUTED_VALUE"""),15.0)</f>
        <v>15</v>
      </c>
    </row>
    <row r="39">
      <c r="A39" s="19" t="s">
        <v>15071</v>
      </c>
      <c r="B39" s="58" t="s">
        <v>15092</v>
      </c>
      <c r="C39" s="59" t="s">
        <v>1986</v>
      </c>
      <c r="D39" s="19" t="s">
        <v>15128</v>
      </c>
      <c r="E39" s="23" t="s">
        <v>15087</v>
      </c>
      <c r="F39" s="59"/>
      <c r="G39" s="59" t="s">
        <v>15115</v>
      </c>
      <c r="H39" s="59"/>
      <c r="I39" s="59">
        <v>2.0</v>
      </c>
      <c r="J39" s="26" t="str">
        <f>IFERROR(__xludf.DUMMYFUNCTION("""COMPUTED_VALUE"""),"avc_relacao_dinamica_cultural_territorio")</f>
        <v>avc_relacao_dinamica_cultural_territorio</v>
      </c>
      <c r="K39" s="59" t="str">
        <f t="shared" si="1"/>
        <v>Relação com a dinâmica cultural de seu território (15 pontos);</v>
      </c>
      <c r="L39" s="59" t="str">
        <f t="shared" ref="L39:M39" si="40">VLOOKUP(K39,D:J,2,false)</f>
        <v>avaliação_classificação</v>
      </c>
      <c r="M39" s="59" t="str">
        <f t="shared" si="40"/>
        <v/>
      </c>
      <c r="N39" s="59" t="str">
        <f t="shared" si="3"/>
        <v>2ª fase - 1ª etapa - entrevista</v>
      </c>
      <c r="O39" s="59" t="s">
        <v>15125</v>
      </c>
      <c r="P39" s="59">
        <f t="shared" si="4"/>
        <v>2</v>
      </c>
      <c r="Q39" s="59">
        <f>IFERROR(__xludf.DUMMYFUNCTION("""COMPUTED_VALUE"""),15.0)</f>
        <v>15</v>
      </c>
    </row>
    <row r="40">
      <c r="A40" s="23" t="s">
        <v>15129</v>
      </c>
      <c r="B40" s="58" t="s">
        <v>15130</v>
      </c>
      <c r="C40" s="59" t="s">
        <v>1995</v>
      </c>
      <c r="D40" s="79" t="s">
        <v>15131</v>
      </c>
      <c r="E40" s="23" t="s">
        <v>15087</v>
      </c>
      <c r="F40" s="59"/>
      <c r="G40" s="59" t="s">
        <v>15132</v>
      </c>
      <c r="H40" s="6"/>
      <c r="I40" s="59">
        <v>2.0</v>
      </c>
      <c r="J40" s="26" t="str">
        <f>IFERROR(__xludf.DUMMYFUNCTION("""COMPUTED_VALUE"""),"avc_total_entrevistas_fase2_etapa2")</f>
        <v>avc_total_entrevistas_fase2_etapa2</v>
      </c>
      <c r="K40" s="59" t="str">
        <f t="shared" si="1"/>
        <v>Total Entrevistas (45 pontos)</v>
      </c>
      <c r="L40" s="59" t="str">
        <f t="shared" ref="L40:M40" si="41">VLOOKUP(K40,D:J,2,false)</f>
        <v>avaliação_classificação</v>
      </c>
      <c r="M40" s="59" t="str">
        <f t="shared" si="41"/>
        <v/>
      </c>
      <c r="N40" s="59" t="str">
        <f t="shared" si="3"/>
        <v>2ª fase - 1ª etapa - entrevista</v>
      </c>
      <c r="O40" s="59" t="s">
        <v>15125</v>
      </c>
      <c r="P40" s="59">
        <f t="shared" si="4"/>
        <v>2</v>
      </c>
      <c r="Q40" s="59">
        <f>IFERROR(__xludf.DUMMYFUNCTION("""COMPUTED_VALUE"""),45.0)</f>
        <v>45</v>
      </c>
    </row>
    <row r="41">
      <c r="A41" s="23" t="s">
        <v>15133</v>
      </c>
      <c r="B41" s="58" t="s">
        <v>15134</v>
      </c>
      <c r="C41" s="59" t="s">
        <v>1996</v>
      </c>
      <c r="D41" s="79" t="s">
        <v>15135</v>
      </c>
      <c r="E41" s="23" t="s">
        <v>15087</v>
      </c>
      <c r="F41" s="59"/>
      <c r="G41" s="59" t="s">
        <v>15132</v>
      </c>
      <c r="H41" s="6"/>
      <c r="I41" s="59">
        <v>2.0</v>
      </c>
      <c r="J41" s="26" t="str">
        <f>IFERROR(__xludf.DUMMYFUNCTION("""COMPUTED_VALUE"""),"avc_nota_fase2")</f>
        <v>avc_nota_fase2</v>
      </c>
      <c r="K41" s="59" t="str">
        <f t="shared" si="1"/>
        <v>Nota 2ª Fase</v>
      </c>
      <c r="L41" s="59" t="str">
        <f t="shared" ref="L41:M41" si="42">VLOOKUP(K41,D:J,2,false)</f>
        <v>avaliação_classificação</v>
      </c>
      <c r="M41" s="59" t="str">
        <f t="shared" si="42"/>
        <v/>
      </c>
      <c r="N41" s="59" t="str">
        <f t="shared" si="3"/>
        <v>2ª fase - 1ª etapa - entrevista</v>
      </c>
      <c r="O41" s="59" t="s">
        <v>15125</v>
      </c>
      <c r="P41" s="59">
        <f t="shared" si="4"/>
        <v>2</v>
      </c>
      <c r="Q41" s="59">
        <f>IFERROR(__xludf.DUMMYFUNCTION("""COMPUTED_VALUE"""),60.0)</f>
        <v>60</v>
      </c>
    </row>
    <row r="42">
      <c r="A42" s="23" t="s">
        <v>15136</v>
      </c>
      <c r="B42" s="58" t="s">
        <v>15137</v>
      </c>
      <c r="C42" s="59" t="s">
        <v>1988</v>
      </c>
      <c r="D42" s="79" t="s">
        <v>15138</v>
      </c>
      <c r="E42" s="23" t="s">
        <v>15087</v>
      </c>
      <c r="F42" s="59"/>
      <c r="G42" s="59" t="s">
        <v>15132</v>
      </c>
      <c r="H42" s="6"/>
      <c r="I42" s="59">
        <v>2.0</v>
      </c>
      <c r="J42" s="26" t="str">
        <f>IFERROR(__xludf.DUMMYFUNCTION("""COMPUTED_VALUE"""),"avc_nota_total_final_classificação")</f>
        <v>avc_nota_total_final_classificação</v>
      </c>
      <c r="K42" s="59" t="str">
        <f t="shared" si="1"/>
        <v>Nota Total</v>
      </c>
      <c r="L42" s="59" t="str">
        <f t="shared" ref="L42:M42" si="43">VLOOKUP(K42,D:J,2,false)</f>
        <v>avaliação_classificação</v>
      </c>
      <c r="M42" s="59" t="str">
        <f t="shared" si="43"/>
        <v/>
      </c>
      <c r="N42" s="59" t="str">
        <f t="shared" si="3"/>
        <v>2ª fase - 1ª etapa - entrevista</v>
      </c>
      <c r="O42" s="59" t="s">
        <v>15125</v>
      </c>
      <c r="P42" s="59">
        <f t="shared" si="4"/>
        <v>2</v>
      </c>
      <c r="Q42" s="59">
        <f>IFERROR(__xludf.DUMMYFUNCTION("""COMPUTED_VALUE"""),98.0)</f>
        <v>98</v>
      </c>
    </row>
    <row r="43">
      <c r="A43" s="23" t="s">
        <v>15139</v>
      </c>
      <c r="B43" s="58" t="s">
        <v>13936</v>
      </c>
      <c r="C43" s="59" t="s">
        <v>1989</v>
      </c>
      <c r="D43" s="79" t="s">
        <v>15140</v>
      </c>
      <c r="E43" s="23" t="s">
        <v>15087</v>
      </c>
      <c r="F43" s="59"/>
      <c r="G43" s="59" t="s">
        <v>15132</v>
      </c>
      <c r="H43" s="6"/>
      <c r="I43" s="59">
        <v>2.0</v>
      </c>
      <c r="J43" s="26" t="str">
        <f>IFERROR(__xludf.DUMMYFUNCTION("""COMPUTED_VALUE"""),"avc_ordem_fase1")</f>
        <v>avc_ordem_fase1</v>
      </c>
      <c r="K43" s="59" t="str">
        <f t="shared" si="1"/>
        <v>Ordem</v>
      </c>
      <c r="L43" s="59" t="str">
        <f t="shared" ref="L43:M43" si="44">VLOOKUP(K43,D:J,2,false)</f>
        <v>avaliação_classificação</v>
      </c>
      <c r="M43" s="59" t="str">
        <f t="shared" si="44"/>
        <v/>
      </c>
      <c r="N43" s="59" t="str">
        <f t="shared" si="3"/>
        <v>1ª fase </v>
      </c>
      <c r="O43" s="59" t="s">
        <v>15069</v>
      </c>
      <c r="P43" s="59">
        <f t="shared" si="4"/>
        <v>2</v>
      </c>
      <c r="Q43" s="59">
        <f>IFERROR(__xludf.DUMMYFUNCTION("""COMPUTED_VALUE"""),9.0)</f>
        <v>9</v>
      </c>
    </row>
    <row r="44">
      <c r="A44" s="23" t="s">
        <v>15141</v>
      </c>
      <c r="B44" s="58" t="s">
        <v>15142</v>
      </c>
      <c r="C44" s="59" t="s">
        <v>1992</v>
      </c>
      <c r="D44" s="79" t="s">
        <v>15143</v>
      </c>
      <c r="E44" s="23" t="s">
        <v>15087</v>
      </c>
      <c r="F44" s="59"/>
      <c r="G44" s="59" t="s">
        <v>15132</v>
      </c>
      <c r="H44" s="6"/>
      <c r="I44" s="59">
        <v>2.0</v>
      </c>
      <c r="J44" s="26" t="str">
        <f>IFERROR(__xludf.DUMMYFUNCTION("""COMPUTED_VALUE"""),"avc_class_geral_fase2_etapa1_entrevista")</f>
        <v>avc_class_geral_fase2_etapa1_entrevista</v>
      </c>
      <c r="K44" s="59" t="str">
        <f t="shared" si="1"/>
        <v>Class Geral</v>
      </c>
      <c r="L44" s="59" t="str">
        <f t="shared" ref="L44:M44" si="45">VLOOKUP(K44,D:J,2,false)</f>
        <v>avaliação_classificação</v>
      </c>
      <c r="M44" s="59" t="str">
        <f t="shared" si="45"/>
        <v/>
      </c>
      <c r="N44" s="59" t="str">
        <f t="shared" si="3"/>
        <v>2ª fase - 1ª etapa - entrevista</v>
      </c>
      <c r="O44" s="59" t="s">
        <v>15069</v>
      </c>
      <c r="P44" s="59">
        <f t="shared" si="4"/>
        <v>2</v>
      </c>
      <c r="Q44" s="59">
        <f>IFERROR(__xludf.DUMMYFUNCTION("""COMPUTED_VALUE"""),1.0)</f>
        <v>1</v>
      </c>
    </row>
    <row r="45">
      <c r="A45" s="23" t="s">
        <v>15144</v>
      </c>
      <c r="B45" s="58" t="s">
        <v>15145</v>
      </c>
      <c r="C45" s="12" t="s">
        <v>1993</v>
      </c>
      <c r="D45" s="79" t="s">
        <v>15146</v>
      </c>
      <c r="E45" s="23" t="s">
        <v>15087</v>
      </c>
      <c r="F45" s="59"/>
      <c r="G45" s="59" t="s">
        <v>15132</v>
      </c>
      <c r="H45" s="6"/>
      <c r="I45" s="59">
        <v>2.0</v>
      </c>
      <c r="J45" s="26" t="str">
        <f>IFERROR(__xludf.DUMMYFUNCTION("""COMPUTED_VALUE"""),"avc_class_micro_fase2_etapa1_entrevista")</f>
        <v>avc_class_micro_fase2_etapa1_entrevista</v>
      </c>
      <c r="K45" s="59" t="str">
        <f t="shared" si="1"/>
        <v>Class/ Micro</v>
      </c>
      <c r="L45" s="59" t="str">
        <f t="shared" ref="L45:M45" si="46">VLOOKUP(K45,D:J,2,false)</f>
        <v>avaliação_classificação</v>
      </c>
      <c r="M45" s="59" t="str">
        <f t="shared" si="46"/>
        <v/>
      </c>
      <c r="N45" s="59" t="str">
        <f t="shared" si="3"/>
        <v>2ª fase - 1ª etapa - entrevista</v>
      </c>
      <c r="O45" s="59" t="s">
        <v>15069</v>
      </c>
      <c r="P45" s="59">
        <f t="shared" si="4"/>
        <v>2</v>
      </c>
      <c r="Q45" s="59">
        <f>IFERROR(__xludf.DUMMYFUNCTION("""COMPUTED_VALUE"""),1.0)</f>
        <v>1</v>
      </c>
    </row>
    <row r="46">
      <c r="A46" s="23" t="s">
        <v>15147</v>
      </c>
      <c r="B46" s="58" t="s">
        <v>15095</v>
      </c>
      <c r="C46" s="59" t="s">
        <v>1990</v>
      </c>
      <c r="D46" s="79" t="s">
        <v>15148</v>
      </c>
      <c r="E46" s="23" t="s">
        <v>15087</v>
      </c>
      <c r="F46" s="59"/>
      <c r="G46" s="59" t="s">
        <v>15132</v>
      </c>
      <c r="H46" s="6"/>
      <c r="I46" s="59">
        <v>2.0</v>
      </c>
      <c r="J46" s="26" t="str">
        <f>IFERROR(__xludf.DUMMYFUNCTION("""COMPUTED_VALUE"""),"avc_obs_dinamicas_fase2_etapa1_dinamica")</f>
        <v>avc_obs_dinamicas_fase2_etapa1_dinamica</v>
      </c>
      <c r="K46" s="59" t="str">
        <f t="shared" si="1"/>
        <v>Obs Dinâmicas</v>
      </c>
      <c r="L46" s="59" t="str">
        <f t="shared" ref="L46:M46" si="47">VLOOKUP(K46,D:J,2,false)</f>
        <v>avaliação_classificação</v>
      </c>
      <c r="M46" s="59" t="str">
        <f t="shared" si="47"/>
        <v/>
      </c>
      <c r="N46" s="59" t="str">
        <f t="shared" si="3"/>
        <v>2ª fase - 1ª etapa - dinâmica</v>
      </c>
      <c r="O46" s="59" t="s">
        <v>15031</v>
      </c>
      <c r="P46" s="59">
        <f t="shared" si="4"/>
        <v>2</v>
      </c>
      <c r="Q46" s="78"/>
    </row>
    <row r="47">
      <c r="A47" s="23" t="s">
        <v>15149</v>
      </c>
      <c r="B47" s="58" t="s">
        <v>15099</v>
      </c>
      <c r="C47" s="15" t="s">
        <v>1991</v>
      </c>
      <c r="D47" s="79" t="s">
        <v>15150</v>
      </c>
      <c r="E47" s="23" t="s">
        <v>15087</v>
      </c>
      <c r="F47" s="59"/>
      <c r="G47" s="59" t="s">
        <v>15132</v>
      </c>
      <c r="H47" s="6"/>
      <c r="I47" s="59">
        <v>2.0</v>
      </c>
      <c r="J47" s="26" t="str">
        <f>IFERROR(__xludf.DUMMYFUNCTION("""COMPUTED_VALUE"""),"dc_autodeclaracao_cor_raca_etnia")</f>
        <v>dc_autodeclaracao_cor_raca_etnia</v>
      </c>
      <c r="K47" s="59" t="str">
        <f t="shared" si="1"/>
        <v>Autodeclaração de cor/raça/etnia</v>
      </c>
      <c r="L47" s="59" t="str">
        <f t="shared" ref="L47:M47" si="48">VLOOKUP(K47,D:J,2,false)</f>
        <v>dados_cadastrais</v>
      </c>
      <c r="M47" s="59">
        <f t="shared" si="48"/>
        <v>1</v>
      </c>
      <c r="N47" s="59" t="str">
        <f t="shared" si="3"/>
        <v/>
      </c>
      <c r="O47" s="59" t="s">
        <v>15031</v>
      </c>
      <c r="P47" s="59">
        <f t="shared" si="4"/>
        <v>3</v>
      </c>
      <c r="Q47" s="59" t="str">
        <f>IFERROR(__xludf.DUMMYFUNCTION("""COMPUTED_VALUE"""),"Parda")</f>
        <v>Parda</v>
      </c>
    </row>
    <row r="48">
      <c r="A48" s="39" t="s">
        <v>15105</v>
      </c>
      <c r="B48" s="58" t="s">
        <v>15102</v>
      </c>
      <c r="C48" s="59" t="s">
        <v>1998</v>
      </c>
      <c r="D48" s="39" t="s">
        <v>15151</v>
      </c>
      <c r="E48" s="61" t="s">
        <v>15030</v>
      </c>
      <c r="F48" s="68">
        <v>1.0</v>
      </c>
      <c r="G48" s="62"/>
      <c r="H48" s="62"/>
      <c r="I48" s="59">
        <v>3.0</v>
      </c>
      <c r="J48" s="26" t="str">
        <f>IFERROR(__xludf.DUMMYFUNCTION("""COMPUTED_VALUE"""),"dc_bairro")</f>
        <v>dc_bairro</v>
      </c>
      <c r="K48" s="59" t="str">
        <f t="shared" si="1"/>
        <v>Bairro</v>
      </c>
      <c r="L48" s="59" t="str">
        <f t="shared" ref="L48:M48" si="49">VLOOKUP(K48,D:J,2,false)</f>
        <v>dados_cadastrais</v>
      </c>
      <c r="M48" s="59">
        <f t="shared" si="49"/>
        <v>1</v>
      </c>
      <c r="N48" s="59" t="str">
        <f t="shared" si="3"/>
        <v/>
      </c>
      <c r="O48" s="59" t="s">
        <v>15031</v>
      </c>
      <c r="P48" s="59">
        <f t="shared" si="4"/>
        <v>3</v>
      </c>
      <c r="Q48" s="59" t="str">
        <f>IFERROR(__xludf.DUMMYFUNCTION("""COMPUTED_VALUE"""),"Jardim da Laranjeira (Zona Leste)")</f>
        <v>Jardim da Laranjeira (Zona Leste)</v>
      </c>
    </row>
    <row r="49">
      <c r="A49" s="39" t="s">
        <v>15118</v>
      </c>
      <c r="B49" s="58" t="s">
        <v>15104</v>
      </c>
      <c r="C49" s="59" t="s">
        <v>1999</v>
      </c>
      <c r="D49" s="39" t="s">
        <v>15152</v>
      </c>
      <c r="E49" s="61" t="s">
        <v>15030</v>
      </c>
      <c r="F49" s="68">
        <v>1.0</v>
      </c>
      <c r="G49" s="62"/>
      <c r="H49" s="62"/>
      <c r="I49" s="59">
        <v>3.0</v>
      </c>
      <c r="J49" s="26" t="str">
        <f>IFERROR(__xludf.DUMMYFUNCTION("""COMPUTED_VALUE"""),"dc_cep")</f>
        <v>dc_cep</v>
      </c>
      <c r="K49" s="59" t="str">
        <f t="shared" si="1"/>
        <v>CEP</v>
      </c>
      <c r="L49" s="59" t="str">
        <f t="shared" ref="L49:M49" si="50">VLOOKUP(K49,D:J,2,false)</f>
        <v>dados_cadastrais</v>
      </c>
      <c r="M49" s="59">
        <f t="shared" si="50"/>
        <v>1</v>
      </c>
      <c r="N49" s="59" t="str">
        <f t="shared" si="3"/>
        <v/>
      </c>
      <c r="O49" s="59" t="s">
        <v>15031</v>
      </c>
      <c r="P49" s="59">
        <f t="shared" si="4"/>
        <v>3</v>
      </c>
      <c r="Q49" s="59" t="str">
        <f>IFERROR(__xludf.DUMMYFUNCTION("""COMPUTED_VALUE"""),"08381-130")</f>
        <v>08381-130</v>
      </c>
    </row>
    <row r="50">
      <c r="A50" s="19" t="s">
        <v>15153</v>
      </c>
      <c r="B50" s="58" t="s">
        <v>15110</v>
      </c>
      <c r="C50" s="59" t="s">
        <v>2000</v>
      </c>
      <c r="D50" s="19" t="s">
        <v>15154</v>
      </c>
      <c r="E50" s="23" t="s">
        <v>15030</v>
      </c>
      <c r="F50" s="59">
        <v>1.0</v>
      </c>
      <c r="G50" s="6"/>
      <c r="H50" s="6"/>
      <c r="I50" s="59">
        <v>3.0</v>
      </c>
      <c r="J50" s="26" t="str">
        <f>IFERROR(__xludf.DUMMYFUNCTION("""COMPUTED_VALUE"""),"dc_complemento")</f>
        <v>dc_complemento</v>
      </c>
      <c r="K50" s="59" t="str">
        <f t="shared" si="1"/>
        <v>Complemento</v>
      </c>
      <c r="L50" s="59" t="str">
        <f t="shared" ref="L50:M50" si="51">VLOOKUP(K50,D:J,2,false)</f>
        <v>dados_cadastrais</v>
      </c>
      <c r="M50" s="59">
        <f t="shared" si="51"/>
        <v>1</v>
      </c>
      <c r="N50" s="59" t="str">
        <f t="shared" si="3"/>
        <v/>
      </c>
      <c r="O50" s="59" t="s">
        <v>15031</v>
      </c>
      <c r="P50" s="59">
        <f t="shared" si="4"/>
        <v>3</v>
      </c>
      <c r="Q50" s="59" t="str">
        <f>IFERROR(__xludf.DUMMYFUNCTION("""COMPUTED_VALUE"""),"126")</f>
        <v>126</v>
      </c>
    </row>
    <row r="51">
      <c r="A51" s="19" t="s">
        <v>15155</v>
      </c>
      <c r="B51" s="58" t="s">
        <v>15156</v>
      </c>
      <c r="C51" s="59" t="s">
        <v>2001</v>
      </c>
      <c r="D51" s="19" t="s">
        <v>15157</v>
      </c>
      <c r="E51" s="23" t="s">
        <v>15030</v>
      </c>
      <c r="F51" s="59">
        <v>1.0</v>
      </c>
      <c r="G51" s="6"/>
      <c r="H51" s="6"/>
      <c r="I51" s="59">
        <v>3.0</v>
      </c>
      <c r="J51" s="26" t="str">
        <f>IFERROR(__xludf.DUMMYFUNCTION("""COMPUTED_VALUE"""),"dc_data_nascimento")</f>
        <v>dc_data_nascimento</v>
      </c>
      <c r="K51" s="59" t="str">
        <f t="shared" si="1"/>
        <v>Data de nascimento</v>
      </c>
      <c r="L51" s="59" t="str">
        <f t="shared" ref="L51:M51" si="52">VLOOKUP(K51,D:J,2,false)</f>
        <v>dados_cadastrais</v>
      </c>
      <c r="M51" s="59">
        <f t="shared" si="52"/>
        <v>1</v>
      </c>
      <c r="N51" s="59" t="str">
        <f t="shared" si="3"/>
        <v/>
      </c>
      <c r="O51" s="59" t="s">
        <v>15056</v>
      </c>
      <c r="P51" s="59">
        <f t="shared" si="4"/>
        <v>3</v>
      </c>
      <c r="Q51" s="74">
        <f>IFERROR(__xludf.DUMMYFUNCTION("""COMPUTED_VALUE"""),36913.0)</f>
        <v>36913</v>
      </c>
    </row>
    <row r="52">
      <c r="A52" s="19" t="s">
        <v>15158</v>
      </c>
      <c r="B52" s="58" t="s">
        <v>15159</v>
      </c>
      <c r="C52" s="59" t="s">
        <v>2002</v>
      </c>
      <c r="D52" s="19" t="s">
        <v>15160</v>
      </c>
      <c r="E52" s="23" t="s">
        <v>15030</v>
      </c>
      <c r="F52" s="59">
        <v>1.0</v>
      </c>
      <c r="G52" s="6"/>
      <c r="H52" s="6"/>
      <c r="I52" s="59">
        <v>3.0</v>
      </c>
      <c r="J52" s="26" t="str">
        <f>IFERROR(__xludf.DUMMYFUNCTION("""COMPUTED_VALUE"""),"dc_distrito")</f>
        <v>dc_distrito</v>
      </c>
      <c r="K52" s="59" t="str">
        <f t="shared" si="1"/>
        <v>Distrito</v>
      </c>
      <c r="L52" s="59" t="str">
        <f t="shared" ref="L52:M52" si="53">VLOOKUP(K52,D:J,2,false)</f>
        <v>dados_cadastrais</v>
      </c>
      <c r="M52" s="59">
        <f t="shared" si="53"/>
        <v>1</v>
      </c>
      <c r="N52" s="59" t="str">
        <f t="shared" si="3"/>
        <v/>
      </c>
      <c r="O52" s="59" t="s">
        <v>15031</v>
      </c>
      <c r="P52" s="59">
        <f t="shared" si="4"/>
        <v>3</v>
      </c>
      <c r="Q52" s="59" t="str">
        <f>IFERROR(__xludf.DUMMYFUNCTION("""COMPUTED_VALUE"""),"SÃO MATEUS")</f>
        <v>SÃO MATEUS</v>
      </c>
    </row>
    <row r="53">
      <c r="A53" s="19" t="s">
        <v>15116</v>
      </c>
      <c r="B53" s="58" t="s">
        <v>15107</v>
      </c>
      <c r="C53" s="59" t="s">
        <v>2003</v>
      </c>
      <c r="D53" s="19" t="s">
        <v>15161</v>
      </c>
      <c r="E53" s="23" t="s">
        <v>15030</v>
      </c>
      <c r="F53" s="59">
        <v>1.0</v>
      </c>
      <c r="G53" s="6"/>
      <c r="H53" s="6"/>
      <c r="I53" s="59">
        <v>3.0</v>
      </c>
      <c r="J53" s="26" t="str">
        <f>IFERROR(__xludf.DUMMYFUNCTION("""COMPUTED_VALUE"""),"dc_identidade_genero")</f>
        <v>dc_identidade_genero</v>
      </c>
      <c r="K53" s="59" t="str">
        <f t="shared" si="1"/>
        <v>Identidade de gênero</v>
      </c>
      <c r="L53" s="59" t="str">
        <f t="shared" ref="L53:M53" si="54">VLOOKUP(K53,D:J,2,false)</f>
        <v>dados_cadastrais</v>
      </c>
      <c r="M53" s="59">
        <f t="shared" si="54"/>
        <v>1</v>
      </c>
      <c r="N53" s="59" t="str">
        <f t="shared" si="3"/>
        <v/>
      </c>
      <c r="O53" s="59" t="s">
        <v>15031</v>
      </c>
      <c r="P53" s="59">
        <f t="shared" si="4"/>
        <v>3</v>
      </c>
      <c r="Q53" s="59" t="str">
        <f>IFERROR(__xludf.DUMMYFUNCTION("""COMPUTED_VALUE"""),"Mulher (Cisgênero)")</f>
        <v>Mulher (Cisgênero)</v>
      </c>
    </row>
    <row r="54">
      <c r="A54" s="19" t="s">
        <v>15083</v>
      </c>
      <c r="B54" s="58" t="s">
        <v>15162</v>
      </c>
      <c r="C54" s="59" t="s">
        <v>2004</v>
      </c>
      <c r="D54" s="19" t="s">
        <v>15163</v>
      </c>
      <c r="E54" s="23" t="s">
        <v>15030</v>
      </c>
      <c r="F54" s="59">
        <v>1.0</v>
      </c>
      <c r="G54" s="6"/>
      <c r="H54" s="6"/>
      <c r="I54" s="59">
        <v>3.0</v>
      </c>
      <c r="J54" s="26" t="str">
        <f>IFERROR(__xludf.DUMMYFUNCTION("""COMPUTED_VALUE"""),"dc_logradouro")</f>
        <v>dc_logradouro</v>
      </c>
      <c r="K54" s="59" t="str">
        <f t="shared" si="1"/>
        <v>Logradouro</v>
      </c>
      <c r="L54" s="59" t="str">
        <f t="shared" ref="L54:M54" si="55">VLOOKUP(K54,D:J,2,false)</f>
        <v>dados_cadastrais</v>
      </c>
      <c r="M54" s="59">
        <f t="shared" si="55"/>
        <v>1</v>
      </c>
      <c r="N54" s="59" t="str">
        <f t="shared" si="3"/>
        <v/>
      </c>
      <c r="O54" s="59" t="s">
        <v>15031</v>
      </c>
      <c r="P54" s="59">
        <f t="shared" si="4"/>
        <v>3</v>
      </c>
      <c r="Q54" s="59" t="str">
        <f>IFERROR(__xludf.DUMMYFUNCTION("""COMPUTED_VALUE"""),"Rua Ilha do Abrigo")</f>
        <v>Rua Ilha do Abrigo</v>
      </c>
    </row>
    <row r="55">
      <c r="A55" s="19" t="s">
        <v>15164</v>
      </c>
      <c r="B55" s="58" t="s">
        <v>15165</v>
      </c>
      <c r="C55" s="59" t="s">
        <v>2005</v>
      </c>
      <c r="D55" s="19" t="s">
        <v>15166</v>
      </c>
      <c r="E55" s="23" t="s">
        <v>15030</v>
      </c>
      <c r="F55" s="59">
        <v>1.0</v>
      </c>
      <c r="G55" s="6"/>
      <c r="H55" s="6"/>
      <c r="I55" s="59">
        <v>3.0</v>
      </c>
      <c r="J55" s="26" t="str">
        <f>IFERROR(__xludf.DUMMYFUNCTION("""COMPUTED_VALUE"""),"dc_numero")</f>
        <v>dc_numero</v>
      </c>
      <c r="K55" s="59" t="str">
        <f t="shared" si="1"/>
        <v>Número</v>
      </c>
      <c r="L55" s="59" t="str">
        <f t="shared" ref="L55:M55" si="56">VLOOKUP(K55,D:J,2,false)</f>
        <v>dados_cadastrais</v>
      </c>
      <c r="M55" s="59">
        <f t="shared" si="56"/>
        <v>1</v>
      </c>
      <c r="N55" s="59" t="str">
        <f t="shared" si="3"/>
        <v/>
      </c>
      <c r="O55" s="59" t="s">
        <v>15031</v>
      </c>
      <c r="P55" s="59">
        <f t="shared" si="4"/>
        <v>3</v>
      </c>
      <c r="Q55" s="59" t="str">
        <f>IFERROR(__xludf.DUMMYFUNCTION("""COMPUTED_VALUE"""),"126")</f>
        <v>126</v>
      </c>
    </row>
    <row r="56">
      <c r="A56" s="19" t="s">
        <v>15167</v>
      </c>
      <c r="B56" s="58" t="s">
        <v>15168</v>
      </c>
      <c r="C56" s="59" t="s">
        <v>2006</v>
      </c>
      <c r="D56" s="19" t="s">
        <v>15169</v>
      </c>
      <c r="E56" s="23" t="s">
        <v>15030</v>
      </c>
      <c r="F56" s="59">
        <v>1.0</v>
      </c>
      <c r="G56" s="6"/>
      <c r="H56" s="6"/>
      <c r="I56" s="59">
        <v>3.0</v>
      </c>
      <c r="J56" s="26" t="str">
        <f>IFERROR(__xludf.DUMMYFUNCTION("""COMPUTED_VALUE"""),"dc_rg_rne")</f>
        <v>dc_rg_rne</v>
      </c>
      <c r="K56" s="59" t="str">
        <f t="shared" si="1"/>
        <v>RG / RNE</v>
      </c>
      <c r="L56" s="59" t="str">
        <f t="shared" ref="L56:M56" si="57">VLOOKUP(K56,D:J,2,false)</f>
        <v>dados_cadastrais</v>
      </c>
      <c r="M56" s="59">
        <f t="shared" si="57"/>
        <v>1</v>
      </c>
      <c r="N56" s="59" t="str">
        <f t="shared" si="3"/>
        <v/>
      </c>
      <c r="O56" s="59" t="s">
        <v>15031</v>
      </c>
      <c r="P56" s="59">
        <f t="shared" si="4"/>
        <v>3</v>
      </c>
      <c r="Q56" s="59" t="str">
        <f>IFERROR(__xludf.DUMMYFUNCTION("""COMPUTED_VALUE"""),"56835705X")</f>
        <v>56835705X</v>
      </c>
    </row>
    <row r="57">
      <c r="A57" s="19" t="s">
        <v>15170</v>
      </c>
      <c r="B57" s="58" t="s">
        <v>15171</v>
      </c>
      <c r="C57" s="59" t="s">
        <v>2007</v>
      </c>
      <c r="D57" s="19" t="s">
        <v>15172</v>
      </c>
      <c r="E57" s="23" t="s">
        <v>15030</v>
      </c>
      <c r="F57" s="59">
        <v>1.0</v>
      </c>
      <c r="G57" s="6"/>
      <c r="H57" s="6"/>
      <c r="I57" s="59">
        <v>3.0</v>
      </c>
      <c r="J57" s="26" t="str">
        <f>IFERROR(__xludf.DUMMYFUNCTION("""COMPUTED_VALUE"""),"dc_telefone")</f>
        <v>dc_telefone</v>
      </c>
      <c r="K57" s="59" t="str">
        <f t="shared" si="1"/>
        <v>Telefone</v>
      </c>
      <c r="L57" s="59" t="str">
        <f t="shared" ref="L57:M57" si="58">VLOOKUP(K57,D:J,2,false)</f>
        <v>dados_cadastrais</v>
      </c>
      <c r="M57" s="59">
        <f t="shared" si="58"/>
        <v>1</v>
      </c>
      <c r="N57" s="59" t="str">
        <f t="shared" si="3"/>
        <v/>
      </c>
      <c r="O57" s="59" t="s">
        <v>15031</v>
      </c>
      <c r="P57" s="59">
        <f t="shared" si="4"/>
        <v>3</v>
      </c>
      <c r="Q57" s="59" t="str">
        <f>IFERROR(__xludf.DUMMYFUNCTION("""COMPUTED_VALUE"""),"(11) 98944-3014")</f>
        <v>(11) 98944-3014</v>
      </c>
    </row>
    <row r="58">
      <c r="A58" s="27" t="s">
        <v>15173</v>
      </c>
      <c r="B58" s="58" t="s">
        <v>15174</v>
      </c>
      <c r="C58" s="59" t="s">
        <v>2008</v>
      </c>
      <c r="D58" s="27" t="s">
        <v>15175</v>
      </c>
      <c r="E58" s="32" t="s">
        <v>15030</v>
      </c>
      <c r="F58" s="69">
        <v>1.0</v>
      </c>
      <c r="G58" s="70"/>
      <c r="H58" s="70"/>
      <c r="I58" s="59">
        <v>3.0</v>
      </c>
      <c r="J58" s="26" t="str">
        <f>IFERROR(__xludf.DUMMYFUNCTION("""COMPUTED_VALUE"""),"dc_upd_atualizacao_endereco_email_14082024")</f>
        <v>dc_upd_atualizacao_endereco_email_14082024</v>
      </c>
      <c r="K58" s="59" t="str">
        <f t="shared" si="1"/>
        <v>Atualização do Endereço de e-mail (14/08/2024)</v>
      </c>
      <c r="L58" s="59" t="str">
        <f t="shared" ref="L58:M58" si="59">VLOOKUP(K58,D:J,2,false)</f>
        <v>dados_cadastrais_update</v>
      </c>
      <c r="M58" s="59">
        <f t="shared" si="59"/>
        <v>1</v>
      </c>
      <c r="N58" s="59" t="str">
        <f t="shared" si="3"/>
        <v/>
      </c>
      <c r="O58" s="59" t="s">
        <v>15031</v>
      </c>
      <c r="P58" s="59">
        <f t="shared" si="4"/>
        <v>3</v>
      </c>
      <c r="Q58" s="59" t="str">
        <f>IFERROR(__xludf.DUMMYFUNCTION("""COMPUTED_VALUE"""),"VANESSAPIRES221@GMAIL.COM")</f>
        <v>VANESSAPIRES221@GMAIL.COM</v>
      </c>
    </row>
    <row r="59">
      <c r="A59" s="39" t="s">
        <v>4438</v>
      </c>
      <c r="B59" s="58" t="s">
        <v>15176</v>
      </c>
      <c r="C59" s="59" t="s">
        <v>2009</v>
      </c>
      <c r="D59" s="39" t="s">
        <v>15177</v>
      </c>
      <c r="E59" s="61" t="s">
        <v>15042</v>
      </c>
      <c r="F59" s="68">
        <v>1.0</v>
      </c>
      <c r="G59" s="62"/>
      <c r="H59" s="62"/>
      <c r="I59" s="59">
        <v>3.0</v>
      </c>
      <c r="J59" s="26" t="str">
        <f>IFERROR(__xludf.DUMMYFUNCTION("""COMPUTED_VALUE"""),"dc_upd_atualizacao_numero_celular_whatsapp_14082024")</f>
        <v>dc_upd_atualizacao_numero_celular_whatsapp_14082024</v>
      </c>
      <c r="K59" s="59" t="str">
        <f t="shared" si="1"/>
        <v>Atualização do número de celular/whatsapp (14/08/2024)</v>
      </c>
      <c r="L59" s="59" t="str">
        <f t="shared" ref="L59:M59" si="60">VLOOKUP(K59,D:J,2,false)</f>
        <v>dados_cadastrais_update</v>
      </c>
      <c r="M59" s="59">
        <f t="shared" si="60"/>
        <v>1</v>
      </c>
      <c r="N59" s="59" t="str">
        <f t="shared" si="3"/>
        <v/>
      </c>
      <c r="O59" s="59" t="s">
        <v>15031</v>
      </c>
      <c r="P59" s="59">
        <f t="shared" si="4"/>
        <v>3</v>
      </c>
      <c r="Q59" s="59">
        <f>IFERROR(__xludf.DUMMYFUNCTION("""COMPUTED_VALUE"""),1.1988443014E10)</f>
        <v>11988443014</v>
      </c>
    </row>
    <row r="60">
      <c r="A60" s="39" t="s">
        <v>3269</v>
      </c>
      <c r="B60" s="58" t="s">
        <v>15063</v>
      </c>
      <c r="C60" s="59" t="s">
        <v>2010</v>
      </c>
      <c r="D60" s="39" t="s">
        <v>15178</v>
      </c>
      <c r="E60" s="61" t="s">
        <v>15042</v>
      </c>
      <c r="F60" s="68">
        <v>1.0</v>
      </c>
      <c r="G60" s="68"/>
      <c r="H60" s="68"/>
      <c r="I60" s="59">
        <v>3.0</v>
      </c>
      <c r="J60" s="26" t="str">
        <f>IFERROR(__xludf.DUMMYFUNCTION("""COMPUTED_VALUE"""),"dc_cursando_superior_bolsa_prouni_fies")</f>
        <v>dc_cursando_superior_bolsa_prouni_fies</v>
      </c>
      <c r="K60" s="59" t="str">
        <f t="shared" si="1"/>
        <v>Está cursando o superior com bolsa do Prouni/Fies?</v>
      </c>
      <c r="L60" s="59" t="str">
        <f t="shared" ref="L60:M60" si="61">VLOOKUP(K60,D:J,2,false)</f>
        <v>dados_cadastrais</v>
      </c>
      <c r="M60" s="59">
        <f t="shared" si="61"/>
        <v>1</v>
      </c>
      <c r="N60" s="59" t="str">
        <f t="shared" si="3"/>
        <v/>
      </c>
      <c r="O60" s="59" t="s">
        <v>15031</v>
      </c>
      <c r="P60" s="59">
        <f t="shared" si="4"/>
        <v>4</v>
      </c>
      <c r="Q60" s="59" t="str">
        <f>IFERROR(__xludf.DUMMYFUNCTION("""COMPUTED_VALUE"""),"Não estou cursando superior")</f>
        <v>Não estou cursando superior</v>
      </c>
    </row>
    <row r="61">
      <c r="A61" s="19" t="s">
        <v>15179</v>
      </c>
      <c r="B61" s="58" t="s">
        <v>15052</v>
      </c>
      <c r="C61" s="59" t="s">
        <v>2011</v>
      </c>
      <c r="D61" s="19" t="s">
        <v>15180</v>
      </c>
      <c r="E61" s="23" t="s">
        <v>15030</v>
      </c>
      <c r="F61" s="59">
        <v>3.0</v>
      </c>
      <c r="G61" s="6"/>
      <c r="H61" s="6"/>
      <c r="I61" s="59">
        <v>4.0</v>
      </c>
      <c r="J61" s="26" t="str">
        <f>IFERROR(__xludf.DUMMYFUNCTION("""COMPUTED_VALUE"""),"dc_cursou_ensino_medio_publico_privado")</f>
        <v>dc_cursou_ensino_medio_publico_privado</v>
      </c>
      <c r="K61" s="59" t="str">
        <f t="shared" si="1"/>
        <v>Cursou o ensino médio no público ou privado?</v>
      </c>
      <c r="L61" s="59" t="str">
        <f t="shared" ref="L61:M61" si="62">VLOOKUP(K61,D:J,2,false)</f>
        <v>dados_cadastrais</v>
      </c>
      <c r="M61" s="59">
        <f t="shared" si="62"/>
        <v>1</v>
      </c>
      <c r="N61" s="59" t="str">
        <f t="shared" si="3"/>
        <v/>
      </c>
      <c r="O61" s="59" t="s">
        <v>15031</v>
      </c>
      <c r="P61" s="59">
        <f t="shared" si="4"/>
        <v>4</v>
      </c>
      <c r="Q61" s="59" t="str">
        <f>IFERROR(__xludf.DUMMYFUNCTION("""COMPUTED_VALUE"""),"Público")</f>
        <v>Público</v>
      </c>
    </row>
    <row r="62">
      <c r="A62" s="19" t="s">
        <v>15181</v>
      </c>
      <c r="B62" s="58" t="s">
        <v>15057</v>
      </c>
      <c r="C62" s="59" t="s">
        <v>2012</v>
      </c>
      <c r="D62" s="19" t="s">
        <v>15182</v>
      </c>
      <c r="E62" s="23" t="s">
        <v>15030</v>
      </c>
      <c r="F62" s="59">
        <v>3.0</v>
      </c>
      <c r="G62" s="6"/>
      <c r="H62" s="6"/>
      <c r="I62" s="59">
        <v>4.0</v>
      </c>
      <c r="J62" s="26" t="str">
        <f>IFERROR(__xludf.DUMMYFUNCTION("""COMPUTED_VALUE"""),"dc_emia")</f>
        <v>dc_emia</v>
      </c>
      <c r="K62" s="59" t="str">
        <f t="shared" si="1"/>
        <v>EMIA</v>
      </c>
      <c r="L62" s="59" t="str">
        <f t="shared" ref="L62:M62" si="63">VLOOKUP(K62,D:J,2,false)</f>
        <v>dados_cadastrais</v>
      </c>
      <c r="M62" s="59">
        <f t="shared" si="63"/>
        <v>1</v>
      </c>
      <c r="N62" s="59" t="str">
        <f t="shared" si="3"/>
        <v/>
      </c>
      <c r="O62" s="59" t="s">
        <v>15024</v>
      </c>
      <c r="P62" s="59">
        <f t="shared" si="4"/>
        <v>4</v>
      </c>
      <c r="Q62" s="59"/>
    </row>
    <row r="63">
      <c r="A63" s="19" t="s">
        <v>15183</v>
      </c>
      <c r="B63" s="58" t="s">
        <v>15060</v>
      </c>
      <c r="C63" s="59" t="s">
        <v>2013</v>
      </c>
      <c r="D63" s="19" t="s">
        <v>15184</v>
      </c>
      <c r="E63" s="23" t="s">
        <v>15030</v>
      </c>
      <c r="F63" s="59">
        <v>3.0</v>
      </c>
      <c r="G63" s="6"/>
      <c r="H63" s="6"/>
      <c r="I63" s="59">
        <v>4.0</v>
      </c>
      <c r="J63" s="26" t="str">
        <f>IFERROR(__xludf.DUMMYFUNCTION("""COMPUTED_VALUE"""),"dc_ensino_medio_publico_privado_afirmativo")</f>
        <v>dc_ensino_medio_publico_privado_afirmativo</v>
      </c>
      <c r="K63" s="59" t="str">
        <f t="shared" si="1"/>
        <v>Em caso afirmativo  ensino público ou privado?</v>
      </c>
      <c r="L63" s="59" t="str">
        <f t="shared" ref="L63:M63" si="64">VLOOKUP(K63,D:J,2,false)</f>
        <v>dados_cadastrais</v>
      </c>
      <c r="M63" s="59">
        <f t="shared" si="64"/>
        <v>1</v>
      </c>
      <c r="N63" s="59" t="str">
        <f t="shared" si="3"/>
        <v/>
      </c>
      <c r="O63" s="59" t="s">
        <v>15031</v>
      </c>
      <c r="P63" s="59">
        <f t="shared" si="4"/>
        <v>4</v>
      </c>
      <c r="Q63" s="59" t="str">
        <f>IFERROR(__xludf.DUMMYFUNCTION("""COMPUTED_VALUE"""),"Privado pagante")</f>
        <v>Privado pagante</v>
      </c>
    </row>
    <row r="64">
      <c r="A64" s="19" t="s">
        <v>15185</v>
      </c>
      <c r="B64" s="58" t="s">
        <v>15029</v>
      </c>
      <c r="C64" s="59" t="s">
        <v>2014</v>
      </c>
      <c r="D64" s="19" t="s">
        <v>15186</v>
      </c>
      <c r="E64" s="23" t="s">
        <v>15030</v>
      </c>
      <c r="F64" s="59">
        <v>3.0</v>
      </c>
      <c r="G64" s="6"/>
      <c r="H64" s="6"/>
      <c r="I64" s="59">
        <v>4.0</v>
      </c>
      <c r="J64" s="26" t="str">
        <f>IFERROR(__xludf.DUMMYFUNCTION("""COMPUTED_VALUE"""),"dc_esta_estudando")</f>
        <v>dc_esta_estudando</v>
      </c>
      <c r="K64" s="59" t="str">
        <f t="shared" si="1"/>
        <v>Você está estudando?</v>
      </c>
      <c r="L64" s="59" t="str">
        <f t="shared" ref="L64:M64" si="65">VLOOKUP(K64,D:J,2,false)</f>
        <v>dados_cadastrais</v>
      </c>
      <c r="M64" s="59">
        <f t="shared" si="65"/>
        <v>1</v>
      </c>
      <c r="N64" s="59" t="str">
        <f t="shared" si="3"/>
        <v/>
      </c>
      <c r="O64" s="59" t="s">
        <v>15024</v>
      </c>
      <c r="P64" s="59">
        <f t="shared" si="4"/>
        <v>4</v>
      </c>
      <c r="Q64" s="59" t="str">
        <f>IFERROR(__xludf.DUMMYFUNCTION("""COMPUTED_VALUE"""),"Sim")</f>
        <v>Sim</v>
      </c>
    </row>
    <row r="65">
      <c r="A65" s="19" t="s">
        <v>15187</v>
      </c>
      <c r="B65" s="58" t="s">
        <v>15032</v>
      </c>
      <c r="C65" s="59" t="s">
        <v>2015</v>
      </c>
      <c r="D65" s="19" t="s">
        <v>15188</v>
      </c>
      <c r="E65" s="23" t="s">
        <v>15030</v>
      </c>
      <c r="F65" s="59">
        <v>3.0</v>
      </c>
      <c r="G65" s="6"/>
      <c r="H65" s="6"/>
      <c r="I65" s="59">
        <v>4.0</v>
      </c>
      <c r="J65" s="26" t="str">
        <f>IFERROR(__xludf.DUMMYFUNCTION("""COMPUTED_VALUE"""),"dc_fabricas_cultura")</f>
        <v>dc_fabricas_cultura</v>
      </c>
      <c r="K65" s="59" t="str">
        <f t="shared" si="1"/>
        <v>Fábricas de Cultura</v>
      </c>
      <c r="L65" s="59" t="str">
        <f t="shared" ref="L65:M65" si="66">VLOOKUP(K65,D:J,2,false)</f>
        <v>dados_cadastrais</v>
      </c>
      <c r="M65" s="59">
        <f t="shared" si="66"/>
        <v>1</v>
      </c>
      <c r="N65" s="59" t="str">
        <f t="shared" si="3"/>
        <v/>
      </c>
      <c r="O65" s="59" t="s">
        <v>15024</v>
      </c>
      <c r="P65" s="59">
        <f t="shared" si="4"/>
        <v>4</v>
      </c>
      <c r="Q65" s="59"/>
    </row>
    <row r="66">
      <c r="A66" s="19" t="s">
        <v>15189</v>
      </c>
      <c r="B66" s="58" t="s">
        <v>15037</v>
      </c>
      <c r="C66" s="59" t="s">
        <v>2016</v>
      </c>
      <c r="D66" s="19" t="s">
        <v>15190</v>
      </c>
      <c r="E66" s="23" t="s">
        <v>15030</v>
      </c>
      <c r="F66" s="59">
        <v>3.0</v>
      </c>
      <c r="G66" s="6"/>
      <c r="H66" s="6"/>
      <c r="I66" s="59">
        <v>4.0</v>
      </c>
      <c r="J66" s="26" t="str">
        <f>IFERROR(__xludf.DUMMYFUNCTION("""COMPUTED_VALUE"""),"dc_faixa_renda_familiar_pessoa")</f>
        <v>dc_faixa_renda_familiar_pessoa</v>
      </c>
      <c r="K66" s="59" t="str">
        <f t="shared" si="1"/>
        <v>Escolha a opção da faixa de renda familiar por pessoa</v>
      </c>
      <c r="L66" s="59" t="str">
        <f t="shared" ref="L66:M66" si="67">VLOOKUP(K66,D:J,2,false)</f>
        <v>dados_cadastrais</v>
      </c>
      <c r="M66" s="59">
        <f t="shared" si="67"/>
        <v>1</v>
      </c>
      <c r="N66" s="59" t="str">
        <f t="shared" si="3"/>
        <v/>
      </c>
      <c r="O66" s="59" t="s">
        <v>15031</v>
      </c>
      <c r="P66" s="59">
        <f t="shared" si="4"/>
        <v>4</v>
      </c>
      <c r="Q66" s="59" t="str">
        <f>IFERROR(__xludf.DUMMYFUNCTION("""COMPUTED_VALUE"""),"Até R$ 706,00 por pessoa (baixa renda, conforme Lei nº 13.841, de 7 de junho de 2004 - n° do CadÚnico obrigatório nessa opção)")</f>
        <v>Até R$ 706,00 por pessoa (baixa renda, conforme Lei nº 13.841, de 7 de junho de 2004 - n° do CadÚnico obrigatório nessa opção)</v>
      </c>
    </row>
    <row r="67">
      <c r="A67" s="19" t="s">
        <v>15191</v>
      </c>
      <c r="B67" s="58" t="s">
        <v>15192</v>
      </c>
      <c r="C67" s="59" t="s">
        <v>2017</v>
      </c>
      <c r="D67" s="19" t="s">
        <v>15193</v>
      </c>
      <c r="E67" s="23" t="s">
        <v>15030</v>
      </c>
      <c r="F67" s="59">
        <v>2.0</v>
      </c>
      <c r="G67" s="6"/>
      <c r="H67" s="6"/>
      <c r="I67" s="59">
        <v>4.0</v>
      </c>
      <c r="J67" s="26" t="str">
        <f>IFERROR(__xludf.DUMMYFUNCTION("""COMPUTED_VALUE"""),"dc_formacao_superior_tecnico_sim_nao")</f>
        <v>dc_formacao_superior_tecnico_sim_nao</v>
      </c>
      <c r="K67" s="59" t="str">
        <f t="shared" si="1"/>
        <v>FORMAÇAO ENSINO SUPERIOR OU TECNICO (SIM OU NAO)</v>
      </c>
      <c r="L67" s="59" t="str">
        <f t="shared" ref="L67:M67" si="68">VLOOKUP(K67,D:J,2,false)</f>
        <v>dados_cadastrais</v>
      </c>
      <c r="M67" s="59">
        <f t="shared" si="68"/>
        <v>1</v>
      </c>
      <c r="N67" s="59" t="str">
        <f t="shared" si="3"/>
        <v/>
      </c>
      <c r="O67" s="59" t="s">
        <v>15024</v>
      </c>
      <c r="P67" s="59">
        <f t="shared" si="4"/>
        <v>4</v>
      </c>
      <c r="Q67" s="59" t="str">
        <f>IFERROR(__xludf.DUMMYFUNCTION("""COMPUTED_VALUE"""),"CURSANDO")</f>
        <v>CURSANDO</v>
      </c>
    </row>
    <row r="68">
      <c r="A68" s="19" t="s">
        <v>15122</v>
      </c>
      <c r="B68" s="58" t="s">
        <v>15170</v>
      </c>
      <c r="C68" s="59" t="s">
        <v>2018</v>
      </c>
      <c r="D68" s="19" t="s">
        <v>15194</v>
      </c>
      <c r="E68" s="23" t="s">
        <v>15030</v>
      </c>
      <c r="F68" s="59">
        <v>2.0</v>
      </c>
      <c r="G68" s="6"/>
      <c r="H68" s="6"/>
      <c r="I68" s="59">
        <v>4.0</v>
      </c>
      <c r="J68" s="26" t="str">
        <f>IFERROR(__xludf.DUMMYFUNCTION("""COMPUTED_VALUE"""),"dc_identificacao_territorio_residencia_idrgp_c3")</f>
        <v>dc_identificacao_territorio_residencia_idrgp_c3</v>
      </c>
      <c r="K68" s="59" t="str">
        <f t="shared" si="1"/>
        <v>Identificação do território de residência (IDRGP; C3</v>
      </c>
      <c r="L68" s="59" t="str">
        <f t="shared" ref="L68:M68" si="69">VLOOKUP(K68,D:J,2,false)</f>
        <v>dados_cadastrais</v>
      </c>
      <c r="M68" s="59">
        <f t="shared" si="69"/>
        <v>1</v>
      </c>
      <c r="N68" s="59" t="str">
        <f t="shared" si="3"/>
        <v/>
      </c>
      <c r="O68" s="59" t="s">
        <v>15031</v>
      </c>
      <c r="P68" s="59">
        <f t="shared" si="4"/>
        <v>4</v>
      </c>
      <c r="Q68" s="59" t="str">
        <f>IFERROR(__xludf.DUMMYFUNCTION("""COMPUTED_VALUE"""),"5")</f>
        <v>5</v>
      </c>
    </row>
    <row r="69">
      <c r="A69" s="19" t="s">
        <v>15195</v>
      </c>
      <c r="B69" s="58" t="s">
        <v>15158</v>
      </c>
      <c r="C69" s="59" t="s">
        <v>2019</v>
      </c>
      <c r="D69" s="19" t="s">
        <v>15196</v>
      </c>
      <c r="E69" s="23" t="s">
        <v>15030</v>
      </c>
      <c r="F69" s="59">
        <v>2.0</v>
      </c>
      <c r="G69" s="6"/>
      <c r="H69" s="6"/>
      <c r="I69" s="59">
        <v>4.0</v>
      </c>
      <c r="J69" s="26" t="str">
        <f>IFERROR(__xludf.DUMMYFUNCTION("""COMPUTED_VALUE"""),"dc_inserir_link_perfil_redes_sociais")</f>
        <v>dc_inserir_link_perfil_redes_sociais</v>
      </c>
      <c r="K69" s="59" t="str">
        <f t="shared" si="1"/>
        <v>Inserir link que direciona para seu perfil nas redes sociais</v>
      </c>
      <c r="L69" s="59" t="str">
        <f t="shared" ref="L69:M69" si="70">VLOOKUP(K69,D:J,2,false)</f>
        <v>dados_cadastrais</v>
      </c>
      <c r="M69" s="59">
        <f t="shared" si="70"/>
        <v>1</v>
      </c>
      <c r="N69" s="59" t="str">
        <f t="shared" si="3"/>
        <v/>
      </c>
      <c r="O69" s="59" t="str">
        <f>VLOOKUP($J69,$C:$I,6,false)</f>
        <v>link</v>
      </c>
      <c r="P69" s="59">
        <f t="shared" si="4"/>
        <v>4</v>
      </c>
      <c r="Q69" s="59"/>
    </row>
    <row r="70">
      <c r="A70" s="19" t="s">
        <v>15197</v>
      </c>
      <c r="B70" s="58" t="s">
        <v>15198</v>
      </c>
      <c r="C70" s="59" t="s">
        <v>2020</v>
      </c>
      <c r="D70" s="19" t="s">
        <v>15199</v>
      </c>
      <c r="E70" s="23" t="s">
        <v>15030</v>
      </c>
      <c r="F70" s="59">
        <v>2.0</v>
      </c>
      <c r="G70" s="6"/>
      <c r="H70" s="59" t="s">
        <v>15051</v>
      </c>
      <c r="I70" s="59">
        <v>4.0</v>
      </c>
      <c r="J70" s="26" t="str">
        <f>IFERROR(__xludf.DUMMYFUNCTION("""COMPUTED_VALUE"""),"dc_macrorregiao")</f>
        <v>dc_macrorregiao</v>
      </c>
      <c r="K70" s="59" t="str">
        <f t="shared" si="1"/>
        <v>Macrorregião</v>
      </c>
      <c r="L70" s="59" t="str">
        <f t="shared" ref="L70:M70" si="71">VLOOKUP(K70,D:J,2,false)</f>
        <v>dados_cadastrais</v>
      </c>
      <c r="M70" s="59">
        <f t="shared" si="71"/>
        <v>1</v>
      </c>
      <c r="N70" s="59" t="str">
        <f t="shared" si="3"/>
        <v/>
      </c>
      <c r="O70" s="59" t="s">
        <v>15031</v>
      </c>
      <c r="P70" s="59">
        <f t="shared" si="4"/>
        <v>4</v>
      </c>
      <c r="Q70" s="59" t="str">
        <f>IFERROR(__xludf.DUMMYFUNCTION("""COMPUTED_VALUE"""),"LESTE")</f>
        <v>LESTE</v>
      </c>
    </row>
    <row r="71">
      <c r="A71" s="19" t="s">
        <v>15162</v>
      </c>
      <c r="B71" s="58" t="s">
        <v>15200</v>
      </c>
      <c r="C71" s="59" t="s">
        <v>2021</v>
      </c>
      <c r="D71" s="19" t="s">
        <v>15201</v>
      </c>
      <c r="E71" s="23" t="s">
        <v>15030</v>
      </c>
      <c r="F71" s="59">
        <v>2.0</v>
      </c>
      <c r="G71" s="6"/>
      <c r="H71" s="6"/>
      <c r="I71" s="59">
        <v>4.0</v>
      </c>
      <c r="J71" s="26" t="str">
        <f>IFERROR(__xludf.DUMMYFUNCTION("""COMPUTED_VALUE"""),"dc_macrorregiao2")</f>
        <v>dc_macrorregiao2</v>
      </c>
      <c r="K71" s="59" t="str">
        <f t="shared" si="1"/>
        <v>Macrorregião</v>
      </c>
      <c r="L71" s="59" t="str">
        <f t="shared" ref="L71:M71" si="72">VLOOKUP(K71,D:J,2,false)</f>
        <v>dados_cadastrais</v>
      </c>
      <c r="M71" s="59">
        <f t="shared" si="72"/>
        <v>1</v>
      </c>
      <c r="N71" s="59" t="str">
        <f t="shared" si="3"/>
        <v/>
      </c>
      <c r="O71" s="59" t="s">
        <v>15031</v>
      </c>
      <c r="P71" s="59">
        <f t="shared" si="4"/>
        <v>4</v>
      </c>
      <c r="Q71" s="59" t="str">
        <f>IFERROR(__xludf.DUMMYFUNCTION("""COMPUTED_VALUE"""),"LESTE")</f>
        <v>LESTE</v>
      </c>
    </row>
    <row r="72">
      <c r="A72" s="19" t="s">
        <v>15202</v>
      </c>
      <c r="B72" s="58" t="s">
        <v>15045</v>
      </c>
      <c r="C72" s="59" t="s">
        <v>2022</v>
      </c>
      <c r="D72" s="19" t="s">
        <v>15201</v>
      </c>
      <c r="E72" s="23" t="s">
        <v>15030</v>
      </c>
      <c r="F72" s="59">
        <v>2.0</v>
      </c>
      <c r="G72" s="6"/>
      <c r="H72" s="6"/>
      <c r="I72" s="59">
        <v>4.0</v>
      </c>
      <c r="J72" s="26" t="str">
        <f>IFERROR(__xludf.DUMMYFUNCTION("""COMPUTED_VALUE"""),"dc_maior_nivel_escolaridade_concluido")</f>
        <v>dc_maior_nivel_escolaridade_concluido</v>
      </c>
      <c r="K72" s="59" t="str">
        <f t="shared" si="1"/>
        <v>Qual o maior nível de escolaridade já concluído?</v>
      </c>
      <c r="L72" s="59" t="str">
        <f t="shared" ref="L72:M72" si="73">VLOOKUP(K72,D:J,2,false)</f>
        <v>dados_cadastrais</v>
      </c>
      <c r="M72" s="59">
        <f t="shared" si="73"/>
        <v>1</v>
      </c>
      <c r="N72" s="59" t="str">
        <f t="shared" si="3"/>
        <v/>
      </c>
      <c r="O72" s="59" t="s">
        <v>15031</v>
      </c>
      <c r="P72" s="59">
        <f t="shared" si="4"/>
        <v>4</v>
      </c>
      <c r="Q72" s="59" t="str">
        <f>IFERROR(__xludf.DUMMYFUNCTION("""COMPUTED_VALUE"""),"Médio")</f>
        <v>Médio</v>
      </c>
    </row>
    <row r="73">
      <c r="A73" s="19" t="s">
        <v>15203</v>
      </c>
      <c r="B73" s="58" t="s">
        <v>15173</v>
      </c>
      <c r="C73" s="59" t="s">
        <v>2023</v>
      </c>
      <c r="D73" s="19" t="s">
        <v>15204</v>
      </c>
      <c r="E73" s="23" t="s">
        <v>15030</v>
      </c>
      <c r="F73" s="59">
        <v>3.0</v>
      </c>
      <c r="G73" s="6"/>
      <c r="H73" s="6"/>
      <c r="I73" s="59">
        <v>4.0</v>
      </c>
      <c r="J73" s="26" t="str">
        <f>IFERROR(__xludf.DUMMYFUNCTION("""COMPUTED_VALUE"""),"dc_microrregiao")</f>
        <v>dc_microrregiao</v>
      </c>
      <c r="K73" s="59" t="str">
        <f t="shared" si="1"/>
        <v>Microrregião</v>
      </c>
      <c r="L73" s="59" t="str">
        <f t="shared" ref="L73:M73" si="74">VLOOKUP(K73,D:J,2,false)</f>
        <v>dados_cadastrais</v>
      </c>
      <c r="M73" s="59">
        <f t="shared" si="74"/>
        <v>1</v>
      </c>
      <c r="N73" s="59" t="str">
        <f t="shared" si="3"/>
        <v/>
      </c>
      <c r="O73" s="59" t="s">
        <v>15031</v>
      </c>
      <c r="P73" s="59">
        <f t="shared" si="4"/>
        <v>4</v>
      </c>
      <c r="Q73" s="59" t="str">
        <f>IFERROR(__xludf.DUMMYFUNCTION("""COMPUTED_VALUE"""),"ARICANDUVA-SÃO MATEUS-SAPOPEMBA-VILA PRUDENTE")</f>
        <v>ARICANDUVA-SÃO MATEUS-SAPOPEMBA-VILA PRUDENTE</v>
      </c>
    </row>
    <row r="74">
      <c r="A74" s="19" t="s">
        <v>15205</v>
      </c>
      <c r="B74" s="58" t="s">
        <v>15191</v>
      </c>
      <c r="C74" s="59" t="s">
        <v>2024</v>
      </c>
      <c r="D74" s="19" t="s">
        <v>3</v>
      </c>
      <c r="E74" s="23" t="s">
        <v>15030</v>
      </c>
      <c r="F74" s="59">
        <v>2.0</v>
      </c>
      <c r="G74" s="6"/>
      <c r="H74" s="6"/>
      <c r="I74" s="59">
        <v>4.0</v>
      </c>
      <c r="J74" s="26" t="str">
        <f>IFERROR(__xludf.DUMMYFUNCTION("""COMPUTED_VALUE"""),"dc_nome_curso")</f>
        <v>dc_nome_curso</v>
      </c>
      <c r="K74" s="59" t="str">
        <f t="shared" si="1"/>
        <v>NOME DO CURSO</v>
      </c>
      <c r="L74" s="59" t="str">
        <f t="shared" ref="L74:M74" si="75">VLOOKUP(K74,D:J,2,false)</f>
        <v>dados_cadastrais</v>
      </c>
      <c r="M74" s="59">
        <f t="shared" si="75"/>
        <v>1</v>
      </c>
      <c r="N74" s="59" t="str">
        <f t="shared" si="3"/>
        <v/>
      </c>
      <c r="O74" s="59" t="s">
        <v>15031</v>
      </c>
      <c r="P74" s="59">
        <f t="shared" si="4"/>
        <v>4</v>
      </c>
      <c r="Q74" s="59" t="str">
        <f>IFERROR(__xludf.DUMMYFUNCTION("""COMPUTED_VALUE"""),"GESTÃO PUBLICA")</f>
        <v>GESTÃO PUBLICA</v>
      </c>
    </row>
    <row r="75">
      <c r="A75" s="19" t="s">
        <v>15126</v>
      </c>
      <c r="B75" s="58" t="s">
        <v>15206</v>
      </c>
      <c r="C75" s="59" t="s">
        <v>2025</v>
      </c>
      <c r="D75" s="19" t="s">
        <v>15207</v>
      </c>
      <c r="E75" s="23" t="s">
        <v>15030</v>
      </c>
      <c r="F75" s="59">
        <v>2.0</v>
      </c>
      <c r="G75" s="6"/>
      <c r="H75" s="6"/>
      <c r="I75" s="59">
        <v>4.0</v>
      </c>
      <c r="J75" s="26" t="str">
        <f>IFERROR(__xludf.DUMMYFUNCTION("""COMPUTED_VALUE"""),"dc_numero_cad_unico")</f>
        <v>dc_numero_cad_unico</v>
      </c>
      <c r="K75" s="59" t="str">
        <f t="shared" si="1"/>
        <v>Número do Cadastro Único (CADUnico</v>
      </c>
      <c r="L75" s="59" t="str">
        <f t="shared" ref="L75:M75" si="76">VLOOKUP(K75,D:J,2,false)</f>
        <v>dados_cadastrais</v>
      </c>
      <c r="M75" s="59">
        <f t="shared" si="76"/>
        <v>1</v>
      </c>
      <c r="N75" s="59" t="str">
        <f t="shared" si="3"/>
        <v/>
      </c>
      <c r="O75" s="59" t="s">
        <v>15031</v>
      </c>
      <c r="P75" s="59">
        <f t="shared" si="4"/>
        <v>4</v>
      </c>
      <c r="Q75" s="59" t="str">
        <f>IFERROR(__xludf.DUMMYFUNCTION("""COMPUTED_VALUE"""),"066677136-76")</f>
        <v>066677136-76</v>
      </c>
    </row>
    <row r="76">
      <c r="A76" s="19" t="s">
        <v>15206</v>
      </c>
      <c r="B76" s="58" t="s">
        <v>15208</v>
      </c>
      <c r="C76" s="59" t="s">
        <v>2026</v>
      </c>
      <c r="D76" s="19" t="s">
        <v>15209</v>
      </c>
      <c r="E76" s="23" t="s">
        <v>15030</v>
      </c>
      <c r="F76" s="59">
        <v>2.0</v>
      </c>
      <c r="G76" s="6"/>
      <c r="H76" s="6"/>
      <c r="I76" s="59">
        <v>4.0</v>
      </c>
      <c r="J76" s="26" t="str">
        <f>IFERROR(__xludf.DUMMYFUNCTION("""COMPUTED_VALUE"""),"dc_nunca_participou")</f>
        <v>dc_nunca_participou</v>
      </c>
      <c r="K76" s="59" t="str">
        <f t="shared" si="1"/>
        <v>Não, nunca participei</v>
      </c>
      <c r="L76" s="59" t="str">
        <f t="shared" ref="L76:M76" si="77">VLOOKUP(K76,D:J,2,false)</f>
        <v>dados_cadastrais</v>
      </c>
      <c r="M76" s="59">
        <f t="shared" si="77"/>
        <v>1</v>
      </c>
      <c r="N76" s="59" t="str">
        <f t="shared" si="3"/>
        <v/>
      </c>
      <c r="O76" s="59" t="s">
        <v>15024</v>
      </c>
      <c r="P76" s="59">
        <f t="shared" si="4"/>
        <v>4</v>
      </c>
      <c r="Q76" s="59"/>
    </row>
    <row r="77">
      <c r="A77" s="19" t="s">
        <v>15210</v>
      </c>
      <c r="B77" s="58" t="s">
        <v>15211</v>
      </c>
      <c r="C77" s="59" t="s">
        <v>2027</v>
      </c>
      <c r="D77" s="19" t="s">
        <v>15212</v>
      </c>
      <c r="E77" s="23" t="s">
        <v>15030</v>
      </c>
      <c r="F77" s="59">
        <v>2.0</v>
      </c>
      <c r="G77" s="6"/>
      <c r="H77" s="6"/>
      <c r="I77" s="59">
        <v>4.0</v>
      </c>
      <c r="J77" s="26" t="str">
        <f>IFERROR(__xludf.DUMMYFUNCTION("""COMPUTED_VALUE"""),"dc_oficinas_bibliotecas")</f>
        <v>dc_oficinas_bibliotecas</v>
      </c>
      <c r="K77" s="59" t="str">
        <f t="shared" si="1"/>
        <v>Oficinas das bibliotecas</v>
      </c>
      <c r="L77" s="59" t="str">
        <f t="shared" ref="L77:M77" si="78">VLOOKUP(K77,D:J,2,false)</f>
        <v>dados_cadastrais</v>
      </c>
      <c r="M77" s="59">
        <f t="shared" si="78"/>
        <v>1</v>
      </c>
      <c r="N77" s="59" t="str">
        <f t="shared" si="3"/>
        <v/>
      </c>
      <c r="O77" s="59" t="s">
        <v>15024</v>
      </c>
      <c r="P77" s="59">
        <f t="shared" si="4"/>
        <v>4</v>
      </c>
      <c r="Q77" s="59"/>
    </row>
    <row r="78">
      <c r="A78" s="19" t="s">
        <v>15213</v>
      </c>
      <c r="B78" s="58" t="s">
        <v>15214</v>
      </c>
      <c r="C78" s="59" t="s">
        <v>2028</v>
      </c>
      <c r="D78" s="19" t="s">
        <v>15215</v>
      </c>
      <c r="E78" s="23" t="s">
        <v>15030</v>
      </c>
      <c r="F78" s="59">
        <v>3.0</v>
      </c>
      <c r="G78" s="6"/>
      <c r="H78" s="6"/>
      <c r="I78" s="59">
        <v>4.0</v>
      </c>
      <c r="J78" s="26" t="str">
        <f>IFERROR(__xludf.DUMMYFUNCTION("""COMPUTED_VALUE"""),"dc_oficinas_casas_cultura")</f>
        <v>dc_oficinas_casas_cultura</v>
      </c>
      <c r="K78" s="59" t="str">
        <f t="shared" si="1"/>
        <v>Oficinas das casas de cultura</v>
      </c>
      <c r="L78" s="59" t="str">
        <f t="shared" ref="L78:M78" si="79">VLOOKUP(K78,D:J,2,false)</f>
        <v>dados_cadastrais</v>
      </c>
      <c r="M78" s="59">
        <f t="shared" si="79"/>
        <v>1</v>
      </c>
      <c r="N78" s="59" t="str">
        <f t="shared" si="3"/>
        <v/>
      </c>
      <c r="O78" s="59" t="s">
        <v>15024</v>
      </c>
      <c r="P78" s="59">
        <f t="shared" si="4"/>
        <v>4</v>
      </c>
      <c r="Q78" s="59" t="str">
        <f>IFERROR(__xludf.DUMMYFUNCTION("""COMPUTED_VALUE"""),"on")</f>
        <v>on</v>
      </c>
    </row>
    <row r="79">
      <c r="A79" s="19" t="s">
        <v>15216</v>
      </c>
      <c r="B79" s="58" t="s">
        <v>15217</v>
      </c>
      <c r="C79" s="59" t="s">
        <v>2029</v>
      </c>
      <c r="D79" s="19" t="s">
        <v>15218</v>
      </c>
      <c r="E79" s="23" t="s">
        <v>15030</v>
      </c>
      <c r="F79" s="59">
        <v>3.0</v>
      </c>
      <c r="G79" s="6"/>
      <c r="H79" s="6"/>
      <c r="I79" s="59">
        <v>4.0</v>
      </c>
      <c r="J79" s="26" t="str">
        <f>IFERROR(__xludf.DUMMYFUNCTION("""COMPUTED_VALUE"""),"dc_oficinas_centros_culturais")</f>
        <v>dc_oficinas_centros_culturais</v>
      </c>
      <c r="K79" s="59" t="str">
        <f t="shared" si="1"/>
        <v>Oficinas dos centros culturais</v>
      </c>
      <c r="L79" s="59" t="str">
        <f t="shared" ref="L79:M79" si="80">VLOOKUP(K79,D:J,2,false)</f>
        <v>dados_cadastrais</v>
      </c>
      <c r="M79" s="59">
        <f t="shared" si="80"/>
        <v>1</v>
      </c>
      <c r="N79" s="59" t="str">
        <f t="shared" si="3"/>
        <v/>
      </c>
      <c r="O79" s="59" t="s">
        <v>15024</v>
      </c>
      <c r="P79" s="59">
        <f t="shared" si="4"/>
        <v>4</v>
      </c>
      <c r="Q79" s="59"/>
    </row>
    <row r="80">
      <c r="A80" s="19" t="s">
        <v>15219</v>
      </c>
      <c r="B80" s="58" t="s">
        <v>15085</v>
      </c>
      <c r="C80" s="59" t="s">
        <v>2030</v>
      </c>
      <c r="D80" s="19" t="s">
        <v>15220</v>
      </c>
      <c r="E80" s="23" t="s">
        <v>15030</v>
      </c>
      <c r="F80" s="59">
        <v>3.0</v>
      </c>
      <c r="G80" s="6"/>
      <c r="H80" s="6"/>
      <c r="I80" s="59">
        <v>4.0</v>
      </c>
      <c r="J80" s="26" t="str">
        <f>IFERROR(__xludf.DUMMYFUNCTION("""COMPUTED_VALUE"""),"dc_oficinas_ceus")</f>
        <v>dc_oficinas_ceus</v>
      </c>
      <c r="K80" s="59" t="str">
        <f t="shared" si="1"/>
        <v>Oficinas nos CEUs</v>
      </c>
      <c r="L80" s="59" t="str">
        <f t="shared" ref="L80:M80" si="81">VLOOKUP(K80,D:J,2,false)</f>
        <v>dados_cadastrais</v>
      </c>
      <c r="M80" s="59">
        <f t="shared" si="81"/>
        <v>1</v>
      </c>
      <c r="N80" s="59" t="str">
        <f t="shared" si="3"/>
        <v/>
      </c>
      <c r="O80" s="59" t="s">
        <v>15024</v>
      </c>
      <c r="P80" s="59">
        <f t="shared" si="4"/>
        <v>4</v>
      </c>
      <c r="Q80" s="59"/>
    </row>
    <row r="81">
      <c r="A81" s="19" t="s">
        <v>15221</v>
      </c>
      <c r="B81" s="58" t="s">
        <v>15222</v>
      </c>
      <c r="C81" s="59" t="s">
        <v>2031</v>
      </c>
      <c r="D81" s="19" t="s">
        <v>15223</v>
      </c>
      <c r="E81" s="23" t="s">
        <v>15030</v>
      </c>
      <c r="F81" s="59">
        <v>3.0</v>
      </c>
      <c r="G81" s="6"/>
      <c r="H81" s="6"/>
      <c r="I81" s="59">
        <v>4.0</v>
      </c>
      <c r="J81" s="26" t="str">
        <f>IFERROR(__xludf.DUMMYFUNCTION("""COMPUTED_VALUE"""),"dc_oficinas_formacao_cultural")</f>
        <v>dc_oficinas_formacao_cultural</v>
      </c>
      <c r="K81" s="59" t="str">
        <f t="shared" si="1"/>
        <v>Oficinas e formação cultural</v>
      </c>
      <c r="L81" s="59" t="str">
        <f t="shared" ref="L81:M81" si="82">VLOOKUP(K81,D:J,2,false)</f>
        <v>dados_cadastrais</v>
      </c>
      <c r="M81" s="59">
        <f t="shared" si="82"/>
        <v>1</v>
      </c>
      <c r="N81" s="59" t="str">
        <f t="shared" si="3"/>
        <v/>
      </c>
      <c r="O81" s="59" t="s">
        <v>15024</v>
      </c>
      <c r="P81" s="59">
        <f t="shared" si="4"/>
        <v>4</v>
      </c>
      <c r="Q81" s="59"/>
    </row>
    <row r="82">
      <c r="A82" s="19" t="s">
        <v>15224</v>
      </c>
      <c r="B82" s="58" t="s">
        <v>15225</v>
      </c>
      <c r="C82" s="59" t="s">
        <v>2032</v>
      </c>
      <c r="D82" s="19" t="s">
        <v>15226</v>
      </c>
      <c r="E82" s="23" t="s">
        <v>15030</v>
      </c>
      <c r="F82" s="59">
        <v>3.0</v>
      </c>
      <c r="G82" s="6"/>
      <c r="H82" s="6"/>
      <c r="I82" s="59">
        <v>4.0</v>
      </c>
      <c r="J82" s="26" t="str">
        <f>IFERROR(__xludf.DUMMYFUNCTION("""COMPUTED_VALUE"""),"dc_outros")</f>
        <v>dc_outros</v>
      </c>
      <c r="K82" s="59" t="str">
        <f t="shared" si="1"/>
        <v>Outros</v>
      </c>
      <c r="L82" s="59" t="str">
        <f t="shared" ref="L82:M82" si="83">VLOOKUP(K82,D:J,2,false)</f>
        <v>dados_cadastrais</v>
      </c>
      <c r="M82" s="59">
        <f t="shared" si="83"/>
        <v>1</v>
      </c>
      <c r="N82" s="59" t="str">
        <f t="shared" si="3"/>
        <v/>
      </c>
      <c r="O82" s="59" t="s">
        <v>15031</v>
      </c>
      <c r="P82" s="59">
        <f t="shared" si="4"/>
        <v>4</v>
      </c>
      <c r="Q82" s="59"/>
    </row>
    <row r="83">
      <c r="A83" s="19" t="s">
        <v>15227</v>
      </c>
      <c r="B83" s="58" t="s">
        <v>15202</v>
      </c>
      <c r="C83" s="59" t="s">
        <v>2033</v>
      </c>
      <c r="D83" s="19" t="s">
        <v>15228</v>
      </c>
      <c r="E83" s="23" t="s">
        <v>15030</v>
      </c>
      <c r="F83" s="59">
        <v>3.0</v>
      </c>
      <c r="G83" s="6"/>
      <c r="H83" s="6"/>
      <c r="I83" s="59">
        <v>4.0</v>
      </c>
      <c r="J83" s="26" t="str">
        <f>IFERROR(__xludf.DUMMYFUNCTION("""COMPUTED_VALUE"""),"dc_participou_programa_jovem_monitor_cultural_anteriores")</f>
        <v>dc_participou_programa_jovem_monitor_cultural_anteriores</v>
      </c>
      <c r="K83" s="59" t="str">
        <f t="shared" si="1"/>
        <v>Já participou do Programa Jovem Monitor Cultural em edições anteriores? Se sim, quantos meses aproximadamente participou?</v>
      </c>
      <c r="L83" s="59" t="str">
        <f t="shared" ref="L83:M83" si="84">VLOOKUP(K83,D:J,2,false)</f>
        <v>dados_cadastrais</v>
      </c>
      <c r="M83" s="59">
        <f t="shared" si="84"/>
        <v>1</v>
      </c>
      <c r="N83" s="59" t="str">
        <f t="shared" si="3"/>
        <v/>
      </c>
      <c r="O83" s="59" t="s">
        <v>15024</v>
      </c>
      <c r="P83" s="59">
        <f t="shared" si="4"/>
        <v>4</v>
      </c>
      <c r="Q83" s="59" t="str">
        <f>IFERROR(__xludf.DUMMYFUNCTION("""COMPUTED_VALUE"""),"Nunca participei do Programa Jovem Monitor Cultural")</f>
        <v>Nunca participei do Programa Jovem Monitor Cultural</v>
      </c>
    </row>
    <row r="84">
      <c r="A84" s="19" t="s">
        <v>15229</v>
      </c>
      <c r="B84" s="58" t="s">
        <v>15205</v>
      </c>
      <c r="C84" s="59" t="s">
        <v>2034</v>
      </c>
      <c r="D84" s="19" t="s">
        <v>15230</v>
      </c>
      <c r="E84" s="23" t="s">
        <v>15030</v>
      </c>
      <c r="F84" s="59">
        <v>2.0</v>
      </c>
      <c r="G84" s="6"/>
      <c r="H84" s="6"/>
      <c r="I84" s="59">
        <v>4.0</v>
      </c>
      <c r="J84" s="26" t="str">
        <f>IFERROR(__xludf.DUMMYFUNCTION("""COMPUTED_VALUE"""),"dc_pcd")</f>
        <v>dc_pcd</v>
      </c>
      <c r="K84" s="59" t="str">
        <f t="shared" si="1"/>
        <v>PCD</v>
      </c>
      <c r="L84" s="59" t="str">
        <f t="shared" ref="L84:M84" si="85">VLOOKUP(K84,D:J,2,false)</f>
        <v>dados_cadastrais</v>
      </c>
      <c r="M84" s="59">
        <f t="shared" si="85"/>
        <v>1</v>
      </c>
      <c r="N84" s="59" t="str">
        <f t="shared" si="3"/>
        <v/>
      </c>
      <c r="O84" s="59" t="s">
        <v>15024</v>
      </c>
      <c r="P84" s="59">
        <f t="shared" si="4"/>
        <v>4</v>
      </c>
      <c r="Q84" s="59" t="str">
        <f>IFERROR(__xludf.DUMMYFUNCTION("""COMPUTED_VALUE"""),"Não")</f>
        <v>Não</v>
      </c>
    </row>
    <row r="85">
      <c r="A85" s="19" t="s">
        <v>15156</v>
      </c>
      <c r="B85" s="58" t="s">
        <v>15231</v>
      </c>
      <c r="C85" s="59" t="s">
        <v>2035</v>
      </c>
      <c r="D85" s="19" t="s">
        <v>4</v>
      </c>
      <c r="E85" s="23" t="s">
        <v>15030</v>
      </c>
      <c r="F85" s="59">
        <v>2.0</v>
      </c>
      <c r="G85" s="6"/>
      <c r="H85" s="6"/>
      <c r="I85" s="59">
        <v>4.0</v>
      </c>
      <c r="J85" s="26" t="str">
        <f>IFERROR(__xludf.DUMMYFUNCTION("""COMPUTED_VALUE"""),"dc_pia")</f>
        <v>dc_pia</v>
      </c>
      <c r="K85" s="59" t="str">
        <f t="shared" si="1"/>
        <v>Piá</v>
      </c>
      <c r="L85" s="59" t="str">
        <f t="shared" ref="L85:M85" si="86">VLOOKUP(K85,D:J,2,false)</f>
        <v>dados_cadastrais</v>
      </c>
      <c r="M85" s="59">
        <f t="shared" si="86"/>
        <v>1</v>
      </c>
      <c r="N85" s="59" t="str">
        <f t="shared" si="3"/>
        <v/>
      </c>
      <c r="O85" s="59" t="s">
        <v>15024</v>
      </c>
      <c r="P85" s="59">
        <f t="shared" si="4"/>
        <v>4</v>
      </c>
      <c r="Q85" s="59"/>
    </row>
    <row r="86">
      <c r="A86" s="19" t="s">
        <v>15232</v>
      </c>
      <c r="B86" s="58" t="s">
        <v>15233</v>
      </c>
      <c r="C86" s="59" t="s">
        <v>2036</v>
      </c>
      <c r="D86" s="19" t="s">
        <v>15234</v>
      </c>
      <c r="E86" s="23" t="s">
        <v>15030</v>
      </c>
      <c r="F86" s="59">
        <v>3.0</v>
      </c>
      <c r="G86" s="6"/>
      <c r="H86" s="6"/>
      <c r="I86" s="59">
        <v>4.0</v>
      </c>
      <c r="J86" s="26" t="str">
        <f>IFERROR(__xludf.DUMMYFUNCTION("""COMPUTED_VALUE"""),"dc_piapi")</f>
        <v>dc_piapi</v>
      </c>
      <c r="K86" s="59" t="str">
        <f t="shared" si="1"/>
        <v>Piapi</v>
      </c>
      <c r="L86" s="59" t="str">
        <f t="shared" ref="L86:M86" si="87">VLOOKUP(K86,D:J,2,false)</f>
        <v>dados_cadastrais</v>
      </c>
      <c r="M86" s="59">
        <f t="shared" si="87"/>
        <v>1</v>
      </c>
      <c r="N86" s="59" t="str">
        <f t="shared" si="3"/>
        <v/>
      </c>
      <c r="O86" s="59" t="s">
        <v>15024</v>
      </c>
      <c r="P86" s="59">
        <f t="shared" si="4"/>
        <v>4</v>
      </c>
      <c r="Q86" s="59"/>
    </row>
    <row r="87">
      <c r="A87" s="19" t="s">
        <v>15235</v>
      </c>
      <c r="B87" s="58" t="s">
        <v>15236</v>
      </c>
      <c r="C87" s="59" t="s">
        <v>2037</v>
      </c>
      <c r="D87" s="19" t="s">
        <v>15237</v>
      </c>
      <c r="E87" s="23" t="s">
        <v>15030</v>
      </c>
      <c r="F87" s="59">
        <v>3.0</v>
      </c>
      <c r="G87" s="6"/>
      <c r="H87" s="6"/>
      <c r="I87" s="59">
        <v>4.0</v>
      </c>
      <c r="J87" s="26" t="str">
        <f>IFERROR(__xludf.DUMMYFUNCTION("""COMPUTED_VALUE"""),"dc_possui_filhos")</f>
        <v>dc_possui_filhos</v>
      </c>
      <c r="K87" s="59" t="str">
        <f t="shared" si="1"/>
        <v>Possui filhos(as</v>
      </c>
      <c r="L87" s="59" t="str">
        <f t="shared" ref="L87:M87" si="88">VLOOKUP(K87,D:J,2,false)</f>
        <v>dados_cadastrais</v>
      </c>
      <c r="M87" s="59">
        <f t="shared" si="88"/>
        <v>1</v>
      </c>
      <c r="N87" s="59" t="str">
        <f t="shared" si="3"/>
        <v/>
      </c>
      <c r="O87" s="59" t="s">
        <v>15024</v>
      </c>
      <c r="P87" s="59">
        <f t="shared" si="4"/>
        <v>4</v>
      </c>
      <c r="Q87" s="59" t="str">
        <f>IFERROR(__xludf.DUMMYFUNCTION("""COMPUTED_VALUE"""),"Sim")</f>
        <v>Sim</v>
      </c>
    </row>
    <row r="88">
      <c r="A88" s="19" t="s">
        <v>15217</v>
      </c>
      <c r="B88" s="76" t="s">
        <v>15164</v>
      </c>
      <c r="C88" s="59" t="s">
        <v>2038</v>
      </c>
      <c r="D88" s="19" t="s">
        <v>15238</v>
      </c>
      <c r="E88" s="23" t="s">
        <v>15030</v>
      </c>
      <c r="F88" s="59">
        <v>2.0</v>
      </c>
      <c r="G88" s="6"/>
      <c r="H88" s="6"/>
      <c r="I88" s="59">
        <v>4.0</v>
      </c>
      <c r="J88" s="26" t="str">
        <f>IFERROR(__xludf.DUMMYFUNCTION("""COMPUTED_VALUE"""),"avc_nota_filhos_fase1")</f>
        <v>avc_nota_filhos_fase1</v>
      </c>
      <c r="K88" s="59" t="str">
        <f t="shared" si="1"/>
        <v>Nota Filhos</v>
      </c>
      <c r="L88" s="59" t="str">
        <f t="shared" ref="L88:M88" si="89">VLOOKUP(K88,D:J,2,false)</f>
        <v>avaliação_classificação</v>
      </c>
      <c r="M88" s="59" t="str">
        <f t="shared" si="89"/>
        <v/>
      </c>
      <c r="N88" s="59" t="str">
        <f t="shared" si="3"/>
        <v>1ª fase</v>
      </c>
      <c r="O88" s="59" t="s">
        <v>15069</v>
      </c>
      <c r="P88" s="59">
        <v>4.0</v>
      </c>
      <c r="Q88" s="75">
        <f>IFERROR(__xludf.DUMMYFUNCTION("""COMPUTED_VALUE"""),3.0)</f>
        <v>3</v>
      </c>
    </row>
    <row r="89">
      <c r="A89" s="19" t="s">
        <v>15159</v>
      </c>
      <c r="B89" s="58" t="s">
        <v>15167</v>
      </c>
      <c r="C89" s="59" t="s">
        <v>2040</v>
      </c>
      <c r="D89" s="19" t="s">
        <v>5</v>
      </c>
      <c r="E89" s="23" t="s">
        <v>15030</v>
      </c>
      <c r="F89" s="59">
        <v>2.0</v>
      </c>
      <c r="G89" s="6"/>
      <c r="H89" s="6"/>
      <c r="I89" s="59">
        <v>4.0</v>
      </c>
      <c r="J89" s="26" t="str">
        <f>IFERROR(__xludf.DUMMYFUNCTION("""COMPUTED_VALUE"""),"dc_ppi")</f>
        <v>dc_ppi</v>
      </c>
      <c r="K89" s="59" t="str">
        <f t="shared" si="1"/>
        <v>PPI</v>
      </c>
      <c r="L89" s="59" t="str">
        <f t="shared" ref="L89:M89" si="90">VLOOKUP(K89,D:J,2,false)</f>
        <v>dados_cadastrais</v>
      </c>
      <c r="M89" s="59">
        <f t="shared" si="90"/>
        <v>1</v>
      </c>
      <c r="N89" s="59" t="str">
        <f t="shared" si="3"/>
        <v/>
      </c>
      <c r="O89" s="59" t="s">
        <v>15024</v>
      </c>
      <c r="P89" s="59">
        <f t="shared" ref="P89:P139" si="92">VLOOKUP($J89,$C:$I,7,false)</f>
        <v>4</v>
      </c>
      <c r="Q89" s="59" t="str">
        <f>IFERROR(__xludf.DUMMYFUNCTION("""COMPUTED_VALUE"""),"Sim")</f>
        <v>Sim</v>
      </c>
    </row>
    <row r="90">
      <c r="A90" s="19" t="s">
        <v>15239</v>
      </c>
      <c r="B90" s="58" t="s">
        <v>15155</v>
      </c>
      <c r="C90" s="59" t="s">
        <v>2041</v>
      </c>
      <c r="D90" s="19" t="s">
        <v>15240</v>
      </c>
      <c r="E90" s="23" t="s">
        <v>15030</v>
      </c>
      <c r="F90" s="59">
        <v>3.0</v>
      </c>
      <c r="G90" s="6"/>
      <c r="H90" s="6"/>
      <c r="I90" s="59">
        <v>4.0</v>
      </c>
      <c r="J90" s="26" t="str">
        <f>IFERROR(__xludf.DUMMYFUNCTION("""COMPUTED_VALUE"""),"dc_projeto_guri")</f>
        <v>dc_projeto_guri</v>
      </c>
      <c r="K90" s="59" t="str">
        <f t="shared" si="1"/>
        <v>Projeto Guri</v>
      </c>
      <c r="L90" s="59" t="str">
        <f t="shared" ref="L90:M90" si="91">VLOOKUP(K90,D:J,2,false)</f>
        <v>dados_cadastrais</v>
      </c>
      <c r="M90" s="59">
        <f t="shared" si="91"/>
        <v>1</v>
      </c>
      <c r="N90" s="59" t="str">
        <f t="shared" si="3"/>
        <v/>
      </c>
      <c r="O90" s="59" t="s">
        <v>15031</v>
      </c>
      <c r="P90" s="59">
        <f t="shared" si="92"/>
        <v>4</v>
      </c>
      <c r="Q90" s="59"/>
    </row>
    <row r="91">
      <c r="A91" s="19" t="s">
        <v>15241</v>
      </c>
      <c r="B91" s="58" t="s">
        <v>15153</v>
      </c>
      <c r="C91" s="59" t="s">
        <v>2042</v>
      </c>
      <c r="D91" s="19" t="s">
        <v>15242</v>
      </c>
      <c r="E91" s="23" t="s">
        <v>15030</v>
      </c>
      <c r="F91" s="59">
        <v>3.0</v>
      </c>
      <c r="G91" s="6"/>
      <c r="H91" s="6"/>
      <c r="I91" s="59">
        <v>4.0</v>
      </c>
      <c r="J91" s="26" t="str">
        <f>IFERROR(__xludf.DUMMYFUNCTION("""COMPUTED_VALUE"""),"dc_rede_daora")</f>
        <v>dc_rede_daora</v>
      </c>
      <c r="K91" s="59" t="str">
        <f t="shared" si="1"/>
        <v>Rede Daora</v>
      </c>
      <c r="L91" s="59" t="str">
        <f t="shared" ref="L91:M91" si="93">VLOOKUP(K91,D:J,2,false)</f>
        <v>dados_cadastrais</v>
      </c>
      <c r="M91" s="59">
        <f t="shared" si="93"/>
        <v>1</v>
      </c>
      <c r="N91" s="59" t="str">
        <f t="shared" si="3"/>
        <v/>
      </c>
      <c r="O91" s="59" t="s">
        <v>15031</v>
      </c>
      <c r="P91" s="59">
        <f t="shared" si="92"/>
        <v>4</v>
      </c>
      <c r="Q91" s="59"/>
    </row>
    <row r="92">
      <c r="A92" s="19" t="s">
        <v>15243</v>
      </c>
      <c r="B92" s="58" t="s">
        <v>15244</v>
      </c>
      <c r="C92" s="59" t="s">
        <v>2043</v>
      </c>
      <c r="D92" s="19" t="s">
        <v>15245</v>
      </c>
      <c r="E92" s="23" t="s">
        <v>15030</v>
      </c>
      <c r="F92" s="59">
        <v>3.0</v>
      </c>
      <c r="G92" s="6"/>
      <c r="H92" s="6"/>
      <c r="I92" s="59">
        <v>4.0</v>
      </c>
      <c r="J92" s="26" t="str">
        <f>IFERROR(__xludf.DUMMYFUNCTION("""COMPUTED_VALUE"""),"dc_situacao_trabalho")</f>
        <v>dc_situacao_trabalho</v>
      </c>
      <c r="K92" s="59" t="str">
        <f t="shared" si="1"/>
        <v>Qual sua situação em relação ao trabalho?</v>
      </c>
      <c r="L92" s="59" t="str">
        <f t="shared" ref="L92:M92" si="94">VLOOKUP(K92,D:J,2,false)</f>
        <v>dados_cadastrais</v>
      </c>
      <c r="M92" s="59">
        <f t="shared" si="94"/>
        <v>1</v>
      </c>
      <c r="N92" s="59" t="str">
        <f t="shared" si="3"/>
        <v/>
      </c>
      <c r="O92" s="59" t="s">
        <v>15031</v>
      </c>
      <c r="P92" s="59">
        <f t="shared" si="92"/>
        <v>4</v>
      </c>
      <c r="Q92" s="59" t="str">
        <f>IFERROR(__xludf.DUMMYFUNCTION("""COMPUTED_VALUE"""),"Desempregado e procurando emprego")</f>
        <v>Desempregado e procurando emprego</v>
      </c>
    </row>
    <row r="93">
      <c r="A93" s="39" t="s">
        <v>15113</v>
      </c>
      <c r="B93" s="58" t="s">
        <v>15246</v>
      </c>
      <c r="C93" s="59" t="s">
        <v>2044</v>
      </c>
      <c r="D93" s="39" t="s">
        <v>15247</v>
      </c>
      <c r="E93" s="61" t="s">
        <v>15030</v>
      </c>
      <c r="F93" s="68">
        <v>2.0</v>
      </c>
      <c r="G93" s="62"/>
      <c r="H93" s="62"/>
      <c r="I93" s="59">
        <v>4.0</v>
      </c>
      <c r="J93" s="26" t="str">
        <f>IFERROR(__xludf.DUMMYFUNCTION("""COMPUTED_VALUE"""),"dc_subprefeitura")</f>
        <v>dc_subprefeitura</v>
      </c>
      <c r="K93" s="59" t="str">
        <f t="shared" si="1"/>
        <v>Subprefeitura</v>
      </c>
      <c r="L93" s="59" t="str">
        <f t="shared" ref="L93:M93" si="95">VLOOKUP(K93,D:J,2,false)</f>
        <v>dados_cadastrais</v>
      </c>
      <c r="M93" s="59">
        <f t="shared" si="95"/>
        <v>1</v>
      </c>
      <c r="N93" s="59" t="str">
        <f t="shared" si="3"/>
        <v/>
      </c>
      <c r="O93" s="59" t="s">
        <v>15031</v>
      </c>
      <c r="P93" s="59">
        <f t="shared" si="92"/>
        <v>4</v>
      </c>
      <c r="Q93" s="59" t="str">
        <f>IFERROR(__xludf.DUMMYFUNCTION("""COMPUTED_VALUE"""),"SÃO MATEUS (IGUATEMI, SÃO RAFAEL, SÃO MATEUS)")</f>
        <v>SÃO MATEUS (IGUATEMI, SÃO RAFAEL, SÃO MATEUS)</v>
      </c>
    </row>
    <row r="94">
      <c r="A94" s="39" t="s">
        <v>15111</v>
      </c>
      <c r="B94" s="58" t="s">
        <v>15248</v>
      </c>
      <c r="C94" s="59" t="s">
        <v>2045</v>
      </c>
      <c r="D94" s="39" t="s">
        <v>15249</v>
      </c>
      <c r="E94" s="61" t="s">
        <v>15030</v>
      </c>
      <c r="F94" s="68">
        <v>2.0</v>
      </c>
      <c r="G94" s="62"/>
      <c r="H94" s="62"/>
      <c r="I94" s="59">
        <v>4.0</v>
      </c>
      <c r="J94" s="26" t="str">
        <f>IFERROR(__xludf.DUMMYFUNCTION("""COMPUTED_VALUE"""),"dc_tipo_deficiencia")</f>
        <v>dc_tipo_deficiencia</v>
      </c>
      <c r="K94" s="59" t="str">
        <f t="shared" si="1"/>
        <v>Tipo de deficiência</v>
      </c>
      <c r="L94" s="59" t="str">
        <f t="shared" ref="L94:M94" si="96">VLOOKUP(K94,D:J,2,false)</f>
        <v>dados_cadastrais</v>
      </c>
      <c r="M94" s="59">
        <f t="shared" si="96"/>
        <v>1</v>
      </c>
      <c r="N94" s="59" t="str">
        <f t="shared" si="3"/>
        <v/>
      </c>
      <c r="O94" s="59" t="s">
        <v>15031</v>
      </c>
      <c r="P94" s="59">
        <f t="shared" si="92"/>
        <v>4</v>
      </c>
      <c r="Q94" s="59"/>
    </row>
    <row r="95">
      <c r="A95" s="19" t="s">
        <v>15250</v>
      </c>
      <c r="B95" s="58" t="s">
        <v>15251</v>
      </c>
      <c r="C95" s="59" t="s">
        <v>2046</v>
      </c>
      <c r="D95" s="19" t="s">
        <v>15252</v>
      </c>
      <c r="E95" s="23" t="s">
        <v>15030</v>
      </c>
      <c r="F95" s="59">
        <v>3.0</v>
      </c>
      <c r="G95" s="6"/>
      <c r="H95" s="6"/>
      <c r="I95" s="59">
        <v>4.0</v>
      </c>
      <c r="J95" s="26" t="str">
        <f>IFERROR(__xludf.DUMMYFUNCTION("""COMPUTED_VALUE"""),"dc_tipo_formacao")</f>
        <v>dc_tipo_formacao</v>
      </c>
      <c r="K95" s="59" t="str">
        <f t="shared" si="1"/>
        <v>Qual tipo de formação?</v>
      </c>
      <c r="L95" s="59" t="str">
        <f t="shared" ref="L95:M95" si="97">VLOOKUP(K95,D:J,2,false)</f>
        <v>dados_cadastrais</v>
      </c>
      <c r="M95" s="59">
        <f t="shared" si="97"/>
        <v>1</v>
      </c>
      <c r="N95" s="59" t="str">
        <f t="shared" si="3"/>
        <v/>
      </c>
      <c r="O95" s="59" t="s">
        <v>15031</v>
      </c>
      <c r="P95" s="59">
        <f t="shared" si="92"/>
        <v>4</v>
      </c>
      <c r="Q95" s="59" t="str">
        <f>IFERROR(__xludf.DUMMYFUNCTION("""COMPUTED_VALUE"""),"Tecnólogo")</f>
        <v>Tecnólogo</v>
      </c>
    </row>
    <row r="96">
      <c r="A96" s="19" t="s">
        <v>15253</v>
      </c>
      <c r="B96" s="58" t="s">
        <v>15254</v>
      </c>
      <c r="C96" s="59" t="s">
        <v>2047</v>
      </c>
      <c r="D96" s="19" t="s">
        <v>15255</v>
      </c>
      <c r="E96" s="23" t="s">
        <v>15030</v>
      </c>
      <c r="F96" s="59">
        <v>3.0</v>
      </c>
      <c r="G96" s="6"/>
      <c r="H96" s="6"/>
      <c r="I96" s="59">
        <v>4.0</v>
      </c>
      <c r="J96" s="26" t="str">
        <f>IFERROR(__xludf.DUMMYFUNCTION("""COMPUTED_VALUE"""),"dc_vocacional")</f>
        <v>dc_vocacional</v>
      </c>
      <c r="K96" s="59" t="str">
        <f t="shared" si="1"/>
        <v>Vocacional</v>
      </c>
      <c r="L96" s="59" t="str">
        <f t="shared" ref="L96:M96" si="98">VLOOKUP(K96,D:J,2,false)</f>
        <v>dados_cadastrais</v>
      </c>
      <c r="M96" s="59">
        <f t="shared" si="98"/>
        <v>1</v>
      </c>
      <c r="N96" s="59" t="str">
        <f t="shared" si="3"/>
        <v/>
      </c>
      <c r="O96" s="59" t="s">
        <v>15024</v>
      </c>
      <c r="P96" s="59">
        <f t="shared" si="92"/>
        <v>4</v>
      </c>
      <c r="Q96" s="59"/>
    </row>
    <row r="97">
      <c r="A97" s="19" t="s">
        <v>15251</v>
      </c>
      <c r="B97" s="58" t="s">
        <v>15256</v>
      </c>
      <c r="C97" s="59" t="s">
        <v>2048</v>
      </c>
      <c r="D97" s="19" t="s">
        <v>15257</v>
      </c>
      <c r="E97" s="23" t="s">
        <v>15258</v>
      </c>
      <c r="F97" s="59"/>
      <c r="G97" s="6"/>
      <c r="H97" s="6"/>
      <c r="I97" s="59">
        <v>5.0</v>
      </c>
      <c r="J97" s="26" t="str">
        <f>IFERROR(__xludf.DUMMYFUNCTION("""COMPUTED_VALUE"""),"opc_insc_acervos_patrimonio_historico")</f>
        <v>opc_insc_acervos_patrimonio_historico</v>
      </c>
      <c r="K97" s="59" t="str">
        <f t="shared" si="1"/>
        <v>Acervos e patrimônio histórico</v>
      </c>
      <c r="L97" s="59" t="str">
        <f t="shared" ref="L97:M97" si="99">VLOOKUP(K97,D:J,2,false)</f>
        <v>opções_inscrição</v>
      </c>
      <c r="M97" s="59" t="str">
        <f t="shared" si="99"/>
        <v/>
      </c>
      <c r="N97" s="59" t="str">
        <f t="shared" si="3"/>
        <v/>
      </c>
      <c r="O97" s="59" t="s">
        <v>15024</v>
      </c>
      <c r="P97" s="59">
        <f t="shared" si="92"/>
        <v>5</v>
      </c>
      <c r="Q97" s="59"/>
    </row>
    <row r="98">
      <c r="A98" s="19" t="s">
        <v>15090</v>
      </c>
      <c r="B98" s="58" t="s">
        <v>15259</v>
      </c>
      <c r="C98" s="59" t="s">
        <v>2049</v>
      </c>
      <c r="D98" s="19" t="s">
        <v>15257</v>
      </c>
      <c r="E98" s="23" t="s">
        <v>15258</v>
      </c>
      <c r="F98" s="59"/>
      <c r="G98" s="6"/>
      <c r="H98" s="6"/>
      <c r="I98" s="59">
        <v>5.0</v>
      </c>
      <c r="J98" s="26" t="str">
        <f>IFERROR(__xludf.DUMMYFUNCTION("""COMPUTED_VALUE"""),"opc_insc_acervos_patrimonio_historico_2")</f>
        <v>opc_insc_acervos_patrimonio_historico_2</v>
      </c>
      <c r="K98" s="59" t="str">
        <f t="shared" si="1"/>
        <v>Acervos e patrimônio histórico</v>
      </c>
      <c r="L98" s="59" t="str">
        <f t="shared" ref="L98:M98" si="100">VLOOKUP(K98,D:J,2,false)</f>
        <v>opções_inscrição</v>
      </c>
      <c r="M98" s="59" t="str">
        <f t="shared" si="100"/>
        <v/>
      </c>
      <c r="N98" s="59" t="str">
        <f t="shared" si="3"/>
        <v/>
      </c>
      <c r="O98" s="59" t="s">
        <v>15024</v>
      </c>
      <c r="P98" s="59">
        <f t="shared" si="92"/>
        <v>5</v>
      </c>
      <c r="Q98" s="59"/>
    </row>
    <row r="99">
      <c r="A99" s="19" t="s">
        <v>15254</v>
      </c>
      <c r="B99" s="58" t="s">
        <v>15260</v>
      </c>
      <c r="C99" s="59" t="s">
        <v>2050</v>
      </c>
      <c r="D99" s="19" t="s">
        <v>15261</v>
      </c>
      <c r="E99" s="23" t="s">
        <v>15258</v>
      </c>
      <c r="F99" s="59"/>
      <c r="G99" s="6"/>
      <c r="H99" s="6"/>
      <c r="I99" s="59">
        <v>5.0</v>
      </c>
      <c r="J99" s="26" t="str">
        <f>IFERROR(__xludf.DUMMYFUNCTION("""COMPUTED_VALUE"""),"opc_insc_administracao_gestao_cultura")</f>
        <v>opc_insc_administracao_gestao_cultura</v>
      </c>
      <c r="K99" s="59" t="str">
        <f t="shared" si="1"/>
        <v>Administração e gestão da cultura</v>
      </c>
      <c r="L99" s="59" t="str">
        <f t="shared" ref="L99:M99" si="101">VLOOKUP(K99,D:J,2,false)</f>
        <v>opções_inscrição</v>
      </c>
      <c r="M99" s="59" t="str">
        <f t="shared" si="101"/>
        <v/>
      </c>
      <c r="N99" s="59" t="str">
        <f t="shared" si="3"/>
        <v/>
      </c>
      <c r="O99" s="59" t="s">
        <v>15024</v>
      </c>
      <c r="P99" s="59">
        <f t="shared" si="92"/>
        <v>5</v>
      </c>
      <c r="Q99" s="59" t="str">
        <f>IFERROR(__xludf.DUMMYFUNCTION("""COMPUTED_VALUE"""),"on")</f>
        <v>on</v>
      </c>
    </row>
    <row r="100">
      <c r="A100" s="19" t="s">
        <v>15093</v>
      </c>
      <c r="B100" s="58" t="s">
        <v>15262</v>
      </c>
      <c r="C100" s="59" t="s">
        <v>2051</v>
      </c>
      <c r="D100" s="19" t="s">
        <v>15261</v>
      </c>
      <c r="E100" s="23" t="s">
        <v>15258</v>
      </c>
      <c r="F100" s="59"/>
      <c r="G100" s="6"/>
      <c r="H100" s="6"/>
      <c r="I100" s="59">
        <v>5.0</v>
      </c>
      <c r="J100" s="26" t="str">
        <f>IFERROR(__xludf.DUMMYFUNCTION("""COMPUTED_VALUE"""),"opc_insc_administracao_gestao_cultura_2")</f>
        <v>opc_insc_administracao_gestao_cultura_2</v>
      </c>
      <c r="K100" s="59" t="str">
        <f t="shared" si="1"/>
        <v>Administração e gestão da cultura</v>
      </c>
      <c r="L100" s="59" t="str">
        <f t="shared" ref="L100:M100" si="102">VLOOKUP(K100,D:J,2,false)</f>
        <v>opções_inscrição</v>
      </c>
      <c r="M100" s="59" t="str">
        <f t="shared" si="102"/>
        <v/>
      </c>
      <c r="N100" s="59" t="str">
        <f t="shared" si="3"/>
        <v/>
      </c>
      <c r="O100" s="59" t="s">
        <v>15024</v>
      </c>
      <c r="P100" s="59">
        <f t="shared" si="92"/>
        <v>5</v>
      </c>
      <c r="Q100" s="59" t="str">
        <f>IFERROR(__xludf.DUMMYFUNCTION("""COMPUTED_VALUE"""),"on")</f>
        <v>on</v>
      </c>
    </row>
    <row r="101">
      <c r="A101" s="19" t="s">
        <v>15262</v>
      </c>
      <c r="B101" s="58" t="s">
        <v>15263</v>
      </c>
      <c r="C101" s="59" t="s">
        <v>2052</v>
      </c>
      <c r="D101" s="19" t="s">
        <v>15264</v>
      </c>
      <c r="E101" s="23" t="s">
        <v>15258</v>
      </c>
      <c r="F101" s="59"/>
      <c r="G101" s="6"/>
      <c r="H101" s="6"/>
      <c r="I101" s="59">
        <v>5.0</v>
      </c>
      <c r="J101" s="26" t="str">
        <f>IFERROR(__xludf.DUMMYFUNCTION("""COMPUTED_VALUE"""),"opc_insc_apresentacao_carta_video")</f>
        <v>opc_insc_apresentacao_carta_video</v>
      </c>
      <c r="K101" s="59" t="str">
        <f t="shared" si="1"/>
        <v>Prefere se apresentar por carta ou vídeo?</v>
      </c>
      <c r="L101" s="59" t="str">
        <f t="shared" ref="L101:M101" si="103">VLOOKUP(K101,D:J,2,false)</f>
        <v>opções_inscrição</v>
      </c>
      <c r="M101" s="59" t="str">
        <f t="shared" si="103"/>
        <v/>
      </c>
      <c r="N101" s="59" t="str">
        <f t="shared" si="3"/>
        <v/>
      </c>
      <c r="O101" s="59" t="s">
        <v>15024</v>
      </c>
      <c r="P101" s="59">
        <f t="shared" si="92"/>
        <v>5</v>
      </c>
      <c r="Q101" s="59" t="str">
        <f>IFERROR(__xludf.DUMMYFUNCTION("""COMPUTED_VALUE"""),"Carta de apresentação")</f>
        <v>Carta de apresentação</v>
      </c>
    </row>
    <row r="102">
      <c r="A102" s="19" t="s">
        <v>15256</v>
      </c>
      <c r="B102" s="58" t="s">
        <v>15265</v>
      </c>
      <c r="C102" s="59" t="s">
        <v>2053</v>
      </c>
      <c r="D102" s="19" t="s">
        <v>15266</v>
      </c>
      <c r="E102" s="23" t="s">
        <v>15258</v>
      </c>
      <c r="F102" s="59"/>
      <c r="G102" s="6"/>
      <c r="H102" s="6"/>
      <c r="I102" s="59">
        <v>5.0</v>
      </c>
      <c r="J102" s="26" t="str">
        <f>IFERROR(__xludf.DUMMYFUNCTION("""COMPUTED_VALUE"""),"opc_insc_atendimento_publico")</f>
        <v>opc_insc_atendimento_publico</v>
      </c>
      <c r="K102" s="59" t="str">
        <f t="shared" si="1"/>
        <v>Atendimento ao público</v>
      </c>
      <c r="L102" s="59" t="str">
        <f t="shared" ref="L102:M102" si="104">VLOOKUP(K102,D:J,2,false)</f>
        <v>opções_inscrição</v>
      </c>
      <c r="M102" s="59" t="str">
        <f t="shared" si="104"/>
        <v/>
      </c>
      <c r="N102" s="59" t="str">
        <f t="shared" si="3"/>
        <v/>
      </c>
      <c r="O102" s="59" t="s">
        <v>15024</v>
      </c>
      <c r="P102" s="59">
        <f t="shared" si="92"/>
        <v>5</v>
      </c>
      <c r="Q102" s="59" t="str">
        <f>IFERROR(__xludf.DUMMYFUNCTION("""COMPUTED_VALUE"""),"on")</f>
        <v>on</v>
      </c>
    </row>
    <row r="103">
      <c r="A103" s="19" t="s">
        <v>15096</v>
      </c>
      <c r="B103" s="58" t="s">
        <v>15267</v>
      </c>
      <c r="C103" s="59" t="s">
        <v>2054</v>
      </c>
      <c r="D103" s="19" t="s">
        <v>15266</v>
      </c>
      <c r="E103" s="23" t="s">
        <v>15258</v>
      </c>
      <c r="F103" s="59"/>
      <c r="G103" s="6"/>
      <c r="H103" s="6"/>
      <c r="I103" s="59">
        <v>5.0</v>
      </c>
      <c r="J103" s="26" t="str">
        <f>IFERROR(__xludf.DUMMYFUNCTION("""COMPUTED_VALUE"""),"opc_insc_atendimento_publico_2")</f>
        <v>opc_insc_atendimento_publico_2</v>
      </c>
      <c r="K103" s="59" t="str">
        <f t="shared" si="1"/>
        <v>Atendimento ao público</v>
      </c>
      <c r="L103" s="59" t="str">
        <f t="shared" ref="L103:M103" si="105">VLOOKUP(K103,D:J,2,false)</f>
        <v>opções_inscrição</v>
      </c>
      <c r="M103" s="59" t="str">
        <f t="shared" si="105"/>
        <v/>
      </c>
      <c r="N103" s="59" t="str">
        <f t="shared" si="3"/>
        <v/>
      </c>
      <c r="O103" s="59" t="s">
        <v>15024</v>
      </c>
      <c r="P103" s="59">
        <f t="shared" si="92"/>
        <v>5</v>
      </c>
      <c r="Q103" s="59" t="str">
        <f>IFERROR(__xludf.DUMMYFUNCTION("""COMPUTED_VALUE"""),"on")</f>
        <v>on</v>
      </c>
    </row>
    <row r="104">
      <c r="A104" s="19" t="s">
        <v>15259</v>
      </c>
      <c r="B104" s="58" t="s">
        <v>15268</v>
      </c>
      <c r="C104" s="59" t="s">
        <v>2055</v>
      </c>
      <c r="D104" s="19" t="s">
        <v>15269</v>
      </c>
      <c r="E104" s="23" t="s">
        <v>15258</v>
      </c>
      <c r="F104" s="59"/>
      <c r="G104" s="6"/>
      <c r="H104" s="6"/>
      <c r="I104" s="59">
        <v>5.0</v>
      </c>
      <c r="J104" s="26" t="str">
        <f>IFERROR(__xludf.DUMMYFUNCTION("""COMPUTED_VALUE"""),"opc_insc_comunicacao_redes")</f>
        <v>opc_insc_comunicacao_redes</v>
      </c>
      <c r="K104" s="59" t="str">
        <f t="shared" si="1"/>
        <v>Comunicação e redes</v>
      </c>
      <c r="L104" s="59" t="str">
        <f t="shared" ref="L104:M104" si="106">VLOOKUP(K104,D:J,2,false)</f>
        <v>opções_inscrição</v>
      </c>
      <c r="M104" s="59" t="str">
        <f t="shared" si="106"/>
        <v/>
      </c>
      <c r="N104" s="59" t="str">
        <f t="shared" si="3"/>
        <v/>
      </c>
      <c r="O104" s="59" t="s">
        <v>15024</v>
      </c>
      <c r="P104" s="59">
        <f t="shared" si="92"/>
        <v>5</v>
      </c>
      <c r="Q104" s="59" t="str">
        <f>IFERROR(__xludf.DUMMYFUNCTION("""COMPUTED_VALUE"""),"on")</f>
        <v>on</v>
      </c>
    </row>
    <row r="105">
      <c r="A105" s="19" t="s">
        <v>15100</v>
      </c>
      <c r="B105" s="58" t="s">
        <v>15195</v>
      </c>
      <c r="C105" s="59" t="s">
        <v>2056</v>
      </c>
      <c r="D105" s="19" t="s">
        <v>15269</v>
      </c>
      <c r="E105" s="23" t="s">
        <v>15258</v>
      </c>
      <c r="F105" s="59"/>
      <c r="G105" s="6"/>
      <c r="H105" s="6"/>
      <c r="I105" s="59">
        <v>5.0</v>
      </c>
      <c r="J105" s="26" t="str">
        <f>IFERROR(__xludf.DUMMYFUNCTION("""COMPUTED_VALUE"""),"opc_insc_comunicacao_redes_2")</f>
        <v>opc_insc_comunicacao_redes_2</v>
      </c>
      <c r="K105" s="59" t="str">
        <f t="shared" si="1"/>
        <v>Comunicação e redes</v>
      </c>
      <c r="L105" s="59" t="str">
        <f t="shared" ref="L105:M105" si="107">VLOOKUP(K105,D:J,2,false)</f>
        <v>opções_inscrição</v>
      </c>
      <c r="M105" s="59" t="str">
        <f t="shared" si="107"/>
        <v/>
      </c>
      <c r="N105" s="59" t="str">
        <f t="shared" si="3"/>
        <v/>
      </c>
      <c r="O105" s="59" t="s">
        <v>15024</v>
      </c>
      <c r="P105" s="59">
        <f t="shared" si="92"/>
        <v>5</v>
      </c>
      <c r="Q105" s="59" t="str">
        <f>IFERROR(__xludf.DUMMYFUNCTION("""COMPUTED_VALUE"""),"on")</f>
        <v>on</v>
      </c>
    </row>
    <row r="106">
      <c r="A106" s="19" t="s">
        <v>15108</v>
      </c>
      <c r="B106" s="58" t="s">
        <v>15197</v>
      </c>
      <c r="C106" s="59" t="s">
        <v>2057</v>
      </c>
      <c r="D106" s="19" t="s">
        <v>15270</v>
      </c>
      <c r="E106" s="23" t="s">
        <v>15258</v>
      </c>
      <c r="F106" s="59"/>
      <c r="G106" s="6"/>
      <c r="H106" s="6"/>
      <c r="I106" s="59">
        <v>5.0</v>
      </c>
      <c r="J106" s="26" t="str">
        <f>IFERROR(__xludf.DUMMYFUNCTION("""COMPUTED_VALUE"""),"opc_insc_concorrer_vagas_pcd")</f>
        <v>opc_insc_concorrer_vagas_pcd</v>
      </c>
      <c r="K106" s="59" t="str">
        <f t="shared" si="1"/>
        <v>Deseja concorrer às vagas destinadas a pessoas com deficiência?</v>
      </c>
      <c r="L106" s="59" t="str">
        <f t="shared" ref="L106:M106" si="108">VLOOKUP(K106,D:J,2,false)</f>
        <v>opções_inscrição</v>
      </c>
      <c r="M106" s="59" t="str">
        <f t="shared" si="108"/>
        <v/>
      </c>
      <c r="N106" s="59" t="str">
        <f t="shared" si="3"/>
        <v/>
      </c>
      <c r="O106" s="59" t="s">
        <v>15024</v>
      </c>
      <c r="P106" s="59">
        <f t="shared" si="92"/>
        <v>5</v>
      </c>
      <c r="Q106" s="59" t="str">
        <f>IFERROR(__xludf.DUMMYFUNCTION("""COMPUTED_VALUE"""),"Não")</f>
        <v>Não</v>
      </c>
    </row>
    <row r="107">
      <c r="A107" s="19" t="s">
        <v>15225</v>
      </c>
      <c r="B107" s="58" t="s">
        <v>15203</v>
      </c>
      <c r="C107" s="59" t="s">
        <v>2058</v>
      </c>
      <c r="D107" s="19" t="s">
        <v>15271</v>
      </c>
      <c r="E107" s="23" t="s">
        <v>15258</v>
      </c>
      <c r="F107" s="6"/>
      <c r="G107" s="6"/>
      <c r="H107" s="6"/>
      <c r="I107" s="59">
        <v>5.0</v>
      </c>
      <c r="J107" s="26" t="str">
        <f>IFERROR(__xludf.DUMMYFUNCTION("""COMPUTED_VALUE"""),"opc_insc_concorrer_vagas_pretos")</f>
        <v>opc_insc_concorrer_vagas_pretos</v>
      </c>
      <c r="K107" s="59" t="str">
        <f t="shared" si="1"/>
        <v>Deseja concorrer às vagas destinadas a pretos(as</v>
      </c>
      <c r="L107" s="59" t="str">
        <f t="shared" ref="L107:M107" si="109">VLOOKUP(K107,D:J,2,false)</f>
        <v>opções_inscrição</v>
      </c>
      <c r="M107" s="59" t="str">
        <f t="shared" si="109"/>
        <v/>
      </c>
      <c r="N107" s="59" t="str">
        <f t="shared" si="3"/>
        <v/>
      </c>
      <c r="O107" s="59" t="s">
        <v>15024</v>
      </c>
      <c r="P107" s="59">
        <f t="shared" si="92"/>
        <v>5</v>
      </c>
      <c r="Q107" s="59" t="str">
        <f>IFERROR(__xludf.DUMMYFUNCTION("""COMPUTED_VALUE"""),"Sim")</f>
        <v>Sim</v>
      </c>
    </row>
    <row r="108">
      <c r="A108" s="19" t="s">
        <v>15244</v>
      </c>
      <c r="B108" s="58" t="s">
        <v>15181</v>
      </c>
      <c r="C108" s="59" t="s">
        <v>2059</v>
      </c>
      <c r="D108" s="19" t="s">
        <v>15272</v>
      </c>
      <c r="E108" s="23" t="s">
        <v>15258</v>
      </c>
      <c r="F108" s="59"/>
      <c r="G108" s="6"/>
      <c r="H108" s="6"/>
      <c r="I108" s="59">
        <v>5.0</v>
      </c>
      <c r="J108" s="26" t="str">
        <f>IFERROR(__xludf.DUMMYFUNCTION("""COMPUTED_VALUE"""),"opc_insc_primeiro_espaco_cultural_preferencial")</f>
        <v>opc_insc_primeiro_espaco_cultural_preferencial</v>
      </c>
      <c r="K108" s="59" t="str">
        <f t="shared" si="1"/>
        <v>1 - Primeiro espaço cultural preferencial</v>
      </c>
      <c r="L108" s="59" t="str">
        <f t="shared" ref="L108:M108" si="110">VLOOKUP(K108,D:J,2,false)</f>
        <v>opções_inscrição</v>
      </c>
      <c r="M108" s="59" t="str">
        <f t="shared" si="110"/>
        <v/>
      </c>
      <c r="N108" s="59" t="str">
        <f t="shared" si="3"/>
        <v/>
      </c>
      <c r="O108" s="59" t="s">
        <v>15031</v>
      </c>
      <c r="P108" s="59">
        <f t="shared" si="92"/>
        <v>5</v>
      </c>
      <c r="Q108" s="59" t="str">
        <f>IFERROR(__xludf.DUMMYFUNCTION("""COMPUTED_VALUE"""),"CASA DE CULTURA HIP-HOP LESTE")</f>
        <v>CASA DE CULTURA HIP-HOP LESTE</v>
      </c>
    </row>
    <row r="109">
      <c r="A109" s="19" t="s">
        <v>15103</v>
      </c>
      <c r="B109" s="58" t="s">
        <v>15185</v>
      </c>
      <c r="C109" s="59" t="s">
        <v>2060</v>
      </c>
      <c r="D109" s="19" t="s">
        <v>15273</v>
      </c>
      <c r="E109" s="23" t="s">
        <v>15258</v>
      </c>
      <c r="F109" s="59"/>
      <c r="G109" s="6"/>
      <c r="H109" s="6"/>
      <c r="I109" s="59">
        <v>5.0</v>
      </c>
      <c r="J109" s="26" t="str">
        <f>IFERROR(__xludf.DUMMYFUNCTION("""COMPUTED_VALUE"""),"opc_insc_programacao_producao_eventos_culturais")</f>
        <v>opc_insc_programacao_producao_eventos_culturais</v>
      </c>
      <c r="K109" s="59" t="str">
        <f t="shared" si="1"/>
        <v>Programação e produção de eventos culturais</v>
      </c>
      <c r="L109" s="59" t="str">
        <f t="shared" ref="L109:M109" si="111">VLOOKUP(K109,D:J,2,false)</f>
        <v>opções_inscrição</v>
      </c>
      <c r="M109" s="59" t="str">
        <f t="shared" si="111"/>
        <v/>
      </c>
      <c r="N109" s="59" t="str">
        <f t="shared" si="3"/>
        <v/>
      </c>
      <c r="O109" s="59" t="s">
        <v>15024</v>
      </c>
      <c r="P109" s="59">
        <f t="shared" si="92"/>
        <v>5</v>
      </c>
      <c r="Q109" s="59" t="str">
        <f>IFERROR(__xludf.DUMMYFUNCTION("""COMPUTED_VALUE"""),"on")</f>
        <v>on</v>
      </c>
    </row>
    <row r="110">
      <c r="A110" s="19" t="s">
        <v>15260</v>
      </c>
      <c r="B110" s="58" t="s">
        <v>15179</v>
      </c>
      <c r="C110" s="59" t="s">
        <v>2061</v>
      </c>
      <c r="D110" s="19" t="s">
        <v>15273</v>
      </c>
      <c r="E110" s="23" t="s">
        <v>15258</v>
      </c>
      <c r="F110" s="59"/>
      <c r="G110" s="6"/>
      <c r="H110" s="6"/>
      <c r="I110" s="59">
        <v>5.0</v>
      </c>
      <c r="J110" s="26" t="str">
        <f>IFERROR(__xludf.DUMMYFUNCTION("""COMPUTED_VALUE"""),"opc_insc_programacao_producao_eventos_culturais_2")</f>
        <v>opc_insc_programacao_producao_eventos_culturais_2</v>
      </c>
      <c r="K110" s="59" t="str">
        <f t="shared" si="1"/>
        <v>Programação e produção de eventos culturais</v>
      </c>
      <c r="L110" s="59" t="str">
        <f t="shared" ref="L110:M110" si="112">VLOOKUP(K110,D:J,2,false)</f>
        <v>opções_inscrição</v>
      </c>
      <c r="M110" s="59" t="str">
        <f t="shared" si="112"/>
        <v/>
      </c>
      <c r="N110" s="59" t="str">
        <f t="shared" si="3"/>
        <v/>
      </c>
      <c r="O110" s="59" t="s">
        <v>15024</v>
      </c>
      <c r="P110" s="59">
        <f t="shared" si="92"/>
        <v>5</v>
      </c>
      <c r="Q110" s="59" t="str">
        <f>IFERROR(__xludf.DUMMYFUNCTION("""COMPUTED_VALUE"""),"on")</f>
        <v>on</v>
      </c>
    </row>
    <row r="111">
      <c r="A111" s="19" t="s">
        <v>15246</v>
      </c>
      <c r="B111" s="58" t="s">
        <v>15243</v>
      </c>
      <c r="C111" s="59" t="s">
        <v>2062</v>
      </c>
      <c r="D111" s="19" t="s">
        <v>15274</v>
      </c>
      <c r="E111" s="23" t="s">
        <v>15258</v>
      </c>
      <c r="F111" s="59"/>
      <c r="G111" s="6"/>
      <c r="H111" s="6"/>
      <c r="I111" s="59">
        <v>5.0</v>
      </c>
      <c r="J111" s="26" t="str">
        <f>IFERROR(__xludf.DUMMYFUNCTION("""COMPUTED_VALUE"""),"opc_insc_segundo_espaco_cultural_preferencial")</f>
        <v>opc_insc_segundo_espaco_cultural_preferencial</v>
      </c>
      <c r="K111" s="59" t="str">
        <f t="shared" si="1"/>
        <v>2 - Segundo espaço cultural preferencial</v>
      </c>
      <c r="L111" s="59" t="str">
        <f t="shared" ref="L111:M111" si="113">VLOOKUP(K111,D:J,2,false)</f>
        <v>opções_inscrição</v>
      </c>
      <c r="M111" s="59" t="str">
        <f t="shared" si="113"/>
        <v/>
      </c>
      <c r="N111" s="59" t="str">
        <f t="shared" si="3"/>
        <v/>
      </c>
      <c r="O111" s="59" t="s">
        <v>15031</v>
      </c>
      <c r="P111" s="59">
        <f t="shared" si="92"/>
        <v>5</v>
      </c>
      <c r="Q111" s="59" t="str">
        <f>IFERROR(__xludf.DUMMYFUNCTION("""COMPUTED_VALUE"""),"CASA DE CULTURA GUAIANASES")</f>
        <v>CASA DE CULTURA GUAIANASES</v>
      </c>
    </row>
    <row r="112">
      <c r="A112" s="19" t="s">
        <v>15248</v>
      </c>
      <c r="B112" s="58" t="s">
        <v>15187</v>
      </c>
      <c r="C112" s="59" t="s">
        <v>2063</v>
      </c>
      <c r="D112" s="19" t="s">
        <v>15275</v>
      </c>
      <c r="E112" s="23" t="s">
        <v>15258</v>
      </c>
      <c r="F112" s="59"/>
      <c r="G112" s="6"/>
      <c r="H112" s="6"/>
      <c r="I112" s="59">
        <v>5.0</v>
      </c>
      <c r="J112" s="26" t="str">
        <f>IFERROR(__xludf.DUMMYFUNCTION("""COMPUTED_VALUE"""),"opc_insc_terceiro_espaco_cultural_preferencial")</f>
        <v>opc_insc_terceiro_espaco_cultural_preferencial</v>
      </c>
      <c r="K112" s="59" t="str">
        <f t="shared" si="1"/>
        <v>3 - Terceiro espaço cultural preferencial</v>
      </c>
      <c r="L112" s="59" t="str">
        <f t="shared" ref="L112:M112" si="114">VLOOKUP(K112,D:J,2,false)</f>
        <v>opções_inscrição</v>
      </c>
      <c r="M112" s="59" t="str">
        <f t="shared" si="114"/>
        <v/>
      </c>
      <c r="N112" s="59" t="str">
        <f t="shared" si="3"/>
        <v/>
      </c>
      <c r="O112" s="59" t="s">
        <v>15031</v>
      </c>
      <c r="P112" s="59">
        <f t="shared" si="92"/>
        <v>5</v>
      </c>
      <c r="Q112" s="59" t="str">
        <f>IFERROR(__xludf.DUMMYFUNCTION("""COMPUTED_VALUE"""),"CASA DE CULTURA HIP-HOP LESTE")</f>
        <v>CASA DE CULTURA HIP-HOP LESTE</v>
      </c>
    </row>
    <row r="113">
      <c r="A113" s="19" t="s">
        <v>15120</v>
      </c>
      <c r="B113" s="58" t="s">
        <v>15250</v>
      </c>
      <c r="C113" s="59" t="s">
        <v>2064</v>
      </c>
      <c r="D113" s="19" t="s">
        <v>15276</v>
      </c>
      <c r="E113" s="23" t="s">
        <v>15277</v>
      </c>
      <c r="F113" s="59"/>
      <c r="G113" s="59" t="s">
        <v>15115</v>
      </c>
      <c r="H113" s="6"/>
      <c r="I113" s="59">
        <v>6.0</v>
      </c>
      <c r="J113" s="26" t="str">
        <f>IFERROR(__xludf.DUMMYFUNCTION("""COMPUTED_VALUE"""),"hist_sel_confirmacao_presenca_dinamica")</f>
        <v>hist_sel_confirmacao_presenca_dinamica</v>
      </c>
      <c r="K113" s="59" t="str">
        <f t="shared" si="1"/>
        <v>CONFIRMAÇÃO DE PRESENÇA NA DINAMICA (P ou F)</v>
      </c>
      <c r="L113" s="59" t="str">
        <f t="shared" ref="L113:M113" si="115">VLOOKUP(K113,D:J,2,false)</f>
        <v>histórico_seleção</v>
      </c>
      <c r="M113" s="59" t="str">
        <f t="shared" si="115"/>
        <v/>
      </c>
      <c r="N113" s="59" t="str">
        <f t="shared" si="3"/>
        <v>2ª fase - 1ª etapa - dinâmica</v>
      </c>
      <c r="O113" s="59" t="s">
        <v>15024</v>
      </c>
      <c r="P113" s="59">
        <f t="shared" si="92"/>
        <v>6</v>
      </c>
      <c r="Q113" s="59" t="str">
        <f>IFERROR(__xludf.DUMMYFUNCTION("""COMPUTED_VALUE"""),"P")</f>
        <v>P</v>
      </c>
    </row>
    <row r="114">
      <c r="A114" s="19" t="s">
        <v>15043</v>
      </c>
      <c r="B114" s="58" t="s">
        <v>15229</v>
      </c>
      <c r="C114" s="59" t="s">
        <v>2065</v>
      </c>
      <c r="D114" s="19" t="s">
        <v>15278</v>
      </c>
      <c r="E114" s="23" t="s">
        <v>15277</v>
      </c>
      <c r="F114" s="59"/>
      <c r="G114" s="59" t="s">
        <v>15115</v>
      </c>
      <c r="H114" s="59"/>
      <c r="I114" s="59">
        <v>6.0</v>
      </c>
      <c r="J114" s="26" t="str">
        <f>IFERROR(__xludf.DUMMYFUNCTION("""COMPUTED_VALUE"""),"hist_sel_data_dinamica")</f>
        <v>hist_sel_data_dinamica</v>
      </c>
      <c r="K114" s="59" t="str">
        <f t="shared" si="1"/>
        <v>Data</v>
      </c>
      <c r="L114" s="59" t="str">
        <f t="shared" ref="L114:M114" si="116">VLOOKUP(K114,D:J,2,false)</f>
        <v>histórico_seleção</v>
      </c>
      <c r="M114" s="59" t="str">
        <f t="shared" si="116"/>
        <v/>
      </c>
      <c r="N114" s="59" t="str">
        <f t="shared" si="3"/>
        <v>2ª fase - 1ª etapa - dinâmica</v>
      </c>
      <c r="O114" s="59" t="s">
        <v>15056</v>
      </c>
      <c r="P114" s="59">
        <f t="shared" si="92"/>
        <v>6</v>
      </c>
      <c r="Q114" s="80">
        <f>IFERROR(__xludf.DUMMYFUNCTION("""COMPUTED_VALUE"""),45533.0)</f>
        <v>45533</v>
      </c>
    </row>
    <row r="115">
      <c r="A115" s="19" t="s">
        <v>15040</v>
      </c>
      <c r="B115" s="58" t="s">
        <v>15210</v>
      </c>
      <c r="C115" s="59" t="s">
        <v>2066</v>
      </c>
      <c r="D115" s="19" t="s">
        <v>15279</v>
      </c>
      <c r="E115" s="23" t="s">
        <v>15277</v>
      </c>
      <c r="F115" s="59"/>
      <c r="G115" s="59" t="s">
        <v>15115</v>
      </c>
      <c r="H115" s="59"/>
      <c r="I115" s="59">
        <v>6.0</v>
      </c>
      <c r="J115" s="26" t="str">
        <f>IFERROR(__xludf.DUMMYFUNCTION("""COMPUTED_VALUE"""),"hist_sel_dinamica")</f>
        <v>hist_sel_dinamica</v>
      </c>
      <c r="K115" s="59" t="str">
        <f t="shared" si="1"/>
        <v>Dinâmica</v>
      </c>
      <c r="L115" s="59" t="str">
        <f t="shared" ref="L115:M115" si="117">VLOOKUP(K115,D:J,2,false)</f>
        <v>histórico_seleção</v>
      </c>
      <c r="M115" s="59" t="str">
        <f t="shared" si="117"/>
        <v/>
      </c>
      <c r="N115" s="59" t="str">
        <f t="shared" si="3"/>
        <v>2ª fase - 1ª etapa - dinâmica</v>
      </c>
      <c r="O115" s="59" t="s">
        <v>15031</v>
      </c>
      <c r="P115" s="59">
        <f t="shared" si="92"/>
        <v>6</v>
      </c>
      <c r="Q115" s="59" t="str">
        <f>IFERROR(__xludf.DUMMYFUNCTION("""COMPUTED_VALUE"""),"LESTE")</f>
        <v>LESTE</v>
      </c>
    </row>
    <row r="116">
      <c r="A116" s="19" t="s">
        <v>15046</v>
      </c>
      <c r="B116" s="58" t="s">
        <v>15183</v>
      </c>
      <c r="C116" s="59" t="s">
        <v>2067</v>
      </c>
      <c r="D116" s="19" t="s">
        <v>15280</v>
      </c>
      <c r="E116" s="23" t="s">
        <v>15277</v>
      </c>
      <c r="F116" s="59"/>
      <c r="G116" s="59" t="s">
        <v>15115</v>
      </c>
      <c r="H116" s="59"/>
      <c r="I116" s="59">
        <v>6.0</v>
      </c>
      <c r="J116" s="26" t="str">
        <f>IFERROR(__xludf.DUMMYFUNCTION("""COMPUTED_VALUE"""),"hist_sel_horario_dinamica")</f>
        <v>hist_sel_horario_dinamica</v>
      </c>
      <c r="K116" s="59" t="str">
        <f t="shared" si="1"/>
        <v>Horário </v>
      </c>
      <c r="L116" s="59" t="str">
        <f t="shared" ref="L116:M116" si="118">VLOOKUP(K116,D:J,2,false)</f>
        <v>histórico_seleção</v>
      </c>
      <c r="M116" s="59" t="str">
        <f t="shared" si="118"/>
        <v/>
      </c>
      <c r="N116" s="59" t="str">
        <f t="shared" si="3"/>
        <v>2ª fase - 1ª etapa - dinâmica</v>
      </c>
      <c r="O116" s="59" t="s">
        <v>15024</v>
      </c>
      <c r="P116" s="59">
        <f t="shared" si="92"/>
        <v>6</v>
      </c>
      <c r="Q116" s="59" t="str">
        <f>IFERROR(__xludf.DUMMYFUNCTION("""COMPUTED_VALUE"""),"09h às 13h")</f>
        <v>09h às 13h</v>
      </c>
    </row>
    <row r="117">
      <c r="A117" s="19" t="s">
        <v>15049</v>
      </c>
      <c r="B117" s="58" t="s">
        <v>15189</v>
      </c>
      <c r="C117" s="59" t="s">
        <v>2068</v>
      </c>
      <c r="D117" s="19" t="s">
        <v>15281</v>
      </c>
      <c r="E117" s="23" t="s">
        <v>15277</v>
      </c>
      <c r="F117" s="59"/>
      <c r="G117" s="59" t="s">
        <v>15115</v>
      </c>
      <c r="H117" s="59"/>
      <c r="I117" s="59">
        <v>6.0</v>
      </c>
      <c r="J117" s="26" t="str">
        <f>IFERROR(__xludf.DUMMYFUNCTION("""COMPUTED_VALUE"""),"hist_sel_local_dinamica")</f>
        <v>hist_sel_local_dinamica</v>
      </c>
      <c r="K117" s="59" t="str">
        <f t="shared" si="1"/>
        <v>Local</v>
      </c>
      <c r="L117" s="59" t="str">
        <f t="shared" ref="L117:M117" si="119">VLOOKUP(K117,D:J,2,false)</f>
        <v>histórico_seleção</v>
      </c>
      <c r="M117" s="59" t="str">
        <f t="shared" si="119"/>
        <v/>
      </c>
      <c r="N117" s="59" t="str">
        <f t="shared" si="3"/>
        <v>2ª fase - 1ª etapa - dinâmica</v>
      </c>
      <c r="O117" s="59" t="s">
        <v>15031</v>
      </c>
      <c r="P117" s="59">
        <f t="shared" si="92"/>
        <v>6</v>
      </c>
      <c r="Q117" s="59" t="str">
        <f>IFERROR(__xludf.DUMMYFUNCTION("""COMPUTED_VALUE"""),"CENTRO CULTURAL DA PENHA")</f>
        <v>CENTRO CULTURAL DA PENHA</v>
      </c>
    </row>
    <row r="118">
      <c r="A118" s="19" t="s">
        <v>15077</v>
      </c>
      <c r="B118" s="58" t="s">
        <v>15213</v>
      </c>
      <c r="C118" s="59" t="s">
        <v>2069</v>
      </c>
      <c r="D118" s="19" t="s">
        <v>15282</v>
      </c>
      <c r="E118" s="23" t="s">
        <v>15277</v>
      </c>
      <c r="F118" s="59"/>
      <c r="G118" s="59" t="s">
        <v>15115</v>
      </c>
      <c r="H118" s="59"/>
      <c r="I118" s="59">
        <v>6.0</v>
      </c>
      <c r="J118" s="26" t="str">
        <f>IFERROR(__xludf.DUMMYFUNCTION("""COMPUTED_VALUE"""),"hist_sel_nome_avaliador")</f>
        <v>hist_sel_nome_avaliador</v>
      </c>
      <c r="K118" s="59" t="str">
        <f t="shared" si="1"/>
        <v>Nome do Avaliador</v>
      </c>
      <c r="L118" s="59" t="str">
        <f t="shared" ref="L118:M118" si="120">VLOOKUP(K118,D:J,2,false)</f>
        <v>histórico_seleção</v>
      </c>
      <c r="M118" s="59" t="str">
        <f t="shared" si="120"/>
        <v/>
      </c>
      <c r="N118" s="59" t="str">
        <f t="shared" si="3"/>
        <v>2ª fase - 1ª etapa - dinâmica</v>
      </c>
      <c r="O118" s="59" t="s">
        <v>15031</v>
      </c>
      <c r="P118" s="59">
        <f t="shared" si="92"/>
        <v>6</v>
      </c>
      <c r="Q118" s="59" t="str">
        <f>IFERROR(__xludf.DUMMYFUNCTION("""COMPUTED_VALUE"""),"CAROLINA, LEANDRO E ANTÔNIA VIEIRA")</f>
        <v>CAROLINA, LEANDRO E ANTÔNIA VIEIRA</v>
      </c>
    </row>
    <row r="119">
      <c r="A119" s="19" t="s">
        <v>15165</v>
      </c>
      <c r="B119" s="58" t="s">
        <v>15216</v>
      </c>
      <c r="C119" s="59" t="s">
        <v>2070</v>
      </c>
      <c r="D119" s="19" t="s">
        <v>15283</v>
      </c>
      <c r="E119" s="23" t="s">
        <v>15277</v>
      </c>
      <c r="F119" s="59"/>
      <c r="G119" s="59" t="s">
        <v>15115</v>
      </c>
      <c r="H119" s="59"/>
      <c r="I119" s="59">
        <v>6.0</v>
      </c>
      <c r="J119" s="26" t="str">
        <f>IFERROR(__xludf.DUMMYFUNCTION("""COMPUTED_VALUE"""),"hist_sel_turma_dinamica")</f>
        <v>hist_sel_turma_dinamica</v>
      </c>
      <c r="K119" s="59" t="str">
        <f t="shared" si="1"/>
        <v>Turma</v>
      </c>
      <c r="L119" s="59" t="str">
        <f t="shared" ref="L119:M119" si="121">VLOOKUP(K119,D:J,2,false)</f>
        <v>histórico_seleção</v>
      </c>
      <c r="M119" s="59" t="str">
        <f t="shared" si="121"/>
        <v/>
      </c>
      <c r="N119" s="59" t="str">
        <f t="shared" si="3"/>
        <v>2ª fase - 1ª etapa - dinâmica</v>
      </c>
      <c r="O119" s="59" t="s">
        <v>15069</v>
      </c>
      <c r="P119" s="59">
        <f t="shared" si="92"/>
        <v>6</v>
      </c>
      <c r="Q119" s="59">
        <f>IFERROR(__xludf.DUMMYFUNCTION("""COMPUTED_VALUE"""),17.0)</f>
        <v>17</v>
      </c>
    </row>
    <row r="120">
      <c r="A120" s="19" t="s">
        <v>15038</v>
      </c>
      <c r="B120" s="58" t="s">
        <v>15219</v>
      </c>
      <c r="C120" s="59" t="s">
        <v>2071</v>
      </c>
      <c r="D120" s="19" t="s">
        <v>15283</v>
      </c>
      <c r="E120" s="23" t="s">
        <v>15277</v>
      </c>
      <c r="F120" s="59"/>
      <c r="G120" s="59" t="s">
        <v>15115</v>
      </c>
      <c r="H120" s="59"/>
      <c r="I120" s="59">
        <v>6.0</v>
      </c>
      <c r="J120" s="26" t="str">
        <f>IFERROR(__xludf.DUMMYFUNCTION("""COMPUTED_VALUE"""),"hist_sel_turma_dinamica_2")</f>
        <v>hist_sel_turma_dinamica_2</v>
      </c>
      <c r="K120" s="59" t="str">
        <f t="shared" si="1"/>
        <v>Turma</v>
      </c>
      <c r="L120" s="59" t="str">
        <f t="shared" ref="L120:M120" si="122">VLOOKUP(K120,D:J,2,false)</f>
        <v>histórico_seleção</v>
      </c>
      <c r="M120" s="59" t="str">
        <f t="shared" si="122"/>
        <v/>
      </c>
      <c r="N120" s="59" t="str">
        <f t="shared" si="3"/>
        <v>2ª fase - 1ª etapa - dinâmica</v>
      </c>
      <c r="O120" s="59" t="s">
        <v>15069</v>
      </c>
      <c r="P120" s="59">
        <f t="shared" si="92"/>
        <v>6</v>
      </c>
      <c r="Q120" s="59">
        <f>IFERROR(__xludf.DUMMYFUNCTION("""COMPUTED_VALUE"""),17.0)</f>
        <v>17</v>
      </c>
    </row>
    <row r="121">
      <c r="A121" s="19" t="s">
        <v>15263</v>
      </c>
      <c r="B121" s="58" t="s">
        <v>15224</v>
      </c>
      <c r="C121" s="59" t="s">
        <v>2072</v>
      </c>
      <c r="D121" s="19" t="s">
        <v>15284</v>
      </c>
      <c r="E121" s="23" t="s">
        <v>15277</v>
      </c>
      <c r="F121" s="59"/>
      <c r="G121" s="59" t="s">
        <v>15285</v>
      </c>
      <c r="H121" s="59"/>
      <c r="I121" s="59">
        <v>6.0</v>
      </c>
      <c r="J121" s="26" t="str">
        <f>IFERROR(__xludf.DUMMYFUNCTION("""COMPUTED_VALUE"""),"hist_sel_carta_apresentacao_de_onde_vim")</f>
        <v>hist_sel_carta_apresentacao_de_onde_vim</v>
      </c>
      <c r="K121" s="59" t="str">
        <f t="shared" si="1"/>
        <v>Carta Apresentação - De onde vim?</v>
      </c>
      <c r="L121" s="59" t="str">
        <f t="shared" ref="L121:M121" si="123">VLOOKUP(K121,D:J,2,false)</f>
        <v>histórico_seleção</v>
      </c>
      <c r="M121" s="59" t="str">
        <f t="shared" si="123"/>
        <v/>
      </c>
      <c r="N121" s="59" t="str">
        <f t="shared" si="3"/>
        <v>2ª fase - 2ª etapa - entrevista</v>
      </c>
      <c r="O121" s="59" t="s">
        <v>15031</v>
      </c>
      <c r="P121" s="59">
        <f t="shared" si="92"/>
        <v>6</v>
      </c>
      <c r="Q121" s="59" t="str">
        <f>IFERROR(__xludf.DUMMYFUNCTION("""COMPUTED_VALUE"""),"Meu nome é Vanessa Pires da Silva Marçal, e esta carta visa compartilhar minha trajetória, minhas realizações atuais e minhas aspirações futuras no campo da produção cultural.  Nasci em 22 de janeiro de 2001, em São Paulo. Desde a infância, sempre fui fas"&amp;"cinada pelas artes, especialmente pela música. Aos 12 anos, comecei a tocar violão, o que marcou o início da minha jornada artística e revelou minha paixão pela música. Aos 16 anos, em 2017, dei um passo significativo ao me tornar produtora de eventos. Du"&amp;"rante este período, desenvolvi habilidades essenciais em organização e atenção aos detalhes. Em 2019, decidi focar meus esforços na minha comunidade no Jardim Iguatemi, atuando como produtora")</f>
        <v>Meu nome é Vanessa Pires da Silva Marçal, e esta carta visa compartilhar minha trajetória, minhas realizações atuais e minhas aspirações futuras no campo da produção cultural.  Nasci em 22 de janeiro de 2001, em São Paulo. Desde a infância, sempre fui fascinada pelas artes, especialmente pela música. Aos 12 anos, comecei a tocar violão, o que marcou o início da minha jornada artística e revelou minha paixão pela música. Aos 16 anos, em 2017, dei um passo significativo ao me tornar produtora de eventos. Durante este período, desenvolvi habilidades essenciais em organização e atenção aos detalhes. Em 2019, decidi focar meus esforços na minha comunidade no Jardim Iguatemi, atuando como produtora</v>
      </c>
    </row>
    <row r="122">
      <c r="A122" s="19" t="s">
        <v>15265</v>
      </c>
      <c r="B122" s="58" t="s">
        <v>15221</v>
      </c>
      <c r="C122" s="59" t="s">
        <v>2073</v>
      </c>
      <c r="D122" s="19" t="s">
        <v>15286</v>
      </c>
      <c r="E122" s="23" t="s">
        <v>15277</v>
      </c>
      <c r="F122" s="59"/>
      <c r="G122" s="59" t="s">
        <v>15285</v>
      </c>
      <c r="H122" s="59"/>
      <c r="I122" s="59">
        <v>6.0</v>
      </c>
      <c r="J122" s="26" t="str">
        <f>IFERROR(__xludf.DUMMYFUNCTION("""COMPUTED_VALUE"""),"hist_sel_carta_apresentacao_onde_estou")</f>
        <v>hist_sel_carta_apresentacao_onde_estou</v>
      </c>
      <c r="K122" s="59" t="str">
        <f t="shared" si="1"/>
        <v>Carta Apresentação - Onde estou?</v>
      </c>
      <c r="L122" s="59" t="str">
        <f t="shared" ref="L122:M122" si="124">VLOOKUP(K122,D:J,2,false)</f>
        <v>histórico_seleção</v>
      </c>
      <c r="M122" s="59" t="str">
        <f t="shared" si="124"/>
        <v/>
      </c>
      <c r="N122" s="59" t="str">
        <f t="shared" si="3"/>
        <v>2ª fase - 2ª etapa - entrevista</v>
      </c>
      <c r="O122" s="59" t="s">
        <v>15031</v>
      </c>
      <c r="P122" s="59">
        <f t="shared" si="92"/>
        <v>6</v>
      </c>
      <c r="Q122" s="59" t="str">
        <f>IFERROR(__xludf.DUMMYFUNCTION("""COMPUTED_VALUE"""),"Atualmente, sou uma figura central na cena cultural de São Paulo. Minha produtora artística, fundada com o apoio do programa VAI após um período desafiador de maternidade, é um ponto de referência para artistas independentes. Minha dedicação e paixão se r"&amp;"efletem na criação de oportunidades e na promoção de eventos culturais que têm um impacto transformador na vida da minha comunidade. Através de iniciativas culturais, busco continuamente inspirar e apoiar talentos locais, contribuindo para um cenário artí"&amp;"stico mais vibrante e inclusivo.")</f>
        <v>Atualmente, sou uma figura central na cena cultural de São Paulo. Minha produtora artística, fundada com o apoio do programa VAI após um período desafiador de maternidade, é um ponto de referência para artistas independentes. Minha dedicação e paixão se refletem na criação de oportunidades e na promoção de eventos culturais que têm um impacto transformador na vida da minha comunidade. Através de iniciativas culturais, busco continuamente inspirar e apoiar talentos locais, contribuindo para um cenário artístico mais vibrante e inclusivo.</v>
      </c>
    </row>
    <row r="123">
      <c r="A123" s="19" t="s">
        <v>15267</v>
      </c>
      <c r="B123" s="58" t="s">
        <v>15253</v>
      </c>
      <c r="C123" s="59" t="s">
        <v>2074</v>
      </c>
      <c r="D123" s="19" t="s">
        <v>15287</v>
      </c>
      <c r="E123" s="23" t="s">
        <v>15277</v>
      </c>
      <c r="F123" s="59"/>
      <c r="G123" s="59" t="s">
        <v>15285</v>
      </c>
      <c r="H123" s="59"/>
      <c r="I123" s="59">
        <v>6.0</v>
      </c>
      <c r="J123" s="26" t="str">
        <f>IFERROR(__xludf.DUMMYFUNCTION("""COMPUTED_VALUE"""),"hist_sel_carta_apresentacao_para_onde_vou")</f>
        <v>hist_sel_carta_apresentacao_para_onde_vou</v>
      </c>
      <c r="K123" s="59" t="str">
        <f t="shared" si="1"/>
        <v>Carta Apresentação - Para onde vou?</v>
      </c>
      <c r="L123" s="59" t="str">
        <f t="shared" ref="L123:M123" si="125">VLOOKUP(K123,D:J,2,false)</f>
        <v>histórico_seleção</v>
      </c>
      <c r="M123" s="59" t="str">
        <f t="shared" si="125"/>
        <v/>
      </c>
      <c r="N123" s="59" t="str">
        <f t="shared" si="3"/>
        <v>2ª fase - 2ª etapa - entrevista</v>
      </c>
      <c r="O123" s="59" t="s">
        <v>15031</v>
      </c>
      <c r="P123" s="59">
        <f t="shared" si="92"/>
        <v>6</v>
      </c>
      <c r="Q123" s="59" t="str">
        <f>IFERROR(__xludf.DUMMYFUNCTION("""COMPUTED_VALUE"""),"Meu objetivo ao participar do Programa Jovem Monitor Cultural é obter a qualificação necessária para levar minha carreira em produção cultural a um novo patamar. Estou determinada a expandir minhas habilidades, adquirir novos conhecimentos e fortalecer mi"&amp;"nha capacidade de gerir projetos culturais de maior impacto. Com essa qualificação, planejo não apenas continuar meu trabalho atual, mas também explorar novas formas de integrar a cultura na vida da comunidade, promovendo a inclusão e a diversidade. Acred"&amp;"ito que esta oportunidade me permitirá contribuir ainda mais para o desenvolvimento cultural de São Paulo, criando um legado duradouro na minha área de atuação.")</f>
        <v>Meu objetivo ao participar do Programa Jovem Monitor Cultural é obter a qualificação necessária para levar minha carreira em produção cultural a um novo patamar. Estou determinada a expandir minhas habilidades, adquirir novos conhecimentos e fortalecer minha capacidade de gerir projetos culturais de maior impacto. Com essa qualificação, planejo não apenas continuar meu trabalho atual, mas também explorar novas formas de integrar a cultura na vida da comunidade, promovendo a inclusão e a diversidade. Acredito que esta oportunidade me permitirá contribuir ainda mais para o desenvolvimento cultural de São Paulo, criando um legado duradouro na minha área de atuação.</v>
      </c>
    </row>
    <row r="124">
      <c r="A124" s="19" t="s">
        <v>15134</v>
      </c>
      <c r="B124" s="58" t="s">
        <v>15232</v>
      </c>
      <c r="C124" s="59" t="s">
        <v>2075</v>
      </c>
      <c r="D124" s="19" t="s">
        <v>15288</v>
      </c>
      <c r="E124" s="23" t="s">
        <v>15277</v>
      </c>
      <c r="F124" s="59"/>
      <c r="G124" s="59" t="s">
        <v>15285</v>
      </c>
      <c r="H124" s="59"/>
      <c r="I124" s="59">
        <v>6.0</v>
      </c>
      <c r="J124" s="26" t="str">
        <f>IFERROR(__xludf.DUMMYFUNCTION("""COMPUTED_VALUE"""),"hist_sel_data_entrevista_fase2_etapa2")</f>
        <v>hist_sel_data_entrevista_fase2_etapa2</v>
      </c>
      <c r="K124" s="59" t="str">
        <f t="shared" si="1"/>
        <v>[ENTREVISTA] Data</v>
      </c>
      <c r="L124" s="59" t="str">
        <f t="shared" ref="L124:M124" si="126">VLOOKUP(K124,D:J,2,false)</f>
        <v>histórico_seleção</v>
      </c>
      <c r="M124" s="59" t="str">
        <f t="shared" si="126"/>
        <v/>
      </c>
      <c r="N124" s="59" t="str">
        <f t="shared" si="3"/>
        <v>2ª fase - 2ª etapa - entrevista</v>
      </c>
      <c r="O124" s="59" t="s">
        <v>15031</v>
      </c>
      <c r="P124" s="59">
        <f t="shared" si="92"/>
        <v>6</v>
      </c>
      <c r="Q124" s="59" t="str">
        <f>IFERROR(__xludf.DUMMYFUNCTION("""COMPUTED_VALUE"""),"3) Quinta, 26/09")</f>
        <v>3) Quinta, 26/09</v>
      </c>
    </row>
    <row r="125">
      <c r="A125" s="19" t="s">
        <v>15142</v>
      </c>
      <c r="B125" s="58" t="s">
        <v>15235</v>
      </c>
      <c r="C125" s="59" t="s">
        <v>2076</v>
      </c>
      <c r="D125" s="19" t="s">
        <v>15289</v>
      </c>
      <c r="E125" s="23" t="s">
        <v>15277</v>
      </c>
      <c r="F125" s="59"/>
      <c r="G125" s="59" t="s">
        <v>15285</v>
      </c>
      <c r="H125" s="59"/>
      <c r="I125" s="59">
        <v>6.0</v>
      </c>
      <c r="J125" s="26" t="str">
        <f>IFERROR(__xludf.DUMMYFUNCTION("""COMPUTED_VALUE"""),"hist_sel_horario_entrevista_fase2_etapa2")</f>
        <v>hist_sel_horario_entrevista_fase2_etapa2</v>
      </c>
      <c r="K125" s="59" t="str">
        <f t="shared" si="1"/>
        <v>[ENTREVISTA] Horário</v>
      </c>
      <c r="L125" s="59" t="str">
        <f t="shared" ref="L125:M125" si="127">VLOOKUP(K125,D:J,2,false)</f>
        <v>histórico_seleção</v>
      </c>
      <c r="M125" s="59" t="str">
        <f t="shared" si="127"/>
        <v/>
      </c>
      <c r="N125" s="59" t="str">
        <f t="shared" si="3"/>
        <v>2ª fase - 2ª etapa - entrevista</v>
      </c>
      <c r="O125" s="59" t="s">
        <v>15031</v>
      </c>
      <c r="P125" s="59">
        <f t="shared" si="92"/>
        <v>6</v>
      </c>
      <c r="Q125" s="59" t="str">
        <f>IFERROR(__xludf.DUMMYFUNCTION("""COMPUTED_VALUE"""),"16h às 16h40")</f>
        <v>16h às 16h40</v>
      </c>
    </row>
    <row r="126">
      <c r="A126" s="19" t="s">
        <v>15268</v>
      </c>
      <c r="B126" s="58" t="s">
        <v>15239</v>
      </c>
      <c r="C126" s="59" t="s">
        <v>2077</v>
      </c>
      <c r="D126" s="19" t="s">
        <v>15290</v>
      </c>
      <c r="E126" s="23" t="s">
        <v>15277</v>
      </c>
      <c r="F126" s="59"/>
      <c r="G126" s="59" t="s">
        <v>15285</v>
      </c>
      <c r="H126" s="59" t="s">
        <v>15051</v>
      </c>
      <c r="I126" s="59">
        <v>6.0</v>
      </c>
      <c r="J126" s="26" t="str">
        <f>IFERROR(__xludf.DUMMYFUNCTION("""COMPUTED_VALUE"""),"hist_sel_inserir_link_video_apresentacao")</f>
        <v>hist_sel_inserir_link_video_apresentacao</v>
      </c>
      <c r="K126" s="59" t="str">
        <f t="shared" si="1"/>
        <v>Inserir link do vídeo de apresentação</v>
      </c>
      <c r="L126" s="59" t="str">
        <f t="shared" ref="L126:M126" si="128">VLOOKUP(K126,D:J,2,false)</f>
        <v>histórico_seleção</v>
      </c>
      <c r="M126" s="59" t="str">
        <f t="shared" si="128"/>
        <v/>
      </c>
      <c r="N126" s="59" t="str">
        <f t="shared" si="3"/>
        <v>2ª fase - 2ª etapa - entrevista</v>
      </c>
      <c r="O126" s="59" t="s">
        <v>15031</v>
      </c>
      <c r="P126" s="59">
        <f t="shared" si="92"/>
        <v>6</v>
      </c>
      <c r="Q126" s="59"/>
    </row>
    <row r="127">
      <c r="A127" s="19" t="s">
        <v>15130</v>
      </c>
      <c r="B127" s="58" t="s">
        <v>15241</v>
      </c>
      <c r="C127" s="59" t="s">
        <v>2078</v>
      </c>
      <c r="D127" s="19" t="s">
        <v>15291</v>
      </c>
      <c r="E127" s="23" t="s">
        <v>15277</v>
      </c>
      <c r="F127" s="59"/>
      <c r="G127" s="59" t="s">
        <v>15285</v>
      </c>
      <c r="H127" s="59"/>
      <c r="I127" s="59">
        <v>6.0</v>
      </c>
      <c r="J127" s="26" t="str">
        <f>IFERROR(__xludf.DUMMYFUNCTION("""COMPUTED_VALUE"""),"hist_sel_reagendamento_turma")</f>
        <v>hist_sel_reagendamento_turma</v>
      </c>
      <c r="K127" s="59" t="str">
        <f t="shared" si="1"/>
        <v>Reagendamento (Turma)</v>
      </c>
      <c r="L127" s="59" t="str">
        <f t="shared" ref="L127:M127" si="129">VLOOKUP(K127,D:J,2,false)</f>
        <v>histórico_seleção</v>
      </c>
      <c r="M127" s="59" t="str">
        <f t="shared" si="129"/>
        <v/>
      </c>
      <c r="N127" s="59" t="str">
        <f t="shared" si="3"/>
        <v>2ª fase - 2ª etapa - entrevista</v>
      </c>
      <c r="O127" s="59" t="s">
        <v>15031</v>
      </c>
      <c r="P127" s="59">
        <f t="shared" si="92"/>
        <v>6</v>
      </c>
      <c r="Q127" s="59"/>
    </row>
    <row r="128">
      <c r="A128" s="19" t="s">
        <v>15137</v>
      </c>
      <c r="B128" s="58" t="s">
        <v>15227</v>
      </c>
      <c r="C128" s="59" t="s">
        <v>2079</v>
      </c>
      <c r="D128" s="19" t="s">
        <v>15292</v>
      </c>
      <c r="E128" s="23" t="s">
        <v>15277</v>
      </c>
      <c r="F128" s="59"/>
      <c r="G128" s="59" t="s">
        <v>15285</v>
      </c>
      <c r="H128" s="59"/>
      <c r="I128" s="59">
        <v>6.0</v>
      </c>
      <c r="J128" s="26" t="str">
        <f>IFERROR(__xludf.DUMMYFUNCTION("""COMPUTED_VALUE"""),"hist_sel_sala_entrevista_fase2_etapa2")</f>
        <v>hist_sel_sala_entrevista_fase2_etapa2</v>
      </c>
      <c r="K128" s="59" t="str">
        <f t="shared" si="1"/>
        <v>[ENTREVISTA] Sala</v>
      </c>
      <c r="L128" s="59" t="str">
        <f t="shared" ref="L128:M128" si="130">VLOOKUP(K128,D:J,2,false)</f>
        <v>histórico_seleção</v>
      </c>
      <c r="M128" s="59" t="str">
        <f t="shared" si="130"/>
        <v/>
      </c>
      <c r="N128" s="59" t="str">
        <f t="shared" si="3"/>
        <v>2ª fase - 2ª etapa - entrevista</v>
      </c>
      <c r="O128" s="59" t="s">
        <v>15031</v>
      </c>
      <c r="P128" s="59">
        <f t="shared" si="92"/>
        <v>6</v>
      </c>
      <c r="Q128" s="59" t="str">
        <f>IFERROR(__xludf.DUMMYFUNCTION("""COMPUTED_VALUE"""),"SEDE PJMC")</f>
        <v>SEDE PJMC</v>
      </c>
    </row>
    <row r="129">
      <c r="A129" s="19" t="s">
        <v>13936</v>
      </c>
      <c r="B129" s="58" t="s">
        <v>15025</v>
      </c>
      <c r="C129" s="59" t="s">
        <v>2080</v>
      </c>
      <c r="D129" s="19" t="s">
        <v>15293</v>
      </c>
      <c r="E129" s="23" t="s">
        <v>15277</v>
      </c>
      <c r="F129" s="59"/>
      <c r="G129" s="59" t="s">
        <v>15285</v>
      </c>
      <c r="H129" s="59"/>
      <c r="I129" s="59">
        <v>6.0</v>
      </c>
      <c r="J129" s="26" t="str">
        <f>IFERROR(__xludf.DUMMYFUNCTION("""COMPUTED_VALUE"""),"hist_sel_turma_entrevista_fase2_etapa2")</f>
        <v>hist_sel_turma_entrevista_fase2_etapa2</v>
      </c>
      <c r="K129" s="59" t="str">
        <f t="shared" si="1"/>
        <v>[ENTREVISTA] Turma (1 a 16)</v>
      </c>
      <c r="L129" s="59" t="str">
        <f t="shared" ref="L129:M129" si="131">VLOOKUP(K129,D:J,2,false)</f>
        <v>histórico_seleção</v>
      </c>
      <c r="M129" s="59" t="str">
        <f t="shared" si="131"/>
        <v/>
      </c>
      <c r="N129" s="59" t="str">
        <f t="shared" si="3"/>
        <v>2ª fase - 2ª etapa - entrevista</v>
      </c>
      <c r="O129" s="59" t="s">
        <v>15069</v>
      </c>
      <c r="P129" s="59">
        <f t="shared" si="92"/>
        <v>6</v>
      </c>
      <c r="Q129" s="59">
        <f>IFERROR(__xludf.DUMMYFUNCTION("""COMPUTED_VALUE"""),12.0)</f>
        <v>12</v>
      </c>
    </row>
    <row r="130">
      <c r="A130" s="19" t="s">
        <v>15294</v>
      </c>
      <c r="B130" s="58" t="s">
        <v>15027</v>
      </c>
      <c r="C130" s="59" t="s">
        <v>2081</v>
      </c>
      <c r="D130" s="19" t="s">
        <v>15101</v>
      </c>
      <c r="E130" s="23" t="s">
        <v>15087</v>
      </c>
      <c r="F130" s="6"/>
      <c r="G130" s="59" t="s">
        <v>15098</v>
      </c>
      <c r="H130" s="59"/>
      <c r="I130" s="59" t="s">
        <v>15124</v>
      </c>
      <c r="J130" s="26" t="str">
        <f>IFERROR(__xludf.DUMMYFUNCTION("""COMPUTED_VALUE"""),"dup_avc_c2_fase1")</f>
        <v>dup_avc_c2_fase1</v>
      </c>
      <c r="K130" s="59" t="str">
        <f t="shared" si="1"/>
        <v>C2</v>
      </c>
      <c r="L130" s="59" t="str">
        <f t="shared" ref="L130:M130" si="132">VLOOKUP(K130,D:J,2,false)</f>
        <v>avaliação_classificação</v>
      </c>
      <c r="M130" s="59" t="str">
        <f t="shared" si="132"/>
        <v/>
      </c>
      <c r="N130" s="59" t="str">
        <f t="shared" si="3"/>
        <v>1ª fase </v>
      </c>
      <c r="O130" s="59" t="s">
        <v>15069</v>
      </c>
      <c r="P130" s="59" t="str">
        <f t="shared" si="92"/>
        <v>dup</v>
      </c>
      <c r="Q130" s="59">
        <f>IFERROR(__xludf.DUMMYFUNCTION("""COMPUTED_VALUE"""),10.0)</f>
        <v>10</v>
      </c>
    </row>
    <row r="131">
      <c r="A131" s="23" t="s">
        <v>15295</v>
      </c>
      <c r="B131" s="58" t="s">
        <v>15296</v>
      </c>
      <c r="C131" s="59" t="s">
        <v>2082</v>
      </c>
      <c r="D131" s="79" t="s">
        <v>15297</v>
      </c>
      <c r="E131" s="23" t="s">
        <v>15087</v>
      </c>
      <c r="F131" s="6"/>
      <c r="G131" s="59" t="s">
        <v>15098</v>
      </c>
      <c r="H131" s="6"/>
      <c r="I131" s="59" t="s">
        <v>15124</v>
      </c>
      <c r="J131" s="26" t="str">
        <f>IFERROR(__xludf.DUMMYFUNCTION("""COMPUTED_VALUE"""),"dup_diversidade")</f>
        <v>dup_diversidade</v>
      </c>
      <c r="K131" s="59" t="str">
        <f t="shared" si="1"/>
        <v>diversidade</v>
      </c>
      <c r="L131" s="59" t="str">
        <f t="shared" ref="L131:M131" si="133">VLOOKUP(K131,D:J,2,false)</f>
        <v>avaliação_classificação</v>
      </c>
      <c r="M131" s="59" t="str">
        <f t="shared" si="133"/>
        <v/>
      </c>
      <c r="N131" s="59" t="str">
        <f t="shared" si="3"/>
        <v>1ª fase </v>
      </c>
      <c r="O131" s="59" t="s">
        <v>15069</v>
      </c>
      <c r="P131" s="59" t="str">
        <f t="shared" si="92"/>
        <v>dup</v>
      </c>
      <c r="Q131" s="59">
        <f>IFERROR(__xludf.DUMMYFUNCTION("""COMPUTED_VALUE"""),0.0)</f>
        <v>0</v>
      </c>
    </row>
    <row r="132">
      <c r="A132" s="23" t="s">
        <v>15298</v>
      </c>
      <c r="B132" s="58" t="s">
        <v>15066</v>
      </c>
      <c r="C132" s="59" t="s">
        <v>2083</v>
      </c>
      <c r="D132" s="79" t="s">
        <v>15299</v>
      </c>
      <c r="E132" s="23" t="s">
        <v>15087</v>
      </c>
      <c r="F132" s="6"/>
      <c r="G132" s="59" t="s">
        <v>15098</v>
      </c>
      <c r="H132" s="6"/>
      <c r="I132" s="59" t="s">
        <v>15124</v>
      </c>
      <c r="J132" s="26" t="str">
        <f>IFERROR(__xludf.DUMMYFUNCTION("""COMPUTED_VALUE"""),"dup_escolaridade")</f>
        <v>dup_escolaridade</v>
      </c>
      <c r="K132" s="59" t="str">
        <f t="shared" si="1"/>
        <v>escolaridade</v>
      </c>
      <c r="L132" s="59" t="str">
        <f t="shared" ref="L132:M132" si="134">VLOOKUP(K132,D:J,2,false)</f>
        <v>avaliação_classificação</v>
      </c>
      <c r="M132" s="59" t="str">
        <f t="shared" si="134"/>
        <v/>
      </c>
      <c r="N132" s="59" t="str">
        <f t="shared" si="3"/>
        <v>1ª fase </v>
      </c>
      <c r="O132" s="59" t="s">
        <v>15069</v>
      </c>
      <c r="P132" s="59" t="str">
        <f t="shared" si="92"/>
        <v>dup</v>
      </c>
      <c r="Q132" s="59">
        <f>IFERROR(__xludf.DUMMYFUNCTION("""COMPUTED_VALUE"""),10.0)</f>
        <v>10</v>
      </c>
    </row>
    <row r="133">
      <c r="A133" s="23" t="s">
        <v>15300</v>
      </c>
      <c r="B133" s="58" t="s">
        <v>15082</v>
      </c>
      <c r="C133" s="59" t="s">
        <v>2084</v>
      </c>
      <c r="D133" s="79" t="s">
        <v>15301</v>
      </c>
      <c r="E133" s="23" t="s">
        <v>15087</v>
      </c>
      <c r="F133" s="6"/>
      <c r="G133" s="59" t="s">
        <v>15098</v>
      </c>
      <c r="H133" s="6"/>
      <c r="I133" s="59" t="s">
        <v>15124</v>
      </c>
      <c r="J133" s="26" t="str">
        <f>IFERROR(__xludf.DUMMYFUNCTION("""COMPUTED_VALUE"""),"dup_filhos")</f>
        <v>dup_filhos</v>
      </c>
      <c r="K133" s="59" t="str">
        <f t="shared" si="1"/>
        <v>filhos</v>
      </c>
      <c r="L133" s="59" t="str">
        <f t="shared" ref="L133:M133" si="135">VLOOKUP(K133,D:J,2,false)</f>
        <v>avaliação_classificação</v>
      </c>
      <c r="M133" s="59" t="str">
        <f t="shared" si="135"/>
        <v/>
      </c>
      <c r="N133" s="59" t="str">
        <f t="shared" si="3"/>
        <v>1ª fase </v>
      </c>
      <c r="O133" s="59" t="s">
        <v>15069</v>
      </c>
      <c r="P133" s="59" t="str">
        <f t="shared" si="92"/>
        <v>dup</v>
      </c>
      <c r="Q133" s="59">
        <f>IFERROR(__xludf.DUMMYFUNCTION("""COMPUTED_VALUE"""),3.0)</f>
        <v>3</v>
      </c>
    </row>
    <row r="134">
      <c r="A134" s="23" t="s">
        <v>15302</v>
      </c>
      <c r="B134" s="58" t="s">
        <v>15079</v>
      </c>
      <c r="C134" s="59" t="s">
        <v>2085</v>
      </c>
      <c r="D134" s="79" t="s">
        <v>15303</v>
      </c>
      <c r="E134" s="23" t="s">
        <v>15087</v>
      </c>
      <c r="F134" s="6"/>
      <c r="G134" s="59" t="s">
        <v>15098</v>
      </c>
      <c r="H134" s="6"/>
      <c r="I134" s="59" t="s">
        <v>15124</v>
      </c>
      <c r="J134" s="26" t="str">
        <f>IFERROR(__xludf.DUMMYFUNCTION("""COMPUTED_VALUE"""),"dup_renda")</f>
        <v>dup_renda</v>
      </c>
      <c r="K134" s="59" t="str">
        <f t="shared" si="1"/>
        <v>renda</v>
      </c>
      <c r="L134" s="59" t="str">
        <f t="shared" ref="L134:M134" si="136">VLOOKUP(K134,D:J,2,false)</f>
        <v>avaliação_classificação</v>
      </c>
      <c r="M134" s="59" t="str">
        <f t="shared" si="136"/>
        <v/>
      </c>
      <c r="N134" s="59" t="str">
        <f t="shared" si="3"/>
        <v>1ª fase </v>
      </c>
      <c r="O134" s="59" t="s">
        <v>15069</v>
      </c>
      <c r="P134" s="59" t="str">
        <f t="shared" si="92"/>
        <v>dup</v>
      </c>
      <c r="Q134" s="59">
        <f>IFERROR(__xludf.DUMMYFUNCTION("""COMPUTED_VALUE"""),20.0)</f>
        <v>20</v>
      </c>
    </row>
    <row r="135">
      <c r="A135" s="23" t="s">
        <v>15304</v>
      </c>
      <c r="B135" s="58" t="s">
        <v>15070</v>
      </c>
      <c r="C135" s="59" t="s">
        <v>2086</v>
      </c>
      <c r="D135" s="79" t="s">
        <v>15305</v>
      </c>
      <c r="E135" s="23" t="s">
        <v>15277</v>
      </c>
      <c r="F135" s="59"/>
      <c r="G135" s="59" t="s">
        <v>15115</v>
      </c>
      <c r="H135" s="6"/>
      <c r="I135" s="59" t="s">
        <v>15124</v>
      </c>
      <c r="J135" s="26" t="str">
        <f>IFERROR(__xludf.DUMMYFUNCTION("""COMPUTED_VALUE"""),"dup_dinamica")</f>
        <v>dup_dinamica</v>
      </c>
      <c r="K135" s="59" t="str">
        <f t="shared" si="1"/>
        <v>dinâmica</v>
      </c>
      <c r="L135" s="59" t="str">
        <f t="shared" ref="L135:M135" si="137">VLOOKUP(K135,D:J,2,false)</f>
        <v>histórico_seleção</v>
      </c>
      <c r="M135" s="59" t="str">
        <f t="shared" si="137"/>
        <v/>
      </c>
      <c r="N135" s="59" t="str">
        <f t="shared" si="3"/>
        <v>2ª fase - 1ª etapa - dinâmica</v>
      </c>
      <c r="O135" s="59" t="s">
        <v>15031</v>
      </c>
      <c r="P135" s="59" t="str">
        <f t="shared" si="92"/>
        <v>dup</v>
      </c>
      <c r="Q135" s="59" t="str">
        <f>IFERROR(__xludf.DUMMYFUNCTION("""COMPUTED_VALUE"""),"LESTE")</f>
        <v>LESTE</v>
      </c>
    </row>
    <row r="136">
      <c r="A136" s="19" t="s">
        <v>15171</v>
      </c>
      <c r="B136" s="58" t="s">
        <v>15076</v>
      </c>
      <c r="C136" s="59" t="s">
        <v>2087</v>
      </c>
      <c r="D136" s="19" t="s">
        <v>15278</v>
      </c>
      <c r="E136" s="23" t="s">
        <v>15277</v>
      </c>
      <c r="F136" s="59"/>
      <c r="G136" s="59" t="s">
        <v>15115</v>
      </c>
      <c r="H136" s="59"/>
      <c r="I136" s="59" t="s">
        <v>15124</v>
      </c>
      <c r="J136" s="26" t="str">
        <f>IFERROR(__xludf.DUMMYFUNCTION("""COMPUTED_VALUE"""),"dup_hist_sel_data_dinamica")</f>
        <v>dup_hist_sel_data_dinamica</v>
      </c>
      <c r="K136" s="59" t="str">
        <f t="shared" si="1"/>
        <v>Data</v>
      </c>
      <c r="L136" s="59" t="str">
        <f t="shared" ref="L136:M136" si="138">VLOOKUP(K136,D:J,2,false)</f>
        <v>histórico_seleção</v>
      </c>
      <c r="M136" s="59" t="str">
        <f t="shared" si="138"/>
        <v/>
      </c>
      <c r="N136" s="59" t="str">
        <f t="shared" si="3"/>
        <v>2ª fase - 1ª etapa - dinâmica</v>
      </c>
      <c r="O136" s="59" t="s">
        <v>15056</v>
      </c>
      <c r="P136" s="59" t="str">
        <f t="shared" si="92"/>
        <v>dup</v>
      </c>
      <c r="Q136" s="80">
        <f>IFERROR(__xludf.DUMMYFUNCTION("""COMPUTED_VALUE"""),45533.0)</f>
        <v>45533</v>
      </c>
    </row>
    <row r="137">
      <c r="A137" s="19" t="s">
        <v>15168</v>
      </c>
      <c r="B137" s="58" t="s">
        <v>15073</v>
      </c>
      <c r="C137" s="59" t="s">
        <v>2088</v>
      </c>
      <c r="D137" s="19" t="s">
        <v>15279</v>
      </c>
      <c r="E137" s="23" t="s">
        <v>15277</v>
      </c>
      <c r="F137" s="59"/>
      <c r="G137" s="59" t="s">
        <v>15115</v>
      </c>
      <c r="H137" s="59"/>
      <c r="I137" s="59" t="s">
        <v>15124</v>
      </c>
      <c r="J137" s="26" t="str">
        <f>IFERROR(__xludf.DUMMYFUNCTION("""COMPUTED_VALUE"""),"dup_hist_sel_dinamica")</f>
        <v>dup_hist_sel_dinamica</v>
      </c>
      <c r="K137" s="59" t="str">
        <f t="shared" si="1"/>
        <v>Dinâmica</v>
      </c>
      <c r="L137" s="59" t="str">
        <f t="shared" ref="L137:M137" si="139">VLOOKUP(K137,D:J,2,false)</f>
        <v>histórico_seleção</v>
      </c>
      <c r="M137" s="59" t="str">
        <f t="shared" si="139"/>
        <v/>
      </c>
      <c r="N137" s="59" t="str">
        <f t="shared" si="3"/>
        <v>2ª fase - 1ª etapa - dinâmica</v>
      </c>
      <c r="O137" s="59" t="s">
        <v>15031</v>
      </c>
      <c r="P137" s="59" t="str">
        <f t="shared" si="92"/>
        <v>dup</v>
      </c>
      <c r="Q137" s="59" t="str">
        <f>IFERROR(__xludf.DUMMYFUNCTION("""COMPUTED_VALUE"""),"LESTE")</f>
        <v>LESTE</v>
      </c>
    </row>
    <row r="138">
      <c r="A138" s="19" t="s">
        <v>15174</v>
      </c>
      <c r="B138" s="58" t="s">
        <v>15089</v>
      </c>
      <c r="C138" s="59" t="s">
        <v>2089</v>
      </c>
      <c r="D138" s="19" t="s">
        <v>15280</v>
      </c>
      <c r="E138" s="23" t="s">
        <v>15277</v>
      </c>
      <c r="F138" s="59"/>
      <c r="G138" s="59" t="s">
        <v>15115</v>
      </c>
      <c r="H138" s="59"/>
      <c r="I138" s="59" t="s">
        <v>15124</v>
      </c>
      <c r="J138" s="26" t="str">
        <f>IFERROR(__xludf.DUMMYFUNCTION("""COMPUTED_VALUE"""),"dup_hist_sel_horario_dinamica")</f>
        <v>dup_hist_sel_horario_dinamica</v>
      </c>
      <c r="K138" s="59" t="str">
        <f t="shared" si="1"/>
        <v>Horário </v>
      </c>
      <c r="L138" s="59" t="str">
        <f t="shared" ref="L138:M138" si="140">VLOOKUP(K138,D:J,2,false)</f>
        <v>histórico_seleção</v>
      </c>
      <c r="M138" s="59" t="str">
        <f t="shared" si="140"/>
        <v/>
      </c>
      <c r="N138" s="59" t="str">
        <f t="shared" si="3"/>
        <v>2ª fase - 1ª etapa - dinâmica</v>
      </c>
      <c r="O138" s="59" t="s">
        <v>15031</v>
      </c>
      <c r="P138" s="59" t="str">
        <f t="shared" si="92"/>
        <v>dup</v>
      </c>
      <c r="Q138" s="59" t="str">
        <f>IFERROR(__xludf.DUMMYFUNCTION("""COMPUTED_VALUE"""),"09h às 13h")</f>
        <v>09h às 13h</v>
      </c>
    </row>
    <row r="139">
      <c r="A139" s="19" t="s">
        <v>15176</v>
      </c>
      <c r="B139" s="58" t="s">
        <v>15294</v>
      </c>
      <c r="C139" s="59" t="s">
        <v>2090</v>
      </c>
      <c r="D139" s="19" t="s">
        <v>15281</v>
      </c>
      <c r="E139" s="23" t="s">
        <v>15277</v>
      </c>
      <c r="F139" s="59"/>
      <c r="G139" s="59" t="s">
        <v>15115</v>
      </c>
      <c r="H139" s="59"/>
      <c r="I139" s="59" t="s">
        <v>15124</v>
      </c>
      <c r="J139" s="26" t="str">
        <f>IFERROR(__xludf.DUMMYFUNCTION("""COMPUTED_VALUE"""),"dup_hist_sel_local_dinamica")</f>
        <v>dup_hist_sel_local_dinamica</v>
      </c>
      <c r="K139" s="59" t="str">
        <f t="shared" si="1"/>
        <v>Local</v>
      </c>
      <c r="L139" s="59" t="str">
        <f t="shared" ref="L139:M139" si="141">VLOOKUP(K139,D:J,2,false)</f>
        <v>histórico_seleção</v>
      </c>
      <c r="M139" s="59" t="str">
        <f t="shared" si="141"/>
        <v/>
      </c>
      <c r="N139" s="59" t="str">
        <f t="shared" si="3"/>
        <v>2ª fase - 1ª etapa - dinâmica</v>
      </c>
      <c r="O139" s="59" t="s">
        <v>15031</v>
      </c>
      <c r="P139" s="59" t="str">
        <f t="shared" si="92"/>
        <v>dup</v>
      </c>
      <c r="Q139" s="59" t="str">
        <f>IFERROR(__xludf.DUMMYFUNCTION("""COMPUTED_VALUE"""),"CENTRO CULTURAL DA PENHA")</f>
        <v>CENTRO CULTURAL DA PENHA</v>
      </c>
    </row>
    <row r="140">
      <c r="A140" s="23" t="s">
        <v>15306</v>
      </c>
      <c r="B140" s="58" t="s">
        <v>15307</v>
      </c>
      <c r="C140" s="59" t="s">
        <v>2092</v>
      </c>
      <c r="D140" s="79" t="s">
        <v>15308</v>
      </c>
      <c r="E140" s="23" t="s">
        <v>15277</v>
      </c>
      <c r="F140" s="59"/>
      <c r="G140" s="59" t="s">
        <v>15285</v>
      </c>
      <c r="H140" s="6"/>
      <c r="I140" s="59" t="s">
        <v>15124</v>
      </c>
      <c r="J140" s="26" t="str">
        <f>IFERROR(__xludf.DUMMYFUNCTION("""COMPUTED_VALUE"""),"avc_total_fase2_dinâmica")</f>
        <v>avc_total_fase2_dinâmica</v>
      </c>
      <c r="K140" s="59" t="str">
        <f t="shared" si="1"/>
        <v>Total</v>
      </c>
      <c r="L140" s="59" t="str">
        <f t="shared" ref="L140:M140" si="142">VLOOKUP(K140,D:J,2,false)</f>
        <v>avaliação_classificação</v>
      </c>
      <c r="M140" s="59" t="str">
        <f t="shared" si="142"/>
        <v/>
      </c>
      <c r="N140" s="59" t="str">
        <f t="shared" si="3"/>
        <v>1ª fase </v>
      </c>
      <c r="O140" s="59" t="s">
        <v>15125</v>
      </c>
      <c r="P140" s="59" t="s">
        <v>15124</v>
      </c>
      <c r="Q140" s="78">
        <f>IFERROR(__xludf.DUMMYFUNCTION("""COMPUTED_VALUE"""),15.0)</f>
        <v>15</v>
      </c>
    </row>
    <row r="141">
      <c r="A141" s="27" t="s">
        <v>15296</v>
      </c>
      <c r="B141" s="58" t="s">
        <v>15136</v>
      </c>
      <c r="C141" s="59" t="s">
        <v>2093</v>
      </c>
      <c r="D141" s="27" t="s">
        <v>15309</v>
      </c>
      <c r="E141" s="32" t="s">
        <v>15023</v>
      </c>
      <c r="F141" s="70"/>
      <c r="G141" s="70"/>
      <c r="H141" s="70"/>
      <c r="I141" s="59" t="s">
        <v>15124</v>
      </c>
      <c r="J141" s="26" t="str">
        <f>IFERROR(__xludf.DUMMYFUNCTION("""COMPUTED_VALUE"""),"dup_entrevista")</f>
        <v>dup_entrevista</v>
      </c>
      <c r="K141" s="59" t="str">
        <f t="shared" si="1"/>
        <v>entrevista</v>
      </c>
      <c r="L141" s="59" t="str">
        <f t="shared" ref="L141:M141" si="143">VLOOKUP(K141,D:J,2,false)</f>
        <v>histórico_seleção</v>
      </c>
      <c r="M141" s="59" t="str">
        <f t="shared" si="143"/>
        <v/>
      </c>
      <c r="N141" s="59" t="str">
        <f t="shared" si="3"/>
        <v>2ª fase - 2ª etapa - entrevista</v>
      </c>
      <c r="O141" s="59" t="s">
        <v>15125</v>
      </c>
      <c r="P141" s="59" t="str">
        <f t="shared" ref="P141:P160" si="145">VLOOKUP($J141,$C:$I,7,false)</f>
        <v>dup</v>
      </c>
      <c r="Q141" s="59">
        <f>IFERROR(__xludf.DUMMYFUNCTION("""COMPUTED_VALUE"""),45.0)</f>
        <v>45</v>
      </c>
    </row>
    <row r="142">
      <c r="A142" s="27" t="s">
        <v>15208</v>
      </c>
      <c r="B142" s="58" t="s">
        <v>15147</v>
      </c>
      <c r="C142" s="59" t="s">
        <v>2094</v>
      </c>
      <c r="D142" s="27" t="s">
        <v>15151</v>
      </c>
      <c r="E142" s="23" t="s">
        <v>15030</v>
      </c>
      <c r="F142" s="59">
        <v>1.0</v>
      </c>
      <c r="G142" s="6"/>
      <c r="H142" s="6"/>
      <c r="I142" s="59" t="s">
        <v>15124</v>
      </c>
      <c r="J142" s="26" t="str">
        <f>IFERROR(__xludf.DUMMYFUNCTION("""COMPUTED_VALUE"""),"dup_ace_cond_declaro_familia_baixa_renda")</f>
        <v>dup_ace_cond_declaro_familia_baixa_renda</v>
      </c>
      <c r="K142" s="59" t="str">
        <f t="shared" si="1"/>
        <v>Declaro para o fim específico de atender ao edital do processo seletivo, que sou (informe se preto, pardo ou indígena</v>
      </c>
      <c r="L142" s="59" t="str">
        <f t="shared" ref="L142:M142" si="144">VLOOKUP(K142,D:J,2,false)</f>
        <v>aceite_condições</v>
      </c>
      <c r="M142" s="59" t="str">
        <f t="shared" si="144"/>
        <v/>
      </c>
      <c r="N142" s="59" t="str">
        <f t="shared" si="3"/>
        <v/>
      </c>
      <c r="O142" s="59" t="s">
        <v>15024</v>
      </c>
      <c r="P142" s="59" t="str">
        <f t="shared" si="145"/>
        <v>dup</v>
      </c>
      <c r="Q142" s="59" t="str">
        <f>IFERROR(__xludf.DUMMYFUNCTION("""COMPUTED_VALUE"""),"on")</f>
        <v>on</v>
      </c>
    </row>
    <row r="143">
      <c r="A143" s="27" t="s">
        <v>15236</v>
      </c>
      <c r="B143" s="58" t="s">
        <v>15139</v>
      </c>
      <c r="C143" s="59" t="s">
        <v>2095</v>
      </c>
      <c r="D143" s="27" t="s">
        <v>15152</v>
      </c>
      <c r="E143" s="23" t="s">
        <v>15030</v>
      </c>
      <c r="F143" s="59">
        <v>1.0</v>
      </c>
      <c r="G143" s="6"/>
      <c r="H143" s="6"/>
      <c r="I143" s="59" t="s">
        <v>15124</v>
      </c>
      <c r="J143" s="26" t="str">
        <f>IFERROR(__xludf.DUMMYFUNCTION("""COMPUTED_VALUE"""),"dup_dc_autodeclaracao_cor_raca_etnia")</f>
        <v>dup_dc_autodeclaracao_cor_raca_etnia</v>
      </c>
      <c r="K143" s="59" t="str">
        <f t="shared" si="1"/>
        <v>Autodeclaração de cor/raça/etnia</v>
      </c>
      <c r="L143" s="59" t="str">
        <f t="shared" ref="L143:M143" si="146">VLOOKUP(K143,D:J,2,false)</f>
        <v>dados_cadastrais</v>
      </c>
      <c r="M143" s="59">
        <f t="shared" si="146"/>
        <v>1</v>
      </c>
      <c r="N143" s="59" t="str">
        <f t="shared" si="3"/>
        <v/>
      </c>
      <c r="O143" s="59" t="s">
        <v>15031</v>
      </c>
      <c r="P143" s="59" t="str">
        <f t="shared" si="145"/>
        <v>dup</v>
      </c>
      <c r="Q143" s="59" t="str">
        <f>IFERROR(__xludf.DUMMYFUNCTION("""COMPUTED_VALUE"""),"Parda")</f>
        <v>Parda</v>
      </c>
    </row>
    <row r="144">
      <c r="A144" s="27" t="s">
        <v>15192</v>
      </c>
      <c r="B144" s="58" t="s">
        <v>15149</v>
      </c>
      <c r="C144" s="59" t="s">
        <v>2096</v>
      </c>
      <c r="D144" s="27" t="s">
        <v>2</v>
      </c>
      <c r="E144" s="32" t="s">
        <v>15030</v>
      </c>
      <c r="F144" s="69">
        <v>1.0</v>
      </c>
      <c r="G144" s="70"/>
      <c r="H144" s="70"/>
      <c r="I144" s="59" t="s">
        <v>15124</v>
      </c>
      <c r="J144" s="26" t="str">
        <f>IFERROR(__xludf.DUMMYFUNCTION("""COMPUTED_VALUE"""),"dup_dc_bairro")</f>
        <v>dup_dc_bairro</v>
      </c>
      <c r="K144" s="59" t="str">
        <f t="shared" si="1"/>
        <v>Bairro</v>
      </c>
      <c r="L144" s="59" t="str">
        <f t="shared" ref="L144:M144" si="147">VLOOKUP(K144,D:J,2,false)</f>
        <v>dados_cadastrais</v>
      </c>
      <c r="M144" s="59">
        <f t="shared" si="147"/>
        <v>1</v>
      </c>
      <c r="N144" s="59" t="str">
        <f t="shared" si="3"/>
        <v/>
      </c>
      <c r="O144" s="59" t="s">
        <v>15031</v>
      </c>
      <c r="P144" s="59" t="str">
        <f t="shared" si="145"/>
        <v>dup</v>
      </c>
      <c r="Q144" s="59" t="str">
        <f>IFERROR(__xludf.DUMMYFUNCTION("""COMPUTED_VALUE"""),"Jardim da Laranjeira (Zona Leste)")</f>
        <v>Jardim da Laranjeira (Zona Leste)</v>
      </c>
    </row>
    <row r="145">
      <c r="A145" s="19" t="s">
        <v>15233</v>
      </c>
      <c r="B145" s="58" t="s">
        <v>15141</v>
      </c>
      <c r="C145" s="59" t="s">
        <v>2097</v>
      </c>
      <c r="D145" s="19" t="s">
        <v>15161</v>
      </c>
      <c r="E145" s="23" t="s">
        <v>15030</v>
      </c>
      <c r="F145" s="59">
        <v>1.0</v>
      </c>
      <c r="G145" s="6"/>
      <c r="H145" s="6"/>
      <c r="I145" s="59" t="s">
        <v>15124</v>
      </c>
      <c r="J145" s="26" t="str">
        <f>IFERROR(__xludf.DUMMYFUNCTION("""COMPUTED_VALUE"""),"dup_dc_cpf")</f>
        <v>dup_dc_cpf</v>
      </c>
      <c r="K145" s="59" t="str">
        <f t="shared" si="1"/>
        <v>CPF</v>
      </c>
      <c r="L145" s="59" t="str">
        <f t="shared" ref="L145:M145" si="148">VLOOKUP(K145,D:J,2,false)</f>
        <v>id_chave</v>
      </c>
      <c r="M145" s="59">
        <f t="shared" si="148"/>
        <v>1</v>
      </c>
      <c r="N145" s="59" t="str">
        <f t="shared" si="3"/>
        <v/>
      </c>
      <c r="O145" s="59" t="s">
        <v>15031</v>
      </c>
      <c r="P145" s="59" t="str">
        <f t="shared" si="145"/>
        <v>dup</v>
      </c>
      <c r="Q145" s="59" t="str">
        <f>IFERROR(__xludf.DUMMYFUNCTION("""COMPUTED_VALUE"""),"504.***.***-71")</f>
        <v>504.***.***-71</v>
      </c>
    </row>
    <row r="146">
      <c r="A146" s="19" t="s">
        <v>15198</v>
      </c>
      <c r="B146" s="58" t="s">
        <v>15144</v>
      </c>
      <c r="C146" s="59" t="s">
        <v>2098</v>
      </c>
      <c r="D146" s="19" t="s">
        <v>15163</v>
      </c>
      <c r="E146" s="23" t="s">
        <v>15030</v>
      </c>
      <c r="F146" s="59">
        <v>1.0</v>
      </c>
      <c r="G146" s="6"/>
      <c r="H146" s="6"/>
      <c r="I146" s="59" t="s">
        <v>15124</v>
      </c>
      <c r="J146" s="26" t="str">
        <f>IFERROR(__xludf.DUMMYFUNCTION("""COMPUTED_VALUE"""),"dup_dc_distrito")</f>
        <v>dup_dc_distrito</v>
      </c>
      <c r="K146" s="59" t="str">
        <f t="shared" si="1"/>
        <v>Distrito</v>
      </c>
      <c r="L146" s="59" t="str">
        <f t="shared" ref="L146:M146" si="149">VLOOKUP(K146,D:J,2,false)</f>
        <v>dados_cadastrais</v>
      </c>
      <c r="M146" s="59">
        <f t="shared" si="149"/>
        <v>1</v>
      </c>
      <c r="N146" s="59" t="str">
        <f t="shared" si="3"/>
        <v/>
      </c>
      <c r="O146" s="59" t="s">
        <v>15031</v>
      </c>
      <c r="P146" s="59" t="str">
        <f t="shared" si="145"/>
        <v>dup</v>
      </c>
      <c r="Q146" s="59" t="str">
        <f>IFERROR(__xludf.DUMMYFUNCTION("""COMPUTED_VALUE"""),"SÃO MATEUS")</f>
        <v>SÃO MATEUS</v>
      </c>
    </row>
    <row r="147">
      <c r="A147" s="27" t="s">
        <v>15231</v>
      </c>
      <c r="B147" s="58" t="s">
        <v>15133</v>
      </c>
      <c r="C147" s="59" t="s">
        <v>2099</v>
      </c>
      <c r="D147" s="27" t="s">
        <v>15247</v>
      </c>
      <c r="E147" s="32" t="s">
        <v>15030</v>
      </c>
      <c r="F147" s="69">
        <v>2.0</v>
      </c>
      <c r="G147" s="70"/>
      <c r="H147" s="70"/>
      <c r="I147" s="59" t="s">
        <v>15124</v>
      </c>
      <c r="J147" s="26" t="str">
        <f>IFERROR(__xludf.DUMMYFUNCTION("""COMPUTED_VALUE"""),"dup_dc_identidade_genero")</f>
        <v>dup_dc_identidade_genero</v>
      </c>
      <c r="K147" s="59" t="str">
        <f t="shared" si="1"/>
        <v>Identidade de gênero</v>
      </c>
      <c r="L147" s="59" t="str">
        <f t="shared" ref="L147:M147" si="150">VLOOKUP(K147,D:J,2,false)</f>
        <v>dados_cadastrais</v>
      </c>
      <c r="M147" s="59">
        <f t="shared" si="150"/>
        <v>1</v>
      </c>
      <c r="N147" s="59" t="str">
        <f t="shared" si="3"/>
        <v/>
      </c>
      <c r="O147" s="59" t="s">
        <v>15031</v>
      </c>
      <c r="P147" s="59" t="str">
        <f t="shared" si="145"/>
        <v>dup</v>
      </c>
      <c r="Q147" s="59" t="str">
        <f>IFERROR(__xludf.DUMMYFUNCTION("""COMPUTED_VALUE"""),"Mulher (Cisgênero)")</f>
        <v>Mulher (Cisgênero)</v>
      </c>
    </row>
    <row r="148">
      <c r="A148" s="27" t="s">
        <v>15222</v>
      </c>
      <c r="B148" s="58" t="s">
        <v>15129</v>
      </c>
      <c r="C148" s="59" t="s">
        <v>2100</v>
      </c>
      <c r="D148" s="27" t="s">
        <v>15249</v>
      </c>
      <c r="E148" s="32" t="s">
        <v>15030</v>
      </c>
      <c r="F148" s="69">
        <v>2.0</v>
      </c>
      <c r="G148" s="70"/>
      <c r="H148" s="70"/>
      <c r="I148" s="59" t="s">
        <v>15124</v>
      </c>
      <c r="J148" s="26" t="str">
        <f>IFERROR(__xludf.DUMMYFUNCTION("""COMPUTED_VALUE"""),"dup_dc_subprefeitura")</f>
        <v>dup_dc_subprefeitura</v>
      </c>
      <c r="K148" s="59" t="str">
        <f t="shared" si="1"/>
        <v>Subprefeitura</v>
      </c>
      <c r="L148" s="59" t="str">
        <f t="shared" ref="L148:M148" si="151">VLOOKUP(K148,D:J,2,false)</f>
        <v>dados_cadastrais</v>
      </c>
      <c r="M148" s="59">
        <f t="shared" si="151"/>
        <v>1</v>
      </c>
      <c r="N148" s="59" t="str">
        <f t="shared" si="3"/>
        <v/>
      </c>
      <c r="O148" s="59" t="s">
        <v>15031</v>
      </c>
      <c r="P148" s="59" t="str">
        <f t="shared" si="145"/>
        <v>dup</v>
      </c>
      <c r="Q148" s="59" t="str">
        <f>IFERROR(__xludf.DUMMYFUNCTION("""COMPUTED_VALUE"""),"SÃO MATEUS (IGUATEMI, SÃO RAFAEL, SÃO MATEUS)")</f>
        <v>SÃO MATEUS (IGUATEMI, SÃO RAFAEL, SÃO MATEUS)</v>
      </c>
    </row>
    <row r="149">
      <c r="A149" s="27" t="s">
        <v>15145</v>
      </c>
      <c r="B149" s="58" t="s">
        <v>15302</v>
      </c>
      <c r="C149" s="59" t="s">
        <v>2101</v>
      </c>
      <c r="D149" s="27" t="s">
        <v>2</v>
      </c>
      <c r="E149" s="32" t="s">
        <v>15044</v>
      </c>
      <c r="F149" s="69">
        <v>1.0</v>
      </c>
      <c r="G149" s="70"/>
      <c r="H149" s="70"/>
      <c r="I149" s="59" t="s">
        <v>15124</v>
      </c>
      <c r="J149" s="26" t="str">
        <f>IFERROR(__xludf.DUMMYFUNCTION("""COMPUTED_VALUE"""),"dup_dc_tipo_deficiencia")</f>
        <v>dup_dc_tipo_deficiencia</v>
      </c>
      <c r="K149" s="59" t="str">
        <f t="shared" si="1"/>
        <v>Tipo de deficiência</v>
      </c>
      <c r="L149" s="59" t="str">
        <f t="shared" ref="L149:M149" si="152">VLOOKUP(K149,D:J,2,false)</f>
        <v>dados_cadastrais</v>
      </c>
      <c r="M149" s="59">
        <f t="shared" si="152"/>
        <v>1</v>
      </c>
      <c r="N149" s="59" t="str">
        <f t="shared" si="3"/>
        <v/>
      </c>
      <c r="O149" s="59" t="s">
        <v>15031</v>
      </c>
      <c r="P149" s="59" t="str">
        <f t="shared" si="145"/>
        <v>dup</v>
      </c>
      <c r="Q149" s="59"/>
    </row>
    <row r="150">
      <c r="A150" s="27" t="s">
        <v>15307</v>
      </c>
      <c r="B150" s="58" t="s">
        <v>15298</v>
      </c>
      <c r="C150" s="59" t="s">
        <v>2102</v>
      </c>
      <c r="D150" s="27" t="s">
        <v>2</v>
      </c>
      <c r="E150" s="32" t="s">
        <v>15044</v>
      </c>
      <c r="F150" s="69">
        <v>1.0</v>
      </c>
      <c r="G150" s="70"/>
      <c r="H150" s="70"/>
      <c r="I150" s="59" t="s">
        <v>15124</v>
      </c>
      <c r="J150" s="26" t="str">
        <f>IFERROR(__xludf.DUMMYFUNCTION("""COMPUTED_VALUE"""),"dup_id_chv_cpf")</f>
        <v>dup_id_chv_cpf</v>
      </c>
      <c r="K150" s="59" t="str">
        <f t="shared" si="1"/>
        <v>CPF</v>
      </c>
      <c r="L150" s="59" t="str">
        <f t="shared" ref="L150:M150" si="153">VLOOKUP(K150,D:J,2,false)</f>
        <v>id_chave</v>
      </c>
      <c r="M150" s="59">
        <f t="shared" si="153"/>
        <v>1</v>
      </c>
      <c r="N150" s="59" t="str">
        <f t="shared" si="3"/>
        <v/>
      </c>
      <c r="O150" s="59" t="s">
        <v>15031</v>
      </c>
      <c r="P150" s="59" t="str">
        <f t="shared" si="145"/>
        <v>dup</v>
      </c>
      <c r="Q150" s="59" t="str">
        <f>IFERROR(__xludf.DUMMYFUNCTION("""COMPUTED_VALUE"""),"504.***.***-71")</f>
        <v>504.***.***-71</v>
      </c>
    </row>
    <row r="151">
      <c r="A151" s="27" t="s">
        <v>15200</v>
      </c>
      <c r="B151" s="58" t="s">
        <v>15310</v>
      </c>
      <c r="C151" s="59" t="s">
        <v>2103</v>
      </c>
      <c r="D151" s="27" t="s">
        <v>15050</v>
      </c>
      <c r="E151" s="32" t="s">
        <v>15044</v>
      </c>
      <c r="F151" s="69">
        <v>1.0</v>
      </c>
      <c r="G151" s="70"/>
      <c r="H151" s="70"/>
      <c r="I151" s="59" t="s">
        <v>15124</v>
      </c>
      <c r="J151" s="26" t="str">
        <f>IFERROR(__xludf.DUMMYFUNCTION("""COMPUTED_VALUE"""),"dup_id_chv_cpf_2")</f>
        <v>dup_id_chv_cpf_2</v>
      </c>
      <c r="K151" s="59" t="str">
        <f t="shared" si="1"/>
        <v>CPF</v>
      </c>
      <c r="L151" s="59" t="str">
        <f t="shared" ref="L151:M151" si="154">VLOOKUP(K151,D:J,2,false)</f>
        <v>id_chave</v>
      </c>
      <c r="M151" s="59">
        <f t="shared" si="154"/>
        <v>1</v>
      </c>
      <c r="N151" s="59" t="str">
        <f t="shared" si="3"/>
        <v/>
      </c>
      <c r="O151" s="59" t="s">
        <v>15031</v>
      </c>
      <c r="P151" s="59" t="str">
        <f t="shared" si="145"/>
        <v>dup</v>
      </c>
      <c r="Q151" s="59" t="str">
        <f>IFERROR(__xludf.DUMMYFUNCTION("""COMPUTED_VALUE"""),"504.***.***-71")</f>
        <v>504.***.***-71</v>
      </c>
    </row>
    <row r="152">
      <c r="A152" s="23" t="s">
        <v>15311</v>
      </c>
      <c r="B152" s="58" t="s">
        <v>15300</v>
      </c>
      <c r="C152" s="59" t="s">
        <v>2104</v>
      </c>
      <c r="D152" s="79" t="s">
        <v>15312</v>
      </c>
      <c r="E152" s="23" t="s">
        <v>15030</v>
      </c>
      <c r="F152" s="59">
        <v>1.0</v>
      </c>
      <c r="G152" s="6"/>
      <c r="H152" s="6"/>
      <c r="I152" s="59" t="s">
        <v>15124</v>
      </c>
      <c r="J152" s="26" t="str">
        <f>IFERROR(__xludf.DUMMYFUNCTION("""COMPUTED_VALUE"""),"dup_id_chv_foto_3_4")</f>
        <v>dup_id_chv_foto_3_4</v>
      </c>
      <c r="K152" s="59" t="str">
        <f t="shared" si="1"/>
        <v>Foto 3/4 (ver especificações da dica</v>
      </c>
      <c r="L152" s="59" t="str">
        <f t="shared" ref="L152:M152" si="155">VLOOKUP(K152,D:J,2,false)</f>
        <v>id_chave</v>
      </c>
      <c r="M152" s="59">
        <f t="shared" si="155"/>
        <v>1</v>
      </c>
      <c r="N152" s="59" t="str">
        <f t="shared" si="3"/>
        <v/>
      </c>
      <c r="O152" s="59" t="s">
        <v>15031</v>
      </c>
      <c r="P152" s="59" t="str">
        <f t="shared" si="145"/>
        <v>dup</v>
      </c>
      <c r="Q152" s="71" t="str">
        <f>IFERROR(__xludf.DUMMYFUNCTION("""COMPUTED_VALUE"""),"https://yz2spukd8h-jbrk7pf7uvw.s3.amazonaws.com/2024/06/0CcKHuZDIU2x6Bn8wZUsbSO1ucMxdNyuH8r7qjY2e9s%3D.jpg")</f>
        <v>https://yz2spukd8h-jbrk7pf7uvw.s3.amazonaws.com/2024/06/0CcKHuZDIU2x6Bn8wZUsbSO1ucMxdNyuH8r7qjY2e9s%3D.jpg</v>
      </c>
    </row>
    <row r="153">
      <c r="A153" s="19" t="s">
        <v>15211</v>
      </c>
      <c r="B153" s="58" t="s">
        <v>15295</v>
      </c>
      <c r="C153" s="59" t="s">
        <v>2105</v>
      </c>
      <c r="D153" s="19" t="s">
        <v>15270</v>
      </c>
      <c r="E153" s="23" t="s">
        <v>15258</v>
      </c>
      <c r="F153" s="6"/>
      <c r="G153" s="6"/>
      <c r="H153" s="6"/>
      <c r="I153" s="59" t="s">
        <v>15124</v>
      </c>
      <c r="J153" s="26" t="str">
        <f>IFERROR(__xludf.DUMMYFUNCTION("""COMPUTED_VALUE"""),"dup_idade")</f>
        <v>dup_idade</v>
      </c>
      <c r="K153" s="59" t="str">
        <f t="shared" si="1"/>
        <v>idade</v>
      </c>
      <c r="L153" s="59" t="str">
        <f t="shared" ref="L153:M153" si="156">VLOOKUP(K153,D:J,2,false)</f>
        <v>dados_cadastrais</v>
      </c>
      <c r="M153" s="59">
        <f t="shared" si="156"/>
        <v>1</v>
      </c>
      <c r="N153" s="59" t="str">
        <f t="shared" si="3"/>
        <v/>
      </c>
      <c r="O153" s="59" t="s">
        <v>15069</v>
      </c>
      <c r="P153" s="59" t="str">
        <f t="shared" si="145"/>
        <v>dup</v>
      </c>
      <c r="Q153" s="59">
        <f>IFERROR(__xludf.DUMMYFUNCTION("""COMPUTED_VALUE"""),8548.0)</f>
        <v>8548</v>
      </c>
    </row>
    <row r="154">
      <c r="A154" s="23" t="s">
        <v>15310</v>
      </c>
      <c r="B154" s="58" t="s">
        <v>15306</v>
      </c>
      <c r="C154" s="59" t="s">
        <v>2106</v>
      </c>
      <c r="D154" s="79" t="s">
        <v>15313</v>
      </c>
      <c r="E154" s="23" t="s">
        <v>15030</v>
      </c>
      <c r="F154" s="59">
        <v>3.0</v>
      </c>
      <c r="G154" s="6"/>
      <c r="H154" s="6"/>
      <c r="I154" s="59" t="s">
        <v>15124</v>
      </c>
      <c r="J154" s="26" t="str">
        <f>IFERROR(__xludf.DUMMYFUNCTION("""COMPUTED_VALUE"""),"dup_opc_insc_concorrer_vagas_pcd")</f>
        <v>dup_opc_insc_concorrer_vagas_pcd</v>
      </c>
      <c r="K154" s="59" t="str">
        <f t="shared" si="1"/>
        <v>Deseja concorrer às vagas destinadas a pessoas com deficiência?</v>
      </c>
      <c r="L154" s="59" t="str">
        <f t="shared" ref="L154:M154" si="157">VLOOKUP(K154,D:J,2,false)</f>
        <v>opções_inscrição</v>
      </c>
      <c r="M154" s="59" t="str">
        <f t="shared" si="157"/>
        <v/>
      </c>
      <c r="N154" s="59" t="str">
        <f t="shared" si="3"/>
        <v/>
      </c>
      <c r="O154" s="59" t="s">
        <v>15024</v>
      </c>
      <c r="P154" s="59" t="str">
        <f t="shared" si="145"/>
        <v>dup</v>
      </c>
      <c r="Q154" s="59" t="str">
        <f>IFERROR(__xludf.DUMMYFUNCTION("""COMPUTED_VALUE"""),"Não")</f>
        <v>Não</v>
      </c>
    </row>
    <row r="155">
      <c r="A155" s="19" t="s">
        <v>15033</v>
      </c>
      <c r="B155" s="58" t="s">
        <v>15304</v>
      </c>
      <c r="C155" s="59" t="s">
        <v>2107</v>
      </c>
      <c r="D155" s="19" t="s">
        <v>15314</v>
      </c>
      <c r="E155" s="23" t="s">
        <v>15044</v>
      </c>
      <c r="F155" s="59">
        <v>0.0</v>
      </c>
      <c r="G155" s="6"/>
      <c r="H155" s="6"/>
      <c r="I155" s="59" t="s">
        <v>15124</v>
      </c>
      <c r="J155" s="26" t="str">
        <f>IFERROR(__xludf.DUMMYFUNCTION("""COMPUTED_VALUE"""),"dup_territorio")</f>
        <v>dup_territorio</v>
      </c>
      <c r="K155" s="59" t="str">
        <f t="shared" si="1"/>
        <v>território</v>
      </c>
      <c r="L155" s="59" t="str">
        <f t="shared" ref="L155:M155" si="158">VLOOKUP(K155,D:J,2,false)</f>
        <v>dados_cadastrais</v>
      </c>
      <c r="M155" s="59">
        <f t="shared" si="158"/>
        <v>1</v>
      </c>
      <c r="N155" s="59" t="str">
        <f t="shared" si="3"/>
        <v/>
      </c>
      <c r="O155" s="59" t="s">
        <v>15069</v>
      </c>
      <c r="P155" s="59" t="str">
        <f t="shared" si="145"/>
        <v>dup</v>
      </c>
      <c r="Q155" s="59">
        <f>IFERROR(__xludf.DUMMYFUNCTION("""COMPUTED_VALUE"""),5.0)</f>
        <v>5</v>
      </c>
    </row>
    <row r="156">
      <c r="A156" s="19" t="s">
        <v>15214</v>
      </c>
      <c r="B156" s="58" t="s">
        <v>15311</v>
      </c>
      <c r="C156" s="59" t="s">
        <v>2108</v>
      </c>
      <c r="D156" s="19" t="s">
        <v>15315</v>
      </c>
      <c r="E156" s="23" t="s">
        <v>15030</v>
      </c>
      <c r="F156" s="59">
        <v>2.0</v>
      </c>
      <c r="G156" s="6"/>
      <c r="H156" s="6"/>
      <c r="I156" s="59" t="s">
        <v>15316</v>
      </c>
      <c r="J156" s="26" t="str">
        <f>IFERROR(__xludf.DUMMYFUNCTION("""COMPUTED_VALUE"""),"id_chv_master_protocolo")</f>
        <v>id_chv_master_protocolo</v>
      </c>
      <c r="K156" s="59" t="str">
        <f t="shared" si="1"/>
        <v>Protocolo </v>
      </c>
      <c r="L156" s="59" t="str">
        <f t="shared" ref="L156:M156" si="159">VLOOKUP(K156,D:J,2,false)</f>
        <v>id_chave</v>
      </c>
      <c r="M156" s="59">
        <f t="shared" si="159"/>
        <v>1</v>
      </c>
      <c r="N156" s="59" t="str">
        <f t="shared" si="3"/>
        <v/>
      </c>
      <c r="O156" s="59" t="s">
        <v>15031</v>
      </c>
      <c r="P156" s="59" t="str">
        <f t="shared" si="145"/>
        <v>dup</v>
      </c>
      <c r="Q156" s="81" t="str">
        <f>IFERROR(__xludf.DUMMYFUNCTION("""COMPUTED_VALUE"""),"32835686")</f>
        <v>32835686</v>
      </c>
    </row>
    <row r="157">
      <c r="A157" s="19"/>
      <c r="B157" s="58" t="s">
        <v>15317</v>
      </c>
      <c r="C157" s="82" t="s">
        <v>2109</v>
      </c>
      <c r="D157" s="23" t="s">
        <v>15318</v>
      </c>
      <c r="E157" s="23" t="s">
        <v>15044</v>
      </c>
      <c r="F157" s="59">
        <v>1.0</v>
      </c>
      <c r="G157" s="6"/>
      <c r="H157" s="6"/>
      <c r="I157" s="59">
        <v>1.0</v>
      </c>
      <c r="J157" s="83" t="str">
        <f>IFERROR(__xludf.DUMMYFUNCTION("""COMPUTED_VALUE"""),"err_dc_numero_cid")</f>
        <v>err_dc_numero_cid</v>
      </c>
      <c r="K157" s="59" t="str">
        <f t="shared" si="1"/>
        <v>Número com Classificação Internacional de Doenças (CID</v>
      </c>
      <c r="L157" s="59" t="str">
        <f t="shared" ref="L157:M157" si="160">VLOOKUP(K157,D:J,2,false)</f>
        <v>dados_cadastrais</v>
      </c>
      <c r="M157" s="59">
        <f t="shared" si="160"/>
        <v>1</v>
      </c>
      <c r="N157" s="59" t="str">
        <f t="shared" si="3"/>
        <v/>
      </c>
      <c r="O157" s="59" t="s">
        <v>15031</v>
      </c>
      <c r="P157" s="59" t="str">
        <f t="shared" si="145"/>
        <v>error</v>
      </c>
      <c r="Q157" s="59" t="str">
        <f>IFERROR(__xludf.DUMMYFUNCTION("""COMPUTED_VALUE"""),"")</f>
        <v/>
      </c>
    </row>
    <row r="158">
      <c r="A158" s="19"/>
      <c r="B158" s="84" t="s">
        <v>15319</v>
      </c>
      <c r="C158" s="82" t="s">
        <v>1980</v>
      </c>
      <c r="D158" s="23" t="s">
        <v>15320</v>
      </c>
      <c r="E158" s="23" t="s">
        <v>15087</v>
      </c>
      <c r="F158" s="6"/>
      <c r="G158" s="59" t="s">
        <v>15098</v>
      </c>
      <c r="H158" s="6"/>
      <c r="I158" s="59">
        <v>2.0</v>
      </c>
      <c r="J158" s="83" t="str">
        <f>IFERROR(__xludf.DUMMYFUNCTION("""COMPUTED_VALUE"""),"id_chv_cpf_master")</f>
        <v>id_chv_cpf_master</v>
      </c>
      <c r="K158" s="59" t="str">
        <f t="shared" si="1"/>
        <v>CPF </v>
      </c>
      <c r="L158" s="59" t="str">
        <f t="shared" ref="L158:M158" si="161">VLOOKUP(K158,D:J,2,false)</f>
        <v>id_chave</v>
      </c>
      <c r="M158" s="59">
        <f t="shared" si="161"/>
        <v>1</v>
      </c>
      <c r="N158" s="59" t="str">
        <f t="shared" si="3"/>
        <v/>
      </c>
      <c r="O158" s="59" t="s">
        <v>15031</v>
      </c>
      <c r="P158" s="59">
        <f t="shared" si="145"/>
        <v>1</v>
      </c>
      <c r="Q158" s="59" t="str">
        <f>IFERROR(__xludf.DUMMYFUNCTION("""COMPUTED_VALUE"""),"504.266.978-71")</f>
        <v>504.266.978-71</v>
      </c>
    </row>
    <row r="159">
      <c r="A159" s="19"/>
      <c r="B159" s="84" t="s">
        <v>15321</v>
      </c>
      <c r="C159" s="82" t="s">
        <v>2110</v>
      </c>
      <c r="D159" s="59" t="s">
        <v>15322</v>
      </c>
      <c r="E159" s="23" t="s">
        <v>15087</v>
      </c>
      <c r="F159" s="59"/>
      <c r="G159" s="59" t="s">
        <v>15132</v>
      </c>
      <c r="H159" s="6"/>
      <c r="I159" s="59">
        <v>2.0</v>
      </c>
      <c r="J159" s="83" t="str">
        <f>IFERROR(__xludf.DUMMYFUNCTION("""COMPUTED_VALUE"""),"avc_final_credenciados")</f>
        <v>avc_final_credenciados</v>
      </c>
      <c r="K159" s="59" t="s">
        <v>15322</v>
      </c>
      <c r="L159" s="59" t="str">
        <f t="shared" ref="L159:M159" si="162">VLOOKUP(K159,D:J,2,false)</f>
        <v>avaliação_classificação</v>
      </c>
      <c r="M159" s="59" t="str">
        <f t="shared" si="162"/>
        <v/>
      </c>
      <c r="N159" s="59" t="str">
        <f t="shared" si="3"/>
        <v>2ª fase - 1ª etapa - entrevista</v>
      </c>
      <c r="O159" s="59" t="s">
        <v>15024</v>
      </c>
      <c r="P159" s="59">
        <f t="shared" si="145"/>
        <v>2</v>
      </c>
      <c r="Q159" s="59" t="str">
        <f>IFERROR(__xludf.DUMMYFUNCTION("""COMPUTED_VALUE"""),"sim")</f>
        <v>sim</v>
      </c>
    </row>
    <row r="160">
      <c r="A160" s="19"/>
      <c r="B160" s="84" t="s">
        <v>15323</v>
      </c>
      <c r="C160" s="82" t="s">
        <v>2111</v>
      </c>
      <c r="D160" s="59" t="s">
        <v>15324</v>
      </c>
      <c r="E160" s="23" t="s">
        <v>15087</v>
      </c>
      <c r="F160" s="59"/>
      <c r="G160" s="59" t="s">
        <v>15132</v>
      </c>
      <c r="H160" s="6"/>
      <c r="I160" s="59">
        <v>2.0</v>
      </c>
      <c r="J160" s="83" t="str">
        <f>IFERROR(__xludf.DUMMYFUNCTION("""COMPUTED_VALUE"""),"avc_final_credenciados_obs")</f>
        <v>avc_final_credenciados_obs</v>
      </c>
      <c r="K160" s="59" t="s">
        <v>15324</v>
      </c>
      <c r="L160" s="59" t="str">
        <f t="shared" ref="L160:M160" si="163">VLOOKUP(K160,D:J,2,false)</f>
        <v>avaliação_classificação</v>
      </c>
      <c r="M160" s="59" t="str">
        <f t="shared" si="163"/>
        <v/>
      </c>
      <c r="N160" s="59" t="str">
        <f t="shared" si="3"/>
        <v>2ª fase - 1ª etapa - entrevista</v>
      </c>
      <c r="O160" s="59" t="s">
        <v>15031</v>
      </c>
      <c r="P160" s="59">
        <f t="shared" si="145"/>
        <v>2</v>
      </c>
      <c r="Q160" s="59"/>
    </row>
    <row r="161">
      <c r="A161" s="19"/>
      <c r="C161" s="82"/>
      <c r="D161" s="23"/>
      <c r="E161" s="23"/>
      <c r="F161" s="59"/>
      <c r="G161" s="6"/>
      <c r="H161" s="6"/>
      <c r="I161" s="59"/>
      <c r="J161" s="83"/>
      <c r="K161" s="59"/>
      <c r="L161" s="59"/>
      <c r="M161" s="59"/>
      <c r="N161" s="59"/>
      <c r="O161" s="59"/>
      <c r="P161" s="59"/>
      <c r="Q161" s="59"/>
    </row>
    <row r="162">
      <c r="A162" s="19"/>
      <c r="B162" s="84"/>
      <c r="C162" s="82"/>
      <c r="D162" s="23"/>
      <c r="E162" s="23"/>
      <c r="F162" s="59"/>
      <c r="G162" s="6"/>
      <c r="H162" s="6"/>
      <c r="I162" s="59"/>
      <c r="J162" s="83"/>
      <c r="K162" s="59"/>
      <c r="L162" s="59"/>
      <c r="M162" s="59"/>
      <c r="N162" s="59"/>
      <c r="O162" s="59"/>
      <c r="P162" s="59"/>
      <c r="Q162" s="59"/>
    </row>
    <row r="163">
      <c r="A163" s="19"/>
      <c r="B163" s="84"/>
      <c r="C163" s="82"/>
      <c r="D163" s="23"/>
      <c r="E163" s="23"/>
      <c r="F163" s="59"/>
      <c r="G163" s="6"/>
      <c r="H163" s="6"/>
      <c r="I163" s="59"/>
      <c r="J163" s="83"/>
      <c r="K163" s="59"/>
      <c r="L163" s="59"/>
      <c r="M163" s="59"/>
      <c r="N163" s="59"/>
      <c r="O163" s="59"/>
      <c r="P163" s="59"/>
      <c r="Q163" s="59"/>
    </row>
    <row r="164">
      <c r="A164" s="19"/>
      <c r="B164" s="84"/>
      <c r="C164" s="82"/>
      <c r="D164" s="23"/>
      <c r="E164" s="23"/>
      <c r="F164" s="59"/>
      <c r="G164" s="6"/>
      <c r="H164" s="6"/>
      <c r="I164" s="59"/>
      <c r="J164" s="83"/>
      <c r="K164" s="59"/>
      <c r="L164" s="59"/>
      <c r="M164" s="59"/>
      <c r="N164" s="59"/>
      <c r="O164" s="59"/>
      <c r="P164" s="59"/>
      <c r="Q164" s="59"/>
    </row>
    <row r="165">
      <c r="A165" s="19"/>
      <c r="B165" s="84"/>
      <c r="C165" s="82"/>
      <c r="D165" s="23"/>
      <c r="E165" s="23"/>
      <c r="F165" s="59"/>
      <c r="G165" s="6"/>
      <c r="H165" s="6"/>
      <c r="I165" s="59"/>
      <c r="J165" s="83"/>
      <c r="K165" s="59"/>
      <c r="L165" s="59"/>
      <c r="M165" s="59"/>
      <c r="N165" s="59"/>
      <c r="O165" s="59"/>
      <c r="P165" s="59"/>
      <c r="Q165" s="59"/>
    </row>
    <row r="166">
      <c r="A166" s="19"/>
      <c r="B166" s="84"/>
      <c r="C166" s="82"/>
      <c r="D166" s="23"/>
      <c r="E166" s="23"/>
      <c r="F166" s="59"/>
      <c r="G166" s="6"/>
      <c r="H166" s="6"/>
      <c r="I166" s="59"/>
      <c r="J166" s="83"/>
      <c r="K166" s="59"/>
      <c r="L166" s="59"/>
      <c r="M166" s="59"/>
      <c r="N166" s="59"/>
      <c r="O166" s="59"/>
      <c r="P166" s="59"/>
      <c r="Q166" s="59"/>
    </row>
    <row r="167">
      <c r="A167" s="19"/>
      <c r="B167" s="84"/>
      <c r="C167" s="82"/>
      <c r="D167" s="23"/>
      <c r="E167" s="23"/>
      <c r="F167" s="59"/>
      <c r="G167" s="6"/>
      <c r="H167" s="6"/>
      <c r="I167" s="59"/>
      <c r="J167" s="83"/>
      <c r="K167" s="59"/>
      <c r="L167" s="59"/>
      <c r="M167" s="59"/>
      <c r="N167" s="59"/>
      <c r="O167" s="59"/>
      <c r="P167" s="59"/>
      <c r="Q167" s="59"/>
    </row>
    <row r="168">
      <c r="A168" s="19"/>
      <c r="B168" s="84"/>
      <c r="C168" s="82"/>
      <c r="D168" s="23"/>
      <c r="E168" s="23"/>
      <c r="F168" s="59"/>
      <c r="G168" s="6"/>
      <c r="H168" s="6"/>
      <c r="I168" s="59"/>
      <c r="J168" s="83"/>
      <c r="K168" s="59"/>
      <c r="L168" s="59"/>
      <c r="M168" s="59"/>
      <c r="N168" s="59"/>
      <c r="O168" s="59"/>
      <c r="P168" s="59"/>
      <c r="Q168" s="59"/>
    </row>
    <row r="169">
      <c r="A169" s="19"/>
      <c r="B169" s="84"/>
      <c r="C169" s="82"/>
      <c r="D169" s="23"/>
      <c r="E169" s="23"/>
      <c r="F169" s="59"/>
      <c r="G169" s="6"/>
      <c r="H169" s="6"/>
      <c r="I169" s="59"/>
      <c r="J169" s="83"/>
      <c r="K169" s="59"/>
      <c r="L169" s="59"/>
      <c r="M169" s="59"/>
      <c r="N169" s="59"/>
      <c r="O169" s="59"/>
      <c r="P169" s="59"/>
      <c r="Q169" s="59"/>
    </row>
    <row r="170">
      <c r="A170" s="19"/>
      <c r="B170" s="84"/>
      <c r="C170" s="82"/>
      <c r="D170" s="23"/>
      <c r="E170" s="23"/>
      <c r="F170" s="59"/>
      <c r="G170" s="6"/>
      <c r="H170" s="6"/>
      <c r="I170" s="59"/>
      <c r="J170" s="83"/>
      <c r="K170" s="59"/>
      <c r="L170" s="59"/>
      <c r="M170" s="59"/>
      <c r="N170" s="59"/>
      <c r="O170" s="59"/>
      <c r="P170" s="59"/>
      <c r="Q170" s="59"/>
    </row>
    <row r="171">
      <c r="A171" s="19"/>
      <c r="B171" s="84"/>
      <c r="C171" s="82"/>
      <c r="D171" s="23"/>
      <c r="E171" s="23"/>
      <c r="F171" s="59"/>
      <c r="G171" s="6"/>
      <c r="H171" s="6"/>
      <c r="I171" s="59"/>
      <c r="J171" s="83"/>
      <c r="K171" s="59"/>
      <c r="L171" s="59"/>
      <c r="M171" s="59"/>
      <c r="N171" s="59"/>
      <c r="O171" s="59"/>
      <c r="P171" s="59"/>
      <c r="Q171" s="59"/>
    </row>
    <row r="172">
      <c r="A172" s="19"/>
      <c r="B172" s="84"/>
      <c r="C172" s="82"/>
      <c r="D172" s="23"/>
      <c r="E172" s="23"/>
      <c r="F172" s="59"/>
      <c r="G172" s="6"/>
      <c r="H172" s="6"/>
      <c r="I172" s="59"/>
      <c r="J172" s="83"/>
      <c r="K172" s="59"/>
      <c r="L172" s="59"/>
      <c r="M172" s="59"/>
      <c r="N172" s="59"/>
      <c r="O172" s="59"/>
      <c r="P172" s="59"/>
      <c r="Q172" s="59"/>
    </row>
    <row r="173">
      <c r="A173" s="19"/>
      <c r="B173" s="84"/>
      <c r="C173" s="82"/>
      <c r="D173" s="23"/>
      <c r="E173" s="23"/>
      <c r="F173" s="59"/>
      <c r="G173" s="6"/>
      <c r="H173" s="6"/>
      <c r="I173" s="59"/>
      <c r="J173" s="83"/>
      <c r="K173" s="59"/>
      <c r="L173" s="59"/>
      <c r="M173" s="59"/>
      <c r="N173" s="59"/>
      <c r="O173" s="59"/>
      <c r="P173" s="59"/>
      <c r="Q173" s="59"/>
    </row>
    <row r="174">
      <c r="A174" s="19"/>
      <c r="B174" s="84"/>
      <c r="C174" s="82"/>
      <c r="D174" s="23"/>
      <c r="E174" s="23"/>
      <c r="F174" s="59"/>
      <c r="G174" s="6"/>
      <c r="H174" s="6"/>
      <c r="I174" s="59"/>
      <c r="J174" s="83"/>
      <c r="K174" s="59"/>
      <c r="L174" s="59"/>
      <c r="M174" s="59"/>
      <c r="N174" s="59"/>
      <c r="O174" s="59"/>
      <c r="P174" s="59"/>
      <c r="Q174" s="59"/>
    </row>
    <row r="175">
      <c r="A175" s="19"/>
      <c r="B175" s="84"/>
      <c r="C175" s="82"/>
      <c r="D175" s="23"/>
      <c r="E175" s="23"/>
      <c r="F175" s="59"/>
      <c r="G175" s="6"/>
      <c r="H175" s="6"/>
      <c r="I175" s="59"/>
      <c r="J175" s="83"/>
      <c r="K175" s="59"/>
      <c r="L175" s="59"/>
      <c r="M175" s="59"/>
      <c r="N175" s="59"/>
      <c r="O175" s="59"/>
      <c r="P175" s="59"/>
      <c r="Q175" s="59"/>
    </row>
    <row r="176">
      <c r="A176" s="19"/>
      <c r="B176" s="84"/>
      <c r="C176" s="82"/>
      <c r="D176" s="23"/>
      <c r="E176" s="23"/>
      <c r="F176" s="59"/>
      <c r="G176" s="6"/>
      <c r="H176" s="6"/>
      <c r="I176" s="59"/>
      <c r="J176" s="83"/>
      <c r="K176" s="59"/>
      <c r="L176" s="59"/>
      <c r="M176" s="59"/>
      <c r="N176" s="59"/>
      <c r="O176" s="59"/>
      <c r="P176" s="59"/>
      <c r="Q176" s="59"/>
    </row>
    <row r="177">
      <c r="A177" s="19"/>
      <c r="B177" s="84"/>
      <c r="C177" s="82"/>
      <c r="D177" s="23"/>
      <c r="E177" s="23"/>
      <c r="F177" s="59"/>
      <c r="G177" s="6"/>
      <c r="H177" s="6"/>
      <c r="I177" s="59"/>
      <c r="J177" s="83"/>
      <c r="K177" s="59"/>
      <c r="L177" s="59"/>
      <c r="M177" s="59"/>
      <c r="N177" s="59"/>
      <c r="O177" s="59"/>
      <c r="P177" s="59"/>
      <c r="Q177" s="59"/>
    </row>
    <row r="178">
      <c r="A178" s="19"/>
      <c r="B178" s="84"/>
      <c r="C178" s="82"/>
      <c r="D178" s="23"/>
      <c r="E178" s="23"/>
      <c r="F178" s="59"/>
      <c r="G178" s="6"/>
      <c r="H178" s="6"/>
      <c r="I178" s="59"/>
      <c r="J178" s="83"/>
      <c r="K178" s="59"/>
      <c r="L178" s="59"/>
      <c r="M178" s="59"/>
      <c r="N178" s="59"/>
      <c r="O178" s="59"/>
      <c r="P178" s="59"/>
      <c r="Q178" s="59"/>
    </row>
    <row r="179">
      <c r="A179" s="19"/>
      <c r="B179" s="84"/>
      <c r="C179" s="82"/>
      <c r="D179" s="23"/>
      <c r="E179" s="23"/>
      <c r="F179" s="59"/>
      <c r="G179" s="6"/>
      <c r="H179" s="6"/>
      <c r="I179" s="59"/>
      <c r="J179" s="83"/>
      <c r="K179" s="59"/>
      <c r="L179" s="59"/>
      <c r="M179" s="59"/>
      <c r="N179" s="59"/>
      <c r="O179" s="59"/>
      <c r="P179" s="59"/>
      <c r="Q179" s="59"/>
    </row>
    <row r="180">
      <c r="A180" s="19"/>
      <c r="B180" s="84"/>
      <c r="C180" s="82"/>
      <c r="D180" s="23"/>
      <c r="E180" s="23"/>
      <c r="F180" s="59"/>
      <c r="G180" s="6"/>
      <c r="H180" s="6"/>
      <c r="I180" s="59"/>
      <c r="J180" s="83"/>
      <c r="K180" s="59"/>
      <c r="L180" s="59"/>
      <c r="M180" s="59"/>
      <c r="N180" s="59"/>
      <c r="O180" s="59"/>
      <c r="P180" s="59"/>
      <c r="Q180" s="59"/>
    </row>
    <row r="181">
      <c r="A181" s="19"/>
      <c r="B181" s="84"/>
      <c r="C181" s="82"/>
      <c r="D181" s="23"/>
      <c r="E181" s="23"/>
      <c r="F181" s="59"/>
      <c r="G181" s="6"/>
      <c r="H181" s="6"/>
      <c r="I181" s="59"/>
      <c r="J181" s="83"/>
      <c r="K181" s="59"/>
      <c r="L181" s="59"/>
      <c r="M181" s="59"/>
      <c r="N181" s="59"/>
      <c r="O181" s="59"/>
      <c r="P181" s="59"/>
      <c r="Q181" s="59"/>
    </row>
    <row r="182">
      <c r="A182" s="19"/>
      <c r="B182" s="84"/>
      <c r="C182" s="82"/>
      <c r="D182" s="23"/>
      <c r="E182" s="23"/>
      <c r="F182" s="59"/>
      <c r="G182" s="6"/>
      <c r="H182" s="6"/>
      <c r="I182" s="59"/>
      <c r="J182" s="83"/>
      <c r="K182" s="59"/>
      <c r="L182" s="59"/>
      <c r="M182" s="59"/>
      <c r="N182" s="59"/>
      <c r="O182" s="59"/>
      <c r="P182" s="59"/>
      <c r="Q182" s="59"/>
    </row>
    <row r="183">
      <c r="A183" s="19"/>
      <c r="B183" s="84"/>
      <c r="C183" s="82"/>
      <c r="D183" s="23"/>
      <c r="E183" s="23"/>
      <c r="F183" s="59"/>
      <c r="G183" s="6"/>
      <c r="H183" s="6"/>
      <c r="I183" s="59"/>
      <c r="J183" s="83"/>
      <c r="K183" s="59"/>
      <c r="L183" s="59"/>
      <c r="M183" s="59"/>
      <c r="N183" s="59"/>
      <c r="O183" s="59"/>
      <c r="P183" s="59"/>
      <c r="Q183" s="59"/>
    </row>
    <row r="184">
      <c r="A184" s="19"/>
      <c r="B184" s="84"/>
      <c r="C184" s="82"/>
      <c r="D184" s="23"/>
      <c r="E184" s="23"/>
      <c r="F184" s="59"/>
      <c r="G184" s="6"/>
      <c r="H184" s="6"/>
      <c r="I184" s="59"/>
      <c r="J184" s="83"/>
      <c r="K184" s="59"/>
      <c r="L184" s="59"/>
      <c r="M184" s="59"/>
      <c r="N184" s="59"/>
      <c r="O184" s="59"/>
      <c r="P184" s="59"/>
      <c r="Q184" s="59"/>
    </row>
    <row r="185">
      <c r="A185" s="19"/>
      <c r="B185" s="84"/>
      <c r="C185" s="82"/>
      <c r="D185" s="23"/>
      <c r="E185" s="23"/>
      <c r="F185" s="59"/>
      <c r="G185" s="6"/>
      <c r="H185" s="6"/>
      <c r="I185" s="59"/>
      <c r="J185" s="83"/>
      <c r="K185" s="59"/>
      <c r="L185" s="59"/>
      <c r="M185" s="59"/>
      <c r="N185" s="59"/>
      <c r="O185" s="59"/>
      <c r="P185" s="59"/>
      <c r="Q185" s="59"/>
    </row>
    <row r="186">
      <c r="A186" s="19"/>
      <c r="B186" s="84"/>
      <c r="C186" s="82"/>
      <c r="D186" s="23"/>
      <c r="E186" s="23"/>
      <c r="F186" s="59"/>
      <c r="G186" s="6"/>
      <c r="H186" s="6"/>
      <c r="I186" s="59"/>
      <c r="J186" s="83"/>
      <c r="K186" s="59"/>
      <c r="L186" s="59"/>
      <c r="M186" s="59"/>
      <c r="N186" s="59"/>
      <c r="O186" s="59"/>
      <c r="P186" s="59"/>
      <c r="Q186" s="59"/>
    </row>
    <row r="187">
      <c r="A187" s="19"/>
      <c r="B187" s="84"/>
      <c r="C187" s="82"/>
      <c r="D187" s="23"/>
      <c r="E187" s="23"/>
      <c r="F187" s="59"/>
      <c r="G187" s="6"/>
      <c r="H187" s="6"/>
      <c r="I187" s="59"/>
      <c r="J187" s="83"/>
      <c r="K187" s="59"/>
      <c r="L187" s="59"/>
      <c r="M187" s="59"/>
      <c r="N187" s="59"/>
      <c r="O187" s="59"/>
      <c r="P187" s="59"/>
      <c r="Q187" s="59"/>
    </row>
    <row r="188">
      <c r="A188" s="19"/>
      <c r="B188" s="84"/>
      <c r="C188" s="82"/>
      <c r="D188" s="23"/>
      <c r="E188" s="23"/>
      <c r="F188" s="59"/>
      <c r="G188" s="6"/>
      <c r="H188" s="6"/>
      <c r="I188" s="59"/>
      <c r="J188" s="83"/>
      <c r="K188" s="59"/>
      <c r="L188" s="59"/>
      <c r="M188" s="59"/>
      <c r="N188" s="59"/>
      <c r="O188" s="59"/>
      <c r="P188" s="59"/>
      <c r="Q188" s="59"/>
    </row>
    <row r="189">
      <c r="A189" s="19"/>
      <c r="B189" s="84"/>
      <c r="C189" s="82"/>
      <c r="D189" s="23"/>
      <c r="E189" s="23"/>
      <c r="F189" s="59"/>
      <c r="G189" s="6"/>
      <c r="H189" s="6"/>
      <c r="I189" s="59"/>
      <c r="J189" s="83"/>
      <c r="K189" s="59"/>
      <c r="L189" s="59"/>
      <c r="M189" s="59"/>
      <c r="N189" s="59"/>
      <c r="O189" s="59"/>
      <c r="P189" s="59"/>
      <c r="Q189" s="59"/>
    </row>
    <row r="190">
      <c r="A190" s="19"/>
      <c r="B190" s="84"/>
      <c r="C190" s="82"/>
      <c r="D190" s="23"/>
      <c r="E190" s="23"/>
      <c r="F190" s="59"/>
      <c r="G190" s="6"/>
      <c r="H190" s="6"/>
      <c r="I190" s="59"/>
      <c r="J190" s="83"/>
      <c r="K190" s="59"/>
      <c r="L190" s="59"/>
      <c r="M190" s="59"/>
      <c r="N190" s="59"/>
      <c r="O190" s="59"/>
      <c r="P190" s="59"/>
      <c r="Q190" s="59"/>
    </row>
    <row r="191">
      <c r="A191" s="19"/>
      <c r="B191" s="84"/>
      <c r="C191" s="82"/>
      <c r="D191" s="23"/>
      <c r="E191" s="23"/>
      <c r="F191" s="59"/>
      <c r="G191" s="6"/>
      <c r="H191" s="6"/>
      <c r="I191" s="59"/>
      <c r="J191" s="83"/>
      <c r="K191" s="59"/>
      <c r="L191" s="59"/>
      <c r="M191" s="59"/>
      <c r="N191" s="59"/>
      <c r="O191" s="59"/>
      <c r="P191" s="59"/>
      <c r="Q191" s="59"/>
    </row>
    <row r="192">
      <c r="A192" s="19"/>
      <c r="B192" s="84"/>
      <c r="C192" s="82"/>
      <c r="D192" s="23"/>
      <c r="E192" s="23"/>
      <c r="F192" s="59"/>
      <c r="G192" s="6"/>
      <c r="H192" s="6"/>
      <c r="I192" s="59"/>
      <c r="J192" s="83"/>
      <c r="K192" s="59"/>
      <c r="L192" s="59"/>
      <c r="M192" s="59"/>
      <c r="N192" s="59"/>
      <c r="O192" s="59"/>
      <c r="P192" s="59"/>
      <c r="Q192" s="59"/>
    </row>
    <row r="193">
      <c r="A193" s="19"/>
      <c r="B193" s="84"/>
      <c r="C193" s="82"/>
      <c r="D193" s="23"/>
      <c r="E193" s="23"/>
      <c r="F193" s="59"/>
      <c r="G193" s="6"/>
      <c r="H193" s="6"/>
      <c r="I193" s="59"/>
      <c r="J193" s="83"/>
      <c r="K193" s="59"/>
      <c r="L193" s="59"/>
      <c r="M193" s="59"/>
      <c r="N193" s="59"/>
      <c r="O193" s="59"/>
      <c r="P193" s="59"/>
      <c r="Q193" s="59"/>
    </row>
    <row r="194">
      <c r="A194" s="19"/>
      <c r="B194" s="84"/>
      <c r="C194" s="82"/>
      <c r="D194" s="23"/>
      <c r="E194" s="23"/>
      <c r="F194" s="59"/>
      <c r="G194" s="6"/>
      <c r="H194" s="6"/>
      <c r="I194" s="59"/>
      <c r="J194" s="83"/>
      <c r="K194" s="59"/>
      <c r="L194" s="59"/>
      <c r="M194" s="59"/>
      <c r="N194" s="59"/>
      <c r="O194" s="59"/>
      <c r="P194" s="59"/>
      <c r="Q194" s="59"/>
    </row>
    <row r="195">
      <c r="A195" s="19"/>
      <c r="B195" s="84"/>
      <c r="C195" s="82"/>
      <c r="D195" s="23"/>
      <c r="E195" s="23"/>
      <c r="F195" s="59"/>
      <c r="G195" s="6"/>
      <c r="H195" s="6"/>
      <c r="I195" s="59"/>
      <c r="J195" s="83"/>
      <c r="K195" s="59"/>
      <c r="L195" s="59"/>
      <c r="M195" s="59"/>
      <c r="N195" s="59"/>
      <c r="O195" s="59"/>
      <c r="P195" s="59"/>
      <c r="Q195" s="59"/>
    </row>
    <row r="196">
      <c r="A196" s="19"/>
      <c r="B196" s="84"/>
      <c r="C196" s="82"/>
      <c r="D196" s="23"/>
      <c r="E196" s="23"/>
      <c r="F196" s="59"/>
      <c r="G196" s="6"/>
      <c r="H196" s="6"/>
      <c r="I196" s="59"/>
      <c r="J196" s="83"/>
      <c r="K196" s="59"/>
      <c r="L196" s="59"/>
      <c r="M196" s="59"/>
      <c r="N196" s="59"/>
      <c r="O196" s="59"/>
      <c r="P196" s="59"/>
      <c r="Q196" s="59"/>
    </row>
    <row r="197">
      <c r="A197" s="19"/>
      <c r="B197" s="84"/>
      <c r="C197" s="82"/>
      <c r="D197" s="23"/>
      <c r="E197" s="23"/>
      <c r="F197" s="59"/>
      <c r="G197" s="6"/>
      <c r="H197" s="6"/>
      <c r="I197" s="59"/>
      <c r="J197" s="83"/>
      <c r="K197" s="59"/>
      <c r="L197" s="59"/>
      <c r="M197" s="59"/>
      <c r="N197" s="59"/>
      <c r="O197" s="59"/>
      <c r="P197" s="59"/>
      <c r="Q197" s="59"/>
    </row>
    <row r="198">
      <c r="A198" s="19"/>
      <c r="B198" s="84"/>
      <c r="C198" s="82"/>
      <c r="D198" s="23"/>
      <c r="E198" s="23"/>
      <c r="F198" s="59"/>
      <c r="G198" s="6"/>
      <c r="H198" s="6"/>
      <c r="I198" s="59"/>
      <c r="J198" s="83"/>
      <c r="K198" s="59"/>
      <c r="L198" s="59"/>
      <c r="M198" s="59"/>
      <c r="N198" s="59"/>
      <c r="O198" s="59"/>
      <c r="P198" s="59"/>
      <c r="Q198" s="59"/>
    </row>
    <row r="199">
      <c r="A199" s="19"/>
      <c r="B199" s="84"/>
      <c r="C199" s="82"/>
      <c r="D199" s="23"/>
      <c r="E199" s="23"/>
      <c r="F199" s="59"/>
      <c r="G199" s="6"/>
      <c r="H199" s="6"/>
      <c r="I199" s="59"/>
      <c r="J199" s="83"/>
      <c r="K199" s="59"/>
      <c r="L199" s="59"/>
      <c r="M199" s="59"/>
      <c r="N199" s="59"/>
      <c r="O199" s="59"/>
      <c r="P199" s="59"/>
      <c r="Q199" s="59"/>
    </row>
    <row r="200">
      <c r="A200" s="19"/>
      <c r="B200" s="84"/>
      <c r="C200" s="82"/>
      <c r="D200" s="23"/>
      <c r="E200" s="23"/>
      <c r="F200" s="59"/>
      <c r="G200" s="6"/>
      <c r="H200" s="6"/>
      <c r="I200" s="59"/>
      <c r="J200" s="83"/>
      <c r="K200" s="59"/>
      <c r="L200" s="59"/>
      <c r="M200" s="59"/>
      <c r="N200" s="59"/>
      <c r="O200" s="59"/>
      <c r="P200" s="59"/>
      <c r="Q200" s="59"/>
    </row>
    <row r="201">
      <c r="A201" s="19"/>
      <c r="B201" s="84"/>
      <c r="C201" s="82"/>
      <c r="D201" s="23"/>
      <c r="E201" s="23"/>
      <c r="F201" s="59"/>
      <c r="G201" s="6"/>
      <c r="H201" s="6"/>
      <c r="I201" s="59"/>
      <c r="J201" s="83"/>
      <c r="K201" s="59"/>
      <c r="L201" s="59"/>
      <c r="M201" s="59"/>
      <c r="N201" s="59"/>
      <c r="O201" s="59"/>
      <c r="P201" s="59"/>
      <c r="Q201" s="59"/>
    </row>
    <row r="202">
      <c r="A202" s="19"/>
      <c r="B202" s="84"/>
      <c r="C202" s="82"/>
      <c r="D202" s="23"/>
      <c r="E202" s="23"/>
      <c r="F202" s="59"/>
      <c r="G202" s="6"/>
      <c r="H202" s="6"/>
      <c r="I202" s="59"/>
      <c r="J202" s="83"/>
      <c r="K202" s="59"/>
      <c r="L202" s="59"/>
      <c r="M202" s="59"/>
      <c r="N202" s="59"/>
      <c r="O202" s="59"/>
      <c r="P202" s="59"/>
      <c r="Q202" s="59"/>
    </row>
    <row r="203">
      <c r="A203" s="19"/>
      <c r="B203" s="84"/>
      <c r="C203" s="82"/>
      <c r="D203" s="23"/>
      <c r="E203" s="23"/>
      <c r="F203" s="59"/>
      <c r="G203" s="6"/>
      <c r="H203" s="6"/>
      <c r="I203" s="59"/>
      <c r="J203" s="83"/>
      <c r="K203" s="59"/>
      <c r="L203" s="59"/>
      <c r="M203" s="59"/>
      <c r="N203" s="59"/>
      <c r="O203" s="59"/>
      <c r="P203" s="59"/>
      <c r="Q203" s="59"/>
    </row>
    <row r="204">
      <c r="A204" s="19"/>
      <c r="B204" s="84"/>
      <c r="C204" s="82"/>
      <c r="D204" s="23"/>
      <c r="E204" s="23"/>
      <c r="F204" s="59"/>
      <c r="G204" s="6"/>
      <c r="H204" s="6"/>
      <c r="I204" s="59"/>
      <c r="J204" s="83"/>
      <c r="K204" s="59"/>
      <c r="L204" s="59"/>
      <c r="M204" s="59"/>
      <c r="N204" s="59"/>
      <c r="O204" s="59"/>
      <c r="P204" s="59"/>
      <c r="Q204" s="59"/>
    </row>
    <row r="205">
      <c r="A205" s="19"/>
      <c r="B205" s="84"/>
      <c r="C205" s="82"/>
      <c r="D205" s="23"/>
      <c r="E205" s="23"/>
      <c r="F205" s="59"/>
      <c r="G205" s="6"/>
      <c r="H205" s="6"/>
      <c r="I205" s="59"/>
      <c r="J205" s="83"/>
      <c r="K205" s="59"/>
      <c r="L205" s="59"/>
      <c r="M205" s="59"/>
      <c r="N205" s="59"/>
      <c r="O205" s="59"/>
      <c r="P205" s="59"/>
      <c r="Q205" s="59"/>
    </row>
    <row r="206">
      <c r="A206" s="19"/>
      <c r="B206" s="84"/>
      <c r="C206" s="82"/>
      <c r="D206" s="23"/>
      <c r="E206" s="23"/>
      <c r="F206" s="59"/>
      <c r="G206" s="6"/>
      <c r="H206" s="6"/>
      <c r="I206" s="59"/>
      <c r="J206" s="83"/>
      <c r="K206" s="59"/>
      <c r="L206" s="59"/>
      <c r="M206" s="59"/>
      <c r="N206" s="59"/>
      <c r="O206" s="59"/>
      <c r="P206" s="59"/>
      <c r="Q206" s="59"/>
    </row>
    <row r="207">
      <c r="A207" s="19"/>
      <c r="B207" s="84"/>
      <c r="C207" s="82"/>
      <c r="D207" s="23"/>
      <c r="E207" s="23"/>
      <c r="F207" s="59"/>
      <c r="G207" s="6"/>
      <c r="H207" s="6"/>
      <c r="I207" s="59"/>
      <c r="J207" s="83"/>
      <c r="K207" s="59"/>
      <c r="L207" s="59"/>
      <c r="M207" s="59"/>
      <c r="N207" s="59"/>
      <c r="O207" s="59"/>
      <c r="P207" s="59"/>
      <c r="Q207" s="59"/>
    </row>
    <row r="208">
      <c r="A208" s="19"/>
      <c r="B208" s="84"/>
      <c r="C208" s="82"/>
      <c r="D208" s="23"/>
      <c r="E208" s="23"/>
      <c r="F208" s="59"/>
      <c r="G208" s="6"/>
      <c r="H208" s="6"/>
      <c r="I208" s="59"/>
      <c r="J208" s="83"/>
      <c r="K208" s="59"/>
      <c r="L208" s="59"/>
      <c r="M208" s="59"/>
      <c r="N208" s="59"/>
      <c r="O208" s="59"/>
      <c r="P208" s="59"/>
      <c r="Q208" s="59"/>
    </row>
    <row r="209">
      <c r="A209" s="19"/>
      <c r="B209" s="84"/>
      <c r="C209" s="82"/>
      <c r="D209" s="23"/>
      <c r="E209" s="23"/>
      <c r="F209" s="59"/>
      <c r="G209" s="6"/>
      <c r="H209" s="6"/>
      <c r="I209" s="59"/>
      <c r="J209" s="83"/>
      <c r="K209" s="59"/>
      <c r="L209" s="59"/>
      <c r="M209" s="59"/>
      <c r="N209" s="59"/>
      <c r="O209" s="59"/>
      <c r="P209" s="59"/>
      <c r="Q209" s="59"/>
    </row>
    <row r="210">
      <c r="A210" s="19"/>
      <c r="B210" s="84"/>
      <c r="C210" s="82"/>
      <c r="D210" s="23"/>
      <c r="E210" s="23"/>
      <c r="F210" s="59"/>
      <c r="G210" s="6"/>
      <c r="H210" s="6"/>
      <c r="I210" s="59"/>
      <c r="J210" s="83"/>
      <c r="K210" s="59"/>
      <c r="L210" s="59"/>
      <c r="M210" s="59"/>
      <c r="N210" s="59"/>
      <c r="O210" s="59"/>
      <c r="P210" s="59"/>
      <c r="Q210" s="59"/>
    </row>
    <row r="211">
      <c r="A211" s="19"/>
      <c r="B211" s="84"/>
      <c r="C211" s="82"/>
      <c r="D211" s="23"/>
      <c r="E211" s="23"/>
      <c r="F211" s="59"/>
      <c r="G211" s="6"/>
      <c r="H211" s="6"/>
      <c r="I211" s="59"/>
      <c r="J211" s="83"/>
      <c r="K211" s="59"/>
      <c r="L211" s="59"/>
      <c r="M211" s="59"/>
      <c r="N211" s="59"/>
      <c r="O211" s="59"/>
      <c r="P211" s="59"/>
      <c r="Q211" s="59"/>
    </row>
    <row r="212">
      <c r="A212" s="19"/>
      <c r="B212" s="84"/>
      <c r="C212" s="82"/>
      <c r="D212" s="23"/>
      <c r="E212" s="23"/>
      <c r="F212" s="59"/>
      <c r="G212" s="6"/>
      <c r="H212" s="6"/>
      <c r="I212" s="59"/>
      <c r="J212" s="83"/>
      <c r="K212" s="59"/>
      <c r="L212" s="59"/>
      <c r="M212" s="59"/>
      <c r="N212" s="59"/>
      <c r="O212" s="59"/>
      <c r="P212" s="59"/>
      <c r="Q212" s="59"/>
    </row>
    <row r="213">
      <c r="A213" s="19"/>
      <c r="B213" s="84"/>
      <c r="C213" s="82"/>
      <c r="D213" s="23"/>
      <c r="E213" s="23"/>
      <c r="F213" s="59"/>
      <c r="G213" s="6"/>
      <c r="H213" s="6"/>
      <c r="I213" s="59"/>
      <c r="J213" s="83"/>
      <c r="K213" s="59"/>
      <c r="L213" s="59"/>
      <c r="M213" s="59"/>
      <c r="N213" s="59"/>
      <c r="O213" s="59"/>
      <c r="P213" s="59"/>
      <c r="Q213" s="59"/>
    </row>
    <row r="214">
      <c r="A214" s="19"/>
      <c r="B214" s="84"/>
      <c r="C214" s="82"/>
      <c r="D214" s="23"/>
      <c r="E214" s="23"/>
      <c r="F214" s="59"/>
      <c r="G214" s="6"/>
      <c r="H214" s="6"/>
      <c r="I214" s="59"/>
      <c r="J214" s="83"/>
      <c r="K214" s="59"/>
      <c r="L214" s="59"/>
      <c r="M214" s="59"/>
      <c r="N214" s="59"/>
      <c r="O214" s="59"/>
      <c r="P214" s="59"/>
      <c r="Q214" s="59"/>
    </row>
    <row r="215">
      <c r="A215" s="19"/>
      <c r="B215" s="84"/>
      <c r="C215" s="82"/>
      <c r="D215" s="23"/>
      <c r="E215" s="23"/>
      <c r="F215" s="59"/>
      <c r="G215" s="6"/>
      <c r="H215" s="6"/>
      <c r="I215" s="59"/>
      <c r="J215" s="83"/>
      <c r="K215" s="59"/>
      <c r="L215" s="59"/>
      <c r="M215" s="59"/>
      <c r="N215" s="59"/>
      <c r="O215" s="59"/>
      <c r="P215" s="59"/>
      <c r="Q215" s="59"/>
    </row>
    <row r="216">
      <c r="A216" s="19"/>
      <c r="B216" s="84"/>
      <c r="C216" s="82"/>
      <c r="D216" s="23"/>
      <c r="E216" s="23"/>
      <c r="F216" s="59"/>
      <c r="G216" s="6"/>
      <c r="H216" s="6"/>
      <c r="I216" s="59"/>
      <c r="J216" s="83"/>
      <c r="K216" s="59"/>
      <c r="L216" s="59"/>
      <c r="M216" s="59"/>
      <c r="N216" s="59"/>
      <c r="O216" s="59"/>
      <c r="P216" s="59"/>
      <c r="Q216" s="59"/>
    </row>
    <row r="217">
      <c r="A217" s="19"/>
      <c r="B217" s="84"/>
      <c r="C217" s="82"/>
      <c r="D217" s="23"/>
      <c r="E217" s="23"/>
      <c r="F217" s="59"/>
      <c r="G217" s="6"/>
      <c r="H217" s="6"/>
      <c r="I217" s="59"/>
      <c r="J217" s="83"/>
      <c r="K217" s="59"/>
      <c r="L217" s="59"/>
      <c r="M217" s="59"/>
      <c r="N217" s="59"/>
      <c r="O217" s="59"/>
      <c r="P217" s="59"/>
      <c r="Q217" s="59"/>
    </row>
    <row r="218">
      <c r="A218" s="19"/>
      <c r="B218" s="84"/>
      <c r="C218" s="82"/>
      <c r="D218" s="23"/>
      <c r="E218" s="23"/>
      <c r="F218" s="59"/>
      <c r="G218" s="6"/>
      <c r="H218" s="6"/>
      <c r="I218" s="59"/>
      <c r="J218" s="83"/>
      <c r="K218" s="59"/>
      <c r="L218" s="59"/>
      <c r="M218" s="59"/>
      <c r="N218" s="59"/>
      <c r="O218" s="59"/>
      <c r="P218" s="59"/>
      <c r="Q218" s="59"/>
    </row>
    <row r="219">
      <c r="A219" s="19"/>
      <c r="B219" s="84"/>
      <c r="C219" s="82"/>
      <c r="D219" s="23"/>
      <c r="E219" s="23"/>
      <c r="F219" s="59"/>
      <c r="G219" s="6"/>
      <c r="H219" s="6"/>
      <c r="I219" s="59"/>
      <c r="J219" s="83"/>
      <c r="K219" s="59"/>
      <c r="L219" s="59"/>
      <c r="M219" s="59"/>
      <c r="N219" s="59"/>
      <c r="O219" s="59"/>
      <c r="P219" s="59"/>
      <c r="Q219" s="59"/>
    </row>
    <row r="220">
      <c r="A220" s="19"/>
      <c r="B220" s="84"/>
      <c r="C220" s="82"/>
      <c r="D220" s="23"/>
      <c r="E220" s="23"/>
      <c r="F220" s="59"/>
      <c r="G220" s="6"/>
      <c r="H220" s="6"/>
      <c r="I220" s="59"/>
      <c r="J220" s="83"/>
      <c r="K220" s="59"/>
      <c r="L220" s="59"/>
      <c r="M220" s="59"/>
      <c r="N220" s="59"/>
      <c r="O220" s="59"/>
      <c r="P220" s="59"/>
      <c r="Q220" s="59"/>
    </row>
    <row r="221">
      <c r="A221" s="19"/>
      <c r="B221" s="84"/>
      <c r="C221" s="82"/>
      <c r="D221" s="23"/>
      <c r="E221" s="23"/>
      <c r="F221" s="59"/>
      <c r="G221" s="6"/>
      <c r="H221" s="6"/>
      <c r="I221" s="59"/>
      <c r="J221" s="83"/>
      <c r="K221" s="59"/>
      <c r="L221" s="59"/>
      <c r="M221" s="59"/>
      <c r="N221" s="59"/>
      <c r="O221" s="59"/>
      <c r="P221" s="59"/>
      <c r="Q221" s="59"/>
    </row>
    <row r="222">
      <c r="A222" s="19"/>
      <c r="B222" s="84"/>
      <c r="C222" s="82"/>
      <c r="D222" s="23"/>
      <c r="E222" s="23"/>
      <c r="F222" s="59"/>
      <c r="G222" s="6"/>
      <c r="H222" s="6"/>
      <c r="I222" s="59"/>
      <c r="J222" s="83"/>
      <c r="K222" s="59"/>
      <c r="L222" s="59"/>
      <c r="M222" s="59"/>
      <c r="N222" s="59"/>
      <c r="O222" s="59"/>
      <c r="P222" s="59"/>
      <c r="Q222" s="59"/>
    </row>
    <row r="223">
      <c r="A223" s="19"/>
      <c r="B223" s="84"/>
      <c r="C223" s="82"/>
      <c r="D223" s="23"/>
      <c r="E223" s="23"/>
      <c r="F223" s="59"/>
      <c r="G223" s="6"/>
      <c r="H223" s="6"/>
      <c r="I223" s="59"/>
      <c r="J223" s="83"/>
      <c r="K223" s="59"/>
      <c r="L223" s="59"/>
      <c r="M223" s="59"/>
      <c r="N223" s="59"/>
      <c r="O223" s="59"/>
      <c r="P223" s="59"/>
      <c r="Q223" s="59"/>
    </row>
    <row r="224">
      <c r="A224" s="19"/>
      <c r="B224" s="84"/>
      <c r="C224" s="82"/>
      <c r="D224" s="23"/>
      <c r="E224" s="23"/>
      <c r="F224" s="59"/>
      <c r="G224" s="6"/>
      <c r="H224" s="6"/>
      <c r="I224" s="59"/>
      <c r="J224" s="83"/>
      <c r="K224" s="59"/>
      <c r="L224" s="59"/>
      <c r="M224" s="59"/>
      <c r="N224" s="59"/>
      <c r="O224" s="59"/>
      <c r="P224" s="59"/>
      <c r="Q224" s="59"/>
    </row>
    <row r="225">
      <c r="A225" s="19"/>
      <c r="B225" s="84"/>
      <c r="C225" s="82"/>
      <c r="D225" s="23"/>
      <c r="E225" s="23"/>
      <c r="F225" s="59"/>
      <c r="G225" s="6"/>
      <c r="H225" s="6"/>
      <c r="I225" s="59"/>
      <c r="J225" s="83"/>
      <c r="K225" s="59"/>
      <c r="L225" s="59"/>
      <c r="M225" s="59"/>
      <c r="N225" s="59"/>
      <c r="O225" s="59"/>
      <c r="P225" s="59"/>
      <c r="Q225" s="59"/>
    </row>
    <row r="226">
      <c r="A226" s="19"/>
      <c r="B226" s="84"/>
      <c r="C226" s="82"/>
      <c r="D226" s="23"/>
      <c r="E226" s="23"/>
      <c r="F226" s="59"/>
      <c r="G226" s="6"/>
      <c r="H226" s="6"/>
      <c r="I226" s="59"/>
      <c r="J226" s="83"/>
      <c r="K226" s="59"/>
      <c r="L226" s="59"/>
      <c r="M226" s="59"/>
      <c r="N226" s="59"/>
      <c r="O226" s="59"/>
      <c r="P226" s="59"/>
      <c r="Q226" s="59"/>
    </row>
    <row r="227">
      <c r="A227" s="19"/>
      <c r="B227" s="84"/>
      <c r="C227" s="82"/>
      <c r="D227" s="23"/>
      <c r="E227" s="23"/>
      <c r="F227" s="59"/>
      <c r="G227" s="6"/>
      <c r="H227" s="6"/>
      <c r="I227" s="59"/>
      <c r="J227" s="83"/>
      <c r="K227" s="59"/>
      <c r="L227" s="59"/>
      <c r="M227" s="59"/>
      <c r="N227" s="59"/>
      <c r="O227" s="59"/>
      <c r="P227" s="59"/>
      <c r="Q227" s="59"/>
    </row>
    <row r="228">
      <c r="A228" s="19"/>
      <c r="B228" s="84"/>
      <c r="C228" s="82"/>
      <c r="D228" s="23"/>
      <c r="E228" s="23"/>
      <c r="F228" s="59"/>
      <c r="G228" s="6"/>
      <c r="H228" s="6"/>
      <c r="I228" s="59"/>
      <c r="J228" s="83"/>
      <c r="K228" s="59"/>
      <c r="L228" s="59"/>
      <c r="M228" s="59"/>
      <c r="N228" s="59"/>
      <c r="O228" s="59"/>
      <c r="P228" s="59"/>
      <c r="Q228" s="59"/>
    </row>
    <row r="229">
      <c r="A229" s="19"/>
      <c r="B229" s="84"/>
      <c r="C229" s="82"/>
      <c r="D229" s="23"/>
      <c r="E229" s="23"/>
      <c r="F229" s="59"/>
      <c r="G229" s="6"/>
      <c r="H229" s="6"/>
      <c r="I229" s="59"/>
      <c r="J229" s="83"/>
      <c r="K229" s="59"/>
      <c r="L229" s="59"/>
      <c r="M229" s="59"/>
      <c r="N229" s="59"/>
      <c r="O229" s="59"/>
      <c r="P229" s="59"/>
      <c r="Q229" s="59"/>
    </row>
    <row r="230">
      <c r="A230" s="19"/>
      <c r="B230" s="84"/>
      <c r="C230" s="82"/>
      <c r="D230" s="23"/>
      <c r="E230" s="23"/>
      <c r="F230" s="59"/>
      <c r="G230" s="6"/>
      <c r="H230" s="6"/>
      <c r="I230" s="59"/>
      <c r="J230" s="83"/>
      <c r="K230" s="59"/>
      <c r="L230" s="59"/>
      <c r="M230" s="59"/>
      <c r="N230" s="59"/>
      <c r="O230" s="59"/>
      <c r="P230" s="59"/>
      <c r="Q230" s="59"/>
    </row>
    <row r="231">
      <c r="A231" s="19"/>
      <c r="B231" s="84"/>
      <c r="C231" s="82"/>
      <c r="D231" s="23"/>
      <c r="E231" s="23"/>
      <c r="F231" s="59"/>
      <c r="G231" s="6"/>
      <c r="H231" s="6"/>
      <c r="I231" s="59"/>
      <c r="J231" s="83"/>
      <c r="K231" s="59"/>
      <c r="L231" s="59"/>
      <c r="M231" s="59"/>
      <c r="N231" s="59"/>
      <c r="O231" s="59"/>
      <c r="P231" s="59"/>
      <c r="Q231" s="59"/>
    </row>
    <row r="232">
      <c r="A232" s="19"/>
      <c r="B232" s="84"/>
      <c r="C232" s="82"/>
      <c r="D232" s="23"/>
      <c r="E232" s="23"/>
      <c r="F232" s="59"/>
      <c r="G232" s="6"/>
      <c r="H232" s="6"/>
      <c r="I232" s="59"/>
      <c r="J232" s="83"/>
      <c r="K232" s="59"/>
      <c r="L232" s="59"/>
      <c r="M232" s="59"/>
      <c r="N232" s="59"/>
      <c r="O232" s="59"/>
      <c r="P232" s="59"/>
      <c r="Q232" s="59"/>
    </row>
    <row r="233">
      <c r="A233" s="19"/>
      <c r="B233" s="84"/>
      <c r="C233" s="82"/>
      <c r="D233" s="23"/>
      <c r="E233" s="23"/>
      <c r="F233" s="59"/>
      <c r="G233" s="6"/>
      <c r="H233" s="6"/>
      <c r="I233" s="59"/>
      <c r="J233" s="83"/>
      <c r="K233" s="59"/>
      <c r="L233" s="59"/>
      <c r="M233" s="59"/>
      <c r="N233" s="59"/>
      <c r="O233" s="59"/>
      <c r="P233" s="59"/>
      <c r="Q233" s="59"/>
    </row>
    <row r="234">
      <c r="A234" s="19"/>
      <c r="B234" s="84"/>
      <c r="C234" s="82"/>
      <c r="D234" s="23"/>
      <c r="E234" s="23"/>
      <c r="F234" s="59"/>
      <c r="G234" s="6"/>
      <c r="H234" s="6"/>
      <c r="I234" s="59"/>
      <c r="J234" s="83"/>
      <c r="K234" s="59"/>
      <c r="L234" s="59"/>
      <c r="M234" s="59"/>
      <c r="N234" s="59"/>
      <c r="O234" s="59"/>
      <c r="P234" s="59"/>
      <c r="Q234" s="59"/>
    </row>
    <row r="235">
      <c r="A235" s="19"/>
      <c r="B235" s="84"/>
      <c r="C235" s="82"/>
      <c r="D235" s="23"/>
      <c r="E235" s="23"/>
      <c r="F235" s="59"/>
      <c r="G235" s="6"/>
      <c r="H235" s="6"/>
      <c r="I235" s="59"/>
      <c r="J235" s="83"/>
      <c r="K235" s="59"/>
      <c r="L235" s="59"/>
      <c r="M235" s="59"/>
      <c r="N235" s="59"/>
      <c r="O235" s="59"/>
      <c r="P235" s="59"/>
      <c r="Q235" s="59"/>
    </row>
    <row r="236">
      <c r="A236" s="19"/>
      <c r="B236" s="84"/>
      <c r="C236" s="82"/>
      <c r="D236" s="23"/>
      <c r="E236" s="23"/>
      <c r="F236" s="59"/>
      <c r="G236" s="6"/>
      <c r="H236" s="6"/>
      <c r="I236" s="59"/>
      <c r="J236" s="83"/>
      <c r="K236" s="59"/>
      <c r="L236" s="59"/>
      <c r="M236" s="59"/>
      <c r="N236" s="59"/>
      <c r="O236" s="59"/>
      <c r="P236" s="59"/>
      <c r="Q236" s="59"/>
    </row>
    <row r="237">
      <c r="A237" s="19"/>
      <c r="B237" s="84"/>
      <c r="C237" s="82"/>
      <c r="D237" s="23"/>
      <c r="E237" s="23"/>
      <c r="F237" s="59"/>
      <c r="G237" s="6"/>
      <c r="H237" s="6"/>
      <c r="I237" s="59"/>
      <c r="J237" s="83"/>
      <c r="K237" s="59"/>
      <c r="L237" s="59"/>
      <c r="M237" s="59"/>
      <c r="N237" s="59"/>
      <c r="O237" s="59"/>
      <c r="P237" s="59"/>
      <c r="Q237" s="59"/>
    </row>
    <row r="238">
      <c r="A238" s="19"/>
      <c r="B238" s="84"/>
      <c r="C238" s="82"/>
      <c r="D238" s="23"/>
      <c r="E238" s="23"/>
      <c r="F238" s="59"/>
      <c r="G238" s="6"/>
      <c r="H238" s="6"/>
      <c r="I238" s="59"/>
      <c r="J238" s="83"/>
      <c r="K238" s="59"/>
      <c r="L238" s="59"/>
      <c r="M238" s="59"/>
      <c r="N238" s="59"/>
      <c r="O238" s="59"/>
      <c r="P238" s="59"/>
      <c r="Q238" s="59"/>
    </row>
    <row r="239">
      <c r="A239" s="19"/>
      <c r="B239" s="84"/>
      <c r="C239" s="82"/>
      <c r="D239" s="23"/>
      <c r="E239" s="23"/>
      <c r="F239" s="59"/>
      <c r="G239" s="6"/>
      <c r="H239" s="6"/>
      <c r="I239" s="59"/>
      <c r="J239" s="83"/>
      <c r="K239" s="59"/>
      <c r="L239" s="59"/>
      <c r="M239" s="59"/>
      <c r="N239" s="59"/>
      <c r="O239" s="59"/>
      <c r="P239" s="59"/>
      <c r="Q239" s="59"/>
    </row>
    <row r="240">
      <c r="A240" s="19"/>
      <c r="B240" s="84"/>
      <c r="C240" s="82"/>
      <c r="D240" s="23"/>
      <c r="E240" s="23"/>
      <c r="F240" s="59"/>
      <c r="G240" s="6"/>
      <c r="H240" s="6"/>
      <c r="I240" s="59"/>
      <c r="J240" s="83"/>
      <c r="K240" s="59"/>
      <c r="L240" s="59"/>
      <c r="M240" s="59"/>
      <c r="N240" s="59"/>
      <c r="O240" s="59"/>
      <c r="P240" s="59"/>
      <c r="Q240" s="59"/>
    </row>
    <row r="241">
      <c r="A241" s="19"/>
      <c r="B241" s="84"/>
      <c r="C241" s="82"/>
      <c r="D241" s="23"/>
      <c r="E241" s="23"/>
      <c r="F241" s="59"/>
      <c r="G241" s="6"/>
      <c r="H241" s="6"/>
      <c r="I241" s="59"/>
      <c r="J241" s="83"/>
      <c r="K241" s="59"/>
      <c r="L241" s="59"/>
      <c r="M241" s="59"/>
      <c r="N241" s="59"/>
      <c r="O241" s="59"/>
      <c r="P241" s="59"/>
      <c r="Q241" s="59"/>
    </row>
    <row r="242">
      <c r="A242" s="19"/>
      <c r="B242" s="84"/>
      <c r="C242" s="82"/>
      <c r="D242" s="23"/>
      <c r="E242" s="23"/>
      <c r="F242" s="59"/>
      <c r="G242" s="6"/>
      <c r="H242" s="6"/>
      <c r="I242" s="59"/>
      <c r="J242" s="83"/>
      <c r="K242" s="59"/>
      <c r="L242" s="59"/>
      <c r="M242" s="59"/>
      <c r="N242" s="59"/>
      <c r="O242" s="59"/>
      <c r="P242" s="59"/>
      <c r="Q242" s="59"/>
    </row>
    <row r="243">
      <c r="A243" s="19"/>
      <c r="B243" s="84"/>
      <c r="C243" s="82"/>
      <c r="D243" s="23"/>
      <c r="E243" s="23"/>
      <c r="F243" s="59"/>
      <c r="G243" s="6"/>
      <c r="H243" s="6"/>
      <c r="I243" s="59"/>
      <c r="J243" s="83"/>
      <c r="K243" s="59"/>
      <c r="L243" s="59"/>
      <c r="M243" s="59"/>
      <c r="N243" s="59"/>
      <c r="O243" s="59"/>
      <c r="P243" s="59"/>
      <c r="Q243" s="59"/>
    </row>
    <row r="244">
      <c r="A244" s="19"/>
      <c r="B244" s="84"/>
      <c r="C244" s="82"/>
      <c r="D244" s="23"/>
      <c r="E244" s="23"/>
      <c r="F244" s="59"/>
      <c r="G244" s="6"/>
      <c r="H244" s="6"/>
      <c r="I244" s="59"/>
      <c r="J244" s="83"/>
      <c r="K244" s="59"/>
      <c r="L244" s="59"/>
      <c r="M244" s="59"/>
      <c r="N244" s="59"/>
      <c r="O244" s="59"/>
      <c r="P244" s="59"/>
      <c r="Q244" s="59"/>
    </row>
    <row r="245">
      <c r="A245" s="19"/>
      <c r="B245" s="84"/>
      <c r="C245" s="82"/>
      <c r="D245" s="23"/>
      <c r="E245" s="23"/>
      <c r="F245" s="59"/>
      <c r="G245" s="6"/>
      <c r="H245" s="6"/>
      <c r="I245" s="59"/>
      <c r="J245" s="83"/>
      <c r="K245" s="59"/>
      <c r="L245" s="59"/>
      <c r="M245" s="59"/>
      <c r="N245" s="59"/>
      <c r="O245" s="59"/>
      <c r="P245" s="59"/>
      <c r="Q245" s="59"/>
    </row>
    <row r="246">
      <c r="A246" s="19"/>
      <c r="B246" s="84"/>
      <c r="C246" s="82"/>
      <c r="D246" s="23"/>
      <c r="E246" s="23"/>
      <c r="F246" s="59"/>
      <c r="G246" s="6"/>
      <c r="H246" s="6"/>
      <c r="I246" s="59"/>
      <c r="J246" s="83"/>
      <c r="K246" s="59"/>
      <c r="L246" s="59"/>
      <c r="M246" s="59"/>
      <c r="N246" s="59"/>
      <c r="O246" s="59"/>
      <c r="P246" s="59"/>
      <c r="Q246" s="59"/>
    </row>
    <row r="247">
      <c r="A247" s="19"/>
      <c r="B247" s="84"/>
      <c r="C247" s="82"/>
      <c r="D247" s="23"/>
      <c r="E247" s="23"/>
      <c r="F247" s="59"/>
      <c r="G247" s="6"/>
      <c r="H247" s="6"/>
      <c r="I247" s="59"/>
      <c r="J247" s="83"/>
      <c r="K247" s="59"/>
      <c r="L247" s="59"/>
      <c r="M247" s="59"/>
      <c r="N247" s="59"/>
      <c r="O247" s="59"/>
      <c r="P247" s="59"/>
      <c r="Q247" s="59"/>
    </row>
    <row r="248">
      <c r="A248" s="19"/>
      <c r="B248" s="84"/>
      <c r="C248" s="82"/>
      <c r="D248" s="23"/>
      <c r="E248" s="23"/>
      <c r="F248" s="59"/>
      <c r="G248" s="6"/>
      <c r="H248" s="6"/>
      <c r="I248" s="59"/>
      <c r="J248" s="83"/>
      <c r="K248" s="59"/>
      <c r="L248" s="59"/>
      <c r="M248" s="59"/>
      <c r="N248" s="59"/>
      <c r="O248" s="59"/>
      <c r="P248" s="59"/>
      <c r="Q248" s="59"/>
    </row>
    <row r="249">
      <c r="A249" s="19"/>
      <c r="B249" s="84"/>
      <c r="C249" s="82"/>
      <c r="D249" s="23"/>
      <c r="E249" s="23"/>
      <c r="F249" s="59"/>
      <c r="G249" s="6"/>
      <c r="H249" s="6"/>
      <c r="I249" s="59"/>
      <c r="J249" s="83"/>
      <c r="K249" s="59"/>
      <c r="L249" s="59"/>
      <c r="M249" s="59"/>
      <c r="N249" s="59"/>
      <c r="O249" s="59"/>
      <c r="P249" s="59"/>
      <c r="Q249" s="59"/>
    </row>
    <row r="250">
      <c r="A250" s="19"/>
      <c r="B250" s="84"/>
      <c r="C250" s="82"/>
      <c r="D250" s="23"/>
      <c r="E250" s="23"/>
      <c r="F250" s="59"/>
      <c r="G250" s="6"/>
      <c r="H250" s="6"/>
      <c r="I250" s="59"/>
      <c r="J250" s="83"/>
      <c r="K250" s="59"/>
      <c r="L250" s="59"/>
      <c r="M250" s="59"/>
      <c r="N250" s="59"/>
      <c r="O250" s="59"/>
      <c r="P250" s="59"/>
      <c r="Q250" s="59"/>
    </row>
    <row r="251">
      <c r="A251" s="19"/>
      <c r="B251" s="84"/>
      <c r="C251" s="82"/>
      <c r="D251" s="23"/>
      <c r="E251" s="23"/>
      <c r="F251" s="59"/>
      <c r="G251" s="6"/>
      <c r="H251" s="6"/>
      <c r="I251" s="59"/>
      <c r="J251" s="83"/>
      <c r="K251" s="59"/>
      <c r="L251" s="59"/>
      <c r="M251" s="59"/>
      <c r="N251" s="59"/>
      <c r="O251" s="59"/>
      <c r="P251" s="59"/>
      <c r="Q251" s="59"/>
    </row>
    <row r="252">
      <c r="A252" s="19"/>
      <c r="B252" s="84"/>
      <c r="C252" s="82"/>
      <c r="D252" s="23"/>
      <c r="E252" s="23"/>
      <c r="F252" s="59"/>
      <c r="G252" s="6"/>
      <c r="H252" s="6"/>
      <c r="I252" s="59"/>
      <c r="J252" s="83"/>
      <c r="K252" s="59"/>
      <c r="L252" s="59"/>
      <c r="M252" s="59"/>
      <c r="N252" s="59"/>
      <c r="O252" s="59"/>
      <c r="P252" s="59"/>
      <c r="Q252" s="59"/>
    </row>
    <row r="253">
      <c r="A253" s="19"/>
      <c r="B253" s="84"/>
      <c r="C253" s="82"/>
      <c r="D253" s="23"/>
      <c r="E253" s="23"/>
      <c r="F253" s="59"/>
      <c r="G253" s="6"/>
      <c r="H253" s="6"/>
      <c r="I253" s="59"/>
      <c r="J253" s="83"/>
      <c r="K253" s="59"/>
      <c r="L253" s="59"/>
      <c r="M253" s="59"/>
      <c r="N253" s="59"/>
      <c r="O253" s="59"/>
      <c r="P253" s="59"/>
      <c r="Q253" s="59"/>
    </row>
    <row r="254">
      <c r="A254" s="19"/>
      <c r="B254" s="84"/>
      <c r="C254" s="82"/>
      <c r="D254" s="23"/>
      <c r="E254" s="23"/>
      <c r="F254" s="59"/>
      <c r="G254" s="6"/>
      <c r="H254" s="6"/>
      <c r="I254" s="59"/>
      <c r="J254" s="83"/>
      <c r="K254" s="59"/>
      <c r="L254" s="59"/>
      <c r="M254" s="59"/>
      <c r="N254" s="59"/>
      <c r="O254" s="59"/>
      <c r="P254" s="59"/>
      <c r="Q254" s="59"/>
    </row>
    <row r="255">
      <c r="A255" s="19"/>
      <c r="B255" s="84"/>
      <c r="C255" s="82"/>
      <c r="D255" s="23"/>
      <c r="E255" s="23"/>
      <c r="F255" s="59"/>
      <c r="G255" s="6"/>
      <c r="H255" s="6"/>
      <c r="I255" s="59"/>
      <c r="J255" s="83"/>
      <c r="K255" s="59"/>
      <c r="L255" s="59"/>
      <c r="M255" s="59"/>
      <c r="N255" s="59"/>
      <c r="O255" s="59"/>
      <c r="P255" s="59"/>
      <c r="Q255" s="59"/>
    </row>
    <row r="256">
      <c r="A256" s="19"/>
      <c r="B256" s="84"/>
      <c r="C256" s="82"/>
      <c r="D256" s="23"/>
      <c r="E256" s="23"/>
      <c r="F256" s="59"/>
      <c r="G256" s="6"/>
      <c r="H256" s="6"/>
      <c r="I256" s="59"/>
      <c r="J256" s="83"/>
      <c r="K256" s="59"/>
      <c r="L256" s="59"/>
      <c r="M256" s="59"/>
      <c r="N256" s="59"/>
      <c r="O256" s="59"/>
      <c r="P256" s="59"/>
      <c r="Q256" s="59"/>
    </row>
    <row r="257">
      <c r="A257" s="19"/>
      <c r="B257" s="84"/>
      <c r="C257" s="82"/>
      <c r="D257" s="23"/>
      <c r="E257" s="23"/>
      <c r="F257" s="59"/>
      <c r="G257" s="6"/>
      <c r="H257" s="6"/>
      <c r="I257" s="59"/>
      <c r="J257" s="83"/>
      <c r="K257" s="59"/>
      <c r="L257" s="59"/>
      <c r="M257" s="59"/>
      <c r="N257" s="59"/>
      <c r="O257" s="59"/>
      <c r="P257" s="59"/>
      <c r="Q257" s="59"/>
    </row>
    <row r="258">
      <c r="A258" s="19"/>
      <c r="B258" s="84"/>
      <c r="C258" s="82"/>
      <c r="D258" s="23"/>
      <c r="E258" s="23"/>
      <c r="F258" s="59"/>
      <c r="G258" s="6"/>
      <c r="H258" s="6"/>
      <c r="I258" s="59"/>
      <c r="J258" s="83"/>
      <c r="K258" s="59"/>
      <c r="L258" s="59"/>
      <c r="M258" s="59"/>
      <c r="N258" s="59"/>
      <c r="O258" s="59"/>
      <c r="P258" s="59"/>
      <c r="Q258" s="59"/>
    </row>
    <row r="259">
      <c r="A259" s="19"/>
      <c r="B259" s="84"/>
      <c r="C259" s="82"/>
      <c r="D259" s="23"/>
      <c r="E259" s="23"/>
      <c r="F259" s="59"/>
      <c r="G259" s="6"/>
      <c r="H259" s="6"/>
      <c r="I259" s="59"/>
      <c r="J259" s="83"/>
      <c r="K259" s="59"/>
      <c r="L259" s="59"/>
      <c r="M259" s="59"/>
      <c r="N259" s="59"/>
      <c r="O259" s="59"/>
      <c r="P259" s="59"/>
      <c r="Q259" s="59"/>
    </row>
    <row r="260">
      <c r="A260" s="19"/>
      <c r="B260" s="84"/>
      <c r="C260" s="82"/>
      <c r="D260" s="23"/>
      <c r="E260" s="23"/>
      <c r="F260" s="59"/>
      <c r="G260" s="6"/>
      <c r="H260" s="6"/>
      <c r="I260" s="59"/>
      <c r="J260" s="83"/>
      <c r="K260" s="59"/>
      <c r="L260" s="59"/>
      <c r="M260" s="59"/>
      <c r="N260" s="59"/>
      <c r="O260" s="59"/>
      <c r="P260" s="59"/>
      <c r="Q260" s="59"/>
    </row>
    <row r="261">
      <c r="A261" s="19"/>
      <c r="B261" s="84"/>
      <c r="C261" s="82"/>
      <c r="D261" s="23"/>
      <c r="E261" s="23"/>
      <c r="F261" s="59"/>
      <c r="G261" s="6"/>
      <c r="H261" s="6"/>
      <c r="I261" s="59"/>
      <c r="J261" s="83"/>
      <c r="K261" s="59"/>
      <c r="L261" s="59"/>
      <c r="M261" s="59"/>
      <c r="N261" s="59"/>
      <c r="O261" s="59"/>
      <c r="P261" s="59"/>
      <c r="Q261" s="59"/>
    </row>
    <row r="262">
      <c r="A262" s="19"/>
      <c r="B262" s="84"/>
      <c r="C262" s="82"/>
      <c r="D262" s="23"/>
      <c r="E262" s="23"/>
      <c r="F262" s="59"/>
      <c r="G262" s="6"/>
      <c r="H262" s="6"/>
      <c r="I262" s="59"/>
      <c r="J262" s="83"/>
      <c r="K262" s="59"/>
      <c r="L262" s="59"/>
      <c r="M262" s="59"/>
      <c r="N262" s="59"/>
      <c r="O262" s="59"/>
      <c r="P262" s="59"/>
      <c r="Q262" s="59"/>
    </row>
    <row r="263">
      <c r="A263" s="19"/>
      <c r="B263" s="84"/>
      <c r="C263" s="82"/>
      <c r="D263" s="23"/>
      <c r="E263" s="23"/>
      <c r="F263" s="59"/>
      <c r="G263" s="6"/>
      <c r="H263" s="6"/>
      <c r="I263" s="59"/>
      <c r="J263" s="83"/>
      <c r="K263" s="59"/>
      <c r="L263" s="59"/>
      <c r="M263" s="59"/>
      <c r="N263" s="59"/>
      <c r="O263" s="59"/>
      <c r="P263" s="59"/>
      <c r="Q263" s="59"/>
    </row>
    <row r="264">
      <c r="A264" s="19"/>
      <c r="B264" s="84"/>
      <c r="C264" s="82"/>
      <c r="D264" s="23"/>
      <c r="E264" s="23"/>
      <c r="F264" s="59"/>
      <c r="G264" s="6"/>
      <c r="H264" s="6"/>
      <c r="I264" s="59"/>
      <c r="J264" s="83"/>
      <c r="K264" s="59"/>
      <c r="L264" s="59"/>
      <c r="M264" s="59"/>
      <c r="N264" s="59"/>
      <c r="O264" s="59"/>
      <c r="P264" s="59"/>
      <c r="Q264" s="59"/>
    </row>
    <row r="265">
      <c r="A265" s="19"/>
      <c r="B265" s="84"/>
      <c r="C265" s="82"/>
      <c r="D265" s="23"/>
      <c r="E265" s="23"/>
      <c r="F265" s="59"/>
      <c r="G265" s="6"/>
      <c r="H265" s="6"/>
      <c r="I265" s="59"/>
      <c r="J265" s="83"/>
      <c r="K265" s="59"/>
      <c r="L265" s="59"/>
      <c r="M265" s="59"/>
      <c r="N265" s="59"/>
      <c r="O265" s="59"/>
      <c r="P265" s="59"/>
      <c r="Q265" s="59"/>
    </row>
    <row r="266">
      <c r="A266" s="19"/>
      <c r="B266" s="84"/>
      <c r="C266" s="82"/>
      <c r="D266" s="23"/>
      <c r="E266" s="23"/>
      <c r="F266" s="59"/>
      <c r="G266" s="6"/>
      <c r="H266" s="6"/>
      <c r="I266" s="59"/>
      <c r="J266" s="83"/>
      <c r="K266" s="59"/>
      <c r="L266" s="59"/>
      <c r="M266" s="59"/>
      <c r="N266" s="59"/>
      <c r="O266" s="59"/>
      <c r="P266" s="59"/>
      <c r="Q266" s="59"/>
    </row>
    <row r="267">
      <c r="A267" s="19"/>
      <c r="B267" s="84"/>
      <c r="C267" s="82"/>
      <c r="D267" s="23"/>
      <c r="E267" s="23"/>
      <c r="F267" s="59"/>
      <c r="G267" s="6"/>
      <c r="H267" s="6"/>
      <c r="I267" s="59"/>
      <c r="J267" s="83"/>
      <c r="K267" s="59"/>
      <c r="L267" s="59"/>
      <c r="M267" s="59"/>
      <c r="N267" s="59"/>
      <c r="O267" s="59"/>
      <c r="P267" s="59"/>
      <c r="Q267" s="59"/>
    </row>
    <row r="268">
      <c r="A268" s="19"/>
      <c r="B268" s="84"/>
      <c r="C268" s="82"/>
      <c r="D268" s="23"/>
      <c r="E268" s="23"/>
      <c r="F268" s="59"/>
      <c r="G268" s="6"/>
      <c r="H268" s="6"/>
      <c r="I268" s="59"/>
      <c r="J268" s="83"/>
      <c r="K268" s="59"/>
      <c r="L268" s="59"/>
      <c r="M268" s="59"/>
      <c r="N268" s="59"/>
      <c r="O268" s="59"/>
      <c r="P268" s="59"/>
      <c r="Q268" s="59"/>
    </row>
    <row r="269">
      <c r="A269" s="19"/>
      <c r="B269" s="84"/>
      <c r="C269" s="82"/>
      <c r="D269" s="23"/>
      <c r="E269" s="23"/>
      <c r="F269" s="59"/>
      <c r="G269" s="6"/>
      <c r="H269" s="6"/>
      <c r="I269" s="59"/>
      <c r="J269" s="83"/>
      <c r="K269" s="59"/>
      <c r="L269" s="59"/>
      <c r="M269" s="59"/>
      <c r="N269" s="59"/>
      <c r="O269" s="59"/>
      <c r="P269" s="59"/>
      <c r="Q269" s="59"/>
    </row>
    <row r="270">
      <c r="A270" s="19"/>
      <c r="B270" s="84"/>
      <c r="C270" s="82"/>
      <c r="D270" s="23"/>
      <c r="E270" s="23"/>
      <c r="F270" s="59"/>
      <c r="G270" s="6"/>
      <c r="H270" s="6"/>
      <c r="I270" s="59"/>
      <c r="J270" s="83"/>
      <c r="K270" s="59"/>
      <c r="L270" s="59"/>
      <c r="M270" s="59"/>
      <c r="N270" s="59"/>
      <c r="O270" s="59"/>
      <c r="P270" s="59"/>
      <c r="Q270" s="59"/>
    </row>
    <row r="271">
      <c r="A271" s="19"/>
      <c r="B271" s="84"/>
      <c r="C271" s="82"/>
      <c r="D271" s="23"/>
      <c r="E271" s="23"/>
      <c r="F271" s="59"/>
      <c r="G271" s="6"/>
      <c r="H271" s="6"/>
      <c r="I271" s="59"/>
      <c r="J271" s="83"/>
      <c r="K271" s="59"/>
      <c r="L271" s="59"/>
      <c r="M271" s="59"/>
      <c r="N271" s="59"/>
      <c r="O271" s="59"/>
      <c r="P271" s="59"/>
      <c r="Q271" s="59"/>
    </row>
    <row r="272">
      <c r="A272" s="19"/>
      <c r="B272" s="84"/>
      <c r="C272" s="82"/>
      <c r="D272" s="23"/>
      <c r="E272" s="23"/>
      <c r="F272" s="59"/>
      <c r="G272" s="6"/>
      <c r="H272" s="6"/>
      <c r="I272" s="59"/>
      <c r="J272" s="83"/>
      <c r="K272" s="59"/>
      <c r="L272" s="59"/>
      <c r="M272" s="59"/>
      <c r="N272" s="59"/>
      <c r="O272" s="59"/>
      <c r="P272" s="59"/>
      <c r="Q272" s="59"/>
    </row>
    <row r="273">
      <c r="A273" s="19"/>
      <c r="B273" s="84"/>
      <c r="C273" s="82"/>
      <c r="D273" s="23"/>
      <c r="E273" s="23"/>
      <c r="F273" s="59"/>
      <c r="G273" s="6"/>
      <c r="H273" s="6"/>
      <c r="I273" s="59"/>
      <c r="J273" s="83"/>
      <c r="K273" s="59"/>
      <c r="L273" s="59"/>
      <c r="M273" s="59"/>
      <c r="N273" s="59"/>
      <c r="O273" s="59"/>
      <c r="P273" s="59"/>
      <c r="Q273" s="59"/>
    </row>
    <row r="274">
      <c r="A274" s="19"/>
      <c r="B274" s="84"/>
      <c r="C274" s="82"/>
      <c r="D274" s="23"/>
      <c r="E274" s="23"/>
      <c r="F274" s="59"/>
      <c r="G274" s="6"/>
      <c r="H274" s="6"/>
      <c r="I274" s="59"/>
      <c r="J274" s="83"/>
      <c r="K274" s="59"/>
      <c r="L274" s="59"/>
      <c r="M274" s="59"/>
      <c r="N274" s="59"/>
      <c r="O274" s="59"/>
      <c r="P274" s="59"/>
      <c r="Q274" s="59"/>
    </row>
    <row r="275">
      <c r="A275" s="19"/>
      <c r="B275" s="84"/>
      <c r="C275" s="82"/>
      <c r="D275" s="23"/>
      <c r="E275" s="23"/>
      <c r="F275" s="59"/>
      <c r="G275" s="6"/>
      <c r="H275" s="6"/>
      <c r="I275" s="59"/>
      <c r="J275" s="83"/>
      <c r="K275" s="59"/>
      <c r="L275" s="59"/>
      <c r="M275" s="59"/>
      <c r="N275" s="59"/>
      <c r="O275" s="59"/>
      <c r="P275" s="59"/>
      <c r="Q275" s="59"/>
    </row>
    <row r="276">
      <c r="A276" s="19"/>
      <c r="B276" s="84"/>
      <c r="C276" s="82"/>
      <c r="D276" s="23"/>
      <c r="E276" s="23"/>
      <c r="F276" s="59"/>
      <c r="G276" s="6"/>
      <c r="H276" s="6"/>
      <c r="I276" s="59"/>
      <c r="J276" s="83"/>
      <c r="K276" s="59"/>
      <c r="L276" s="59"/>
      <c r="M276" s="59"/>
      <c r="N276" s="59"/>
      <c r="O276" s="59"/>
      <c r="P276" s="59"/>
      <c r="Q276" s="59"/>
    </row>
    <row r="277">
      <c r="A277" s="19"/>
      <c r="B277" s="84"/>
      <c r="C277" s="82"/>
      <c r="D277" s="23"/>
      <c r="E277" s="23"/>
      <c r="F277" s="59"/>
      <c r="G277" s="6"/>
      <c r="H277" s="6"/>
      <c r="I277" s="59"/>
      <c r="J277" s="83"/>
      <c r="K277" s="59"/>
      <c r="L277" s="59"/>
      <c r="M277" s="59"/>
      <c r="N277" s="59"/>
      <c r="O277" s="59"/>
      <c r="P277" s="59"/>
      <c r="Q277" s="59"/>
    </row>
    <row r="278">
      <c r="A278" s="19"/>
      <c r="B278" s="84"/>
      <c r="C278" s="82"/>
      <c r="D278" s="23"/>
      <c r="E278" s="23"/>
      <c r="F278" s="59"/>
      <c r="G278" s="6"/>
      <c r="H278" s="6"/>
      <c r="I278" s="59"/>
      <c r="J278" s="83"/>
      <c r="K278" s="59"/>
      <c r="L278" s="59"/>
      <c r="M278" s="59"/>
      <c r="N278" s="59"/>
      <c r="O278" s="59"/>
      <c r="P278" s="59"/>
      <c r="Q278" s="59"/>
    </row>
    <row r="279">
      <c r="A279" s="19"/>
      <c r="B279" s="84"/>
      <c r="C279" s="82"/>
      <c r="D279" s="23"/>
      <c r="E279" s="23"/>
      <c r="F279" s="59"/>
      <c r="G279" s="6"/>
      <c r="H279" s="6"/>
      <c r="I279" s="59"/>
      <c r="J279" s="83"/>
      <c r="K279" s="59"/>
      <c r="L279" s="59"/>
      <c r="M279" s="59"/>
      <c r="N279" s="59"/>
      <c r="O279" s="59"/>
      <c r="P279" s="59"/>
      <c r="Q279" s="59"/>
    </row>
    <row r="280">
      <c r="A280" s="19"/>
      <c r="B280" s="84"/>
      <c r="C280" s="82"/>
      <c r="D280" s="23"/>
      <c r="E280" s="23"/>
      <c r="F280" s="59"/>
      <c r="G280" s="6"/>
      <c r="H280" s="6"/>
      <c r="I280" s="59"/>
      <c r="J280" s="83"/>
      <c r="K280" s="59"/>
      <c r="L280" s="59"/>
      <c r="M280" s="59"/>
      <c r="N280" s="59"/>
      <c r="O280" s="59"/>
      <c r="P280" s="59"/>
      <c r="Q280" s="59"/>
    </row>
    <row r="281">
      <c r="A281" s="19"/>
      <c r="B281" s="84"/>
      <c r="C281" s="82"/>
      <c r="D281" s="23"/>
      <c r="E281" s="23"/>
      <c r="F281" s="59"/>
      <c r="G281" s="6"/>
      <c r="H281" s="6"/>
      <c r="I281" s="59"/>
      <c r="J281" s="83"/>
      <c r="K281" s="59"/>
      <c r="L281" s="59"/>
      <c r="M281" s="59"/>
      <c r="N281" s="59"/>
      <c r="O281" s="59"/>
      <c r="P281" s="59"/>
      <c r="Q281" s="59"/>
    </row>
    <row r="282">
      <c r="A282" s="19"/>
      <c r="B282" s="84"/>
      <c r="C282" s="82"/>
      <c r="D282" s="23"/>
      <c r="E282" s="23"/>
      <c r="F282" s="59"/>
      <c r="G282" s="6"/>
      <c r="H282" s="6"/>
      <c r="I282" s="59"/>
      <c r="J282" s="83"/>
      <c r="K282" s="59"/>
      <c r="L282" s="59"/>
      <c r="M282" s="59"/>
      <c r="N282" s="59"/>
      <c r="O282" s="59"/>
      <c r="P282" s="59"/>
      <c r="Q282" s="59"/>
    </row>
    <row r="283">
      <c r="A283" s="19"/>
      <c r="B283" s="84"/>
      <c r="C283" s="82"/>
      <c r="D283" s="23"/>
      <c r="E283" s="23"/>
      <c r="F283" s="59"/>
      <c r="G283" s="6"/>
      <c r="H283" s="6"/>
      <c r="I283" s="59"/>
      <c r="J283" s="83"/>
      <c r="K283" s="59"/>
      <c r="L283" s="59"/>
      <c r="M283" s="59"/>
      <c r="N283" s="59"/>
      <c r="O283" s="59"/>
      <c r="P283" s="59"/>
      <c r="Q283" s="59"/>
    </row>
    <row r="284">
      <c r="A284" s="19"/>
      <c r="B284" s="84"/>
      <c r="C284" s="82"/>
      <c r="D284" s="23"/>
      <c r="E284" s="23"/>
      <c r="F284" s="59"/>
      <c r="G284" s="6"/>
      <c r="H284" s="6"/>
      <c r="I284" s="59"/>
      <c r="J284" s="83"/>
      <c r="K284" s="59"/>
      <c r="L284" s="59"/>
      <c r="M284" s="59"/>
      <c r="N284" s="59"/>
      <c r="O284" s="59"/>
      <c r="P284" s="59"/>
      <c r="Q284" s="59"/>
    </row>
    <row r="285">
      <c r="A285" s="19"/>
      <c r="B285" s="84"/>
      <c r="C285" s="82"/>
      <c r="D285" s="23"/>
      <c r="E285" s="23"/>
      <c r="F285" s="59"/>
      <c r="G285" s="6"/>
      <c r="H285" s="6"/>
      <c r="I285" s="59"/>
      <c r="J285" s="83"/>
      <c r="K285" s="59"/>
      <c r="L285" s="59"/>
      <c r="M285" s="59"/>
      <c r="N285" s="59"/>
      <c r="O285" s="59"/>
      <c r="P285" s="59"/>
      <c r="Q285" s="59"/>
    </row>
    <row r="286">
      <c r="A286" s="19"/>
      <c r="B286" s="84"/>
      <c r="C286" s="82"/>
      <c r="D286" s="23"/>
      <c r="E286" s="23"/>
      <c r="F286" s="59"/>
      <c r="G286" s="6"/>
      <c r="H286" s="6"/>
      <c r="I286" s="59"/>
      <c r="J286" s="83"/>
      <c r="K286" s="59"/>
      <c r="L286" s="59"/>
      <c r="M286" s="59"/>
      <c r="N286" s="59"/>
      <c r="O286" s="59"/>
      <c r="P286" s="59"/>
      <c r="Q286" s="59"/>
    </row>
    <row r="287">
      <c r="A287" s="19"/>
      <c r="B287" s="84"/>
      <c r="C287" s="82"/>
      <c r="D287" s="23"/>
      <c r="E287" s="23"/>
      <c r="F287" s="59"/>
      <c r="G287" s="6"/>
      <c r="H287" s="6"/>
      <c r="I287" s="59"/>
      <c r="J287" s="83"/>
      <c r="K287" s="59"/>
      <c r="L287" s="59"/>
      <c r="M287" s="59"/>
      <c r="N287" s="59"/>
      <c r="O287" s="59"/>
      <c r="P287" s="59"/>
      <c r="Q287" s="59"/>
    </row>
    <row r="288">
      <c r="A288" s="19"/>
      <c r="B288" s="84"/>
      <c r="C288" s="82"/>
      <c r="D288" s="23"/>
      <c r="E288" s="23"/>
      <c r="F288" s="59"/>
      <c r="G288" s="6"/>
      <c r="H288" s="6"/>
      <c r="I288" s="59"/>
      <c r="J288" s="83"/>
      <c r="K288" s="59"/>
      <c r="L288" s="59"/>
      <c r="M288" s="59"/>
      <c r="N288" s="59"/>
      <c r="O288" s="59"/>
      <c r="P288" s="59"/>
      <c r="Q288" s="59"/>
    </row>
    <row r="289">
      <c r="A289" s="19"/>
      <c r="B289" s="84"/>
      <c r="C289" s="82"/>
      <c r="D289" s="23"/>
      <c r="E289" s="23"/>
      <c r="F289" s="59"/>
      <c r="G289" s="6"/>
      <c r="H289" s="6"/>
      <c r="I289" s="59"/>
      <c r="J289" s="83"/>
      <c r="K289" s="59"/>
      <c r="L289" s="59"/>
      <c r="M289" s="59"/>
      <c r="N289" s="59"/>
      <c r="O289" s="59"/>
      <c r="P289" s="59"/>
      <c r="Q289" s="59"/>
    </row>
    <row r="290">
      <c r="A290" s="19"/>
      <c r="B290" s="84"/>
      <c r="C290" s="82"/>
      <c r="D290" s="23"/>
      <c r="E290" s="23"/>
      <c r="F290" s="59"/>
      <c r="G290" s="6"/>
      <c r="H290" s="6"/>
      <c r="I290" s="59"/>
      <c r="J290" s="83"/>
      <c r="K290" s="59"/>
      <c r="L290" s="59"/>
      <c r="M290" s="59"/>
      <c r="N290" s="59"/>
      <c r="O290" s="59"/>
      <c r="P290" s="59"/>
      <c r="Q290" s="59"/>
    </row>
    <row r="291">
      <c r="A291" s="19"/>
      <c r="B291" s="84"/>
      <c r="C291" s="82"/>
      <c r="D291" s="23"/>
      <c r="E291" s="23"/>
      <c r="F291" s="59"/>
      <c r="G291" s="6"/>
      <c r="H291" s="6"/>
      <c r="I291" s="59"/>
      <c r="J291" s="83"/>
      <c r="K291" s="59"/>
      <c r="L291" s="59"/>
      <c r="M291" s="59"/>
      <c r="N291" s="59"/>
      <c r="O291" s="59"/>
      <c r="P291" s="59"/>
      <c r="Q291" s="59"/>
    </row>
    <row r="292">
      <c r="A292" s="19"/>
      <c r="B292" s="84"/>
      <c r="C292" s="82"/>
      <c r="D292" s="23"/>
      <c r="E292" s="23"/>
      <c r="F292" s="59"/>
      <c r="G292" s="6"/>
      <c r="H292" s="6"/>
      <c r="I292" s="59"/>
      <c r="J292" s="83"/>
      <c r="K292" s="59"/>
      <c r="L292" s="59"/>
      <c r="M292" s="59"/>
      <c r="N292" s="59"/>
      <c r="O292" s="59"/>
      <c r="P292" s="59"/>
      <c r="Q292" s="59"/>
    </row>
    <row r="293">
      <c r="A293" s="19"/>
      <c r="B293" s="84"/>
      <c r="C293" s="82"/>
      <c r="D293" s="23"/>
      <c r="E293" s="23"/>
      <c r="F293" s="59"/>
      <c r="G293" s="6"/>
      <c r="H293" s="6"/>
      <c r="I293" s="59"/>
      <c r="J293" s="83"/>
      <c r="K293" s="59"/>
      <c r="L293" s="59"/>
      <c r="M293" s="59"/>
      <c r="N293" s="59"/>
      <c r="O293" s="59"/>
      <c r="P293" s="59"/>
      <c r="Q293" s="59"/>
    </row>
    <row r="294">
      <c r="A294" s="19"/>
      <c r="B294" s="84"/>
      <c r="C294" s="82"/>
      <c r="D294" s="23"/>
      <c r="E294" s="23"/>
      <c r="F294" s="59"/>
      <c r="G294" s="6"/>
      <c r="H294" s="6"/>
      <c r="I294" s="59"/>
      <c r="J294" s="83"/>
      <c r="K294" s="59"/>
      <c r="L294" s="59"/>
      <c r="M294" s="59"/>
      <c r="N294" s="59"/>
      <c r="O294" s="59"/>
      <c r="P294" s="59"/>
      <c r="Q294" s="59"/>
    </row>
    <row r="295">
      <c r="A295" s="19"/>
      <c r="B295" s="84"/>
      <c r="C295" s="82"/>
      <c r="D295" s="23"/>
      <c r="E295" s="23"/>
      <c r="F295" s="59"/>
      <c r="G295" s="6"/>
      <c r="H295" s="6"/>
      <c r="I295" s="59"/>
      <c r="J295" s="83"/>
      <c r="K295" s="59"/>
      <c r="L295" s="59"/>
      <c r="M295" s="59"/>
      <c r="N295" s="59"/>
      <c r="O295" s="59"/>
      <c r="P295" s="59"/>
      <c r="Q295" s="59"/>
    </row>
    <row r="296">
      <c r="A296" s="19"/>
      <c r="B296" s="84"/>
      <c r="C296" s="82"/>
      <c r="D296" s="23"/>
      <c r="E296" s="23"/>
      <c r="F296" s="59"/>
      <c r="G296" s="6"/>
      <c r="H296" s="6"/>
      <c r="I296" s="59"/>
      <c r="J296" s="83"/>
      <c r="K296" s="59"/>
      <c r="L296" s="59"/>
      <c r="M296" s="59"/>
      <c r="N296" s="59"/>
      <c r="O296" s="59"/>
      <c r="P296" s="59"/>
      <c r="Q296" s="59"/>
    </row>
    <row r="297">
      <c r="A297" s="19"/>
      <c r="B297" s="84"/>
      <c r="C297" s="82"/>
      <c r="D297" s="23"/>
      <c r="E297" s="23"/>
      <c r="F297" s="59"/>
      <c r="G297" s="6"/>
      <c r="H297" s="6"/>
      <c r="I297" s="59"/>
      <c r="J297" s="83"/>
      <c r="K297" s="59"/>
      <c r="L297" s="59"/>
      <c r="M297" s="59"/>
      <c r="N297" s="59"/>
      <c r="O297" s="59"/>
      <c r="P297" s="59"/>
      <c r="Q297" s="59"/>
    </row>
    <row r="298">
      <c r="A298" s="19"/>
      <c r="B298" s="84"/>
      <c r="C298" s="82"/>
      <c r="D298" s="23"/>
      <c r="E298" s="23"/>
      <c r="F298" s="59"/>
      <c r="G298" s="6"/>
      <c r="H298" s="6"/>
      <c r="I298" s="59"/>
      <c r="J298" s="83"/>
      <c r="K298" s="59"/>
      <c r="L298" s="59"/>
      <c r="M298" s="59"/>
      <c r="N298" s="59"/>
      <c r="O298" s="59"/>
      <c r="P298" s="59"/>
      <c r="Q298" s="59"/>
    </row>
    <row r="299">
      <c r="A299" s="19"/>
      <c r="B299" s="84"/>
      <c r="C299" s="82"/>
      <c r="D299" s="23"/>
      <c r="E299" s="23"/>
      <c r="F299" s="59"/>
      <c r="G299" s="6"/>
      <c r="H299" s="6"/>
      <c r="I299" s="59"/>
      <c r="J299" s="83"/>
      <c r="K299" s="59"/>
      <c r="L299" s="59"/>
      <c r="M299" s="59"/>
      <c r="N299" s="59"/>
      <c r="O299" s="59"/>
      <c r="P299" s="59"/>
      <c r="Q299" s="59"/>
    </row>
    <row r="300">
      <c r="A300" s="19"/>
      <c r="B300" s="84"/>
      <c r="C300" s="82"/>
      <c r="D300" s="23"/>
      <c r="E300" s="23"/>
      <c r="F300" s="59"/>
      <c r="G300" s="6"/>
      <c r="H300" s="6"/>
      <c r="I300" s="59"/>
      <c r="J300" s="83"/>
      <c r="K300" s="59"/>
      <c r="L300" s="59"/>
      <c r="M300" s="59"/>
      <c r="N300" s="59"/>
      <c r="O300" s="59"/>
      <c r="P300" s="59"/>
      <c r="Q300" s="59"/>
    </row>
    <row r="301">
      <c r="A301" s="19"/>
      <c r="B301" s="84"/>
      <c r="C301" s="82"/>
      <c r="D301" s="23"/>
      <c r="E301" s="23"/>
      <c r="F301" s="59"/>
      <c r="G301" s="6"/>
      <c r="H301" s="6"/>
      <c r="I301" s="59"/>
      <c r="J301" s="83"/>
      <c r="K301" s="59"/>
      <c r="L301" s="59"/>
      <c r="M301" s="59"/>
      <c r="N301" s="59"/>
      <c r="O301" s="59"/>
      <c r="P301" s="59"/>
      <c r="Q301" s="59"/>
    </row>
    <row r="302">
      <c r="A302" s="19"/>
      <c r="B302" s="84"/>
      <c r="C302" s="82"/>
      <c r="D302" s="23"/>
      <c r="E302" s="23"/>
      <c r="F302" s="59"/>
      <c r="G302" s="6"/>
      <c r="H302" s="6"/>
      <c r="I302" s="59"/>
      <c r="J302" s="83"/>
      <c r="K302" s="59"/>
      <c r="L302" s="59"/>
      <c r="M302" s="59"/>
      <c r="N302" s="59"/>
      <c r="O302" s="59"/>
      <c r="P302" s="59"/>
      <c r="Q302" s="59"/>
    </row>
    <row r="303">
      <c r="A303" s="19"/>
      <c r="B303" s="84"/>
      <c r="C303" s="82"/>
      <c r="D303" s="23"/>
      <c r="E303" s="23"/>
      <c r="F303" s="59"/>
      <c r="G303" s="6"/>
      <c r="H303" s="6"/>
      <c r="I303" s="59"/>
      <c r="J303" s="83"/>
      <c r="K303" s="59"/>
      <c r="L303" s="59"/>
      <c r="M303" s="59"/>
      <c r="N303" s="59"/>
      <c r="O303" s="59"/>
      <c r="P303" s="59"/>
      <c r="Q303" s="59"/>
    </row>
    <row r="304">
      <c r="A304" s="19"/>
      <c r="B304" s="84"/>
      <c r="C304" s="82"/>
      <c r="D304" s="23"/>
      <c r="E304" s="23"/>
      <c r="F304" s="59"/>
      <c r="G304" s="6"/>
      <c r="H304" s="6"/>
      <c r="I304" s="59"/>
      <c r="J304" s="83"/>
      <c r="K304" s="59"/>
      <c r="L304" s="59"/>
      <c r="M304" s="59"/>
      <c r="N304" s="59"/>
      <c r="O304" s="59"/>
      <c r="P304" s="59"/>
      <c r="Q304" s="59"/>
    </row>
    <row r="305">
      <c r="A305" s="19"/>
      <c r="B305" s="84"/>
      <c r="C305" s="82"/>
      <c r="D305" s="23"/>
      <c r="E305" s="23"/>
      <c r="F305" s="59"/>
      <c r="G305" s="6"/>
      <c r="H305" s="6"/>
      <c r="I305" s="59"/>
      <c r="J305" s="83"/>
      <c r="K305" s="59"/>
      <c r="L305" s="59"/>
      <c r="M305" s="59"/>
      <c r="N305" s="59"/>
      <c r="O305" s="59"/>
      <c r="P305" s="59"/>
      <c r="Q305" s="59"/>
    </row>
    <row r="306">
      <c r="A306" s="19"/>
      <c r="B306" s="84"/>
      <c r="C306" s="82"/>
      <c r="D306" s="23"/>
      <c r="E306" s="23"/>
      <c r="F306" s="59"/>
      <c r="G306" s="6"/>
      <c r="H306" s="6"/>
      <c r="I306" s="59"/>
      <c r="J306" s="83"/>
      <c r="K306" s="59"/>
      <c r="L306" s="59"/>
      <c r="M306" s="59"/>
      <c r="N306" s="59"/>
      <c r="O306" s="59"/>
      <c r="P306" s="59"/>
      <c r="Q306" s="59"/>
    </row>
    <row r="307">
      <c r="A307" s="19"/>
      <c r="B307" s="84"/>
      <c r="C307" s="82"/>
      <c r="D307" s="23"/>
      <c r="E307" s="23"/>
      <c r="F307" s="59"/>
      <c r="G307" s="6"/>
      <c r="H307" s="6"/>
      <c r="I307" s="59"/>
      <c r="J307" s="83"/>
      <c r="K307" s="59"/>
      <c r="L307" s="59"/>
      <c r="M307" s="59"/>
      <c r="N307" s="59"/>
      <c r="O307" s="59"/>
      <c r="P307" s="59"/>
      <c r="Q307" s="59"/>
    </row>
    <row r="308">
      <c r="A308" s="19"/>
      <c r="B308" s="84"/>
      <c r="C308" s="82"/>
      <c r="D308" s="23"/>
      <c r="E308" s="23"/>
      <c r="F308" s="59"/>
      <c r="G308" s="6"/>
      <c r="H308" s="6"/>
      <c r="I308" s="59"/>
      <c r="J308" s="83"/>
      <c r="K308" s="59"/>
      <c r="L308" s="59"/>
      <c r="M308" s="59"/>
      <c r="N308" s="59"/>
      <c r="O308" s="59"/>
      <c r="P308" s="59"/>
      <c r="Q308" s="59"/>
    </row>
    <row r="309">
      <c r="A309" s="19"/>
      <c r="B309" s="84"/>
      <c r="C309" s="82"/>
      <c r="D309" s="23"/>
      <c r="E309" s="23"/>
      <c r="F309" s="59"/>
      <c r="G309" s="6"/>
      <c r="H309" s="6"/>
      <c r="I309" s="59"/>
      <c r="J309" s="83"/>
      <c r="K309" s="59"/>
      <c r="L309" s="59"/>
      <c r="M309" s="59"/>
      <c r="N309" s="59"/>
      <c r="O309" s="59"/>
      <c r="P309" s="59"/>
      <c r="Q309" s="59"/>
    </row>
    <row r="310">
      <c r="A310" s="19"/>
      <c r="B310" s="84"/>
      <c r="C310" s="82"/>
      <c r="D310" s="23"/>
      <c r="E310" s="23"/>
      <c r="F310" s="59"/>
      <c r="G310" s="6"/>
      <c r="H310" s="6"/>
      <c r="I310" s="59"/>
      <c r="J310" s="83"/>
      <c r="K310" s="59"/>
      <c r="L310" s="59"/>
      <c r="M310" s="59"/>
      <c r="N310" s="59"/>
      <c r="O310" s="59"/>
      <c r="P310" s="59"/>
      <c r="Q310" s="59"/>
    </row>
    <row r="311">
      <c r="A311" s="19"/>
      <c r="B311" s="84"/>
      <c r="C311" s="82"/>
      <c r="D311" s="23"/>
      <c r="E311" s="23"/>
      <c r="F311" s="59"/>
      <c r="G311" s="6"/>
      <c r="H311" s="6"/>
      <c r="I311" s="59"/>
      <c r="J311" s="83"/>
      <c r="K311" s="59"/>
      <c r="L311" s="59"/>
      <c r="M311" s="59"/>
      <c r="N311" s="59"/>
      <c r="O311" s="59"/>
      <c r="P311" s="59"/>
      <c r="Q311" s="59"/>
    </row>
    <row r="312">
      <c r="A312" s="19"/>
      <c r="B312" s="84"/>
      <c r="C312" s="82"/>
      <c r="D312" s="23"/>
      <c r="E312" s="23"/>
      <c r="F312" s="59"/>
      <c r="G312" s="6"/>
      <c r="H312" s="6"/>
      <c r="I312" s="59"/>
      <c r="J312" s="83"/>
      <c r="K312" s="59"/>
      <c r="L312" s="59"/>
      <c r="M312" s="59"/>
      <c r="N312" s="59"/>
      <c r="O312" s="59"/>
      <c r="P312" s="59"/>
      <c r="Q312" s="59"/>
    </row>
    <row r="313">
      <c r="A313" s="19"/>
      <c r="B313" s="84"/>
      <c r="C313" s="82"/>
      <c r="D313" s="23"/>
      <c r="E313" s="23"/>
      <c r="F313" s="59"/>
      <c r="G313" s="6"/>
      <c r="H313" s="6"/>
      <c r="I313" s="59"/>
      <c r="J313" s="83"/>
      <c r="K313" s="59"/>
      <c r="L313" s="59"/>
      <c r="M313" s="59"/>
      <c r="N313" s="59"/>
      <c r="O313" s="59"/>
      <c r="P313" s="59"/>
      <c r="Q313" s="59"/>
    </row>
    <row r="314">
      <c r="A314" s="19"/>
      <c r="B314" s="84"/>
      <c r="C314" s="82"/>
      <c r="D314" s="23"/>
      <c r="E314" s="23"/>
      <c r="F314" s="59"/>
      <c r="G314" s="6"/>
      <c r="H314" s="6"/>
      <c r="I314" s="59"/>
      <c r="J314" s="83"/>
      <c r="K314" s="59"/>
      <c r="L314" s="59"/>
      <c r="M314" s="59"/>
      <c r="N314" s="59"/>
      <c r="O314" s="59"/>
      <c r="P314" s="59"/>
      <c r="Q314" s="59"/>
    </row>
    <row r="315">
      <c r="A315" s="19"/>
      <c r="B315" s="84"/>
      <c r="C315" s="82"/>
      <c r="D315" s="23"/>
      <c r="E315" s="23"/>
      <c r="F315" s="59"/>
      <c r="G315" s="6"/>
      <c r="H315" s="6"/>
      <c r="I315" s="59"/>
      <c r="J315" s="83"/>
      <c r="K315" s="59"/>
      <c r="L315" s="59"/>
      <c r="M315" s="59"/>
      <c r="N315" s="59"/>
      <c r="O315" s="59"/>
      <c r="P315" s="59"/>
      <c r="Q315" s="59"/>
    </row>
    <row r="316">
      <c r="A316" s="19"/>
      <c r="B316" s="84"/>
      <c r="C316" s="82"/>
      <c r="D316" s="23"/>
      <c r="E316" s="23"/>
      <c r="F316" s="59"/>
      <c r="G316" s="6"/>
      <c r="H316" s="6"/>
      <c r="I316" s="59"/>
      <c r="J316" s="83"/>
      <c r="K316" s="59"/>
      <c r="L316" s="59"/>
      <c r="M316" s="59"/>
      <c r="N316" s="59"/>
      <c r="O316" s="59"/>
      <c r="P316" s="59"/>
      <c r="Q316" s="59"/>
    </row>
    <row r="317">
      <c r="A317" s="19"/>
      <c r="B317" s="84"/>
      <c r="C317" s="82"/>
      <c r="D317" s="23"/>
      <c r="E317" s="23"/>
      <c r="F317" s="59"/>
      <c r="G317" s="6"/>
      <c r="H317" s="6"/>
      <c r="I317" s="59"/>
      <c r="J317" s="83"/>
      <c r="K317" s="59"/>
      <c r="L317" s="59"/>
      <c r="M317" s="59"/>
      <c r="N317" s="59"/>
      <c r="O317" s="59"/>
      <c r="P317" s="59"/>
      <c r="Q317" s="59"/>
    </row>
    <row r="318">
      <c r="A318" s="19"/>
      <c r="B318" s="84"/>
      <c r="C318" s="82"/>
      <c r="D318" s="23"/>
      <c r="E318" s="23"/>
      <c r="F318" s="59"/>
      <c r="G318" s="6"/>
      <c r="H318" s="6"/>
      <c r="I318" s="59"/>
      <c r="J318" s="83"/>
      <c r="K318" s="59"/>
      <c r="L318" s="59"/>
      <c r="M318" s="59"/>
      <c r="N318" s="59"/>
      <c r="O318" s="59"/>
      <c r="P318" s="59"/>
      <c r="Q318" s="59"/>
    </row>
    <row r="319">
      <c r="A319" s="19"/>
      <c r="B319" s="84"/>
      <c r="C319" s="82"/>
      <c r="D319" s="23"/>
      <c r="E319" s="23"/>
      <c r="F319" s="59"/>
      <c r="G319" s="6"/>
      <c r="H319" s="6"/>
      <c r="I319" s="59"/>
      <c r="J319" s="83"/>
      <c r="K319" s="59"/>
      <c r="L319" s="59"/>
      <c r="M319" s="59"/>
      <c r="N319" s="59"/>
      <c r="O319" s="59"/>
      <c r="P319" s="59"/>
      <c r="Q319" s="59"/>
    </row>
    <row r="320">
      <c r="A320" s="19"/>
      <c r="B320" s="84"/>
      <c r="C320" s="82"/>
      <c r="D320" s="23"/>
      <c r="E320" s="23"/>
      <c r="F320" s="59"/>
      <c r="G320" s="6"/>
      <c r="H320" s="6"/>
      <c r="I320" s="59"/>
      <c r="J320" s="83"/>
      <c r="K320" s="59"/>
      <c r="L320" s="59"/>
      <c r="M320" s="59"/>
      <c r="N320" s="59"/>
      <c r="O320" s="59"/>
      <c r="P320" s="59"/>
      <c r="Q320" s="59"/>
    </row>
    <row r="321">
      <c r="A321" s="19"/>
      <c r="B321" s="84"/>
      <c r="C321" s="82"/>
      <c r="D321" s="23"/>
      <c r="E321" s="23"/>
      <c r="F321" s="59"/>
      <c r="G321" s="6"/>
      <c r="H321" s="6"/>
      <c r="I321" s="59"/>
      <c r="J321" s="83"/>
      <c r="K321" s="59"/>
      <c r="L321" s="59"/>
      <c r="M321" s="59"/>
      <c r="N321" s="59"/>
      <c r="O321" s="59"/>
      <c r="P321" s="59"/>
      <c r="Q321" s="59"/>
    </row>
    <row r="322">
      <c r="A322" s="19"/>
      <c r="B322" s="84"/>
      <c r="C322" s="82"/>
      <c r="D322" s="23"/>
      <c r="E322" s="23"/>
      <c r="F322" s="59"/>
      <c r="G322" s="6"/>
      <c r="H322" s="6"/>
      <c r="I322" s="59"/>
      <c r="J322" s="83"/>
      <c r="K322" s="59"/>
      <c r="L322" s="59"/>
      <c r="M322" s="59"/>
      <c r="N322" s="59"/>
      <c r="O322" s="59"/>
      <c r="P322" s="59"/>
      <c r="Q322" s="59"/>
    </row>
    <row r="323">
      <c r="A323" s="19"/>
      <c r="B323" s="84"/>
      <c r="C323" s="82"/>
      <c r="D323" s="23"/>
      <c r="E323" s="23"/>
      <c r="F323" s="59"/>
      <c r="G323" s="6"/>
      <c r="H323" s="6"/>
      <c r="I323" s="59"/>
      <c r="J323" s="83"/>
      <c r="K323" s="59"/>
      <c r="L323" s="59"/>
      <c r="M323" s="59"/>
      <c r="N323" s="59"/>
      <c r="O323" s="59"/>
      <c r="P323" s="59"/>
      <c r="Q323" s="59"/>
    </row>
    <row r="324">
      <c r="A324" s="19"/>
      <c r="B324" s="84"/>
      <c r="C324" s="82"/>
      <c r="D324" s="23"/>
      <c r="E324" s="23"/>
      <c r="F324" s="59"/>
      <c r="G324" s="6"/>
      <c r="H324" s="6"/>
      <c r="I324" s="59"/>
      <c r="J324" s="83"/>
      <c r="K324" s="59"/>
      <c r="L324" s="59"/>
      <c r="M324" s="59"/>
      <c r="N324" s="59"/>
      <c r="O324" s="59"/>
      <c r="P324" s="59"/>
      <c r="Q324" s="59"/>
    </row>
    <row r="325">
      <c r="A325" s="19"/>
      <c r="B325" s="84"/>
      <c r="C325" s="82"/>
      <c r="D325" s="23"/>
      <c r="E325" s="23"/>
      <c r="F325" s="59"/>
      <c r="G325" s="6"/>
      <c r="H325" s="6"/>
      <c r="I325" s="59"/>
      <c r="J325" s="83"/>
      <c r="K325" s="59"/>
      <c r="L325" s="59"/>
      <c r="M325" s="59"/>
      <c r="N325" s="59"/>
      <c r="O325" s="59"/>
      <c r="P325" s="59"/>
      <c r="Q325" s="59"/>
    </row>
    <row r="326">
      <c r="A326" s="19"/>
      <c r="B326" s="84"/>
      <c r="C326" s="82"/>
      <c r="D326" s="23"/>
      <c r="E326" s="23"/>
      <c r="F326" s="59"/>
      <c r="G326" s="6"/>
      <c r="H326" s="6"/>
      <c r="I326" s="59"/>
      <c r="J326" s="83"/>
      <c r="K326" s="59"/>
      <c r="L326" s="59"/>
      <c r="M326" s="59"/>
      <c r="N326" s="59"/>
      <c r="O326" s="59"/>
      <c r="P326" s="59"/>
      <c r="Q326" s="59"/>
    </row>
    <row r="327">
      <c r="A327" s="19"/>
      <c r="B327" s="84"/>
      <c r="C327" s="82"/>
      <c r="D327" s="23"/>
      <c r="E327" s="23"/>
      <c r="F327" s="59"/>
      <c r="G327" s="6"/>
      <c r="H327" s="6"/>
      <c r="I327" s="59"/>
      <c r="J327" s="83"/>
      <c r="K327" s="59"/>
      <c r="L327" s="59"/>
      <c r="M327" s="59"/>
      <c r="N327" s="59"/>
      <c r="O327" s="59"/>
      <c r="P327" s="59"/>
      <c r="Q327" s="59"/>
    </row>
    <row r="328">
      <c r="A328" s="19"/>
      <c r="B328" s="84"/>
      <c r="C328" s="82"/>
      <c r="D328" s="23"/>
      <c r="E328" s="23"/>
      <c r="F328" s="59"/>
      <c r="G328" s="6"/>
      <c r="H328" s="6"/>
      <c r="I328" s="59"/>
      <c r="J328" s="83"/>
      <c r="K328" s="59"/>
      <c r="L328" s="59"/>
      <c r="M328" s="59"/>
      <c r="N328" s="59"/>
      <c r="O328" s="59"/>
      <c r="P328" s="59"/>
      <c r="Q328" s="59"/>
    </row>
    <row r="329">
      <c r="A329" s="19"/>
      <c r="B329" s="84"/>
      <c r="C329" s="82"/>
      <c r="D329" s="23"/>
      <c r="E329" s="23"/>
      <c r="F329" s="59"/>
      <c r="G329" s="6"/>
      <c r="H329" s="6"/>
      <c r="I329" s="59"/>
      <c r="J329" s="83"/>
      <c r="K329" s="59"/>
      <c r="L329" s="59"/>
      <c r="M329" s="59"/>
      <c r="N329" s="59"/>
      <c r="O329" s="59"/>
      <c r="P329" s="59"/>
      <c r="Q329" s="59"/>
    </row>
    <row r="330">
      <c r="A330" s="19"/>
      <c r="B330" s="84"/>
      <c r="C330" s="82"/>
      <c r="D330" s="23"/>
      <c r="E330" s="23"/>
      <c r="F330" s="59"/>
      <c r="G330" s="6"/>
      <c r="H330" s="6"/>
      <c r="I330" s="59"/>
      <c r="J330" s="83"/>
      <c r="K330" s="59"/>
      <c r="L330" s="59"/>
      <c r="M330" s="59"/>
      <c r="N330" s="59"/>
      <c r="O330" s="59"/>
      <c r="P330" s="59"/>
      <c r="Q330" s="59"/>
    </row>
    <row r="331">
      <c r="A331" s="19"/>
      <c r="B331" s="84"/>
      <c r="C331" s="82"/>
      <c r="D331" s="23"/>
      <c r="E331" s="23"/>
      <c r="F331" s="59"/>
      <c r="G331" s="6"/>
      <c r="H331" s="6"/>
      <c r="I331" s="59"/>
      <c r="J331" s="83"/>
      <c r="K331" s="59"/>
      <c r="L331" s="59"/>
      <c r="M331" s="59"/>
      <c r="N331" s="59"/>
      <c r="O331" s="59"/>
      <c r="P331" s="59"/>
      <c r="Q331" s="59"/>
    </row>
    <row r="332">
      <c r="A332" s="19"/>
      <c r="B332" s="84"/>
      <c r="C332" s="82"/>
      <c r="D332" s="23"/>
      <c r="E332" s="23"/>
      <c r="F332" s="59"/>
      <c r="G332" s="6"/>
      <c r="H332" s="6"/>
      <c r="I332" s="59"/>
      <c r="J332" s="83"/>
      <c r="K332" s="59"/>
      <c r="L332" s="59"/>
      <c r="M332" s="59"/>
      <c r="N332" s="59"/>
      <c r="O332" s="59"/>
      <c r="P332" s="59"/>
      <c r="Q332" s="59"/>
    </row>
    <row r="333">
      <c r="A333" s="19"/>
      <c r="B333" s="84"/>
      <c r="C333" s="82"/>
      <c r="D333" s="23"/>
      <c r="E333" s="23"/>
      <c r="F333" s="59"/>
      <c r="G333" s="6"/>
      <c r="H333" s="6"/>
      <c r="I333" s="59"/>
      <c r="J333" s="83"/>
      <c r="K333" s="59"/>
      <c r="L333" s="59"/>
      <c r="M333" s="59"/>
      <c r="N333" s="59"/>
      <c r="O333" s="59"/>
      <c r="P333" s="59"/>
      <c r="Q333" s="59"/>
    </row>
    <row r="334">
      <c r="A334" s="19"/>
      <c r="B334" s="84"/>
      <c r="C334" s="82"/>
      <c r="D334" s="23"/>
      <c r="E334" s="23"/>
      <c r="F334" s="59"/>
      <c r="G334" s="6"/>
      <c r="H334" s="6"/>
      <c r="I334" s="59"/>
      <c r="J334" s="83"/>
      <c r="K334" s="59"/>
      <c r="L334" s="59"/>
      <c r="M334" s="59"/>
      <c r="N334" s="59"/>
      <c r="O334" s="59"/>
      <c r="P334" s="59"/>
      <c r="Q334" s="59"/>
    </row>
    <row r="335">
      <c r="A335" s="19"/>
      <c r="B335" s="84"/>
      <c r="C335" s="82"/>
      <c r="D335" s="23"/>
      <c r="E335" s="23"/>
      <c r="F335" s="59"/>
      <c r="G335" s="6"/>
      <c r="H335" s="6"/>
      <c r="I335" s="59"/>
      <c r="J335" s="83"/>
      <c r="K335" s="59"/>
      <c r="L335" s="59"/>
      <c r="M335" s="59"/>
      <c r="N335" s="59"/>
      <c r="O335" s="59"/>
      <c r="P335" s="59"/>
      <c r="Q335" s="59"/>
    </row>
    <row r="336">
      <c r="A336" s="19"/>
      <c r="B336" s="84"/>
      <c r="C336" s="82"/>
      <c r="D336" s="23"/>
      <c r="E336" s="23"/>
      <c r="F336" s="59"/>
      <c r="G336" s="6"/>
      <c r="H336" s="6"/>
      <c r="I336" s="59"/>
      <c r="J336" s="83"/>
      <c r="K336" s="59"/>
      <c r="L336" s="59"/>
      <c r="M336" s="59"/>
      <c r="N336" s="59"/>
      <c r="O336" s="59"/>
      <c r="P336" s="59"/>
      <c r="Q336" s="59"/>
    </row>
    <row r="337">
      <c r="A337" s="19"/>
      <c r="B337" s="84"/>
      <c r="C337" s="82"/>
      <c r="D337" s="23"/>
      <c r="E337" s="23"/>
      <c r="F337" s="59"/>
      <c r="G337" s="6"/>
      <c r="H337" s="6"/>
      <c r="I337" s="59"/>
      <c r="J337" s="83"/>
      <c r="K337" s="59"/>
      <c r="L337" s="59"/>
      <c r="M337" s="59"/>
      <c r="N337" s="59"/>
      <c r="O337" s="59"/>
      <c r="P337" s="59"/>
      <c r="Q337" s="59"/>
    </row>
    <row r="338">
      <c r="A338" s="19"/>
      <c r="B338" s="84"/>
      <c r="C338" s="82"/>
      <c r="D338" s="23"/>
      <c r="E338" s="23"/>
      <c r="F338" s="59"/>
      <c r="G338" s="6"/>
      <c r="H338" s="6"/>
      <c r="I338" s="59"/>
      <c r="J338" s="83"/>
      <c r="K338" s="59"/>
      <c r="L338" s="59"/>
      <c r="M338" s="59"/>
      <c r="N338" s="59"/>
      <c r="O338" s="59"/>
      <c r="P338" s="59"/>
      <c r="Q338" s="59"/>
    </row>
    <row r="339">
      <c r="A339" s="19"/>
      <c r="B339" s="84"/>
      <c r="C339" s="82"/>
      <c r="D339" s="23"/>
      <c r="E339" s="23"/>
      <c r="F339" s="59"/>
      <c r="G339" s="6"/>
      <c r="H339" s="6"/>
      <c r="I339" s="59"/>
      <c r="J339" s="83"/>
      <c r="K339" s="59"/>
      <c r="L339" s="59"/>
      <c r="M339" s="59"/>
      <c r="N339" s="59"/>
      <c r="O339" s="59"/>
      <c r="P339" s="59"/>
      <c r="Q339" s="59"/>
    </row>
    <row r="340">
      <c r="A340" s="19"/>
      <c r="B340" s="84"/>
      <c r="C340" s="82"/>
      <c r="D340" s="23"/>
      <c r="E340" s="23"/>
      <c r="F340" s="59"/>
      <c r="G340" s="6"/>
      <c r="H340" s="6"/>
      <c r="I340" s="59"/>
      <c r="J340" s="83"/>
      <c r="K340" s="59"/>
      <c r="L340" s="59"/>
      <c r="M340" s="59"/>
      <c r="N340" s="59"/>
      <c r="O340" s="59"/>
      <c r="P340" s="59"/>
      <c r="Q340" s="59"/>
    </row>
    <row r="341">
      <c r="A341" s="19"/>
      <c r="B341" s="84"/>
      <c r="C341" s="82"/>
      <c r="D341" s="23"/>
      <c r="E341" s="23"/>
      <c r="F341" s="59"/>
      <c r="G341" s="6"/>
      <c r="H341" s="6"/>
      <c r="I341" s="59"/>
      <c r="J341" s="83"/>
      <c r="K341" s="59"/>
      <c r="L341" s="59"/>
      <c r="M341" s="59"/>
      <c r="N341" s="59"/>
      <c r="O341" s="59"/>
      <c r="P341" s="59"/>
      <c r="Q341" s="59"/>
    </row>
    <row r="342">
      <c r="A342" s="19"/>
      <c r="B342" s="84"/>
      <c r="C342" s="82"/>
      <c r="D342" s="23"/>
      <c r="E342" s="23"/>
      <c r="F342" s="59"/>
      <c r="G342" s="6"/>
      <c r="H342" s="6"/>
      <c r="I342" s="59"/>
      <c r="J342" s="83"/>
      <c r="K342" s="59"/>
      <c r="L342" s="59"/>
      <c r="M342" s="59"/>
      <c r="N342" s="59"/>
      <c r="O342" s="59"/>
      <c r="P342" s="59"/>
      <c r="Q342" s="59"/>
    </row>
    <row r="343">
      <c r="A343" s="19"/>
      <c r="B343" s="84"/>
      <c r="C343" s="82"/>
      <c r="D343" s="23"/>
      <c r="E343" s="23"/>
      <c r="F343" s="59"/>
      <c r="G343" s="6"/>
      <c r="H343" s="6"/>
      <c r="I343" s="59"/>
      <c r="J343" s="83"/>
      <c r="K343" s="59"/>
      <c r="L343" s="59"/>
      <c r="M343" s="59"/>
      <c r="N343" s="59"/>
      <c r="O343" s="59"/>
      <c r="P343" s="59"/>
      <c r="Q343" s="59"/>
    </row>
    <row r="344">
      <c r="A344" s="19"/>
      <c r="B344" s="84"/>
      <c r="C344" s="82"/>
      <c r="D344" s="23"/>
      <c r="E344" s="23"/>
      <c r="F344" s="59"/>
      <c r="G344" s="6"/>
      <c r="H344" s="6"/>
      <c r="I344" s="59"/>
      <c r="J344" s="83"/>
      <c r="K344" s="59"/>
      <c r="L344" s="59"/>
      <c r="M344" s="59"/>
      <c r="N344" s="59"/>
      <c r="O344" s="59"/>
      <c r="P344" s="59"/>
      <c r="Q344" s="59"/>
    </row>
    <row r="345">
      <c r="A345" s="19"/>
      <c r="B345" s="84"/>
      <c r="C345" s="82"/>
      <c r="D345" s="23"/>
      <c r="E345" s="23"/>
      <c r="F345" s="59"/>
      <c r="G345" s="6"/>
      <c r="H345" s="6"/>
      <c r="I345" s="59"/>
      <c r="J345" s="83"/>
      <c r="K345" s="59"/>
      <c r="L345" s="59"/>
      <c r="M345" s="59"/>
      <c r="N345" s="59"/>
      <c r="O345" s="59"/>
      <c r="P345" s="59"/>
      <c r="Q345" s="59"/>
    </row>
    <row r="346">
      <c r="A346" s="19"/>
      <c r="B346" s="84"/>
      <c r="C346" s="82"/>
      <c r="D346" s="23"/>
      <c r="E346" s="23"/>
      <c r="F346" s="59"/>
      <c r="G346" s="6"/>
      <c r="H346" s="6"/>
      <c r="I346" s="59"/>
      <c r="J346" s="83"/>
      <c r="K346" s="59"/>
      <c r="L346" s="59"/>
      <c r="M346" s="59"/>
      <c r="N346" s="59"/>
      <c r="O346" s="59"/>
      <c r="P346" s="59"/>
      <c r="Q346" s="59"/>
    </row>
    <row r="347">
      <c r="A347" s="19"/>
      <c r="B347" s="84"/>
      <c r="C347" s="82"/>
      <c r="D347" s="23"/>
      <c r="E347" s="23"/>
      <c r="F347" s="59"/>
      <c r="G347" s="6"/>
      <c r="H347" s="6"/>
      <c r="I347" s="59"/>
      <c r="J347" s="83"/>
      <c r="K347" s="59"/>
      <c r="L347" s="59"/>
      <c r="M347" s="59"/>
      <c r="N347" s="59"/>
      <c r="O347" s="59"/>
      <c r="P347" s="59"/>
      <c r="Q347" s="59"/>
    </row>
    <row r="348">
      <c r="A348" s="19"/>
      <c r="B348" s="84"/>
      <c r="C348" s="82"/>
      <c r="D348" s="23"/>
      <c r="E348" s="23"/>
      <c r="F348" s="59"/>
      <c r="G348" s="6"/>
      <c r="H348" s="6"/>
      <c r="I348" s="59"/>
      <c r="J348" s="83"/>
      <c r="K348" s="59"/>
      <c r="L348" s="59"/>
      <c r="M348" s="59"/>
      <c r="N348" s="59"/>
      <c r="O348" s="59"/>
      <c r="P348" s="59"/>
      <c r="Q348" s="59"/>
    </row>
    <row r="349">
      <c r="A349" s="19"/>
      <c r="B349" s="84"/>
      <c r="C349" s="82"/>
      <c r="D349" s="23"/>
      <c r="E349" s="23"/>
      <c r="F349" s="59"/>
      <c r="G349" s="6"/>
      <c r="H349" s="6"/>
      <c r="I349" s="59"/>
      <c r="J349" s="83"/>
      <c r="K349" s="59"/>
      <c r="L349" s="59"/>
      <c r="M349" s="59"/>
      <c r="N349" s="59"/>
      <c r="O349" s="59"/>
      <c r="P349" s="59"/>
      <c r="Q349" s="59"/>
    </row>
    <row r="350">
      <c r="A350" s="19"/>
      <c r="B350" s="84"/>
      <c r="C350" s="82"/>
      <c r="D350" s="23"/>
      <c r="E350" s="23"/>
      <c r="F350" s="59"/>
      <c r="G350" s="6"/>
      <c r="H350" s="6"/>
      <c r="I350" s="59"/>
      <c r="J350" s="83"/>
      <c r="K350" s="59"/>
      <c r="L350" s="59"/>
      <c r="M350" s="59"/>
      <c r="N350" s="59"/>
      <c r="O350" s="59"/>
      <c r="P350" s="59"/>
      <c r="Q350" s="59"/>
    </row>
    <row r="351">
      <c r="A351" s="19"/>
      <c r="B351" s="84"/>
      <c r="C351" s="82"/>
      <c r="D351" s="23"/>
      <c r="E351" s="23"/>
      <c r="F351" s="59"/>
      <c r="G351" s="6"/>
      <c r="H351" s="6"/>
      <c r="I351" s="59"/>
      <c r="J351" s="83"/>
      <c r="K351" s="59"/>
      <c r="L351" s="59"/>
      <c r="M351" s="59"/>
      <c r="N351" s="59"/>
      <c r="O351" s="59"/>
      <c r="P351" s="59"/>
      <c r="Q351" s="59"/>
    </row>
    <row r="352">
      <c r="A352" s="19"/>
      <c r="B352" s="84"/>
      <c r="C352" s="82"/>
      <c r="D352" s="23"/>
      <c r="E352" s="23"/>
      <c r="F352" s="59"/>
      <c r="G352" s="6"/>
      <c r="H352" s="6"/>
      <c r="I352" s="59"/>
      <c r="J352" s="83"/>
      <c r="K352" s="59"/>
      <c r="L352" s="59"/>
      <c r="M352" s="59"/>
      <c r="N352" s="59"/>
      <c r="O352" s="59"/>
      <c r="P352" s="59"/>
      <c r="Q352" s="59"/>
    </row>
    <row r="353">
      <c r="A353" s="19"/>
      <c r="B353" s="84"/>
      <c r="C353" s="82"/>
      <c r="D353" s="23"/>
      <c r="E353" s="23"/>
      <c r="F353" s="59"/>
      <c r="G353" s="6"/>
      <c r="H353" s="6"/>
      <c r="I353" s="59"/>
      <c r="J353" s="83"/>
      <c r="K353" s="59"/>
      <c r="L353" s="59"/>
      <c r="M353" s="59"/>
      <c r="N353" s="59"/>
      <c r="O353" s="59"/>
      <c r="P353" s="59"/>
      <c r="Q353" s="59"/>
    </row>
    <row r="354">
      <c r="A354" s="19"/>
      <c r="B354" s="84"/>
      <c r="C354" s="82"/>
      <c r="D354" s="23"/>
      <c r="E354" s="23"/>
      <c r="F354" s="59"/>
      <c r="G354" s="6"/>
      <c r="H354" s="6"/>
      <c r="I354" s="59"/>
      <c r="J354" s="83"/>
      <c r="K354" s="59"/>
      <c r="L354" s="59"/>
      <c r="M354" s="59"/>
      <c r="N354" s="59"/>
      <c r="O354" s="59"/>
      <c r="P354" s="59"/>
      <c r="Q354" s="59"/>
    </row>
    <row r="355">
      <c r="A355" s="19"/>
      <c r="B355" s="84"/>
      <c r="C355" s="82"/>
      <c r="D355" s="23"/>
      <c r="E355" s="23"/>
      <c r="F355" s="59"/>
      <c r="G355" s="6"/>
      <c r="H355" s="6"/>
      <c r="I355" s="59"/>
      <c r="J355" s="83"/>
      <c r="K355" s="59"/>
      <c r="L355" s="59"/>
      <c r="M355" s="59"/>
      <c r="N355" s="59"/>
      <c r="O355" s="59"/>
      <c r="P355" s="59"/>
      <c r="Q355" s="59"/>
    </row>
    <row r="356">
      <c r="A356" s="19"/>
      <c r="B356" s="84"/>
      <c r="C356" s="82"/>
      <c r="D356" s="23"/>
      <c r="E356" s="23"/>
      <c r="F356" s="59"/>
      <c r="G356" s="6"/>
      <c r="H356" s="6"/>
      <c r="I356" s="59"/>
      <c r="J356" s="83"/>
      <c r="K356" s="59"/>
      <c r="L356" s="59"/>
      <c r="M356" s="59"/>
      <c r="N356" s="59"/>
      <c r="O356" s="59"/>
      <c r="P356" s="59"/>
      <c r="Q356" s="59"/>
    </row>
    <row r="357">
      <c r="A357" s="19"/>
      <c r="B357" s="84"/>
      <c r="C357" s="82"/>
      <c r="D357" s="23"/>
      <c r="E357" s="23"/>
      <c r="F357" s="59"/>
      <c r="G357" s="6"/>
      <c r="H357" s="6"/>
      <c r="I357" s="59"/>
      <c r="J357" s="83"/>
      <c r="K357" s="59"/>
      <c r="L357" s="59"/>
      <c r="M357" s="59"/>
      <c r="N357" s="59"/>
      <c r="O357" s="59"/>
      <c r="P357" s="59"/>
      <c r="Q357" s="59"/>
    </row>
    <row r="358">
      <c r="A358" s="19"/>
      <c r="B358" s="84"/>
      <c r="C358" s="82"/>
      <c r="D358" s="23"/>
      <c r="E358" s="23"/>
      <c r="F358" s="59"/>
      <c r="G358" s="6"/>
      <c r="H358" s="6"/>
      <c r="I358" s="59"/>
      <c r="J358" s="83"/>
      <c r="K358" s="59"/>
      <c r="L358" s="59"/>
      <c r="M358" s="59"/>
      <c r="N358" s="59"/>
      <c r="O358" s="59"/>
      <c r="P358" s="59"/>
      <c r="Q358" s="59"/>
    </row>
    <row r="359">
      <c r="A359" s="19"/>
      <c r="B359" s="84"/>
      <c r="C359" s="82"/>
      <c r="D359" s="23"/>
      <c r="E359" s="23"/>
      <c r="F359" s="59"/>
      <c r="G359" s="6"/>
      <c r="H359" s="6"/>
      <c r="I359" s="59"/>
      <c r="J359" s="83"/>
      <c r="K359" s="59"/>
      <c r="L359" s="59"/>
      <c r="M359" s="59"/>
      <c r="N359" s="59"/>
      <c r="O359" s="59"/>
      <c r="P359" s="59"/>
      <c r="Q359" s="59"/>
    </row>
    <row r="360">
      <c r="A360" s="19"/>
      <c r="B360" s="84"/>
      <c r="C360" s="82"/>
      <c r="D360" s="23"/>
      <c r="E360" s="23"/>
      <c r="F360" s="59"/>
      <c r="G360" s="6"/>
      <c r="H360" s="6"/>
      <c r="I360" s="59"/>
      <c r="J360" s="83"/>
      <c r="K360" s="59"/>
      <c r="L360" s="59"/>
      <c r="M360" s="59"/>
      <c r="N360" s="59"/>
      <c r="O360" s="59"/>
      <c r="P360" s="59"/>
      <c r="Q360" s="59"/>
    </row>
    <row r="361">
      <c r="A361" s="19"/>
      <c r="B361" s="84"/>
      <c r="C361" s="82"/>
      <c r="D361" s="23"/>
      <c r="E361" s="23"/>
      <c r="F361" s="59"/>
      <c r="G361" s="6"/>
      <c r="H361" s="6"/>
      <c r="I361" s="59"/>
      <c r="J361" s="83"/>
      <c r="K361" s="59"/>
      <c r="L361" s="59"/>
      <c r="M361" s="59"/>
      <c r="N361" s="59"/>
      <c r="O361" s="59"/>
      <c r="P361" s="59"/>
      <c r="Q361" s="59"/>
    </row>
    <row r="362">
      <c r="A362" s="19"/>
      <c r="B362" s="84"/>
      <c r="C362" s="82"/>
      <c r="D362" s="23"/>
      <c r="E362" s="23"/>
      <c r="F362" s="59"/>
      <c r="G362" s="6"/>
      <c r="H362" s="6"/>
      <c r="I362" s="59"/>
      <c r="J362" s="83"/>
      <c r="K362" s="59"/>
      <c r="L362" s="59"/>
      <c r="M362" s="59"/>
      <c r="N362" s="59"/>
      <c r="O362" s="59"/>
      <c r="P362" s="59"/>
      <c r="Q362" s="59"/>
    </row>
    <row r="363">
      <c r="A363" s="19"/>
      <c r="B363" s="84"/>
      <c r="C363" s="82"/>
      <c r="D363" s="23"/>
      <c r="E363" s="23"/>
      <c r="F363" s="59"/>
      <c r="G363" s="6"/>
      <c r="H363" s="6"/>
      <c r="I363" s="59"/>
      <c r="J363" s="83"/>
      <c r="K363" s="59"/>
      <c r="L363" s="59"/>
      <c r="M363" s="59"/>
      <c r="N363" s="59"/>
      <c r="O363" s="59"/>
      <c r="P363" s="59"/>
      <c r="Q363" s="59"/>
    </row>
    <row r="364">
      <c r="A364" s="19"/>
      <c r="B364" s="84"/>
      <c r="C364" s="82"/>
      <c r="D364" s="23"/>
      <c r="E364" s="23"/>
      <c r="F364" s="59"/>
      <c r="G364" s="6"/>
      <c r="H364" s="6"/>
      <c r="I364" s="59"/>
      <c r="J364" s="83"/>
      <c r="K364" s="59"/>
      <c r="L364" s="59"/>
      <c r="M364" s="59"/>
      <c r="N364" s="59"/>
      <c r="O364" s="59"/>
      <c r="P364" s="59"/>
      <c r="Q364" s="59"/>
    </row>
    <row r="365">
      <c r="A365" s="19"/>
      <c r="B365" s="84"/>
      <c r="C365" s="82"/>
      <c r="D365" s="23"/>
      <c r="E365" s="23"/>
      <c r="F365" s="59"/>
      <c r="G365" s="6"/>
      <c r="H365" s="6"/>
      <c r="I365" s="59"/>
      <c r="J365" s="83"/>
      <c r="K365" s="59"/>
      <c r="L365" s="59"/>
      <c r="M365" s="59"/>
      <c r="N365" s="59"/>
      <c r="O365" s="59"/>
      <c r="P365" s="59"/>
      <c r="Q365" s="59"/>
    </row>
    <row r="366">
      <c r="A366" s="19"/>
      <c r="B366" s="84"/>
      <c r="C366" s="82"/>
      <c r="D366" s="23"/>
      <c r="E366" s="23"/>
      <c r="F366" s="59"/>
      <c r="G366" s="6"/>
      <c r="H366" s="6"/>
      <c r="I366" s="59"/>
      <c r="J366" s="83"/>
      <c r="K366" s="59"/>
      <c r="L366" s="59"/>
      <c r="M366" s="59"/>
      <c r="N366" s="59"/>
      <c r="O366" s="59"/>
      <c r="P366" s="59"/>
      <c r="Q366" s="59"/>
    </row>
    <row r="367">
      <c r="A367" s="19"/>
      <c r="B367" s="84"/>
      <c r="C367" s="82"/>
      <c r="D367" s="23"/>
      <c r="E367" s="23"/>
      <c r="F367" s="59"/>
      <c r="G367" s="6"/>
      <c r="H367" s="6"/>
      <c r="I367" s="59"/>
      <c r="J367" s="83"/>
      <c r="K367" s="59"/>
      <c r="L367" s="59"/>
      <c r="M367" s="59"/>
      <c r="N367" s="59"/>
      <c r="O367" s="59"/>
      <c r="P367" s="59"/>
      <c r="Q367" s="59"/>
    </row>
    <row r="368">
      <c r="A368" s="19"/>
      <c r="B368" s="84"/>
      <c r="C368" s="82"/>
      <c r="D368" s="23"/>
      <c r="E368" s="23"/>
      <c r="F368" s="59"/>
      <c r="G368" s="6"/>
      <c r="H368" s="6"/>
      <c r="I368" s="59"/>
      <c r="J368" s="83"/>
      <c r="K368" s="59"/>
      <c r="L368" s="59"/>
      <c r="M368" s="59"/>
      <c r="N368" s="59"/>
      <c r="O368" s="59"/>
      <c r="P368" s="59"/>
      <c r="Q368" s="59"/>
    </row>
    <row r="369">
      <c r="A369" s="19"/>
      <c r="B369" s="84"/>
      <c r="C369" s="82"/>
      <c r="D369" s="23"/>
      <c r="E369" s="23"/>
      <c r="F369" s="59"/>
      <c r="G369" s="6"/>
      <c r="H369" s="6"/>
      <c r="I369" s="59"/>
      <c r="J369" s="83"/>
      <c r="K369" s="59"/>
      <c r="L369" s="59"/>
      <c r="M369" s="59"/>
      <c r="N369" s="59"/>
      <c r="O369" s="59"/>
      <c r="P369" s="59"/>
      <c r="Q369" s="59"/>
    </row>
    <row r="370">
      <c r="A370" s="19"/>
      <c r="B370" s="84"/>
      <c r="C370" s="82"/>
      <c r="D370" s="23"/>
      <c r="E370" s="23"/>
      <c r="F370" s="59"/>
      <c r="G370" s="6"/>
      <c r="H370" s="6"/>
      <c r="I370" s="59"/>
      <c r="J370" s="83"/>
      <c r="K370" s="59"/>
      <c r="L370" s="59"/>
      <c r="M370" s="59"/>
      <c r="N370" s="59"/>
      <c r="O370" s="59"/>
      <c r="P370" s="59"/>
      <c r="Q370" s="59"/>
    </row>
    <row r="371">
      <c r="A371" s="19"/>
      <c r="B371" s="84"/>
      <c r="C371" s="82"/>
      <c r="D371" s="23"/>
      <c r="E371" s="23"/>
      <c r="F371" s="59"/>
      <c r="G371" s="6"/>
      <c r="H371" s="6"/>
      <c r="I371" s="59"/>
      <c r="J371" s="83"/>
      <c r="K371" s="59"/>
      <c r="L371" s="59"/>
      <c r="M371" s="59"/>
      <c r="N371" s="59"/>
      <c r="O371" s="59"/>
      <c r="P371" s="59"/>
      <c r="Q371" s="59"/>
    </row>
    <row r="372">
      <c r="A372" s="19"/>
      <c r="B372" s="84"/>
      <c r="C372" s="82"/>
      <c r="D372" s="23"/>
      <c r="E372" s="23"/>
      <c r="F372" s="59"/>
      <c r="G372" s="6"/>
      <c r="H372" s="6"/>
      <c r="I372" s="59"/>
      <c r="J372" s="83"/>
      <c r="K372" s="59"/>
      <c r="L372" s="59"/>
      <c r="M372" s="59"/>
      <c r="N372" s="59"/>
      <c r="O372" s="59"/>
      <c r="P372" s="59"/>
      <c r="Q372" s="59"/>
    </row>
    <row r="373">
      <c r="A373" s="19"/>
      <c r="B373" s="84"/>
      <c r="C373" s="82"/>
      <c r="D373" s="23"/>
      <c r="E373" s="23"/>
      <c r="F373" s="59"/>
      <c r="G373" s="6"/>
      <c r="H373" s="6"/>
      <c r="I373" s="59"/>
      <c r="J373" s="83"/>
      <c r="K373" s="59"/>
      <c r="L373" s="59"/>
      <c r="M373" s="59"/>
      <c r="N373" s="59"/>
      <c r="O373" s="59"/>
      <c r="P373" s="59"/>
      <c r="Q373" s="59"/>
    </row>
    <row r="374">
      <c r="A374" s="19"/>
      <c r="B374" s="84"/>
      <c r="C374" s="82"/>
      <c r="D374" s="23"/>
      <c r="E374" s="23"/>
      <c r="F374" s="59"/>
      <c r="G374" s="6"/>
      <c r="H374" s="6"/>
      <c r="I374" s="59"/>
      <c r="J374" s="83"/>
      <c r="K374" s="59"/>
      <c r="L374" s="59"/>
      <c r="M374" s="59"/>
      <c r="N374" s="59"/>
      <c r="O374" s="59"/>
      <c r="P374" s="59"/>
      <c r="Q374" s="59"/>
    </row>
    <row r="375">
      <c r="A375" s="19"/>
      <c r="B375" s="84"/>
      <c r="C375" s="82"/>
      <c r="D375" s="23"/>
      <c r="E375" s="23"/>
      <c r="F375" s="59"/>
      <c r="G375" s="6"/>
      <c r="H375" s="6"/>
      <c r="I375" s="59"/>
      <c r="J375" s="83"/>
      <c r="K375" s="59"/>
      <c r="L375" s="59"/>
      <c r="M375" s="59"/>
      <c r="N375" s="59"/>
      <c r="O375" s="59"/>
      <c r="P375" s="59"/>
      <c r="Q375" s="59"/>
    </row>
    <row r="376">
      <c r="A376" s="19"/>
      <c r="B376" s="84"/>
      <c r="C376" s="82"/>
      <c r="D376" s="23"/>
      <c r="E376" s="23"/>
      <c r="F376" s="59"/>
      <c r="G376" s="6"/>
      <c r="H376" s="6"/>
      <c r="I376" s="59"/>
      <c r="J376" s="83"/>
      <c r="K376" s="59"/>
      <c r="L376" s="59"/>
      <c r="M376" s="59"/>
      <c r="N376" s="59"/>
      <c r="O376" s="59"/>
      <c r="P376" s="59"/>
      <c r="Q376" s="59"/>
    </row>
    <row r="377">
      <c r="A377" s="19"/>
      <c r="B377" s="84"/>
      <c r="C377" s="82"/>
      <c r="D377" s="23"/>
      <c r="E377" s="23"/>
      <c r="F377" s="59"/>
      <c r="G377" s="6"/>
      <c r="H377" s="6"/>
      <c r="I377" s="59"/>
      <c r="J377" s="83"/>
      <c r="K377" s="59"/>
      <c r="L377" s="59"/>
      <c r="M377" s="59"/>
      <c r="N377" s="59"/>
      <c r="O377" s="59"/>
      <c r="P377" s="59"/>
      <c r="Q377" s="59"/>
    </row>
    <row r="378">
      <c r="A378" s="19"/>
      <c r="B378" s="84"/>
      <c r="C378" s="82"/>
      <c r="D378" s="23"/>
      <c r="E378" s="23"/>
      <c r="F378" s="59"/>
      <c r="G378" s="6"/>
      <c r="H378" s="6"/>
      <c r="I378" s="59"/>
      <c r="J378" s="83"/>
      <c r="K378" s="59"/>
      <c r="L378" s="59"/>
      <c r="M378" s="59"/>
      <c r="N378" s="59"/>
      <c r="O378" s="59"/>
      <c r="P378" s="59"/>
      <c r="Q378" s="59"/>
    </row>
    <row r="379">
      <c r="A379" s="19"/>
      <c r="B379" s="84"/>
      <c r="C379" s="82"/>
      <c r="D379" s="23"/>
      <c r="E379" s="23"/>
      <c r="F379" s="59"/>
      <c r="G379" s="6"/>
      <c r="H379" s="6"/>
      <c r="I379" s="59"/>
      <c r="J379" s="83"/>
      <c r="K379" s="59"/>
      <c r="L379" s="59"/>
      <c r="M379" s="59"/>
      <c r="N379" s="59"/>
      <c r="O379" s="59"/>
      <c r="P379" s="59"/>
      <c r="Q379" s="59"/>
    </row>
    <row r="380">
      <c r="A380" s="19"/>
      <c r="B380" s="84"/>
      <c r="C380" s="82"/>
      <c r="D380" s="23"/>
      <c r="E380" s="23"/>
      <c r="F380" s="59"/>
      <c r="G380" s="6"/>
      <c r="H380" s="6"/>
      <c r="I380" s="59"/>
      <c r="J380" s="83"/>
      <c r="K380" s="59"/>
      <c r="L380" s="59"/>
      <c r="M380" s="59"/>
      <c r="N380" s="59"/>
      <c r="O380" s="59"/>
      <c r="P380" s="59"/>
      <c r="Q380" s="59"/>
    </row>
    <row r="381">
      <c r="A381" s="19"/>
      <c r="B381" s="84"/>
      <c r="C381" s="82"/>
      <c r="D381" s="23"/>
      <c r="E381" s="23"/>
      <c r="F381" s="59"/>
      <c r="G381" s="6"/>
      <c r="H381" s="6"/>
      <c r="I381" s="59"/>
      <c r="J381" s="83"/>
      <c r="K381" s="59"/>
      <c r="L381" s="59"/>
      <c r="M381" s="59"/>
      <c r="N381" s="59"/>
      <c r="O381" s="59"/>
      <c r="P381" s="59"/>
      <c r="Q381" s="59"/>
    </row>
    <row r="382">
      <c r="A382" s="19"/>
      <c r="B382" s="84"/>
      <c r="C382" s="82"/>
      <c r="D382" s="23"/>
      <c r="E382" s="23"/>
      <c r="F382" s="59"/>
      <c r="G382" s="6"/>
      <c r="H382" s="6"/>
      <c r="I382" s="59"/>
      <c r="J382" s="83"/>
      <c r="K382" s="59"/>
      <c r="L382" s="59"/>
      <c r="M382" s="59"/>
      <c r="N382" s="59"/>
      <c r="O382" s="59"/>
      <c r="P382" s="59"/>
      <c r="Q382" s="59"/>
    </row>
    <row r="383">
      <c r="A383" s="19"/>
      <c r="B383" s="84"/>
      <c r="C383" s="82"/>
      <c r="D383" s="23"/>
      <c r="E383" s="23"/>
      <c r="F383" s="59"/>
      <c r="G383" s="6"/>
      <c r="H383" s="6"/>
      <c r="I383" s="59"/>
      <c r="J383" s="83"/>
      <c r="K383" s="59"/>
      <c r="L383" s="59"/>
      <c r="M383" s="59"/>
      <c r="N383" s="59"/>
      <c r="O383" s="59"/>
      <c r="P383" s="59"/>
      <c r="Q383" s="59"/>
    </row>
    <row r="384">
      <c r="A384" s="19"/>
      <c r="B384" s="84"/>
      <c r="C384" s="82"/>
      <c r="D384" s="23"/>
      <c r="E384" s="23"/>
      <c r="F384" s="59"/>
      <c r="G384" s="6"/>
      <c r="H384" s="6"/>
      <c r="I384" s="59"/>
      <c r="J384" s="83"/>
      <c r="K384" s="59"/>
      <c r="L384" s="59"/>
      <c r="M384" s="59"/>
      <c r="N384" s="59"/>
      <c r="O384" s="59"/>
      <c r="P384" s="59"/>
      <c r="Q384" s="59"/>
    </row>
    <row r="385">
      <c r="A385" s="19"/>
      <c r="B385" s="84"/>
      <c r="C385" s="82"/>
      <c r="D385" s="23"/>
      <c r="E385" s="23"/>
      <c r="F385" s="59"/>
      <c r="G385" s="6"/>
      <c r="H385" s="6"/>
      <c r="I385" s="59"/>
      <c r="J385" s="83"/>
      <c r="K385" s="59"/>
      <c r="L385" s="59"/>
      <c r="M385" s="59"/>
      <c r="N385" s="59"/>
      <c r="O385" s="59"/>
      <c r="P385" s="59"/>
      <c r="Q385" s="59"/>
    </row>
    <row r="386">
      <c r="A386" s="19"/>
      <c r="B386" s="84"/>
      <c r="C386" s="82"/>
      <c r="D386" s="23"/>
      <c r="E386" s="23"/>
      <c r="F386" s="59"/>
      <c r="G386" s="6"/>
      <c r="H386" s="6"/>
      <c r="I386" s="59"/>
      <c r="J386" s="83"/>
      <c r="K386" s="59"/>
      <c r="L386" s="59"/>
      <c r="M386" s="59"/>
      <c r="N386" s="59"/>
      <c r="O386" s="59"/>
      <c r="P386" s="59"/>
      <c r="Q386" s="59"/>
    </row>
    <row r="387">
      <c r="A387" s="19"/>
      <c r="B387" s="84"/>
      <c r="C387" s="82"/>
      <c r="D387" s="23"/>
      <c r="E387" s="23"/>
      <c r="F387" s="59"/>
      <c r="G387" s="6"/>
      <c r="H387" s="6"/>
      <c r="I387" s="59"/>
      <c r="J387" s="83"/>
      <c r="K387" s="59"/>
      <c r="L387" s="59"/>
      <c r="M387" s="59"/>
      <c r="N387" s="59"/>
      <c r="O387" s="59"/>
      <c r="P387" s="59"/>
      <c r="Q387" s="59"/>
    </row>
    <row r="388">
      <c r="A388" s="19"/>
      <c r="B388" s="84"/>
      <c r="C388" s="82"/>
      <c r="D388" s="23"/>
      <c r="E388" s="23"/>
      <c r="F388" s="59"/>
      <c r="G388" s="6"/>
      <c r="H388" s="6"/>
      <c r="I388" s="59"/>
      <c r="J388" s="83"/>
      <c r="K388" s="59"/>
      <c r="L388" s="59"/>
      <c r="M388" s="59"/>
      <c r="N388" s="59"/>
      <c r="O388" s="59"/>
      <c r="P388" s="59"/>
      <c r="Q388" s="59"/>
    </row>
    <row r="389">
      <c r="A389" s="19"/>
      <c r="B389" s="84"/>
      <c r="C389" s="82"/>
      <c r="D389" s="23"/>
      <c r="E389" s="23"/>
      <c r="F389" s="59"/>
      <c r="G389" s="6"/>
      <c r="H389" s="6"/>
      <c r="I389" s="59"/>
      <c r="J389" s="83"/>
      <c r="K389" s="59"/>
      <c r="L389" s="59"/>
      <c r="M389" s="59"/>
      <c r="N389" s="59"/>
      <c r="O389" s="59"/>
      <c r="P389" s="59"/>
      <c r="Q389" s="59"/>
    </row>
    <row r="390">
      <c r="A390" s="19"/>
      <c r="B390" s="84"/>
      <c r="C390" s="82"/>
      <c r="D390" s="23"/>
      <c r="E390" s="23"/>
      <c r="F390" s="59"/>
      <c r="G390" s="6"/>
      <c r="H390" s="6"/>
      <c r="I390" s="59"/>
      <c r="J390" s="83"/>
      <c r="K390" s="59"/>
      <c r="L390" s="59"/>
      <c r="M390" s="59"/>
      <c r="N390" s="59"/>
      <c r="O390" s="59"/>
      <c r="P390" s="59"/>
      <c r="Q390" s="59"/>
    </row>
    <row r="391">
      <c r="A391" s="19"/>
      <c r="B391" s="84"/>
      <c r="C391" s="82"/>
      <c r="D391" s="23"/>
      <c r="E391" s="23"/>
      <c r="F391" s="59"/>
      <c r="G391" s="6"/>
      <c r="H391" s="6"/>
      <c r="I391" s="59"/>
      <c r="J391" s="83"/>
      <c r="K391" s="59"/>
      <c r="L391" s="59"/>
      <c r="M391" s="59"/>
      <c r="N391" s="59"/>
      <c r="O391" s="59"/>
      <c r="P391" s="59"/>
      <c r="Q391" s="59"/>
    </row>
    <row r="392">
      <c r="A392" s="19"/>
      <c r="B392" s="84"/>
      <c r="C392" s="82"/>
      <c r="D392" s="23"/>
      <c r="E392" s="23"/>
      <c r="F392" s="59"/>
      <c r="G392" s="6"/>
      <c r="H392" s="6"/>
      <c r="I392" s="59"/>
      <c r="J392" s="83"/>
      <c r="K392" s="59"/>
      <c r="L392" s="59"/>
      <c r="M392" s="59"/>
      <c r="N392" s="59"/>
      <c r="O392" s="59"/>
      <c r="P392" s="59"/>
      <c r="Q392" s="59"/>
    </row>
    <row r="393">
      <c r="A393" s="19"/>
      <c r="B393" s="84"/>
      <c r="C393" s="82"/>
      <c r="D393" s="23"/>
      <c r="E393" s="23"/>
      <c r="F393" s="59"/>
      <c r="G393" s="6"/>
      <c r="H393" s="6"/>
      <c r="I393" s="59"/>
      <c r="J393" s="83"/>
      <c r="K393" s="59"/>
      <c r="L393" s="59"/>
      <c r="M393" s="59"/>
      <c r="N393" s="59"/>
      <c r="O393" s="59"/>
      <c r="P393" s="59"/>
      <c r="Q393" s="59"/>
    </row>
    <row r="394">
      <c r="A394" s="19"/>
      <c r="B394" s="84"/>
      <c r="C394" s="82"/>
      <c r="D394" s="23"/>
      <c r="E394" s="23"/>
      <c r="F394" s="59"/>
      <c r="G394" s="6"/>
      <c r="H394" s="6"/>
      <c r="I394" s="59"/>
      <c r="J394" s="83"/>
      <c r="K394" s="59"/>
      <c r="L394" s="59"/>
      <c r="M394" s="59"/>
      <c r="N394" s="59"/>
      <c r="O394" s="59"/>
      <c r="P394" s="59"/>
      <c r="Q394" s="59"/>
    </row>
    <row r="395">
      <c r="A395" s="19"/>
      <c r="B395" s="84"/>
      <c r="C395" s="82"/>
      <c r="D395" s="23"/>
      <c r="E395" s="23"/>
      <c r="F395" s="59"/>
      <c r="G395" s="6"/>
      <c r="H395" s="6"/>
      <c r="I395" s="59"/>
      <c r="J395" s="83"/>
      <c r="K395" s="59"/>
      <c r="L395" s="59"/>
      <c r="M395" s="59"/>
      <c r="N395" s="59"/>
      <c r="O395" s="59"/>
      <c r="P395" s="59"/>
      <c r="Q395" s="59"/>
    </row>
    <row r="396">
      <c r="A396" s="19"/>
      <c r="B396" s="84"/>
      <c r="C396" s="82"/>
      <c r="D396" s="23"/>
      <c r="E396" s="23"/>
      <c r="F396" s="59"/>
      <c r="G396" s="6"/>
      <c r="H396" s="6"/>
      <c r="I396" s="59"/>
      <c r="J396" s="83"/>
      <c r="K396" s="59"/>
      <c r="L396" s="59"/>
      <c r="M396" s="59"/>
      <c r="N396" s="59"/>
      <c r="O396" s="59"/>
      <c r="P396" s="59"/>
      <c r="Q396" s="59"/>
    </row>
    <row r="397">
      <c r="A397" s="19"/>
      <c r="B397" s="84"/>
      <c r="C397" s="82"/>
      <c r="D397" s="23"/>
      <c r="E397" s="23"/>
      <c r="F397" s="59"/>
      <c r="G397" s="6"/>
      <c r="H397" s="6"/>
      <c r="I397" s="59"/>
      <c r="J397" s="83"/>
      <c r="K397" s="59"/>
      <c r="L397" s="59"/>
      <c r="M397" s="59"/>
      <c r="N397" s="59"/>
      <c r="O397" s="59"/>
      <c r="P397" s="59"/>
      <c r="Q397" s="59"/>
    </row>
    <row r="398">
      <c r="A398" s="19"/>
      <c r="B398" s="84"/>
      <c r="C398" s="82"/>
      <c r="D398" s="23"/>
      <c r="E398" s="23"/>
      <c r="F398" s="59"/>
      <c r="G398" s="6"/>
      <c r="H398" s="6"/>
      <c r="I398" s="59"/>
      <c r="J398" s="83"/>
      <c r="K398" s="59"/>
      <c r="L398" s="59"/>
      <c r="M398" s="59"/>
      <c r="N398" s="59"/>
      <c r="O398" s="59"/>
      <c r="P398" s="59"/>
      <c r="Q398" s="59"/>
    </row>
    <row r="399">
      <c r="A399" s="19"/>
      <c r="B399" s="84"/>
      <c r="C399" s="82"/>
      <c r="D399" s="23"/>
      <c r="E399" s="23"/>
      <c r="F399" s="59"/>
      <c r="G399" s="6"/>
      <c r="H399" s="6"/>
      <c r="I399" s="59"/>
      <c r="J399" s="83"/>
      <c r="K399" s="59"/>
      <c r="L399" s="59"/>
      <c r="M399" s="59"/>
      <c r="N399" s="59"/>
      <c r="O399" s="59"/>
      <c r="P399" s="59"/>
      <c r="Q399" s="59"/>
    </row>
    <row r="400">
      <c r="A400" s="19"/>
      <c r="B400" s="84"/>
      <c r="C400" s="82"/>
      <c r="D400" s="23"/>
      <c r="E400" s="23"/>
      <c r="F400" s="59"/>
      <c r="G400" s="6"/>
      <c r="H400" s="6"/>
      <c r="I400" s="59"/>
      <c r="J400" s="83"/>
      <c r="K400" s="59"/>
      <c r="L400" s="59"/>
      <c r="M400" s="59"/>
      <c r="N400" s="59"/>
      <c r="O400" s="59"/>
      <c r="P400" s="59"/>
      <c r="Q400" s="59"/>
    </row>
    <row r="401">
      <c r="A401" s="19"/>
      <c r="B401" s="84"/>
      <c r="C401" s="82"/>
      <c r="D401" s="23"/>
      <c r="E401" s="23"/>
      <c r="F401" s="59"/>
      <c r="G401" s="6"/>
      <c r="H401" s="6"/>
      <c r="I401" s="59"/>
      <c r="J401" s="83"/>
      <c r="K401" s="59"/>
      <c r="L401" s="59"/>
      <c r="M401" s="59"/>
      <c r="N401" s="59"/>
      <c r="O401" s="59"/>
      <c r="P401" s="59"/>
      <c r="Q401" s="59"/>
    </row>
    <row r="402">
      <c r="A402" s="19"/>
      <c r="B402" s="84"/>
      <c r="C402" s="82"/>
      <c r="D402" s="23"/>
      <c r="E402" s="23"/>
      <c r="F402" s="59"/>
      <c r="G402" s="6"/>
      <c r="H402" s="6"/>
      <c r="I402" s="59"/>
      <c r="J402" s="83"/>
      <c r="K402" s="59"/>
      <c r="L402" s="59"/>
      <c r="M402" s="59"/>
      <c r="N402" s="59"/>
      <c r="O402" s="59"/>
      <c r="P402" s="59"/>
      <c r="Q402" s="59"/>
    </row>
    <row r="403">
      <c r="A403" s="19"/>
      <c r="B403" s="84"/>
      <c r="C403" s="82"/>
      <c r="D403" s="23"/>
      <c r="E403" s="23"/>
      <c r="F403" s="59"/>
      <c r="G403" s="6"/>
      <c r="H403" s="6"/>
      <c r="I403" s="59"/>
      <c r="J403" s="83"/>
      <c r="K403" s="59"/>
      <c r="L403" s="59"/>
      <c r="M403" s="59"/>
      <c r="N403" s="59"/>
      <c r="O403" s="59"/>
      <c r="P403" s="59"/>
      <c r="Q403" s="59"/>
    </row>
    <row r="404">
      <c r="A404" s="19"/>
      <c r="B404" s="84"/>
      <c r="C404" s="82"/>
      <c r="D404" s="23"/>
      <c r="E404" s="23"/>
      <c r="F404" s="59"/>
      <c r="G404" s="6"/>
      <c r="H404" s="6"/>
      <c r="I404" s="59"/>
      <c r="J404" s="83"/>
      <c r="K404" s="59"/>
      <c r="L404" s="59"/>
      <c r="M404" s="59"/>
      <c r="N404" s="59"/>
      <c r="O404" s="59"/>
      <c r="P404" s="59"/>
      <c r="Q404" s="59"/>
    </row>
    <row r="405">
      <c r="A405" s="19"/>
      <c r="B405" s="84"/>
      <c r="C405" s="82"/>
      <c r="D405" s="23"/>
      <c r="E405" s="23"/>
      <c r="F405" s="59"/>
      <c r="G405" s="6"/>
      <c r="H405" s="6"/>
      <c r="I405" s="59"/>
      <c r="J405" s="83"/>
      <c r="K405" s="59"/>
      <c r="L405" s="59"/>
      <c r="M405" s="59"/>
      <c r="N405" s="59"/>
      <c r="O405" s="59"/>
      <c r="P405" s="59"/>
      <c r="Q405" s="59"/>
    </row>
    <row r="406">
      <c r="A406" s="19"/>
      <c r="B406" s="84"/>
      <c r="C406" s="82"/>
      <c r="D406" s="23"/>
      <c r="E406" s="23"/>
      <c r="F406" s="59"/>
      <c r="G406" s="6"/>
      <c r="H406" s="6"/>
      <c r="I406" s="59"/>
      <c r="J406" s="83"/>
      <c r="K406" s="59"/>
      <c r="L406" s="59"/>
      <c r="M406" s="59"/>
      <c r="N406" s="59"/>
      <c r="O406" s="59"/>
      <c r="P406" s="59"/>
      <c r="Q406" s="59"/>
    </row>
    <row r="407">
      <c r="A407" s="19"/>
      <c r="B407" s="84"/>
      <c r="C407" s="82"/>
      <c r="D407" s="23"/>
      <c r="E407" s="23"/>
      <c r="F407" s="59"/>
      <c r="G407" s="6"/>
      <c r="H407" s="6"/>
      <c r="I407" s="59"/>
      <c r="J407" s="83"/>
      <c r="K407" s="59"/>
      <c r="L407" s="59"/>
      <c r="M407" s="59"/>
      <c r="N407" s="59"/>
      <c r="O407" s="59"/>
      <c r="P407" s="59"/>
      <c r="Q407" s="59"/>
    </row>
    <row r="408">
      <c r="A408" s="19"/>
      <c r="B408" s="84"/>
      <c r="C408" s="82"/>
      <c r="D408" s="23"/>
      <c r="E408" s="23"/>
      <c r="F408" s="59"/>
      <c r="G408" s="6"/>
      <c r="H408" s="6"/>
      <c r="I408" s="59"/>
      <c r="J408" s="83"/>
      <c r="K408" s="59"/>
      <c r="L408" s="59"/>
      <c r="M408" s="59"/>
      <c r="N408" s="59"/>
      <c r="O408" s="59"/>
      <c r="P408" s="59"/>
      <c r="Q408" s="59"/>
    </row>
    <row r="409">
      <c r="A409" s="19"/>
      <c r="B409" s="84"/>
      <c r="C409" s="82"/>
      <c r="D409" s="23"/>
      <c r="E409" s="23"/>
      <c r="F409" s="59"/>
      <c r="G409" s="6"/>
      <c r="H409" s="6"/>
      <c r="I409" s="59"/>
      <c r="J409" s="83"/>
      <c r="K409" s="59"/>
      <c r="L409" s="59"/>
      <c r="M409" s="59"/>
      <c r="N409" s="59"/>
      <c r="O409" s="59"/>
      <c r="P409" s="59"/>
      <c r="Q409" s="59"/>
    </row>
    <row r="410">
      <c r="A410" s="19"/>
      <c r="B410" s="84"/>
      <c r="C410" s="82"/>
      <c r="D410" s="23"/>
      <c r="E410" s="23"/>
      <c r="F410" s="59"/>
      <c r="G410" s="6"/>
      <c r="H410" s="6"/>
      <c r="I410" s="59"/>
      <c r="J410" s="83"/>
      <c r="K410" s="59"/>
      <c r="L410" s="59"/>
      <c r="M410" s="59"/>
      <c r="N410" s="59"/>
      <c r="O410" s="59"/>
      <c r="P410" s="59"/>
      <c r="Q410" s="59"/>
    </row>
    <row r="411">
      <c r="A411" s="19"/>
      <c r="B411" s="84"/>
      <c r="C411" s="82"/>
      <c r="D411" s="23"/>
      <c r="E411" s="23"/>
      <c r="F411" s="59"/>
      <c r="G411" s="6"/>
      <c r="H411" s="6"/>
      <c r="I411" s="59"/>
      <c r="J411" s="83"/>
      <c r="K411" s="59"/>
      <c r="L411" s="59"/>
      <c r="M411" s="59"/>
      <c r="N411" s="59"/>
      <c r="O411" s="59"/>
      <c r="P411" s="59"/>
      <c r="Q411" s="59"/>
    </row>
    <row r="412">
      <c r="A412" s="19"/>
      <c r="B412" s="84"/>
      <c r="C412" s="82"/>
      <c r="D412" s="23"/>
      <c r="E412" s="23"/>
      <c r="F412" s="59"/>
      <c r="G412" s="6"/>
      <c r="H412" s="6"/>
      <c r="I412" s="59"/>
      <c r="J412" s="83"/>
      <c r="K412" s="59"/>
      <c r="L412" s="59"/>
      <c r="M412" s="59"/>
      <c r="N412" s="59"/>
      <c r="O412" s="59"/>
      <c r="P412" s="59"/>
      <c r="Q412" s="59"/>
    </row>
    <row r="413">
      <c r="A413" s="19"/>
      <c r="B413" s="84"/>
      <c r="C413" s="82"/>
      <c r="D413" s="23"/>
      <c r="E413" s="23"/>
      <c r="F413" s="59"/>
      <c r="G413" s="6"/>
      <c r="H413" s="6"/>
      <c r="I413" s="59"/>
      <c r="J413" s="83"/>
      <c r="K413" s="59"/>
      <c r="L413" s="59"/>
      <c r="M413" s="59"/>
      <c r="N413" s="59"/>
      <c r="O413" s="59"/>
      <c r="P413" s="59"/>
      <c r="Q413" s="59"/>
    </row>
    <row r="414">
      <c r="A414" s="19"/>
      <c r="B414" s="84"/>
      <c r="C414" s="82"/>
      <c r="D414" s="23"/>
      <c r="E414" s="23"/>
      <c r="F414" s="59"/>
      <c r="G414" s="6"/>
      <c r="H414" s="6"/>
      <c r="I414" s="59"/>
      <c r="J414" s="83"/>
      <c r="K414" s="59"/>
      <c r="L414" s="59"/>
      <c r="M414" s="59"/>
      <c r="N414" s="59"/>
      <c r="O414" s="59"/>
      <c r="P414" s="59"/>
      <c r="Q414" s="59"/>
    </row>
    <row r="415">
      <c r="A415" s="19"/>
      <c r="B415" s="84"/>
      <c r="C415" s="82"/>
      <c r="D415" s="23"/>
      <c r="E415" s="23"/>
      <c r="F415" s="59"/>
      <c r="G415" s="6"/>
      <c r="H415" s="6"/>
      <c r="I415" s="59"/>
      <c r="J415" s="83"/>
      <c r="K415" s="59"/>
      <c r="L415" s="59"/>
      <c r="M415" s="59"/>
      <c r="N415" s="59"/>
      <c r="O415" s="59"/>
      <c r="P415" s="59"/>
      <c r="Q415" s="59"/>
    </row>
    <row r="416">
      <c r="A416" s="19"/>
      <c r="B416" s="84"/>
      <c r="C416" s="82"/>
      <c r="D416" s="23"/>
      <c r="E416" s="23"/>
      <c r="F416" s="59"/>
      <c r="G416" s="6"/>
      <c r="H416" s="6"/>
      <c r="I416" s="59"/>
      <c r="J416" s="83"/>
      <c r="K416" s="59"/>
      <c r="L416" s="59"/>
      <c r="M416" s="59"/>
      <c r="N416" s="59"/>
      <c r="O416" s="59"/>
      <c r="P416" s="59"/>
      <c r="Q416" s="59"/>
    </row>
    <row r="417">
      <c r="A417" s="19"/>
      <c r="B417" s="84"/>
      <c r="C417" s="82"/>
      <c r="D417" s="23"/>
      <c r="E417" s="23"/>
      <c r="F417" s="59"/>
      <c r="G417" s="6"/>
      <c r="H417" s="6"/>
      <c r="I417" s="59"/>
      <c r="J417" s="83"/>
      <c r="K417" s="59"/>
      <c r="L417" s="59"/>
      <c r="M417" s="59"/>
      <c r="N417" s="59"/>
      <c r="O417" s="59"/>
      <c r="P417" s="59"/>
      <c r="Q417" s="59"/>
    </row>
    <row r="418">
      <c r="A418" s="19"/>
      <c r="B418" s="84"/>
      <c r="C418" s="82"/>
      <c r="D418" s="23"/>
      <c r="E418" s="23"/>
      <c r="F418" s="59"/>
      <c r="G418" s="6"/>
      <c r="H418" s="6"/>
      <c r="I418" s="59"/>
      <c r="J418" s="83"/>
      <c r="K418" s="59"/>
      <c r="L418" s="59"/>
      <c r="M418" s="59"/>
      <c r="N418" s="59"/>
      <c r="O418" s="59"/>
      <c r="P418" s="59"/>
      <c r="Q418" s="59"/>
    </row>
    <row r="419">
      <c r="A419" s="19"/>
      <c r="B419" s="84"/>
      <c r="C419" s="82"/>
      <c r="D419" s="23"/>
      <c r="E419" s="23"/>
      <c r="F419" s="59"/>
      <c r="G419" s="6"/>
      <c r="H419" s="6"/>
      <c r="I419" s="59"/>
      <c r="J419" s="83"/>
      <c r="K419" s="59"/>
      <c r="L419" s="59"/>
      <c r="M419" s="59"/>
      <c r="N419" s="59"/>
      <c r="O419" s="59"/>
      <c r="P419" s="59"/>
      <c r="Q419" s="59"/>
    </row>
    <row r="420">
      <c r="A420" s="19"/>
      <c r="B420" s="84"/>
      <c r="C420" s="82"/>
      <c r="D420" s="23"/>
      <c r="E420" s="23"/>
      <c r="F420" s="59"/>
      <c r="G420" s="6"/>
      <c r="H420" s="6"/>
      <c r="I420" s="59"/>
      <c r="J420" s="83"/>
      <c r="K420" s="59"/>
      <c r="L420" s="59"/>
      <c r="M420" s="59"/>
      <c r="N420" s="59"/>
      <c r="O420" s="59"/>
      <c r="P420" s="59"/>
      <c r="Q420" s="59"/>
    </row>
    <row r="421">
      <c r="A421" s="19"/>
      <c r="B421" s="84"/>
      <c r="C421" s="82"/>
      <c r="D421" s="23"/>
      <c r="E421" s="23"/>
      <c r="F421" s="59"/>
      <c r="G421" s="6"/>
      <c r="H421" s="6"/>
      <c r="I421" s="59"/>
      <c r="J421" s="83"/>
      <c r="K421" s="59"/>
      <c r="L421" s="59"/>
      <c r="M421" s="59"/>
      <c r="N421" s="59"/>
      <c r="O421" s="59"/>
      <c r="P421" s="59"/>
      <c r="Q421" s="59"/>
    </row>
    <row r="422">
      <c r="A422" s="19"/>
      <c r="B422" s="84"/>
      <c r="C422" s="82"/>
      <c r="D422" s="23"/>
      <c r="E422" s="23"/>
      <c r="F422" s="59"/>
      <c r="G422" s="6"/>
      <c r="H422" s="6"/>
      <c r="I422" s="59"/>
      <c r="J422" s="83"/>
      <c r="K422" s="59"/>
      <c r="L422" s="59"/>
      <c r="M422" s="59"/>
      <c r="N422" s="59"/>
      <c r="O422" s="59"/>
      <c r="P422" s="59"/>
      <c r="Q422" s="59"/>
    </row>
    <row r="423">
      <c r="A423" s="19"/>
      <c r="B423" s="84"/>
      <c r="C423" s="82"/>
      <c r="D423" s="23"/>
      <c r="E423" s="23"/>
      <c r="F423" s="59"/>
      <c r="G423" s="6"/>
      <c r="H423" s="6"/>
      <c r="I423" s="59"/>
      <c r="J423" s="83"/>
      <c r="K423" s="59"/>
      <c r="L423" s="59"/>
      <c r="M423" s="59"/>
      <c r="N423" s="59"/>
      <c r="O423" s="59"/>
      <c r="P423" s="59"/>
      <c r="Q423" s="59"/>
    </row>
    <row r="424">
      <c r="A424" s="19"/>
      <c r="B424" s="84"/>
      <c r="C424" s="82"/>
      <c r="D424" s="23"/>
      <c r="E424" s="23"/>
      <c r="F424" s="59"/>
      <c r="G424" s="6"/>
      <c r="H424" s="6"/>
      <c r="I424" s="59"/>
      <c r="J424" s="83"/>
      <c r="K424" s="59"/>
      <c r="L424" s="59"/>
      <c r="M424" s="59"/>
      <c r="N424" s="59"/>
      <c r="O424" s="59"/>
      <c r="P424" s="59"/>
      <c r="Q424" s="59"/>
    </row>
    <row r="425">
      <c r="A425" s="19"/>
      <c r="B425" s="84"/>
      <c r="C425" s="82"/>
      <c r="D425" s="23"/>
      <c r="E425" s="23"/>
      <c r="F425" s="59"/>
      <c r="G425" s="6"/>
      <c r="H425" s="6"/>
      <c r="I425" s="59"/>
      <c r="J425" s="83"/>
      <c r="K425" s="59"/>
      <c r="L425" s="59"/>
      <c r="M425" s="59"/>
      <c r="N425" s="59"/>
      <c r="O425" s="59"/>
      <c r="P425" s="59"/>
      <c r="Q425" s="59"/>
    </row>
    <row r="426">
      <c r="A426" s="19"/>
      <c r="B426" s="84"/>
      <c r="C426" s="82"/>
      <c r="D426" s="23"/>
      <c r="E426" s="23"/>
      <c r="F426" s="59"/>
      <c r="G426" s="6"/>
      <c r="H426" s="6"/>
      <c r="I426" s="59"/>
      <c r="J426" s="83"/>
      <c r="K426" s="59"/>
      <c r="L426" s="59"/>
      <c r="M426" s="59"/>
      <c r="N426" s="59"/>
      <c r="O426" s="59"/>
      <c r="P426" s="59"/>
      <c r="Q426" s="59"/>
    </row>
    <row r="427">
      <c r="A427" s="19"/>
      <c r="B427" s="84"/>
      <c r="C427" s="82"/>
      <c r="D427" s="23"/>
      <c r="E427" s="23"/>
      <c r="F427" s="59"/>
      <c r="G427" s="6"/>
      <c r="H427" s="6"/>
      <c r="I427" s="59"/>
      <c r="J427" s="83"/>
      <c r="K427" s="59"/>
      <c r="L427" s="59"/>
      <c r="M427" s="59"/>
      <c r="N427" s="59"/>
      <c r="O427" s="59"/>
      <c r="P427" s="59"/>
      <c r="Q427" s="59"/>
    </row>
    <row r="428">
      <c r="A428" s="19"/>
      <c r="B428" s="84"/>
      <c r="C428" s="82"/>
      <c r="D428" s="23"/>
      <c r="E428" s="23"/>
      <c r="F428" s="59"/>
      <c r="G428" s="6"/>
      <c r="H428" s="6"/>
      <c r="I428" s="59"/>
      <c r="J428" s="83"/>
      <c r="K428" s="59"/>
      <c r="L428" s="59"/>
      <c r="M428" s="59"/>
      <c r="N428" s="59"/>
      <c r="O428" s="59"/>
      <c r="P428" s="59"/>
      <c r="Q428" s="59"/>
    </row>
    <row r="429">
      <c r="A429" s="19"/>
      <c r="B429" s="84"/>
      <c r="C429" s="82"/>
      <c r="D429" s="23"/>
      <c r="E429" s="23"/>
      <c r="F429" s="59"/>
      <c r="G429" s="6"/>
      <c r="H429" s="6"/>
      <c r="I429" s="59"/>
      <c r="J429" s="83"/>
      <c r="K429" s="59"/>
      <c r="L429" s="59"/>
      <c r="M429" s="59"/>
      <c r="N429" s="59"/>
      <c r="O429" s="59"/>
      <c r="P429" s="59"/>
      <c r="Q429" s="59"/>
    </row>
    <row r="430">
      <c r="A430" s="19"/>
      <c r="B430" s="84"/>
      <c r="C430" s="82"/>
      <c r="D430" s="23"/>
      <c r="E430" s="23"/>
      <c r="F430" s="59"/>
      <c r="G430" s="6"/>
      <c r="H430" s="6"/>
      <c r="I430" s="59"/>
      <c r="J430" s="83"/>
      <c r="K430" s="59"/>
      <c r="L430" s="59"/>
      <c r="M430" s="59"/>
      <c r="N430" s="59"/>
      <c r="O430" s="59"/>
      <c r="P430" s="59"/>
      <c r="Q430" s="59"/>
    </row>
    <row r="431">
      <c r="A431" s="19"/>
      <c r="B431" s="84"/>
      <c r="C431" s="82"/>
      <c r="D431" s="23"/>
      <c r="E431" s="23"/>
      <c r="F431" s="59"/>
      <c r="G431" s="6"/>
      <c r="H431" s="6"/>
      <c r="I431" s="59"/>
      <c r="J431" s="83"/>
      <c r="K431" s="59"/>
      <c r="L431" s="59"/>
      <c r="M431" s="59"/>
      <c r="N431" s="59"/>
      <c r="O431" s="59"/>
      <c r="P431" s="59"/>
      <c r="Q431" s="59"/>
    </row>
    <row r="432">
      <c r="A432" s="19"/>
      <c r="B432" s="84"/>
      <c r="C432" s="82"/>
      <c r="D432" s="23"/>
      <c r="E432" s="23"/>
      <c r="F432" s="59"/>
      <c r="G432" s="6"/>
      <c r="H432" s="6"/>
      <c r="I432" s="59"/>
      <c r="J432" s="83"/>
      <c r="K432" s="59"/>
      <c r="L432" s="59"/>
      <c r="M432" s="59"/>
      <c r="N432" s="59"/>
      <c r="O432" s="59"/>
      <c r="P432" s="59"/>
      <c r="Q432" s="59"/>
    </row>
    <row r="433">
      <c r="A433" s="19"/>
      <c r="B433" s="84"/>
      <c r="C433" s="82"/>
      <c r="D433" s="23"/>
      <c r="E433" s="23"/>
      <c r="F433" s="59"/>
      <c r="G433" s="6"/>
      <c r="H433" s="6"/>
      <c r="I433" s="59"/>
      <c r="J433" s="83"/>
      <c r="K433" s="59"/>
      <c r="L433" s="59"/>
      <c r="M433" s="59"/>
      <c r="N433" s="59"/>
      <c r="O433" s="59"/>
      <c r="P433" s="59"/>
      <c r="Q433" s="59"/>
    </row>
    <row r="434">
      <c r="A434" s="19"/>
      <c r="B434" s="84"/>
      <c r="C434" s="82"/>
      <c r="D434" s="23"/>
      <c r="E434" s="23"/>
      <c r="F434" s="59"/>
      <c r="G434" s="6"/>
      <c r="H434" s="6"/>
      <c r="I434" s="59"/>
      <c r="J434" s="83"/>
      <c r="K434" s="59"/>
      <c r="L434" s="59"/>
      <c r="M434" s="59"/>
      <c r="N434" s="59"/>
      <c r="O434" s="59"/>
      <c r="P434" s="59"/>
      <c r="Q434" s="59"/>
    </row>
    <row r="435">
      <c r="A435" s="19"/>
      <c r="B435" s="84"/>
      <c r="C435" s="82"/>
      <c r="D435" s="23"/>
      <c r="E435" s="23"/>
      <c r="F435" s="59"/>
      <c r="G435" s="6"/>
      <c r="H435" s="6"/>
      <c r="I435" s="59"/>
      <c r="J435" s="83"/>
      <c r="K435" s="59"/>
      <c r="L435" s="59"/>
      <c r="M435" s="59"/>
      <c r="N435" s="59"/>
      <c r="O435" s="59"/>
      <c r="P435" s="59"/>
      <c r="Q435" s="59"/>
    </row>
    <row r="436">
      <c r="A436" s="19"/>
      <c r="B436" s="84"/>
      <c r="C436" s="82"/>
      <c r="D436" s="23"/>
      <c r="E436" s="23"/>
      <c r="F436" s="59"/>
      <c r="G436" s="6"/>
      <c r="H436" s="6"/>
      <c r="I436" s="59"/>
      <c r="J436" s="83"/>
      <c r="K436" s="59"/>
      <c r="L436" s="59"/>
      <c r="M436" s="59"/>
      <c r="N436" s="59"/>
      <c r="O436" s="59"/>
      <c r="P436" s="59"/>
      <c r="Q436" s="59"/>
    </row>
    <row r="437">
      <c r="A437" s="19"/>
      <c r="B437" s="84"/>
      <c r="C437" s="82"/>
      <c r="D437" s="23"/>
      <c r="E437" s="23"/>
      <c r="F437" s="59"/>
      <c r="G437" s="6"/>
      <c r="H437" s="6"/>
      <c r="I437" s="59"/>
      <c r="J437" s="83"/>
      <c r="K437" s="59"/>
      <c r="L437" s="59"/>
      <c r="M437" s="59"/>
      <c r="N437" s="59"/>
      <c r="O437" s="59"/>
      <c r="P437" s="59"/>
      <c r="Q437" s="59"/>
    </row>
    <row r="438">
      <c r="A438" s="19"/>
      <c r="B438" s="84"/>
      <c r="C438" s="82"/>
      <c r="D438" s="23"/>
      <c r="E438" s="23"/>
      <c r="F438" s="59"/>
      <c r="G438" s="6"/>
      <c r="H438" s="6"/>
      <c r="I438" s="59"/>
      <c r="J438" s="83"/>
      <c r="K438" s="59"/>
      <c r="L438" s="59"/>
      <c r="M438" s="59"/>
      <c r="N438" s="59"/>
      <c r="O438" s="59"/>
      <c r="P438" s="59"/>
      <c r="Q438" s="59"/>
    </row>
    <row r="439">
      <c r="A439" s="19"/>
      <c r="B439" s="84"/>
      <c r="C439" s="82"/>
      <c r="D439" s="23"/>
      <c r="E439" s="23"/>
      <c r="F439" s="59"/>
      <c r="G439" s="6"/>
      <c r="H439" s="6"/>
      <c r="I439" s="59"/>
      <c r="J439" s="83"/>
      <c r="K439" s="59"/>
      <c r="L439" s="59"/>
      <c r="M439" s="59"/>
      <c r="N439" s="59"/>
      <c r="O439" s="59"/>
      <c r="P439" s="59"/>
      <c r="Q439" s="59"/>
    </row>
    <row r="440">
      <c r="A440" s="19"/>
      <c r="B440" s="84"/>
      <c r="C440" s="82"/>
      <c r="D440" s="23"/>
      <c r="E440" s="23"/>
      <c r="F440" s="59"/>
      <c r="G440" s="6"/>
      <c r="H440" s="6"/>
      <c r="I440" s="59"/>
      <c r="J440" s="83"/>
      <c r="K440" s="59"/>
      <c r="L440" s="59"/>
      <c r="M440" s="59"/>
      <c r="N440" s="59"/>
      <c r="O440" s="59"/>
      <c r="P440" s="59"/>
      <c r="Q440" s="59"/>
    </row>
    <row r="441">
      <c r="A441" s="19"/>
      <c r="B441" s="84"/>
      <c r="C441" s="82"/>
      <c r="D441" s="23"/>
      <c r="E441" s="23"/>
      <c r="F441" s="59"/>
      <c r="G441" s="6"/>
      <c r="H441" s="6"/>
      <c r="I441" s="59"/>
      <c r="J441" s="83"/>
      <c r="K441" s="59"/>
      <c r="L441" s="59"/>
      <c r="M441" s="59"/>
      <c r="N441" s="59"/>
      <c r="O441" s="59"/>
      <c r="P441" s="59"/>
      <c r="Q441" s="59"/>
    </row>
    <row r="442">
      <c r="A442" s="19"/>
      <c r="B442" s="84"/>
      <c r="C442" s="82"/>
      <c r="D442" s="23"/>
      <c r="E442" s="23"/>
      <c r="F442" s="59"/>
      <c r="G442" s="6"/>
      <c r="H442" s="6"/>
      <c r="I442" s="59"/>
      <c r="J442" s="83"/>
      <c r="K442" s="59"/>
      <c r="L442" s="59"/>
      <c r="M442" s="59"/>
      <c r="N442" s="59"/>
      <c r="O442" s="59"/>
      <c r="P442" s="59"/>
      <c r="Q442" s="59"/>
    </row>
    <row r="443">
      <c r="A443" s="19"/>
      <c r="B443" s="84"/>
      <c r="C443" s="82"/>
      <c r="D443" s="23"/>
      <c r="E443" s="23"/>
      <c r="F443" s="59"/>
      <c r="G443" s="6"/>
      <c r="H443" s="6"/>
      <c r="I443" s="59"/>
      <c r="J443" s="83"/>
      <c r="K443" s="59"/>
      <c r="L443" s="59"/>
      <c r="M443" s="59"/>
      <c r="N443" s="59"/>
      <c r="O443" s="59"/>
      <c r="P443" s="59"/>
      <c r="Q443" s="59"/>
    </row>
    <row r="444">
      <c r="A444" s="19"/>
      <c r="B444" s="84"/>
      <c r="C444" s="82"/>
      <c r="D444" s="23"/>
      <c r="E444" s="23"/>
      <c r="F444" s="59"/>
      <c r="G444" s="6"/>
      <c r="H444" s="6"/>
      <c r="I444" s="59"/>
      <c r="J444" s="83"/>
      <c r="K444" s="59"/>
      <c r="L444" s="59"/>
      <c r="M444" s="59"/>
      <c r="N444" s="59"/>
      <c r="O444" s="59"/>
      <c r="P444" s="59"/>
      <c r="Q444" s="59"/>
    </row>
    <row r="445">
      <c r="A445" s="19"/>
      <c r="B445" s="84"/>
      <c r="C445" s="82"/>
      <c r="D445" s="23"/>
      <c r="E445" s="23"/>
      <c r="F445" s="59"/>
      <c r="G445" s="6"/>
      <c r="H445" s="6"/>
      <c r="I445" s="59"/>
      <c r="J445" s="83"/>
      <c r="K445" s="59"/>
      <c r="L445" s="59"/>
      <c r="M445" s="59"/>
      <c r="N445" s="59"/>
      <c r="O445" s="59"/>
      <c r="P445" s="59"/>
      <c r="Q445" s="59"/>
    </row>
    <row r="446">
      <c r="A446" s="19"/>
      <c r="B446" s="84"/>
      <c r="C446" s="82"/>
      <c r="D446" s="23"/>
      <c r="E446" s="23"/>
      <c r="F446" s="59"/>
      <c r="G446" s="6"/>
      <c r="H446" s="6"/>
      <c r="I446" s="59"/>
      <c r="J446" s="83"/>
      <c r="K446" s="59"/>
      <c r="L446" s="59"/>
      <c r="M446" s="59"/>
      <c r="N446" s="59"/>
      <c r="O446" s="59"/>
      <c r="P446" s="59"/>
      <c r="Q446" s="59"/>
    </row>
    <row r="447">
      <c r="A447" s="19"/>
      <c r="B447" s="84"/>
      <c r="C447" s="82"/>
      <c r="D447" s="23"/>
      <c r="E447" s="23"/>
      <c r="F447" s="59"/>
      <c r="G447" s="6"/>
      <c r="H447" s="6"/>
      <c r="I447" s="59"/>
      <c r="J447" s="83"/>
      <c r="K447" s="59"/>
      <c r="L447" s="59"/>
      <c r="M447" s="59"/>
      <c r="N447" s="59"/>
      <c r="O447" s="59"/>
      <c r="P447" s="59"/>
      <c r="Q447" s="59"/>
    </row>
    <row r="448">
      <c r="A448" s="19"/>
      <c r="B448" s="84"/>
      <c r="C448" s="82"/>
      <c r="D448" s="23"/>
      <c r="E448" s="23"/>
      <c r="F448" s="59"/>
      <c r="G448" s="6"/>
      <c r="H448" s="6"/>
      <c r="I448" s="59"/>
      <c r="J448" s="83"/>
      <c r="K448" s="59"/>
      <c r="L448" s="59"/>
      <c r="M448" s="59"/>
      <c r="N448" s="59"/>
      <c r="O448" s="59"/>
      <c r="P448" s="59"/>
      <c r="Q448" s="59"/>
    </row>
    <row r="449">
      <c r="A449" s="19"/>
      <c r="B449" s="84"/>
      <c r="C449" s="82"/>
      <c r="D449" s="23"/>
      <c r="E449" s="23"/>
      <c r="F449" s="59"/>
      <c r="G449" s="6"/>
      <c r="H449" s="6"/>
      <c r="I449" s="59"/>
      <c r="J449" s="83"/>
      <c r="K449" s="59"/>
      <c r="L449" s="59"/>
      <c r="M449" s="59"/>
      <c r="N449" s="59"/>
      <c r="O449" s="59"/>
      <c r="P449" s="59"/>
      <c r="Q449" s="59"/>
    </row>
    <row r="450">
      <c r="A450" s="19"/>
      <c r="B450" s="84"/>
      <c r="C450" s="82"/>
      <c r="D450" s="23"/>
      <c r="E450" s="23"/>
      <c r="F450" s="59"/>
      <c r="G450" s="6"/>
      <c r="H450" s="6"/>
      <c r="I450" s="59"/>
      <c r="J450" s="83"/>
      <c r="K450" s="59"/>
      <c r="L450" s="59"/>
      <c r="M450" s="59"/>
      <c r="N450" s="59"/>
      <c r="O450" s="59"/>
      <c r="P450" s="59"/>
      <c r="Q450" s="59"/>
    </row>
    <row r="451">
      <c r="A451" s="19"/>
      <c r="B451" s="84"/>
      <c r="C451" s="82"/>
      <c r="D451" s="23"/>
      <c r="E451" s="23"/>
      <c r="F451" s="59"/>
      <c r="G451" s="6"/>
      <c r="H451" s="6"/>
      <c r="I451" s="59"/>
      <c r="J451" s="83"/>
      <c r="K451" s="59"/>
      <c r="L451" s="59"/>
      <c r="M451" s="59"/>
      <c r="N451" s="59"/>
      <c r="O451" s="59"/>
      <c r="P451" s="59"/>
      <c r="Q451" s="59"/>
    </row>
    <row r="452">
      <c r="A452" s="19"/>
      <c r="B452" s="84"/>
      <c r="C452" s="82"/>
      <c r="D452" s="23"/>
      <c r="E452" s="23"/>
      <c r="F452" s="59"/>
      <c r="G452" s="6"/>
      <c r="H452" s="6"/>
      <c r="I452" s="59"/>
      <c r="J452" s="83"/>
      <c r="K452" s="59"/>
      <c r="L452" s="59"/>
      <c r="M452" s="59"/>
      <c r="N452" s="59"/>
      <c r="O452" s="59"/>
      <c r="P452" s="59"/>
      <c r="Q452" s="59"/>
    </row>
    <row r="453">
      <c r="A453" s="19"/>
      <c r="B453" s="84"/>
      <c r="C453" s="82"/>
      <c r="D453" s="23"/>
      <c r="E453" s="23"/>
      <c r="F453" s="59"/>
      <c r="G453" s="6"/>
      <c r="H453" s="6"/>
      <c r="I453" s="59"/>
      <c r="J453" s="83"/>
      <c r="K453" s="59"/>
      <c r="L453" s="59"/>
      <c r="M453" s="59"/>
      <c r="N453" s="59"/>
      <c r="O453" s="59"/>
      <c r="P453" s="59"/>
      <c r="Q453" s="59"/>
    </row>
    <row r="454">
      <c r="A454" s="19"/>
      <c r="B454" s="84"/>
      <c r="C454" s="82"/>
      <c r="D454" s="23"/>
      <c r="E454" s="23"/>
      <c r="F454" s="59"/>
      <c r="G454" s="6"/>
      <c r="H454" s="6"/>
      <c r="I454" s="59"/>
      <c r="J454" s="83"/>
      <c r="K454" s="59"/>
      <c r="L454" s="59"/>
      <c r="M454" s="59"/>
      <c r="N454" s="59"/>
      <c r="O454" s="59"/>
      <c r="P454" s="59"/>
      <c r="Q454" s="59"/>
    </row>
    <row r="455">
      <c r="A455" s="19"/>
      <c r="B455" s="84"/>
      <c r="C455" s="82"/>
      <c r="D455" s="23"/>
      <c r="E455" s="23"/>
      <c r="F455" s="59"/>
      <c r="G455" s="6"/>
      <c r="H455" s="6"/>
      <c r="I455" s="59"/>
      <c r="J455" s="83"/>
      <c r="K455" s="59"/>
      <c r="L455" s="59"/>
      <c r="M455" s="59"/>
      <c r="N455" s="59"/>
      <c r="O455" s="59"/>
      <c r="P455" s="59"/>
      <c r="Q455" s="59"/>
    </row>
    <row r="456">
      <c r="A456" s="19"/>
      <c r="B456" s="84"/>
      <c r="C456" s="82"/>
      <c r="D456" s="23"/>
      <c r="E456" s="23"/>
      <c r="F456" s="59"/>
      <c r="G456" s="6"/>
      <c r="H456" s="6"/>
      <c r="I456" s="59"/>
      <c r="J456" s="83"/>
      <c r="K456" s="59"/>
      <c r="L456" s="59"/>
      <c r="M456" s="59"/>
      <c r="N456" s="59"/>
      <c r="O456" s="59"/>
      <c r="P456" s="59"/>
      <c r="Q456" s="59"/>
    </row>
    <row r="457">
      <c r="A457" s="19"/>
      <c r="B457" s="84"/>
      <c r="C457" s="82"/>
      <c r="D457" s="23"/>
      <c r="E457" s="23"/>
      <c r="F457" s="59"/>
      <c r="G457" s="6"/>
      <c r="H457" s="6"/>
      <c r="I457" s="59"/>
      <c r="J457" s="83"/>
      <c r="K457" s="59"/>
      <c r="L457" s="59"/>
      <c r="M457" s="59"/>
      <c r="N457" s="59"/>
      <c r="O457" s="59"/>
      <c r="P457" s="59"/>
      <c r="Q457" s="59"/>
    </row>
    <row r="458">
      <c r="A458" s="19"/>
      <c r="B458" s="84"/>
      <c r="C458" s="82"/>
      <c r="D458" s="23"/>
      <c r="E458" s="23"/>
      <c r="F458" s="59"/>
      <c r="G458" s="6"/>
      <c r="H458" s="6"/>
      <c r="I458" s="59"/>
      <c r="J458" s="83"/>
      <c r="K458" s="59"/>
      <c r="L458" s="59"/>
      <c r="M458" s="59"/>
      <c r="N458" s="59"/>
      <c r="O458" s="59"/>
      <c r="P458" s="59"/>
      <c r="Q458" s="59"/>
    </row>
    <row r="459">
      <c r="A459" s="19"/>
      <c r="B459" s="84"/>
      <c r="C459" s="82"/>
      <c r="D459" s="23"/>
      <c r="E459" s="23"/>
      <c r="F459" s="59"/>
      <c r="G459" s="6"/>
      <c r="H459" s="6"/>
      <c r="I459" s="59"/>
      <c r="J459" s="83"/>
      <c r="K459" s="59"/>
      <c r="L459" s="59"/>
      <c r="M459" s="59"/>
      <c r="N459" s="59"/>
      <c r="O459" s="59"/>
      <c r="P459" s="59"/>
      <c r="Q459" s="59"/>
    </row>
    <row r="460">
      <c r="A460" s="19"/>
      <c r="B460" s="84"/>
      <c r="C460" s="82"/>
      <c r="D460" s="23"/>
      <c r="E460" s="23"/>
      <c r="F460" s="59"/>
      <c r="G460" s="6"/>
      <c r="H460" s="6"/>
      <c r="I460" s="59"/>
      <c r="J460" s="83"/>
      <c r="K460" s="59"/>
      <c r="L460" s="59"/>
      <c r="M460" s="59"/>
      <c r="N460" s="59"/>
      <c r="O460" s="59"/>
      <c r="P460" s="59"/>
      <c r="Q460" s="59"/>
    </row>
    <row r="461">
      <c r="A461" s="19"/>
      <c r="B461" s="84"/>
      <c r="C461" s="82"/>
      <c r="D461" s="23"/>
      <c r="E461" s="23"/>
      <c r="F461" s="59"/>
      <c r="G461" s="6"/>
      <c r="H461" s="6"/>
      <c r="I461" s="59"/>
      <c r="J461" s="83"/>
      <c r="K461" s="59"/>
      <c r="L461" s="59"/>
      <c r="M461" s="59"/>
      <c r="N461" s="59"/>
      <c r="O461" s="59"/>
      <c r="P461" s="59"/>
      <c r="Q461" s="59"/>
    </row>
    <row r="462">
      <c r="A462" s="19"/>
      <c r="B462" s="84"/>
      <c r="C462" s="82"/>
      <c r="D462" s="23"/>
      <c r="E462" s="23"/>
      <c r="F462" s="59"/>
      <c r="G462" s="6"/>
      <c r="H462" s="6"/>
      <c r="I462" s="59"/>
      <c r="J462" s="83"/>
      <c r="K462" s="59"/>
      <c r="L462" s="59"/>
      <c r="M462" s="59"/>
      <c r="N462" s="59"/>
      <c r="O462" s="59"/>
      <c r="P462" s="59"/>
      <c r="Q462" s="59"/>
    </row>
    <row r="463">
      <c r="A463" s="19"/>
      <c r="B463" s="84"/>
      <c r="C463" s="82"/>
      <c r="D463" s="23"/>
      <c r="E463" s="23"/>
      <c r="F463" s="59"/>
      <c r="G463" s="6"/>
      <c r="H463" s="6"/>
      <c r="I463" s="59"/>
      <c r="J463" s="83"/>
      <c r="K463" s="59"/>
      <c r="L463" s="59"/>
      <c r="M463" s="59"/>
      <c r="N463" s="59"/>
      <c r="O463" s="59"/>
      <c r="P463" s="59"/>
      <c r="Q463" s="59"/>
    </row>
    <row r="464">
      <c r="A464" s="19"/>
      <c r="B464" s="84"/>
      <c r="C464" s="82"/>
      <c r="D464" s="23"/>
      <c r="E464" s="23"/>
      <c r="F464" s="59"/>
      <c r="G464" s="6"/>
      <c r="H464" s="6"/>
      <c r="I464" s="59"/>
      <c r="J464" s="83"/>
      <c r="K464" s="59"/>
      <c r="L464" s="59"/>
      <c r="M464" s="59"/>
      <c r="N464" s="59"/>
      <c r="O464" s="59"/>
      <c r="P464" s="59"/>
      <c r="Q464" s="59"/>
    </row>
    <row r="465">
      <c r="A465" s="19"/>
      <c r="B465" s="84"/>
      <c r="C465" s="82"/>
      <c r="D465" s="23"/>
      <c r="E465" s="23"/>
      <c r="F465" s="59"/>
      <c r="G465" s="6"/>
      <c r="H465" s="6"/>
      <c r="I465" s="59"/>
      <c r="J465" s="83"/>
      <c r="K465" s="59"/>
      <c r="L465" s="59"/>
      <c r="M465" s="59"/>
      <c r="N465" s="59"/>
      <c r="O465" s="59"/>
      <c r="P465" s="59"/>
      <c r="Q465" s="59"/>
    </row>
    <row r="466">
      <c r="A466" s="19"/>
      <c r="B466" s="84"/>
      <c r="C466" s="82"/>
      <c r="D466" s="23"/>
      <c r="E466" s="23"/>
      <c r="F466" s="59"/>
      <c r="G466" s="6"/>
      <c r="H466" s="6"/>
      <c r="I466" s="59"/>
      <c r="J466" s="83"/>
      <c r="K466" s="59"/>
      <c r="L466" s="59"/>
      <c r="M466" s="59"/>
      <c r="N466" s="59"/>
      <c r="O466" s="59"/>
      <c r="P466" s="59"/>
      <c r="Q466" s="59"/>
    </row>
    <row r="467">
      <c r="A467" s="19"/>
      <c r="B467" s="84"/>
      <c r="C467" s="82"/>
      <c r="D467" s="23"/>
      <c r="E467" s="23"/>
      <c r="F467" s="59"/>
      <c r="G467" s="6"/>
      <c r="H467" s="6"/>
      <c r="I467" s="59"/>
      <c r="J467" s="83"/>
      <c r="K467" s="59"/>
      <c r="L467" s="59"/>
      <c r="M467" s="59"/>
      <c r="N467" s="59"/>
      <c r="O467" s="59"/>
      <c r="P467" s="59"/>
      <c r="Q467" s="59"/>
    </row>
    <row r="468">
      <c r="A468" s="19"/>
      <c r="B468" s="84"/>
      <c r="C468" s="82"/>
      <c r="D468" s="23"/>
      <c r="E468" s="23"/>
      <c r="F468" s="59"/>
      <c r="G468" s="6"/>
      <c r="H468" s="6"/>
      <c r="I468" s="59"/>
      <c r="J468" s="83"/>
      <c r="K468" s="59"/>
      <c r="L468" s="59"/>
      <c r="M468" s="59"/>
      <c r="N468" s="59"/>
      <c r="O468" s="59"/>
      <c r="P468" s="59"/>
      <c r="Q468" s="59"/>
    </row>
    <row r="469">
      <c r="A469" s="19"/>
      <c r="B469" s="84"/>
      <c r="C469" s="82"/>
      <c r="D469" s="23"/>
      <c r="E469" s="23"/>
      <c r="F469" s="59"/>
      <c r="G469" s="6"/>
      <c r="H469" s="6"/>
      <c r="I469" s="59"/>
      <c r="J469" s="83"/>
      <c r="K469" s="59"/>
      <c r="L469" s="59"/>
      <c r="M469" s="59"/>
      <c r="N469" s="59"/>
      <c r="O469" s="59"/>
      <c r="P469" s="59"/>
      <c r="Q469" s="59"/>
    </row>
    <row r="470">
      <c r="A470" s="19"/>
      <c r="B470" s="84"/>
      <c r="C470" s="82"/>
      <c r="D470" s="23"/>
      <c r="E470" s="23"/>
      <c r="F470" s="59"/>
      <c r="G470" s="6"/>
      <c r="H470" s="6"/>
      <c r="I470" s="59"/>
      <c r="J470" s="83"/>
      <c r="K470" s="59"/>
      <c r="L470" s="59"/>
      <c r="M470" s="59"/>
      <c r="N470" s="59"/>
      <c r="O470" s="59"/>
      <c r="P470" s="59"/>
      <c r="Q470" s="59"/>
    </row>
    <row r="471">
      <c r="A471" s="19"/>
      <c r="B471" s="84"/>
      <c r="C471" s="82"/>
      <c r="D471" s="23"/>
      <c r="E471" s="23"/>
      <c r="F471" s="59"/>
      <c r="G471" s="6"/>
      <c r="H471" s="6"/>
      <c r="I471" s="59"/>
      <c r="J471" s="83"/>
      <c r="K471" s="59"/>
      <c r="L471" s="59"/>
      <c r="M471" s="59"/>
      <c r="N471" s="59"/>
      <c r="O471" s="59"/>
      <c r="P471" s="59"/>
      <c r="Q471" s="59"/>
    </row>
    <row r="472">
      <c r="A472" s="19"/>
      <c r="B472" s="84"/>
      <c r="C472" s="82"/>
      <c r="D472" s="23"/>
      <c r="E472" s="23"/>
      <c r="F472" s="59"/>
      <c r="G472" s="6"/>
      <c r="H472" s="6"/>
      <c r="I472" s="59"/>
      <c r="J472" s="83"/>
      <c r="K472" s="59"/>
      <c r="L472" s="59"/>
      <c r="M472" s="59"/>
      <c r="N472" s="59"/>
      <c r="O472" s="59"/>
      <c r="P472" s="59"/>
      <c r="Q472" s="59"/>
    </row>
    <row r="473">
      <c r="A473" s="19"/>
      <c r="B473" s="84"/>
      <c r="C473" s="82"/>
      <c r="D473" s="23"/>
      <c r="E473" s="23"/>
      <c r="F473" s="59"/>
      <c r="G473" s="6"/>
      <c r="H473" s="6"/>
      <c r="I473" s="59"/>
      <c r="J473" s="83"/>
      <c r="K473" s="59"/>
      <c r="L473" s="59"/>
      <c r="M473" s="59"/>
      <c r="N473" s="59"/>
      <c r="O473" s="59"/>
      <c r="P473" s="59"/>
      <c r="Q473" s="59"/>
    </row>
    <row r="474">
      <c r="A474" s="19"/>
      <c r="B474" s="84"/>
      <c r="C474" s="82"/>
      <c r="D474" s="23"/>
      <c r="E474" s="23"/>
      <c r="F474" s="59"/>
      <c r="G474" s="6"/>
      <c r="H474" s="6"/>
      <c r="I474" s="59"/>
      <c r="J474" s="83"/>
      <c r="K474" s="59"/>
      <c r="L474" s="59"/>
      <c r="M474" s="59"/>
      <c r="N474" s="59"/>
      <c r="O474" s="59"/>
      <c r="P474" s="59"/>
      <c r="Q474" s="59"/>
    </row>
    <row r="475">
      <c r="A475" s="19"/>
      <c r="B475" s="84"/>
      <c r="C475" s="82"/>
      <c r="D475" s="23"/>
      <c r="E475" s="23"/>
      <c r="F475" s="59"/>
      <c r="G475" s="6"/>
      <c r="H475" s="6"/>
      <c r="I475" s="59"/>
      <c r="J475" s="83"/>
      <c r="K475" s="59"/>
      <c r="L475" s="59"/>
      <c r="M475" s="59"/>
      <c r="N475" s="59"/>
      <c r="O475" s="59"/>
      <c r="P475" s="59"/>
      <c r="Q475" s="59"/>
    </row>
    <row r="476">
      <c r="A476" s="19"/>
      <c r="B476" s="84"/>
      <c r="C476" s="82"/>
      <c r="D476" s="23"/>
      <c r="E476" s="23"/>
      <c r="F476" s="59"/>
      <c r="G476" s="6"/>
      <c r="H476" s="6"/>
      <c r="I476" s="59"/>
      <c r="J476" s="83"/>
      <c r="K476" s="59"/>
      <c r="L476" s="59"/>
      <c r="M476" s="59"/>
      <c r="N476" s="59"/>
      <c r="O476" s="59"/>
      <c r="P476" s="59"/>
      <c r="Q476" s="59"/>
    </row>
    <row r="477">
      <c r="A477" s="19"/>
      <c r="B477" s="84"/>
      <c r="C477" s="82"/>
      <c r="D477" s="23"/>
      <c r="E477" s="23"/>
      <c r="F477" s="59"/>
      <c r="G477" s="6"/>
      <c r="H477" s="6"/>
      <c r="I477" s="59"/>
      <c r="J477" s="83"/>
      <c r="K477" s="59"/>
      <c r="L477" s="59"/>
      <c r="M477" s="59"/>
      <c r="N477" s="59"/>
      <c r="O477" s="59"/>
      <c r="P477" s="59"/>
      <c r="Q477" s="59"/>
    </row>
    <row r="478">
      <c r="A478" s="19"/>
      <c r="B478" s="84"/>
      <c r="C478" s="82"/>
      <c r="D478" s="23"/>
      <c r="E478" s="23"/>
      <c r="F478" s="59"/>
      <c r="G478" s="6"/>
      <c r="H478" s="6"/>
      <c r="I478" s="59"/>
      <c r="J478" s="83"/>
      <c r="K478" s="59"/>
      <c r="L478" s="59"/>
      <c r="M478" s="59"/>
      <c r="N478" s="59"/>
      <c r="O478" s="59"/>
      <c r="P478" s="59"/>
      <c r="Q478" s="59"/>
    </row>
    <row r="479">
      <c r="A479" s="19"/>
      <c r="B479" s="84"/>
      <c r="C479" s="82"/>
      <c r="D479" s="23"/>
      <c r="E479" s="23"/>
      <c r="F479" s="59"/>
      <c r="G479" s="6"/>
      <c r="H479" s="6"/>
      <c r="I479" s="59"/>
      <c r="J479" s="83"/>
      <c r="K479" s="59"/>
      <c r="L479" s="59"/>
      <c r="M479" s="59"/>
      <c r="N479" s="59"/>
      <c r="O479" s="59"/>
      <c r="P479" s="59"/>
      <c r="Q479" s="59"/>
    </row>
    <row r="480">
      <c r="A480" s="19"/>
      <c r="B480" s="84"/>
      <c r="C480" s="82"/>
      <c r="D480" s="23"/>
      <c r="E480" s="23"/>
      <c r="F480" s="59"/>
      <c r="G480" s="6"/>
      <c r="H480" s="6"/>
      <c r="I480" s="59"/>
      <c r="J480" s="83"/>
      <c r="K480" s="59"/>
      <c r="L480" s="59"/>
      <c r="M480" s="59"/>
      <c r="N480" s="59"/>
      <c r="O480" s="59"/>
      <c r="P480" s="59"/>
      <c r="Q480" s="59"/>
    </row>
    <row r="481">
      <c r="A481" s="19"/>
      <c r="B481" s="84"/>
      <c r="C481" s="82"/>
      <c r="D481" s="23"/>
      <c r="E481" s="23"/>
      <c r="F481" s="59"/>
      <c r="G481" s="6"/>
      <c r="H481" s="6"/>
      <c r="I481" s="59"/>
      <c r="J481" s="83"/>
      <c r="K481" s="59"/>
      <c r="L481" s="59"/>
      <c r="M481" s="59"/>
      <c r="N481" s="59"/>
      <c r="O481" s="59"/>
      <c r="P481" s="59"/>
      <c r="Q481" s="59"/>
    </row>
    <row r="482">
      <c r="A482" s="19"/>
      <c r="B482" s="84"/>
      <c r="C482" s="82"/>
      <c r="D482" s="23"/>
      <c r="E482" s="23"/>
      <c r="F482" s="59"/>
      <c r="G482" s="6"/>
      <c r="H482" s="6"/>
      <c r="I482" s="59"/>
      <c r="J482" s="83"/>
      <c r="K482" s="59"/>
      <c r="L482" s="59"/>
      <c r="M482" s="59"/>
      <c r="N482" s="59"/>
      <c r="O482" s="59"/>
      <c r="P482" s="59"/>
      <c r="Q482" s="59"/>
    </row>
    <row r="483">
      <c r="A483" s="19"/>
      <c r="B483" s="84"/>
      <c r="C483" s="82"/>
      <c r="D483" s="23"/>
      <c r="E483" s="23"/>
      <c r="F483" s="59"/>
      <c r="G483" s="6"/>
      <c r="H483" s="6"/>
      <c r="I483" s="59"/>
      <c r="J483" s="83"/>
      <c r="K483" s="59"/>
      <c r="L483" s="59"/>
      <c r="M483" s="59"/>
      <c r="N483" s="59"/>
      <c r="O483" s="59"/>
      <c r="P483" s="59"/>
      <c r="Q483" s="59"/>
    </row>
    <row r="484">
      <c r="A484" s="19"/>
      <c r="B484" s="84"/>
      <c r="C484" s="82"/>
      <c r="D484" s="23"/>
      <c r="E484" s="23"/>
      <c r="F484" s="59"/>
      <c r="G484" s="6"/>
      <c r="H484" s="6"/>
      <c r="I484" s="59"/>
      <c r="J484" s="83"/>
      <c r="K484" s="59"/>
      <c r="L484" s="59"/>
      <c r="M484" s="59"/>
      <c r="N484" s="59"/>
      <c r="O484" s="59"/>
      <c r="P484" s="59"/>
      <c r="Q484" s="59"/>
    </row>
    <row r="485">
      <c r="A485" s="19"/>
      <c r="B485" s="84"/>
      <c r="C485" s="82"/>
      <c r="D485" s="23"/>
      <c r="E485" s="23"/>
      <c r="F485" s="59"/>
      <c r="G485" s="6"/>
      <c r="H485" s="6"/>
      <c r="I485" s="59"/>
      <c r="J485" s="83"/>
      <c r="K485" s="59"/>
      <c r="L485" s="59"/>
      <c r="M485" s="59"/>
      <c r="N485" s="59"/>
      <c r="O485" s="59"/>
      <c r="P485" s="59"/>
      <c r="Q485" s="59"/>
    </row>
    <row r="486">
      <c r="A486" s="19"/>
      <c r="B486" s="84"/>
      <c r="C486" s="82"/>
      <c r="D486" s="23"/>
      <c r="E486" s="23"/>
      <c r="F486" s="59"/>
      <c r="G486" s="6"/>
      <c r="H486" s="6"/>
      <c r="I486" s="59"/>
      <c r="J486" s="83"/>
      <c r="K486" s="59"/>
      <c r="L486" s="59"/>
      <c r="M486" s="59"/>
      <c r="N486" s="59"/>
      <c r="O486" s="59"/>
      <c r="P486" s="59"/>
      <c r="Q486" s="59"/>
    </row>
    <row r="487">
      <c r="A487" s="19"/>
      <c r="B487" s="84"/>
      <c r="C487" s="82"/>
      <c r="D487" s="23"/>
      <c r="E487" s="23"/>
      <c r="F487" s="59"/>
      <c r="G487" s="6"/>
      <c r="H487" s="6"/>
      <c r="I487" s="59"/>
      <c r="J487" s="83"/>
      <c r="K487" s="59"/>
      <c r="L487" s="59"/>
      <c r="M487" s="59"/>
      <c r="N487" s="59"/>
      <c r="O487" s="59"/>
      <c r="P487" s="59"/>
      <c r="Q487" s="59"/>
    </row>
    <row r="488">
      <c r="A488" s="19"/>
      <c r="B488" s="84"/>
      <c r="C488" s="82"/>
      <c r="D488" s="23"/>
      <c r="E488" s="23"/>
      <c r="F488" s="59"/>
      <c r="G488" s="6"/>
      <c r="H488" s="6"/>
      <c r="I488" s="59"/>
      <c r="J488" s="83"/>
      <c r="K488" s="59"/>
      <c r="L488" s="59"/>
      <c r="M488" s="59"/>
      <c r="N488" s="59"/>
      <c r="O488" s="59"/>
      <c r="P488" s="59"/>
      <c r="Q488" s="59"/>
    </row>
    <row r="489">
      <c r="A489" s="19"/>
      <c r="B489" s="84"/>
      <c r="C489" s="82"/>
      <c r="D489" s="23"/>
      <c r="E489" s="23"/>
      <c r="F489" s="59"/>
      <c r="G489" s="6"/>
      <c r="H489" s="6"/>
      <c r="I489" s="59"/>
      <c r="J489" s="83"/>
      <c r="K489" s="59"/>
      <c r="L489" s="59"/>
      <c r="M489" s="59"/>
      <c r="N489" s="59"/>
      <c r="O489" s="59"/>
      <c r="P489" s="59"/>
      <c r="Q489" s="59"/>
    </row>
    <row r="490">
      <c r="A490" s="19"/>
      <c r="B490" s="84"/>
      <c r="C490" s="82"/>
      <c r="D490" s="23"/>
      <c r="E490" s="23"/>
      <c r="F490" s="59"/>
      <c r="G490" s="6"/>
      <c r="H490" s="6"/>
      <c r="I490" s="59"/>
      <c r="J490" s="83"/>
      <c r="K490" s="59"/>
      <c r="L490" s="59"/>
      <c r="M490" s="59"/>
      <c r="N490" s="59"/>
      <c r="O490" s="59"/>
      <c r="P490" s="59"/>
      <c r="Q490" s="59"/>
    </row>
    <row r="491">
      <c r="A491" s="19"/>
      <c r="B491" s="84"/>
      <c r="C491" s="82"/>
      <c r="D491" s="23"/>
      <c r="E491" s="23"/>
      <c r="F491" s="59"/>
      <c r="G491" s="6"/>
      <c r="H491" s="6"/>
      <c r="I491" s="59"/>
      <c r="J491" s="83"/>
      <c r="K491" s="59"/>
      <c r="L491" s="59"/>
      <c r="M491" s="59"/>
      <c r="N491" s="59"/>
      <c r="O491" s="59"/>
      <c r="P491" s="59"/>
      <c r="Q491" s="59"/>
    </row>
    <row r="492">
      <c r="A492" s="19"/>
      <c r="B492" s="84"/>
      <c r="C492" s="82"/>
      <c r="D492" s="23"/>
      <c r="E492" s="23"/>
      <c r="F492" s="59"/>
      <c r="G492" s="6"/>
      <c r="H492" s="6"/>
      <c r="I492" s="59"/>
      <c r="J492" s="83"/>
      <c r="K492" s="59"/>
      <c r="L492" s="59"/>
      <c r="M492" s="59"/>
      <c r="N492" s="59"/>
      <c r="O492" s="59"/>
      <c r="P492" s="59"/>
      <c r="Q492" s="59"/>
    </row>
    <row r="493">
      <c r="A493" s="19"/>
      <c r="B493" s="84"/>
      <c r="C493" s="82"/>
      <c r="D493" s="23"/>
      <c r="E493" s="23"/>
      <c r="F493" s="59"/>
      <c r="G493" s="6"/>
      <c r="H493" s="6"/>
      <c r="I493" s="59"/>
      <c r="J493" s="83"/>
      <c r="K493" s="59"/>
      <c r="L493" s="59"/>
      <c r="M493" s="59"/>
      <c r="N493" s="59"/>
      <c r="O493" s="59"/>
      <c r="P493" s="59"/>
      <c r="Q493" s="59"/>
    </row>
    <row r="494">
      <c r="A494" s="19"/>
      <c r="B494" s="84"/>
      <c r="C494" s="82"/>
      <c r="D494" s="23"/>
      <c r="E494" s="23"/>
      <c r="F494" s="59"/>
      <c r="G494" s="6"/>
      <c r="H494" s="6"/>
      <c r="I494" s="59"/>
      <c r="J494" s="83"/>
      <c r="K494" s="59"/>
      <c r="L494" s="59"/>
      <c r="M494" s="59"/>
      <c r="N494" s="59"/>
      <c r="O494" s="59"/>
      <c r="P494" s="59"/>
      <c r="Q494" s="59"/>
    </row>
    <row r="495">
      <c r="A495" s="19"/>
      <c r="B495" s="84"/>
      <c r="C495" s="82"/>
      <c r="D495" s="23"/>
      <c r="E495" s="23"/>
      <c r="F495" s="59"/>
      <c r="G495" s="6"/>
      <c r="H495" s="6"/>
      <c r="I495" s="59"/>
      <c r="J495" s="83"/>
      <c r="K495" s="59"/>
      <c r="L495" s="59"/>
      <c r="M495" s="59"/>
      <c r="N495" s="59"/>
      <c r="O495" s="59"/>
      <c r="P495" s="59"/>
      <c r="Q495" s="59"/>
    </row>
    <row r="496">
      <c r="A496" s="19"/>
      <c r="B496" s="84"/>
      <c r="C496" s="82"/>
      <c r="D496" s="23"/>
      <c r="E496" s="23"/>
      <c r="F496" s="59"/>
      <c r="G496" s="6"/>
      <c r="H496" s="6"/>
      <c r="I496" s="59"/>
      <c r="J496" s="83"/>
      <c r="K496" s="59"/>
      <c r="L496" s="59"/>
      <c r="M496" s="59"/>
      <c r="N496" s="59"/>
      <c r="O496" s="59"/>
      <c r="P496" s="59"/>
      <c r="Q496" s="59"/>
    </row>
    <row r="497">
      <c r="A497" s="19"/>
      <c r="B497" s="84"/>
      <c r="C497" s="82"/>
      <c r="D497" s="23"/>
      <c r="E497" s="23"/>
      <c r="F497" s="59"/>
      <c r="G497" s="6"/>
      <c r="H497" s="6"/>
      <c r="I497" s="59"/>
      <c r="J497" s="83"/>
      <c r="K497" s="59"/>
      <c r="L497" s="59"/>
      <c r="M497" s="59"/>
      <c r="N497" s="59"/>
      <c r="O497" s="59"/>
      <c r="P497" s="59"/>
      <c r="Q497" s="59"/>
    </row>
    <row r="498">
      <c r="A498" s="19"/>
      <c r="B498" s="84"/>
      <c r="C498" s="82"/>
      <c r="D498" s="23"/>
      <c r="E498" s="23"/>
      <c r="F498" s="59"/>
      <c r="G498" s="6"/>
      <c r="H498" s="6"/>
      <c r="I498" s="59"/>
      <c r="J498" s="83"/>
      <c r="K498" s="59"/>
      <c r="L498" s="59"/>
      <c r="M498" s="59"/>
      <c r="N498" s="59"/>
      <c r="O498" s="59"/>
      <c r="P498" s="59"/>
      <c r="Q498" s="59"/>
    </row>
    <row r="499">
      <c r="A499" s="19"/>
      <c r="B499" s="84"/>
      <c r="C499" s="82"/>
      <c r="D499" s="23"/>
      <c r="E499" s="23"/>
      <c r="F499" s="59"/>
      <c r="G499" s="6"/>
      <c r="H499" s="6"/>
      <c r="I499" s="59"/>
      <c r="J499" s="83"/>
      <c r="K499" s="59"/>
      <c r="L499" s="59"/>
      <c r="M499" s="59"/>
      <c r="N499" s="59"/>
      <c r="O499" s="59"/>
      <c r="P499" s="59"/>
      <c r="Q499" s="59"/>
    </row>
    <row r="500">
      <c r="A500" s="19"/>
      <c r="B500" s="84"/>
      <c r="C500" s="82"/>
      <c r="D500" s="23"/>
      <c r="E500" s="23"/>
      <c r="F500" s="59"/>
      <c r="G500" s="6"/>
      <c r="H500" s="6"/>
      <c r="I500" s="59"/>
      <c r="J500" s="83"/>
      <c r="K500" s="59"/>
      <c r="L500" s="59"/>
      <c r="M500" s="59"/>
      <c r="N500" s="59"/>
      <c r="O500" s="59"/>
      <c r="P500" s="59"/>
      <c r="Q500" s="59"/>
    </row>
    <row r="501">
      <c r="A501" s="19"/>
      <c r="B501" s="84"/>
      <c r="C501" s="82"/>
      <c r="D501" s="23"/>
      <c r="E501" s="23"/>
      <c r="F501" s="59"/>
      <c r="G501" s="6"/>
      <c r="H501" s="6"/>
      <c r="I501" s="59"/>
      <c r="J501" s="83"/>
      <c r="K501" s="59"/>
      <c r="L501" s="59"/>
      <c r="M501" s="59"/>
      <c r="N501" s="59"/>
      <c r="O501" s="59"/>
      <c r="P501" s="59"/>
      <c r="Q501" s="59"/>
    </row>
    <row r="502">
      <c r="A502" s="19"/>
      <c r="B502" s="84"/>
      <c r="C502" s="82"/>
      <c r="D502" s="23"/>
      <c r="E502" s="23"/>
      <c r="F502" s="59"/>
      <c r="G502" s="6"/>
      <c r="H502" s="6"/>
      <c r="I502" s="59"/>
      <c r="J502" s="83"/>
      <c r="K502" s="59"/>
      <c r="L502" s="59"/>
      <c r="M502" s="59"/>
      <c r="N502" s="59"/>
      <c r="O502" s="59"/>
      <c r="P502" s="59"/>
      <c r="Q502" s="59"/>
    </row>
    <row r="503">
      <c r="A503" s="19"/>
      <c r="B503" s="84"/>
      <c r="C503" s="82"/>
      <c r="D503" s="23"/>
      <c r="E503" s="23"/>
      <c r="F503" s="59"/>
      <c r="G503" s="6"/>
      <c r="H503" s="6"/>
      <c r="I503" s="59"/>
      <c r="J503" s="83"/>
      <c r="K503" s="59"/>
      <c r="L503" s="59"/>
      <c r="M503" s="59"/>
      <c r="N503" s="59"/>
      <c r="O503" s="59"/>
      <c r="P503" s="59"/>
      <c r="Q503" s="59"/>
    </row>
    <row r="504">
      <c r="A504" s="19"/>
      <c r="B504" s="84"/>
      <c r="C504" s="82"/>
      <c r="D504" s="23"/>
      <c r="E504" s="23"/>
      <c r="F504" s="59"/>
      <c r="G504" s="6"/>
      <c r="H504" s="6"/>
      <c r="I504" s="59"/>
      <c r="J504" s="83"/>
      <c r="K504" s="59"/>
      <c r="L504" s="59"/>
      <c r="M504" s="59"/>
      <c r="N504" s="59"/>
      <c r="O504" s="59"/>
      <c r="P504" s="59"/>
      <c r="Q504" s="59"/>
    </row>
    <row r="505">
      <c r="A505" s="19"/>
      <c r="B505" s="84"/>
      <c r="C505" s="82"/>
      <c r="D505" s="23"/>
      <c r="E505" s="23"/>
      <c r="F505" s="59"/>
      <c r="G505" s="6"/>
      <c r="H505" s="6"/>
      <c r="I505" s="59"/>
      <c r="J505" s="83"/>
      <c r="K505" s="59"/>
      <c r="L505" s="59"/>
      <c r="M505" s="59"/>
      <c r="N505" s="59"/>
      <c r="O505" s="59"/>
      <c r="P505" s="59"/>
      <c r="Q505" s="59"/>
    </row>
    <row r="506">
      <c r="A506" s="19"/>
      <c r="B506" s="84"/>
      <c r="C506" s="82"/>
      <c r="D506" s="23"/>
      <c r="E506" s="23"/>
      <c r="F506" s="59"/>
      <c r="G506" s="6"/>
      <c r="H506" s="6"/>
      <c r="I506" s="59"/>
      <c r="J506" s="83"/>
      <c r="K506" s="59"/>
      <c r="L506" s="59"/>
      <c r="M506" s="59"/>
      <c r="N506" s="59"/>
      <c r="O506" s="59"/>
      <c r="P506" s="59"/>
      <c r="Q506" s="59"/>
    </row>
    <row r="507">
      <c r="A507" s="19"/>
      <c r="B507" s="84"/>
      <c r="C507" s="82"/>
      <c r="D507" s="23"/>
      <c r="E507" s="23"/>
      <c r="F507" s="59"/>
      <c r="G507" s="6"/>
      <c r="H507" s="6"/>
      <c r="I507" s="59"/>
      <c r="J507" s="83"/>
      <c r="K507" s="59"/>
      <c r="L507" s="59"/>
      <c r="M507" s="59"/>
      <c r="N507" s="59"/>
      <c r="O507" s="59"/>
      <c r="P507" s="59"/>
      <c r="Q507" s="59"/>
    </row>
    <row r="508">
      <c r="A508" s="19"/>
      <c r="B508" s="84"/>
      <c r="C508" s="82"/>
      <c r="D508" s="23"/>
      <c r="E508" s="23"/>
      <c r="F508" s="59"/>
      <c r="G508" s="6"/>
      <c r="H508" s="6"/>
      <c r="I508" s="59"/>
      <c r="J508" s="83"/>
      <c r="K508" s="59"/>
      <c r="L508" s="59"/>
      <c r="M508" s="59"/>
      <c r="N508" s="59"/>
      <c r="O508" s="59"/>
      <c r="P508" s="59"/>
      <c r="Q508" s="59"/>
    </row>
    <row r="509">
      <c r="A509" s="19"/>
      <c r="B509" s="84"/>
      <c r="C509" s="82"/>
      <c r="D509" s="23"/>
      <c r="E509" s="23"/>
      <c r="F509" s="59"/>
      <c r="G509" s="6"/>
      <c r="H509" s="6"/>
      <c r="I509" s="59"/>
      <c r="J509" s="83"/>
      <c r="K509" s="59"/>
      <c r="L509" s="59"/>
      <c r="M509" s="59"/>
      <c r="N509" s="59"/>
      <c r="O509" s="59"/>
      <c r="P509" s="59"/>
      <c r="Q509" s="59"/>
    </row>
    <row r="510">
      <c r="A510" s="19"/>
      <c r="B510" s="84"/>
      <c r="C510" s="82"/>
      <c r="D510" s="23"/>
      <c r="E510" s="23"/>
      <c r="F510" s="59"/>
      <c r="G510" s="6"/>
      <c r="H510" s="6"/>
      <c r="I510" s="59"/>
      <c r="J510" s="83"/>
      <c r="K510" s="59"/>
      <c r="L510" s="59"/>
      <c r="M510" s="59"/>
      <c r="N510" s="59"/>
      <c r="O510" s="59"/>
      <c r="P510" s="59"/>
      <c r="Q510" s="59"/>
    </row>
    <row r="511">
      <c r="A511" s="19"/>
      <c r="B511" s="84"/>
      <c r="C511" s="82"/>
      <c r="D511" s="23"/>
      <c r="E511" s="23"/>
      <c r="F511" s="59"/>
      <c r="G511" s="6"/>
      <c r="H511" s="6"/>
      <c r="I511" s="59"/>
      <c r="J511" s="83"/>
      <c r="K511" s="59"/>
      <c r="L511" s="59"/>
      <c r="M511" s="59"/>
      <c r="N511" s="59"/>
      <c r="O511" s="59"/>
      <c r="P511" s="59"/>
      <c r="Q511" s="59"/>
    </row>
    <row r="512">
      <c r="A512" s="19"/>
      <c r="B512" s="84"/>
      <c r="C512" s="82"/>
      <c r="D512" s="23"/>
      <c r="E512" s="23"/>
      <c r="F512" s="59"/>
      <c r="G512" s="6"/>
      <c r="H512" s="6"/>
      <c r="I512" s="59"/>
      <c r="J512" s="83"/>
      <c r="K512" s="59"/>
      <c r="L512" s="59"/>
      <c r="M512" s="59"/>
      <c r="N512" s="59"/>
      <c r="O512" s="59"/>
      <c r="P512" s="59"/>
      <c r="Q512" s="59"/>
    </row>
    <row r="513">
      <c r="A513" s="19"/>
      <c r="B513" s="84"/>
      <c r="C513" s="82"/>
      <c r="D513" s="23"/>
      <c r="E513" s="23"/>
      <c r="F513" s="59"/>
      <c r="G513" s="6"/>
      <c r="H513" s="6"/>
      <c r="I513" s="59"/>
      <c r="J513" s="83"/>
      <c r="K513" s="59"/>
      <c r="L513" s="59"/>
      <c r="M513" s="59"/>
      <c r="N513" s="59"/>
      <c r="O513" s="59"/>
      <c r="P513" s="59"/>
      <c r="Q513" s="59"/>
    </row>
    <row r="514">
      <c r="A514" s="19"/>
      <c r="B514" s="84"/>
      <c r="C514" s="82"/>
      <c r="D514" s="23"/>
      <c r="E514" s="23"/>
      <c r="F514" s="59"/>
      <c r="G514" s="6"/>
      <c r="H514" s="6"/>
      <c r="I514" s="59"/>
      <c r="J514" s="83"/>
      <c r="K514" s="59"/>
      <c r="L514" s="59"/>
      <c r="M514" s="59"/>
      <c r="N514" s="59"/>
      <c r="O514" s="59"/>
      <c r="P514" s="59"/>
      <c r="Q514" s="59"/>
    </row>
    <row r="515">
      <c r="A515" s="19"/>
      <c r="B515" s="84"/>
      <c r="C515" s="82"/>
      <c r="D515" s="23"/>
      <c r="E515" s="23"/>
      <c r="F515" s="59"/>
      <c r="G515" s="6"/>
      <c r="H515" s="6"/>
      <c r="I515" s="59"/>
      <c r="J515" s="83"/>
      <c r="K515" s="59"/>
      <c r="L515" s="59"/>
      <c r="M515" s="59"/>
      <c r="N515" s="59"/>
      <c r="O515" s="59"/>
      <c r="P515" s="59"/>
      <c r="Q515" s="59"/>
    </row>
    <row r="516">
      <c r="A516" s="19"/>
      <c r="B516" s="84"/>
      <c r="C516" s="82"/>
      <c r="D516" s="23"/>
      <c r="E516" s="23"/>
      <c r="F516" s="59"/>
      <c r="G516" s="6"/>
      <c r="H516" s="6"/>
      <c r="I516" s="59"/>
      <c r="J516" s="83"/>
      <c r="K516" s="59"/>
      <c r="L516" s="59"/>
      <c r="M516" s="59"/>
      <c r="N516" s="59"/>
      <c r="O516" s="59"/>
      <c r="P516" s="59"/>
      <c r="Q516" s="59"/>
    </row>
    <row r="517">
      <c r="A517" s="19"/>
      <c r="B517" s="84"/>
      <c r="C517" s="82"/>
      <c r="D517" s="23"/>
      <c r="E517" s="23"/>
      <c r="F517" s="59"/>
      <c r="G517" s="6"/>
      <c r="H517" s="6"/>
      <c r="I517" s="59"/>
      <c r="J517" s="83"/>
      <c r="K517" s="59"/>
      <c r="L517" s="59"/>
      <c r="M517" s="59"/>
      <c r="N517" s="59"/>
      <c r="O517" s="59"/>
      <c r="P517" s="59"/>
      <c r="Q517" s="59"/>
    </row>
    <row r="518">
      <c r="A518" s="19"/>
      <c r="B518" s="84"/>
      <c r="C518" s="82"/>
      <c r="D518" s="23"/>
      <c r="E518" s="23"/>
      <c r="F518" s="59"/>
      <c r="G518" s="6"/>
      <c r="H518" s="6"/>
      <c r="I518" s="59"/>
      <c r="J518" s="83"/>
      <c r="K518" s="59"/>
      <c r="L518" s="59"/>
      <c r="M518" s="59"/>
      <c r="N518" s="59"/>
      <c r="O518" s="59"/>
      <c r="P518" s="59"/>
      <c r="Q518" s="59"/>
    </row>
    <row r="519">
      <c r="A519" s="19"/>
      <c r="B519" s="84"/>
      <c r="C519" s="82"/>
      <c r="D519" s="23"/>
      <c r="E519" s="23"/>
      <c r="F519" s="59"/>
      <c r="G519" s="6"/>
      <c r="H519" s="6"/>
      <c r="I519" s="59"/>
      <c r="J519" s="83"/>
      <c r="K519" s="59"/>
      <c r="L519" s="59"/>
      <c r="M519" s="59"/>
      <c r="N519" s="59"/>
      <c r="O519" s="59"/>
      <c r="P519" s="59"/>
      <c r="Q519" s="59"/>
    </row>
    <row r="520">
      <c r="A520" s="19"/>
      <c r="B520" s="84"/>
      <c r="C520" s="82"/>
      <c r="D520" s="23"/>
      <c r="E520" s="23"/>
      <c r="F520" s="59"/>
      <c r="G520" s="6"/>
      <c r="H520" s="6"/>
      <c r="I520" s="59"/>
      <c r="J520" s="83"/>
      <c r="K520" s="59"/>
      <c r="L520" s="59"/>
      <c r="M520" s="59"/>
      <c r="N520" s="59"/>
      <c r="O520" s="59"/>
      <c r="P520" s="59"/>
      <c r="Q520" s="59"/>
    </row>
    <row r="521">
      <c r="A521" s="19"/>
      <c r="B521" s="84"/>
      <c r="C521" s="82"/>
      <c r="D521" s="23"/>
      <c r="E521" s="23"/>
      <c r="F521" s="59"/>
      <c r="G521" s="6"/>
      <c r="H521" s="6"/>
      <c r="I521" s="59"/>
      <c r="J521" s="83"/>
      <c r="K521" s="59"/>
      <c r="L521" s="59"/>
      <c r="M521" s="59"/>
      <c r="N521" s="59"/>
      <c r="O521" s="59"/>
      <c r="P521" s="59"/>
      <c r="Q521" s="59"/>
    </row>
    <row r="522">
      <c r="A522" s="19"/>
      <c r="B522" s="84"/>
      <c r="C522" s="82"/>
      <c r="D522" s="23"/>
      <c r="E522" s="23"/>
      <c r="F522" s="59"/>
      <c r="G522" s="6"/>
      <c r="H522" s="6"/>
      <c r="I522" s="59"/>
      <c r="J522" s="83"/>
      <c r="K522" s="59"/>
      <c r="L522" s="59"/>
      <c r="M522" s="59"/>
      <c r="N522" s="59"/>
      <c r="O522" s="59"/>
      <c r="P522" s="59"/>
      <c r="Q522" s="59"/>
    </row>
    <row r="523">
      <c r="A523" s="19"/>
      <c r="B523" s="84"/>
      <c r="C523" s="82"/>
      <c r="D523" s="23"/>
      <c r="E523" s="23"/>
      <c r="F523" s="59"/>
      <c r="G523" s="6"/>
      <c r="H523" s="6"/>
      <c r="I523" s="59"/>
      <c r="J523" s="83"/>
      <c r="K523" s="59"/>
      <c r="L523" s="59"/>
      <c r="M523" s="59"/>
      <c r="N523" s="59"/>
      <c r="O523" s="59"/>
      <c r="P523" s="59"/>
      <c r="Q523" s="59"/>
    </row>
    <row r="524">
      <c r="A524" s="19"/>
      <c r="B524" s="84"/>
      <c r="C524" s="82"/>
      <c r="D524" s="23"/>
      <c r="E524" s="23"/>
      <c r="F524" s="59"/>
      <c r="G524" s="6"/>
      <c r="H524" s="6"/>
      <c r="I524" s="59"/>
      <c r="J524" s="83"/>
      <c r="K524" s="59"/>
      <c r="L524" s="59"/>
      <c r="M524" s="59"/>
      <c r="N524" s="59"/>
      <c r="O524" s="59"/>
      <c r="P524" s="59"/>
      <c r="Q524" s="59"/>
    </row>
    <row r="525">
      <c r="A525" s="19"/>
      <c r="B525" s="84"/>
      <c r="C525" s="82"/>
      <c r="D525" s="23"/>
      <c r="E525" s="23"/>
      <c r="F525" s="59"/>
      <c r="G525" s="6"/>
      <c r="H525" s="6"/>
      <c r="I525" s="59"/>
      <c r="J525" s="83"/>
      <c r="K525" s="59"/>
      <c r="L525" s="59"/>
      <c r="M525" s="59"/>
      <c r="N525" s="59"/>
      <c r="O525" s="59"/>
      <c r="P525" s="59"/>
      <c r="Q525" s="59"/>
    </row>
    <row r="526">
      <c r="A526" s="19"/>
      <c r="B526" s="84"/>
      <c r="C526" s="82"/>
      <c r="D526" s="23"/>
      <c r="E526" s="23"/>
      <c r="F526" s="59"/>
      <c r="G526" s="6"/>
      <c r="H526" s="6"/>
      <c r="I526" s="59"/>
      <c r="J526" s="83"/>
      <c r="K526" s="59"/>
      <c r="L526" s="59"/>
      <c r="M526" s="59"/>
      <c r="N526" s="59"/>
      <c r="O526" s="59"/>
      <c r="P526" s="59"/>
      <c r="Q526" s="59"/>
    </row>
    <row r="527">
      <c r="A527" s="19"/>
      <c r="B527" s="84"/>
      <c r="C527" s="82"/>
      <c r="D527" s="23"/>
      <c r="E527" s="23"/>
      <c r="F527" s="59"/>
      <c r="G527" s="6"/>
      <c r="H527" s="6"/>
      <c r="I527" s="59"/>
      <c r="J527" s="83"/>
      <c r="K527" s="59"/>
      <c r="L527" s="59"/>
      <c r="M527" s="59"/>
      <c r="N527" s="59"/>
      <c r="O527" s="59"/>
      <c r="P527" s="59"/>
      <c r="Q527" s="59"/>
    </row>
    <row r="528">
      <c r="A528" s="19"/>
      <c r="B528" s="84"/>
      <c r="C528" s="82"/>
      <c r="D528" s="23"/>
      <c r="E528" s="23"/>
      <c r="F528" s="59"/>
      <c r="G528" s="6"/>
      <c r="H528" s="6"/>
      <c r="I528" s="59"/>
      <c r="J528" s="83"/>
      <c r="K528" s="59"/>
      <c r="L528" s="59"/>
      <c r="M528" s="59"/>
      <c r="N528" s="59"/>
      <c r="O528" s="59"/>
      <c r="P528" s="59"/>
      <c r="Q528" s="59"/>
    </row>
    <row r="529">
      <c r="A529" s="19"/>
      <c r="B529" s="84"/>
      <c r="C529" s="82"/>
      <c r="D529" s="23"/>
      <c r="E529" s="23"/>
      <c r="F529" s="59"/>
      <c r="G529" s="6"/>
      <c r="H529" s="6"/>
      <c r="I529" s="59"/>
      <c r="J529" s="83"/>
      <c r="K529" s="59"/>
      <c r="L529" s="59"/>
      <c r="M529" s="59"/>
      <c r="N529" s="59"/>
      <c r="O529" s="59"/>
      <c r="P529" s="59"/>
      <c r="Q529" s="59"/>
    </row>
    <row r="530">
      <c r="A530" s="19"/>
      <c r="B530" s="84"/>
      <c r="C530" s="82"/>
      <c r="D530" s="23"/>
      <c r="E530" s="23"/>
      <c r="F530" s="59"/>
      <c r="G530" s="6"/>
      <c r="H530" s="6"/>
      <c r="I530" s="59"/>
      <c r="J530" s="83"/>
      <c r="K530" s="59"/>
      <c r="L530" s="59"/>
      <c r="M530" s="59"/>
      <c r="N530" s="59"/>
      <c r="O530" s="59"/>
      <c r="P530" s="59"/>
      <c r="Q530" s="59"/>
    </row>
    <row r="531">
      <c r="A531" s="19"/>
      <c r="B531" s="84"/>
      <c r="C531" s="82"/>
      <c r="D531" s="23"/>
      <c r="E531" s="23"/>
      <c r="F531" s="59"/>
      <c r="G531" s="6"/>
      <c r="H531" s="6"/>
      <c r="I531" s="59"/>
      <c r="J531" s="83"/>
      <c r="K531" s="59"/>
      <c r="L531" s="59"/>
      <c r="M531" s="59"/>
      <c r="N531" s="59"/>
      <c r="O531" s="59"/>
      <c r="P531" s="59"/>
      <c r="Q531" s="59"/>
    </row>
    <row r="532">
      <c r="A532" s="19"/>
      <c r="B532" s="84"/>
      <c r="C532" s="82"/>
      <c r="D532" s="23"/>
      <c r="E532" s="23"/>
      <c r="F532" s="59"/>
      <c r="G532" s="6"/>
      <c r="H532" s="6"/>
      <c r="I532" s="59"/>
      <c r="J532" s="83"/>
      <c r="K532" s="59"/>
      <c r="L532" s="59"/>
      <c r="M532" s="59"/>
      <c r="N532" s="59"/>
      <c r="O532" s="59"/>
      <c r="P532" s="59"/>
      <c r="Q532" s="59"/>
    </row>
    <row r="533">
      <c r="A533" s="19"/>
      <c r="B533" s="84"/>
      <c r="C533" s="82"/>
      <c r="D533" s="23"/>
      <c r="E533" s="23"/>
      <c r="F533" s="59"/>
      <c r="G533" s="6"/>
      <c r="H533" s="6"/>
      <c r="I533" s="59"/>
      <c r="J533" s="83"/>
      <c r="K533" s="59"/>
      <c r="L533" s="59"/>
      <c r="M533" s="59"/>
      <c r="N533" s="59"/>
      <c r="O533" s="59"/>
      <c r="P533" s="59"/>
      <c r="Q533" s="59"/>
    </row>
    <row r="534">
      <c r="A534" s="19"/>
      <c r="B534" s="84"/>
      <c r="C534" s="82"/>
      <c r="D534" s="23"/>
      <c r="E534" s="23"/>
      <c r="F534" s="59"/>
      <c r="G534" s="6"/>
      <c r="H534" s="6"/>
      <c r="I534" s="59"/>
      <c r="J534" s="83"/>
      <c r="K534" s="59"/>
      <c r="L534" s="59"/>
      <c r="M534" s="59"/>
      <c r="N534" s="59"/>
      <c r="O534" s="59"/>
      <c r="P534" s="59"/>
      <c r="Q534" s="59"/>
    </row>
    <row r="535">
      <c r="A535" s="19"/>
      <c r="B535" s="84"/>
      <c r="C535" s="82"/>
      <c r="D535" s="23"/>
      <c r="E535" s="23"/>
      <c r="F535" s="59"/>
      <c r="G535" s="6"/>
      <c r="H535" s="6"/>
      <c r="I535" s="59"/>
      <c r="J535" s="83"/>
      <c r="K535" s="59"/>
      <c r="L535" s="59"/>
      <c r="M535" s="59"/>
      <c r="N535" s="59"/>
      <c r="O535" s="59"/>
      <c r="P535" s="59"/>
      <c r="Q535" s="59"/>
    </row>
    <row r="536">
      <c r="A536" s="19"/>
      <c r="B536" s="84"/>
      <c r="C536" s="82"/>
      <c r="D536" s="23"/>
      <c r="E536" s="23"/>
      <c r="F536" s="59"/>
      <c r="G536" s="6"/>
      <c r="H536" s="6"/>
      <c r="I536" s="59"/>
      <c r="J536" s="83"/>
      <c r="K536" s="59"/>
      <c r="L536" s="59"/>
      <c r="M536" s="59"/>
      <c r="N536" s="59"/>
      <c r="O536" s="59"/>
      <c r="P536" s="59"/>
      <c r="Q536" s="59"/>
    </row>
    <row r="537">
      <c r="A537" s="19"/>
      <c r="B537" s="84"/>
      <c r="C537" s="82"/>
      <c r="D537" s="23"/>
      <c r="E537" s="23"/>
      <c r="F537" s="59"/>
      <c r="G537" s="6"/>
      <c r="H537" s="6"/>
      <c r="I537" s="59"/>
      <c r="J537" s="83"/>
      <c r="K537" s="59"/>
      <c r="L537" s="59"/>
      <c r="M537" s="59"/>
      <c r="N537" s="59"/>
      <c r="O537" s="59"/>
      <c r="P537" s="59"/>
      <c r="Q537" s="59"/>
    </row>
    <row r="538">
      <c r="A538" s="19"/>
      <c r="B538" s="84"/>
      <c r="C538" s="82"/>
      <c r="D538" s="23"/>
      <c r="E538" s="23"/>
      <c r="F538" s="59"/>
      <c r="G538" s="6"/>
      <c r="H538" s="6"/>
      <c r="I538" s="59"/>
      <c r="J538" s="83"/>
      <c r="K538" s="59"/>
      <c r="L538" s="59"/>
      <c r="M538" s="59"/>
      <c r="N538" s="59"/>
      <c r="O538" s="59"/>
      <c r="P538" s="59"/>
      <c r="Q538" s="59"/>
    </row>
    <row r="539">
      <c r="A539" s="19"/>
      <c r="B539" s="84"/>
      <c r="C539" s="82"/>
      <c r="D539" s="23"/>
      <c r="E539" s="23"/>
      <c r="F539" s="59"/>
      <c r="G539" s="6"/>
      <c r="H539" s="6"/>
      <c r="I539" s="59"/>
      <c r="J539" s="83"/>
      <c r="K539" s="59"/>
      <c r="L539" s="59"/>
      <c r="M539" s="59"/>
      <c r="N539" s="59"/>
      <c r="O539" s="59"/>
      <c r="P539" s="59"/>
      <c r="Q539" s="59"/>
    </row>
    <row r="540">
      <c r="A540" s="19"/>
      <c r="B540" s="84"/>
      <c r="C540" s="82"/>
      <c r="D540" s="23"/>
      <c r="E540" s="23"/>
      <c r="F540" s="59"/>
      <c r="G540" s="6"/>
      <c r="H540" s="6"/>
      <c r="I540" s="59"/>
      <c r="J540" s="83"/>
      <c r="K540" s="59"/>
      <c r="L540" s="59"/>
      <c r="M540" s="59"/>
      <c r="N540" s="59"/>
      <c r="O540" s="59"/>
      <c r="P540" s="59"/>
      <c r="Q540" s="59"/>
    </row>
    <row r="541">
      <c r="A541" s="19"/>
      <c r="B541" s="84"/>
      <c r="C541" s="82"/>
      <c r="D541" s="23"/>
      <c r="E541" s="23"/>
      <c r="F541" s="59"/>
      <c r="G541" s="6"/>
      <c r="H541" s="6"/>
      <c r="I541" s="59"/>
      <c r="J541" s="83"/>
      <c r="K541" s="59"/>
      <c r="L541" s="59"/>
      <c r="M541" s="59"/>
      <c r="N541" s="59"/>
      <c r="O541" s="59"/>
      <c r="P541" s="59"/>
      <c r="Q541" s="59"/>
    </row>
    <row r="542">
      <c r="A542" s="19"/>
      <c r="B542" s="84"/>
      <c r="C542" s="82"/>
      <c r="D542" s="23"/>
      <c r="E542" s="23"/>
      <c r="F542" s="59"/>
      <c r="G542" s="6"/>
      <c r="H542" s="6"/>
      <c r="I542" s="59"/>
      <c r="J542" s="83"/>
      <c r="K542" s="59"/>
      <c r="L542" s="59"/>
      <c r="M542" s="59"/>
      <c r="N542" s="59"/>
      <c r="O542" s="59"/>
      <c r="P542" s="59"/>
      <c r="Q542" s="59"/>
    </row>
    <row r="543">
      <c r="A543" s="19"/>
      <c r="B543" s="84"/>
      <c r="C543" s="82"/>
      <c r="D543" s="23"/>
      <c r="E543" s="23"/>
      <c r="F543" s="59"/>
      <c r="G543" s="6"/>
      <c r="H543" s="6"/>
      <c r="I543" s="59"/>
      <c r="J543" s="83"/>
      <c r="K543" s="59"/>
      <c r="L543" s="59"/>
      <c r="M543" s="59"/>
      <c r="N543" s="59"/>
      <c r="O543" s="59"/>
      <c r="P543" s="59"/>
      <c r="Q543" s="59"/>
    </row>
    <row r="544">
      <c r="A544" s="19"/>
      <c r="B544" s="84"/>
      <c r="C544" s="82"/>
      <c r="D544" s="23"/>
      <c r="E544" s="23"/>
      <c r="F544" s="59"/>
      <c r="G544" s="6"/>
      <c r="H544" s="6"/>
      <c r="I544" s="59"/>
      <c r="J544" s="83"/>
      <c r="K544" s="59"/>
      <c r="L544" s="59"/>
      <c r="M544" s="59"/>
      <c r="N544" s="59"/>
      <c r="O544" s="59"/>
      <c r="P544" s="59"/>
      <c r="Q544" s="59"/>
    </row>
    <row r="545">
      <c r="A545" s="19"/>
      <c r="B545" s="84"/>
      <c r="C545" s="82"/>
      <c r="D545" s="23"/>
      <c r="E545" s="23"/>
      <c r="F545" s="59"/>
      <c r="G545" s="6"/>
      <c r="H545" s="6"/>
      <c r="I545" s="59"/>
      <c r="J545" s="83"/>
      <c r="K545" s="59"/>
      <c r="L545" s="59"/>
      <c r="M545" s="59"/>
      <c r="N545" s="59"/>
      <c r="O545" s="59"/>
      <c r="P545" s="59"/>
      <c r="Q545" s="59"/>
    </row>
    <row r="546">
      <c r="A546" s="19"/>
      <c r="B546" s="84"/>
      <c r="C546" s="82"/>
      <c r="D546" s="23"/>
      <c r="E546" s="23"/>
      <c r="F546" s="59"/>
      <c r="G546" s="6"/>
      <c r="H546" s="6"/>
      <c r="I546" s="59"/>
      <c r="J546" s="83"/>
      <c r="K546" s="59"/>
      <c r="L546" s="59"/>
      <c r="M546" s="59"/>
      <c r="N546" s="59"/>
      <c r="O546" s="59"/>
      <c r="P546" s="59"/>
      <c r="Q546" s="59"/>
    </row>
    <row r="547">
      <c r="A547" s="19"/>
      <c r="B547" s="84"/>
      <c r="C547" s="82"/>
      <c r="D547" s="23"/>
      <c r="E547" s="23"/>
      <c r="F547" s="59"/>
      <c r="G547" s="6"/>
      <c r="H547" s="6"/>
      <c r="I547" s="59"/>
      <c r="J547" s="83"/>
      <c r="K547" s="59"/>
      <c r="L547" s="59"/>
      <c r="M547" s="59"/>
      <c r="N547" s="59"/>
      <c r="O547" s="59"/>
      <c r="P547" s="59"/>
      <c r="Q547" s="59"/>
    </row>
    <row r="548">
      <c r="A548" s="19"/>
      <c r="B548" s="84"/>
      <c r="C548" s="82"/>
      <c r="D548" s="23"/>
      <c r="E548" s="23"/>
      <c r="F548" s="59"/>
      <c r="G548" s="6"/>
      <c r="H548" s="6"/>
      <c r="I548" s="59"/>
      <c r="J548" s="83"/>
      <c r="K548" s="59"/>
      <c r="L548" s="59"/>
      <c r="M548" s="59"/>
      <c r="N548" s="59"/>
      <c r="O548" s="59"/>
      <c r="P548" s="59"/>
      <c r="Q548" s="59"/>
    </row>
    <row r="549">
      <c r="A549" s="19"/>
      <c r="B549" s="84"/>
      <c r="C549" s="82"/>
      <c r="D549" s="23"/>
      <c r="E549" s="23"/>
      <c r="F549" s="59"/>
      <c r="G549" s="6"/>
      <c r="H549" s="6"/>
      <c r="I549" s="59"/>
      <c r="J549" s="83"/>
      <c r="K549" s="59"/>
      <c r="L549" s="59"/>
      <c r="M549" s="59"/>
      <c r="N549" s="59"/>
      <c r="O549" s="59"/>
      <c r="P549" s="59"/>
      <c r="Q549" s="59"/>
    </row>
    <row r="550">
      <c r="A550" s="19"/>
      <c r="B550" s="84"/>
      <c r="C550" s="82"/>
      <c r="D550" s="23"/>
      <c r="E550" s="23"/>
      <c r="F550" s="59"/>
      <c r="G550" s="6"/>
      <c r="H550" s="6"/>
      <c r="I550" s="59"/>
      <c r="J550" s="83"/>
      <c r="K550" s="59"/>
      <c r="L550" s="59"/>
      <c r="M550" s="59"/>
      <c r="N550" s="59"/>
      <c r="O550" s="59"/>
      <c r="P550" s="59"/>
      <c r="Q550" s="59"/>
    </row>
    <row r="551">
      <c r="A551" s="19"/>
      <c r="B551" s="84"/>
      <c r="C551" s="82"/>
      <c r="D551" s="23"/>
      <c r="E551" s="23"/>
      <c r="F551" s="59"/>
      <c r="G551" s="6"/>
      <c r="H551" s="6"/>
      <c r="I551" s="59"/>
      <c r="J551" s="83"/>
      <c r="K551" s="59"/>
      <c r="L551" s="59"/>
      <c r="M551" s="59"/>
      <c r="N551" s="59"/>
      <c r="O551" s="59"/>
      <c r="P551" s="59"/>
      <c r="Q551" s="59"/>
    </row>
    <row r="552">
      <c r="A552" s="19"/>
      <c r="B552" s="84"/>
      <c r="C552" s="82"/>
      <c r="D552" s="23"/>
      <c r="E552" s="23"/>
      <c r="F552" s="59"/>
      <c r="G552" s="6"/>
      <c r="H552" s="6"/>
      <c r="I552" s="59"/>
      <c r="J552" s="83"/>
      <c r="K552" s="59"/>
      <c r="L552" s="59"/>
      <c r="M552" s="59"/>
      <c r="N552" s="59"/>
      <c r="O552" s="59"/>
      <c r="P552" s="59"/>
      <c r="Q552" s="59"/>
    </row>
    <row r="553">
      <c r="A553" s="19"/>
      <c r="B553" s="84"/>
      <c r="C553" s="82"/>
      <c r="D553" s="23"/>
      <c r="E553" s="23"/>
      <c r="F553" s="59"/>
      <c r="G553" s="6"/>
      <c r="H553" s="6"/>
      <c r="I553" s="59"/>
      <c r="J553" s="83"/>
      <c r="K553" s="59"/>
      <c r="L553" s="59"/>
      <c r="M553" s="59"/>
      <c r="N553" s="59"/>
      <c r="O553" s="59"/>
      <c r="P553" s="59"/>
      <c r="Q553" s="59"/>
    </row>
    <row r="554">
      <c r="A554" s="19"/>
      <c r="B554" s="84"/>
      <c r="C554" s="82"/>
      <c r="D554" s="23"/>
      <c r="E554" s="23"/>
      <c r="F554" s="59"/>
      <c r="G554" s="6"/>
      <c r="H554" s="6"/>
      <c r="I554" s="59"/>
      <c r="J554" s="83"/>
      <c r="K554" s="59"/>
      <c r="L554" s="59"/>
      <c r="M554" s="59"/>
      <c r="N554" s="59"/>
      <c r="O554" s="59"/>
      <c r="P554" s="59"/>
      <c r="Q554" s="59"/>
    </row>
    <row r="555">
      <c r="A555" s="19"/>
      <c r="B555" s="84"/>
      <c r="C555" s="82"/>
      <c r="D555" s="23"/>
      <c r="E555" s="23"/>
      <c r="F555" s="59"/>
      <c r="G555" s="6"/>
      <c r="H555" s="6"/>
      <c r="I555" s="59"/>
      <c r="J555" s="83"/>
      <c r="K555" s="59"/>
      <c r="L555" s="59"/>
      <c r="M555" s="59"/>
      <c r="N555" s="59"/>
      <c r="O555" s="59"/>
      <c r="P555" s="59"/>
      <c r="Q555" s="59"/>
    </row>
    <row r="556">
      <c r="A556" s="19"/>
      <c r="B556" s="84"/>
      <c r="C556" s="82"/>
      <c r="D556" s="23"/>
      <c r="E556" s="23"/>
      <c r="F556" s="59"/>
      <c r="G556" s="6"/>
      <c r="H556" s="6"/>
      <c r="I556" s="59"/>
      <c r="J556" s="83"/>
      <c r="K556" s="59"/>
      <c r="L556" s="59"/>
      <c r="M556" s="59"/>
      <c r="N556" s="59"/>
      <c r="O556" s="59"/>
      <c r="P556" s="59"/>
      <c r="Q556" s="59"/>
    </row>
    <row r="557">
      <c r="A557" s="19"/>
      <c r="B557" s="84"/>
      <c r="C557" s="82"/>
      <c r="D557" s="23"/>
      <c r="E557" s="23"/>
      <c r="F557" s="59"/>
      <c r="G557" s="6"/>
      <c r="H557" s="6"/>
      <c r="I557" s="59"/>
      <c r="J557" s="83"/>
      <c r="K557" s="59"/>
      <c r="L557" s="59"/>
      <c r="M557" s="59"/>
      <c r="N557" s="59"/>
      <c r="O557" s="59"/>
      <c r="P557" s="59"/>
      <c r="Q557" s="59"/>
    </row>
    <row r="558">
      <c r="A558" s="19"/>
      <c r="B558" s="84"/>
      <c r="C558" s="82"/>
      <c r="D558" s="23"/>
      <c r="E558" s="23"/>
      <c r="F558" s="59"/>
      <c r="G558" s="6"/>
      <c r="H558" s="6"/>
      <c r="I558" s="59"/>
      <c r="J558" s="83"/>
      <c r="K558" s="59"/>
      <c r="L558" s="59"/>
      <c r="M558" s="59"/>
      <c r="N558" s="59"/>
      <c r="O558" s="59"/>
      <c r="P558" s="59"/>
      <c r="Q558" s="59"/>
    </row>
    <row r="559">
      <c r="A559" s="19"/>
      <c r="B559" s="84"/>
      <c r="C559" s="82"/>
      <c r="D559" s="23"/>
      <c r="E559" s="23"/>
      <c r="F559" s="59"/>
      <c r="G559" s="6"/>
      <c r="H559" s="6"/>
      <c r="I559" s="59"/>
      <c r="J559" s="83"/>
      <c r="K559" s="59"/>
      <c r="L559" s="59"/>
      <c r="M559" s="59"/>
      <c r="N559" s="59"/>
      <c r="O559" s="59"/>
      <c r="P559" s="59"/>
      <c r="Q559" s="59"/>
    </row>
    <row r="560">
      <c r="A560" s="19"/>
      <c r="B560" s="84"/>
      <c r="C560" s="82"/>
      <c r="D560" s="23"/>
      <c r="E560" s="23"/>
      <c r="F560" s="59"/>
      <c r="G560" s="6"/>
      <c r="H560" s="6"/>
      <c r="I560" s="59"/>
      <c r="J560" s="83"/>
      <c r="K560" s="59"/>
      <c r="L560" s="59"/>
      <c r="M560" s="59"/>
      <c r="N560" s="59"/>
      <c r="O560" s="59"/>
      <c r="P560" s="59"/>
      <c r="Q560" s="59"/>
    </row>
    <row r="561">
      <c r="A561" s="19"/>
      <c r="B561" s="84"/>
      <c r="C561" s="82"/>
      <c r="D561" s="23"/>
      <c r="E561" s="23"/>
      <c r="F561" s="59"/>
      <c r="G561" s="6"/>
      <c r="H561" s="6"/>
      <c r="I561" s="59"/>
      <c r="J561" s="83"/>
      <c r="K561" s="59"/>
      <c r="L561" s="59"/>
      <c r="M561" s="59"/>
      <c r="N561" s="59"/>
      <c r="O561" s="59"/>
      <c r="P561" s="59"/>
      <c r="Q561" s="59"/>
    </row>
    <row r="562">
      <c r="A562" s="19"/>
      <c r="B562" s="84"/>
      <c r="C562" s="82"/>
      <c r="D562" s="23"/>
      <c r="E562" s="23"/>
      <c r="F562" s="59"/>
      <c r="G562" s="6"/>
      <c r="H562" s="6"/>
      <c r="I562" s="59"/>
      <c r="J562" s="83"/>
      <c r="K562" s="59"/>
      <c r="L562" s="59"/>
      <c r="M562" s="59"/>
      <c r="N562" s="59"/>
      <c r="O562" s="59"/>
      <c r="P562" s="59"/>
      <c r="Q562" s="59"/>
    </row>
    <row r="563">
      <c r="A563" s="19"/>
      <c r="B563" s="84"/>
      <c r="C563" s="82"/>
      <c r="D563" s="23"/>
      <c r="E563" s="23"/>
      <c r="F563" s="59"/>
      <c r="G563" s="6"/>
      <c r="H563" s="6"/>
      <c r="I563" s="59"/>
      <c r="J563" s="83"/>
      <c r="K563" s="59"/>
      <c r="L563" s="59"/>
      <c r="M563" s="59"/>
      <c r="N563" s="59"/>
      <c r="O563" s="59"/>
      <c r="P563" s="59"/>
      <c r="Q563" s="59"/>
    </row>
    <row r="564">
      <c r="A564" s="19"/>
      <c r="B564" s="84"/>
      <c r="C564" s="82"/>
      <c r="D564" s="23"/>
      <c r="E564" s="23"/>
      <c r="F564" s="59"/>
      <c r="G564" s="6"/>
      <c r="H564" s="6"/>
      <c r="I564" s="59"/>
      <c r="J564" s="83"/>
      <c r="K564" s="59"/>
      <c r="L564" s="59"/>
      <c r="M564" s="59"/>
      <c r="N564" s="59"/>
      <c r="O564" s="59"/>
      <c r="P564" s="59"/>
      <c r="Q564" s="59"/>
    </row>
    <row r="565">
      <c r="A565" s="19"/>
      <c r="B565" s="84"/>
      <c r="C565" s="82"/>
      <c r="D565" s="23"/>
      <c r="E565" s="23"/>
      <c r="F565" s="59"/>
      <c r="G565" s="6"/>
      <c r="H565" s="6"/>
      <c r="I565" s="59"/>
      <c r="J565" s="83"/>
      <c r="K565" s="59"/>
      <c r="L565" s="59"/>
      <c r="M565" s="59"/>
      <c r="N565" s="59"/>
      <c r="O565" s="59"/>
      <c r="P565" s="59"/>
      <c r="Q565" s="59"/>
    </row>
    <row r="566">
      <c r="A566" s="19"/>
      <c r="B566" s="84"/>
      <c r="C566" s="82"/>
      <c r="D566" s="23"/>
      <c r="E566" s="23"/>
      <c r="F566" s="59"/>
      <c r="G566" s="6"/>
      <c r="H566" s="6"/>
      <c r="I566" s="59"/>
      <c r="J566" s="83"/>
      <c r="K566" s="59"/>
      <c r="L566" s="59"/>
      <c r="M566" s="59"/>
      <c r="N566" s="59"/>
      <c r="O566" s="59"/>
      <c r="P566" s="59"/>
      <c r="Q566" s="59"/>
    </row>
    <row r="567">
      <c r="A567" s="19"/>
      <c r="B567" s="84"/>
      <c r="C567" s="82"/>
      <c r="D567" s="23"/>
      <c r="E567" s="23"/>
      <c r="F567" s="59"/>
      <c r="G567" s="6"/>
      <c r="H567" s="6"/>
      <c r="I567" s="59"/>
      <c r="J567" s="83"/>
      <c r="K567" s="59"/>
      <c r="L567" s="59"/>
      <c r="M567" s="59"/>
      <c r="N567" s="59"/>
      <c r="O567" s="59"/>
      <c r="P567" s="59"/>
      <c r="Q567" s="59"/>
    </row>
    <row r="568">
      <c r="A568" s="19"/>
      <c r="B568" s="84"/>
      <c r="C568" s="82"/>
      <c r="D568" s="23"/>
      <c r="E568" s="23"/>
      <c r="F568" s="59"/>
      <c r="G568" s="6"/>
      <c r="H568" s="6"/>
      <c r="I568" s="59"/>
      <c r="J568" s="83"/>
      <c r="K568" s="59"/>
      <c r="L568" s="59"/>
      <c r="M568" s="59"/>
      <c r="N568" s="59"/>
      <c r="O568" s="59"/>
      <c r="P568" s="59"/>
      <c r="Q568" s="59"/>
    </row>
    <row r="569">
      <c r="A569" s="19"/>
      <c r="B569" s="84"/>
      <c r="C569" s="82"/>
      <c r="D569" s="23"/>
      <c r="E569" s="23"/>
      <c r="F569" s="59"/>
      <c r="G569" s="6"/>
      <c r="H569" s="6"/>
      <c r="I569" s="59"/>
      <c r="J569" s="83"/>
      <c r="K569" s="59"/>
      <c r="L569" s="59"/>
      <c r="M569" s="59"/>
      <c r="N569" s="59"/>
      <c r="O569" s="59"/>
      <c r="P569" s="59"/>
      <c r="Q569" s="59"/>
    </row>
    <row r="570">
      <c r="A570" s="19"/>
      <c r="B570" s="84"/>
      <c r="C570" s="82"/>
      <c r="D570" s="23"/>
      <c r="E570" s="23"/>
      <c r="F570" s="59"/>
      <c r="G570" s="6"/>
      <c r="H570" s="6"/>
      <c r="I570" s="59"/>
      <c r="J570" s="83"/>
      <c r="K570" s="59"/>
      <c r="L570" s="59"/>
      <c r="M570" s="59"/>
      <c r="N570" s="59"/>
      <c r="O570" s="59"/>
      <c r="P570" s="59"/>
      <c r="Q570" s="59"/>
    </row>
    <row r="571">
      <c r="A571" s="19"/>
      <c r="B571" s="84"/>
      <c r="C571" s="82"/>
      <c r="D571" s="23"/>
      <c r="E571" s="23"/>
      <c r="F571" s="59"/>
      <c r="G571" s="6"/>
      <c r="H571" s="6"/>
      <c r="I571" s="59"/>
      <c r="J571" s="83"/>
      <c r="K571" s="59"/>
      <c r="L571" s="59"/>
      <c r="M571" s="59"/>
      <c r="N571" s="59"/>
      <c r="O571" s="59"/>
      <c r="P571" s="59"/>
      <c r="Q571" s="59"/>
    </row>
    <row r="572">
      <c r="A572" s="19"/>
      <c r="B572" s="84"/>
      <c r="C572" s="82"/>
      <c r="D572" s="23"/>
      <c r="E572" s="23"/>
      <c r="F572" s="59"/>
      <c r="G572" s="6"/>
      <c r="H572" s="6"/>
      <c r="I572" s="59"/>
      <c r="J572" s="83"/>
      <c r="K572" s="59"/>
      <c r="L572" s="59"/>
      <c r="M572" s="59"/>
      <c r="N572" s="59"/>
      <c r="O572" s="59"/>
      <c r="P572" s="59"/>
      <c r="Q572" s="59"/>
    </row>
    <row r="573">
      <c r="A573" s="19"/>
      <c r="B573" s="84"/>
      <c r="C573" s="82"/>
      <c r="D573" s="23"/>
      <c r="E573" s="23"/>
      <c r="F573" s="59"/>
      <c r="G573" s="6"/>
      <c r="H573" s="6"/>
      <c r="I573" s="59"/>
      <c r="J573" s="83"/>
      <c r="K573" s="59"/>
      <c r="L573" s="59"/>
      <c r="M573" s="59"/>
      <c r="N573" s="59"/>
      <c r="O573" s="59"/>
      <c r="P573" s="59"/>
      <c r="Q573" s="59"/>
    </row>
    <row r="574">
      <c r="A574" s="19"/>
      <c r="B574" s="84"/>
      <c r="C574" s="82"/>
      <c r="D574" s="23"/>
      <c r="E574" s="23"/>
      <c r="F574" s="59"/>
      <c r="G574" s="6"/>
      <c r="H574" s="6"/>
      <c r="I574" s="59"/>
      <c r="J574" s="83"/>
      <c r="K574" s="59"/>
      <c r="L574" s="59"/>
      <c r="M574" s="59"/>
      <c r="N574" s="59"/>
      <c r="O574" s="59"/>
      <c r="P574" s="59"/>
      <c r="Q574" s="59"/>
    </row>
    <row r="575">
      <c r="A575" s="19"/>
      <c r="B575" s="84"/>
      <c r="C575" s="82"/>
      <c r="D575" s="23"/>
      <c r="E575" s="23"/>
      <c r="F575" s="59"/>
      <c r="G575" s="6"/>
      <c r="H575" s="6"/>
      <c r="I575" s="59"/>
      <c r="J575" s="83"/>
      <c r="K575" s="59"/>
      <c r="L575" s="59"/>
      <c r="M575" s="59"/>
      <c r="N575" s="59"/>
      <c r="O575" s="59"/>
      <c r="P575" s="59"/>
      <c r="Q575" s="59"/>
    </row>
    <row r="576">
      <c r="A576" s="19"/>
      <c r="B576" s="84"/>
      <c r="C576" s="82"/>
      <c r="D576" s="23"/>
      <c r="E576" s="23"/>
      <c r="F576" s="59"/>
      <c r="G576" s="6"/>
      <c r="H576" s="6"/>
      <c r="I576" s="59"/>
      <c r="J576" s="83"/>
      <c r="K576" s="59"/>
      <c r="L576" s="59"/>
      <c r="M576" s="59"/>
      <c r="N576" s="59"/>
      <c r="O576" s="59"/>
      <c r="P576" s="59"/>
      <c r="Q576" s="59"/>
    </row>
    <row r="577">
      <c r="A577" s="19"/>
      <c r="B577" s="84"/>
      <c r="C577" s="82"/>
      <c r="D577" s="23"/>
      <c r="E577" s="23"/>
      <c r="F577" s="59"/>
      <c r="G577" s="6"/>
      <c r="H577" s="6"/>
      <c r="I577" s="59"/>
      <c r="J577" s="83"/>
      <c r="K577" s="59"/>
      <c r="L577" s="59"/>
      <c r="M577" s="59"/>
      <c r="N577" s="59"/>
      <c r="O577" s="59"/>
      <c r="P577" s="59"/>
      <c r="Q577" s="59"/>
    </row>
    <row r="578">
      <c r="A578" s="19"/>
      <c r="B578" s="84"/>
      <c r="C578" s="82"/>
      <c r="D578" s="23"/>
      <c r="E578" s="23"/>
      <c r="F578" s="59"/>
      <c r="G578" s="6"/>
      <c r="H578" s="6"/>
      <c r="I578" s="59"/>
      <c r="J578" s="83"/>
      <c r="K578" s="59"/>
      <c r="L578" s="59"/>
      <c r="M578" s="59"/>
      <c r="N578" s="59"/>
      <c r="O578" s="59"/>
      <c r="P578" s="59"/>
      <c r="Q578" s="59"/>
    </row>
    <row r="579">
      <c r="A579" s="19"/>
      <c r="B579" s="84"/>
      <c r="C579" s="82"/>
      <c r="D579" s="23"/>
      <c r="E579" s="23"/>
      <c r="F579" s="59"/>
      <c r="G579" s="6"/>
      <c r="H579" s="6"/>
      <c r="I579" s="59"/>
      <c r="J579" s="83"/>
      <c r="K579" s="59"/>
      <c r="L579" s="59"/>
      <c r="M579" s="59"/>
      <c r="N579" s="59"/>
      <c r="O579" s="59"/>
      <c r="P579" s="59"/>
      <c r="Q579" s="59"/>
    </row>
    <row r="580">
      <c r="A580" s="19"/>
      <c r="B580" s="84"/>
      <c r="C580" s="82"/>
      <c r="D580" s="23"/>
      <c r="E580" s="23"/>
      <c r="F580" s="59"/>
      <c r="G580" s="6"/>
      <c r="H580" s="6"/>
      <c r="I580" s="59"/>
      <c r="J580" s="83"/>
      <c r="K580" s="59"/>
      <c r="L580" s="59"/>
      <c r="M580" s="59"/>
      <c r="N580" s="59"/>
      <c r="O580" s="59"/>
      <c r="P580" s="59"/>
      <c r="Q580" s="59"/>
    </row>
    <row r="581">
      <c r="A581" s="19"/>
      <c r="B581" s="84"/>
      <c r="C581" s="82"/>
      <c r="D581" s="23"/>
      <c r="E581" s="23"/>
      <c r="F581" s="59"/>
      <c r="G581" s="6"/>
      <c r="H581" s="6"/>
      <c r="I581" s="59"/>
      <c r="J581" s="83"/>
      <c r="K581" s="59"/>
      <c r="L581" s="59"/>
      <c r="M581" s="59"/>
      <c r="N581" s="59"/>
      <c r="O581" s="59"/>
      <c r="P581" s="59"/>
      <c r="Q581" s="59"/>
    </row>
    <row r="582">
      <c r="A582" s="19"/>
      <c r="B582" s="84"/>
      <c r="C582" s="82"/>
      <c r="D582" s="23"/>
      <c r="E582" s="23"/>
      <c r="F582" s="59"/>
      <c r="G582" s="6"/>
      <c r="H582" s="6"/>
      <c r="I582" s="59"/>
      <c r="J582" s="83"/>
      <c r="K582" s="59"/>
      <c r="L582" s="59"/>
      <c r="M582" s="59"/>
      <c r="N582" s="59"/>
      <c r="O582" s="59"/>
      <c r="P582" s="59"/>
      <c r="Q582" s="59"/>
    </row>
    <row r="583">
      <c r="A583" s="19"/>
      <c r="B583" s="84"/>
      <c r="C583" s="82"/>
      <c r="D583" s="23"/>
      <c r="E583" s="23"/>
      <c r="F583" s="59"/>
      <c r="G583" s="6"/>
      <c r="H583" s="6"/>
      <c r="I583" s="59"/>
      <c r="J583" s="83"/>
      <c r="K583" s="59"/>
      <c r="L583" s="59"/>
      <c r="M583" s="59"/>
      <c r="N583" s="59"/>
      <c r="O583" s="59"/>
      <c r="P583" s="59"/>
      <c r="Q583" s="59"/>
    </row>
    <row r="584">
      <c r="A584" s="19"/>
      <c r="B584" s="84"/>
      <c r="C584" s="82"/>
      <c r="D584" s="23"/>
      <c r="E584" s="23"/>
      <c r="F584" s="59"/>
      <c r="G584" s="6"/>
      <c r="H584" s="6"/>
      <c r="I584" s="59"/>
      <c r="J584" s="83"/>
      <c r="K584" s="59"/>
      <c r="L584" s="59"/>
      <c r="M584" s="59"/>
      <c r="N584" s="59"/>
      <c r="O584" s="59"/>
      <c r="P584" s="59"/>
      <c r="Q584" s="59"/>
    </row>
    <row r="585">
      <c r="A585" s="19"/>
      <c r="B585" s="84"/>
      <c r="C585" s="82"/>
      <c r="D585" s="23"/>
      <c r="E585" s="23"/>
      <c r="F585" s="59"/>
      <c r="G585" s="6"/>
      <c r="H585" s="6"/>
      <c r="I585" s="59"/>
      <c r="J585" s="83"/>
      <c r="K585" s="59"/>
      <c r="L585" s="59"/>
      <c r="M585" s="59"/>
      <c r="N585" s="59"/>
      <c r="O585" s="59"/>
      <c r="P585" s="59"/>
      <c r="Q585" s="59"/>
    </row>
    <row r="586">
      <c r="A586" s="19"/>
      <c r="B586" s="84"/>
      <c r="C586" s="82"/>
      <c r="D586" s="23"/>
      <c r="E586" s="23"/>
      <c r="F586" s="59"/>
      <c r="G586" s="6"/>
      <c r="H586" s="6"/>
      <c r="I586" s="59"/>
      <c r="J586" s="83"/>
      <c r="K586" s="59"/>
      <c r="L586" s="59"/>
      <c r="M586" s="59"/>
      <c r="N586" s="59"/>
      <c r="O586" s="59"/>
      <c r="P586" s="59"/>
      <c r="Q586" s="59"/>
    </row>
    <row r="587">
      <c r="A587" s="19"/>
      <c r="B587" s="84"/>
      <c r="C587" s="82"/>
      <c r="D587" s="23"/>
      <c r="E587" s="23"/>
      <c r="F587" s="59"/>
      <c r="G587" s="6"/>
      <c r="H587" s="6"/>
      <c r="I587" s="59"/>
      <c r="J587" s="83"/>
      <c r="K587" s="59"/>
      <c r="L587" s="59"/>
      <c r="M587" s="59"/>
      <c r="N587" s="59"/>
      <c r="O587" s="59"/>
      <c r="P587" s="59"/>
      <c r="Q587" s="59"/>
    </row>
    <row r="588">
      <c r="A588" s="19"/>
      <c r="B588" s="84"/>
      <c r="C588" s="82"/>
      <c r="D588" s="23"/>
      <c r="E588" s="23"/>
      <c r="F588" s="59"/>
      <c r="G588" s="6"/>
      <c r="H588" s="6"/>
      <c r="I588" s="59"/>
      <c r="J588" s="83"/>
      <c r="K588" s="59"/>
      <c r="L588" s="59"/>
      <c r="M588" s="59"/>
      <c r="N588" s="59"/>
      <c r="O588" s="59"/>
      <c r="P588" s="59"/>
      <c r="Q588" s="59"/>
    </row>
    <row r="589">
      <c r="A589" s="19"/>
      <c r="B589" s="84"/>
      <c r="C589" s="82"/>
      <c r="D589" s="23"/>
      <c r="E589" s="23"/>
      <c r="F589" s="59"/>
      <c r="G589" s="6"/>
      <c r="H589" s="6"/>
      <c r="I589" s="59"/>
      <c r="J589" s="83"/>
      <c r="K589" s="59"/>
      <c r="L589" s="59"/>
      <c r="M589" s="59"/>
      <c r="N589" s="59"/>
      <c r="O589" s="59"/>
      <c r="P589" s="59"/>
      <c r="Q589" s="59"/>
    </row>
    <row r="590">
      <c r="A590" s="19"/>
      <c r="B590" s="84"/>
      <c r="C590" s="82"/>
      <c r="D590" s="23"/>
      <c r="E590" s="23"/>
      <c r="F590" s="59"/>
      <c r="G590" s="6"/>
      <c r="H590" s="6"/>
      <c r="I590" s="59"/>
      <c r="J590" s="83"/>
      <c r="K590" s="59"/>
      <c r="L590" s="59"/>
      <c r="M590" s="59"/>
      <c r="N590" s="59"/>
      <c r="O590" s="59"/>
      <c r="P590" s="59"/>
      <c r="Q590" s="59"/>
    </row>
    <row r="591">
      <c r="A591" s="19"/>
      <c r="B591" s="84"/>
      <c r="C591" s="82"/>
      <c r="D591" s="23"/>
      <c r="E591" s="23"/>
      <c r="F591" s="59"/>
      <c r="G591" s="6"/>
      <c r="H591" s="6"/>
      <c r="I591" s="59"/>
      <c r="J591" s="83"/>
      <c r="K591" s="59"/>
      <c r="L591" s="59"/>
      <c r="M591" s="59"/>
      <c r="N591" s="59"/>
      <c r="O591" s="59"/>
      <c r="P591" s="59"/>
      <c r="Q591" s="59"/>
    </row>
    <row r="592">
      <c r="A592" s="19"/>
      <c r="B592" s="84"/>
      <c r="C592" s="82"/>
      <c r="D592" s="23"/>
      <c r="E592" s="23"/>
      <c r="F592" s="59"/>
      <c r="G592" s="6"/>
      <c r="H592" s="6"/>
      <c r="I592" s="59"/>
      <c r="J592" s="83"/>
      <c r="K592" s="59"/>
      <c r="L592" s="59"/>
      <c r="M592" s="59"/>
      <c r="N592" s="59"/>
      <c r="O592" s="59"/>
      <c r="P592" s="59"/>
      <c r="Q592" s="59"/>
    </row>
    <row r="593">
      <c r="A593" s="19"/>
      <c r="B593" s="84"/>
      <c r="C593" s="82"/>
      <c r="D593" s="23"/>
      <c r="E593" s="23"/>
      <c r="F593" s="59"/>
      <c r="G593" s="6"/>
      <c r="H593" s="6"/>
      <c r="I593" s="59"/>
      <c r="J593" s="83"/>
      <c r="K593" s="59"/>
      <c r="L593" s="59"/>
      <c r="M593" s="59"/>
      <c r="N593" s="59"/>
      <c r="O593" s="59"/>
      <c r="P593" s="59"/>
      <c r="Q593" s="59"/>
    </row>
    <row r="594">
      <c r="A594" s="19"/>
      <c r="B594" s="84"/>
      <c r="C594" s="82"/>
      <c r="D594" s="23"/>
      <c r="E594" s="23"/>
      <c r="F594" s="59"/>
      <c r="G594" s="6"/>
      <c r="H594" s="6"/>
      <c r="I594" s="59"/>
      <c r="J594" s="83"/>
      <c r="K594" s="59"/>
      <c r="L594" s="59"/>
      <c r="M594" s="59"/>
      <c r="N594" s="59"/>
      <c r="O594" s="59"/>
      <c r="P594" s="59"/>
      <c r="Q594" s="59"/>
    </row>
    <row r="595">
      <c r="A595" s="19"/>
      <c r="B595" s="84"/>
      <c r="C595" s="82"/>
      <c r="D595" s="23"/>
      <c r="E595" s="23"/>
      <c r="F595" s="59"/>
      <c r="G595" s="6"/>
      <c r="H595" s="6"/>
      <c r="I595" s="59"/>
      <c r="J595" s="83"/>
      <c r="K595" s="59"/>
      <c r="L595" s="59"/>
      <c r="M595" s="59"/>
      <c r="N595" s="59"/>
      <c r="O595" s="59"/>
      <c r="P595" s="59"/>
      <c r="Q595" s="59"/>
    </row>
    <row r="596">
      <c r="A596" s="19"/>
      <c r="B596" s="84"/>
      <c r="C596" s="82"/>
      <c r="D596" s="23"/>
      <c r="E596" s="23"/>
      <c r="F596" s="59"/>
      <c r="G596" s="6"/>
      <c r="H596" s="6"/>
      <c r="I596" s="59"/>
      <c r="J596" s="83"/>
      <c r="K596" s="59"/>
      <c r="L596" s="59"/>
      <c r="M596" s="59"/>
      <c r="N596" s="59"/>
      <c r="O596" s="59"/>
      <c r="P596" s="59"/>
      <c r="Q596" s="59"/>
    </row>
    <row r="597">
      <c r="A597" s="19"/>
      <c r="B597" s="84"/>
      <c r="C597" s="82"/>
      <c r="D597" s="23"/>
      <c r="E597" s="23"/>
      <c r="F597" s="59"/>
      <c r="G597" s="6"/>
      <c r="H597" s="6"/>
      <c r="I597" s="59"/>
      <c r="J597" s="83"/>
      <c r="K597" s="59"/>
      <c r="L597" s="59"/>
      <c r="M597" s="59"/>
      <c r="N597" s="59"/>
      <c r="O597" s="59"/>
      <c r="P597" s="59"/>
      <c r="Q597" s="59"/>
    </row>
    <row r="598">
      <c r="A598" s="19"/>
      <c r="B598" s="84"/>
      <c r="C598" s="82"/>
      <c r="D598" s="23"/>
      <c r="E598" s="23"/>
      <c r="F598" s="59"/>
      <c r="G598" s="6"/>
      <c r="H598" s="6"/>
      <c r="I598" s="59"/>
      <c r="J598" s="83"/>
      <c r="K598" s="59"/>
      <c r="L598" s="59"/>
      <c r="M598" s="59"/>
      <c r="N598" s="59"/>
      <c r="O598" s="59"/>
      <c r="P598" s="59"/>
      <c r="Q598" s="59"/>
    </row>
    <row r="599">
      <c r="A599" s="19"/>
      <c r="B599" s="84"/>
      <c r="C599" s="82"/>
      <c r="D599" s="23"/>
      <c r="E599" s="23"/>
      <c r="F599" s="59"/>
      <c r="G599" s="6"/>
      <c r="H599" s="6"/>
      <c r="I599" s="59"/>
      <c r="J599" s="83"/>
      <c r="K599" s="59"/>
      <c r="L599" s="59"/>
      <c r="M599" s="59"/>
      <c r="N599" s="59"/>
      <c r="O599" s="59"/>
      <c r="P599" s="59"/>
      <c r="Q599" s="59"/>
    </row>
    <row r="600">
      <c r="A600" s="19"/>
      <c r="B600" s="84"/>
      <c r="C600" s="82"/>
      <c r="D600" s="23"/>
      <c r="E600" s="23"/>
      <c r="F600" s="59"/>
      <c r="G600" s="6"/>
      <c r="H600" s="6"/>
      <c r="I600" s="59"/>
      <c r="J600" s="83"/>
      <c r="K600" s="59"/>
      <c r="L600" s="59"/>
      <c r="M600" s="59"/>
      <c r="N600" s="59"/>
      <c r="O600" s="59"/>
      <c r="P600" s="59"/>
      <c r="Q600" s="59"/>
    </row>
    <row r="601">
      <c r="A601" s="19"/>
      <c r="B601" s="84"/>
      <c r="C601" s="82"/>
      <c r="D601" s="23"/>
      <c r="E601" s="23"/>
      <c r="F601" s="59"/>
      <c r="G601" s="6"/>
      <c r="H601" s="6"/>
      <c r="I601" s="59"/>
      <c r="J601" s="83"/>
      <c r="K601" s="59"/>
      <c r="L601" s="59"/>
      <c r="M601" s="59"/>
      <c r="N601" s="59"/>
      <c r="O601" s="59"/>
      <c r="P601" s="59"/>
      <c r="Q601" s="59"/>
    </row>
    <row r="602">
      <c r="A602" s="19"/>
      <c r="B602" s="84"/>
      <c r="C602" s="82"/>
      <c r="D602" s="23"/>
      <c r="E602" s="23"/>
      <c r="F602" s="59"/>
      <c r="G602" s="6"/>
      <c r="H602" s="6"/>
      <c r="I602" s="59"/>
      <c r="J602" s="83"/>
      <c r="K602" s="59"/>
      <c r="L602" s="59"/>
      <c r="M602" s="59"/>
      <c r="N602" s="59"/>
      <c r="O602" s="59"/>
      <c r="P602" s="59"/>
      <c r="Q602" s="59"/>
    </row>
    <row r="603">
      <c r="A603" s="19"/>
      <c r="B603" s="84"/>
      <c r="C603" s="82"/>
      <c r="D603" s="23"/>
      <c r="E603" s="23"/>
      <c r="F603" s="59"/>
      <c r="G603" s="6"/>
      <c r="H603" s="6"/>
      <c r="I603" s="59"/>
      <c r="J603" s="83"/>
      <c r="K603" s="59"/>
      <c r="L603" s="59"/>
      <c r="M603" s="59"/>
      <c r="N603" s="59"/>
      <c r="O603" s="59"/>
      <c r="P603" s="59"/>
      <c r="Q603" s="59"/>
    </row>
    <row r="604">
      <c r="A604" s="19"/>
      <c r="B604" s="84"/>
      <c r="C604" s="82"/>
      <c r="D604" s="23"/>
      <c r="E604" s="23"/>
      <c r="F604" s="59"/>
      <c r="G604" s="6"/>
      <c r="H604" s="6"/>
      <c r="I604" s="59"/>
      <c r="J604" s="83"/>
      <c r="K604" s="59"/>
      <c r="L604" s="59"/>
      <c r="M604" s="59"/>
      <c r="N604" s="59"/>
      <c r="O604" s="59"/>
      <c r="P604" s="59"/>
      <c r="Q604" s="59"/>
    </row>
    <row r="605">
      <c r="A605" s="19"/>
      <c r="B605" s="84"/>
      <c r="C605" s="82"/>
      <c r="D605" s="23"/>
      <c r="E605" s="23"/>
      <c r="F605" s="59"/>
      <c r="G605" s="6"/>
      <c r="H605" s="6"/>
      <c r="I605" s="59"/>
      <c r="J605" s="83"/>
      <c r="K605" s="59"/>
      <c r="L605" s="59"/>
      <c r="M605" s="59"/>
      <c r="N605" s="59"/>
      <c r="O605" s="59"/>
      <c r="P605" s="59"/>
      <c r="Q605" s="59"/>
    </row>
    <row r="606">
      <c r="A606" s="19"/>
      <c r="B606" s="84"/>
      <c r="C606" s="82"/>
      <c r="D606" s="23"/>
      <c r="E606" s="23"/>
      <c r="F606" s="59"/>
      <c r="G606" s="6"/>
      <c r="H606" s="6"/>
      <c r="I606" s="59"/>
      <c r="J606" s="83"/>
      <c r="K606" s="59"/>
      <c r="L606" s="59"/>
      <c r="M606" s="59"/>
      <c r="N606" s="59"/>
      <c r="O606" s="59"/>
      <c r="P606" s="59"/>
      <c r="Q606" s="59"/>
    </row>
    <row r="607">
      <c r="A607" s="19"/>
      <c r="B607" s="84"/>
      <c r="C607" s="82"/>
      <c r="D607" s="23"/>
      <c r="E607" s="23"/>
      <c r="F607" s="59"/>
      <c r="G607" s="6"/>
      <c r="H607" s="6"/>
      <c r="I607" s="59"/>
      <c r="J607" s="83"/>
      <c r="K607" s="59"/>
      <c r="L607" s="59"/>
      <c r="M607" s="59"/>
      <c r="N607" s="59"/>
      <c r="O607" s="59"/>
      <c r="P607" s="59"/>
      <c r="Q607" s="59"/>
    </row>
    <row r="608">
      <c r="A608" s="19"/>
      <c r="B608" s="84"/>
      <c r="C608" s="82"/>
      <c r="D608" s="23"/>
      <c r="E608" s="23"/>
      <c r="F608" s="59"/>
      <c r="G608" s="6"/>
      <c r="H608" s="6"/>
      <c r="I608" s="59"/>
      <c r="J608" s="83"/>
      <c r="K608" s="59"/>
      <c r="L608" s="59"/>
      <c r="M608" s="59"/>
      <c r="N608" s="59"/>
      <c r="O608" s="59"/>
      <c r="P608" s="59"/>
      <c r="Q608" s="59"/>
    </row>
    <row r="609">
      <c r="A609" s="19"/>
      <c r="B609" s="84"/>
      <c r="C609" s="82"/>
      <c r="D609" s="23"/>
      <c r="E609" s="23"/>
      <c r="F609" s="59"/>
      <c r="G609" s="6"/>
      <c r="H609" s="6"/>
      <c r="I609" s="59"/>
      <c r="J609" s="83"/>
      <c r="K609" s="59"/>
      <c r="L609" s="59"/>
      <c r="M609" s="59"/>
      <c r="N609" s="59"/>
      <c r="O609" s="59"/>
      <c r="P609" s="59"/>
      <c r="Q609" s="59"/>
    </row>
    <row r="610">
      <c r="A610" s="19"/>
      <c r="B610" s="84"/>
      <c r="C610" s="82"/>
      <c r="D610" s="23"/>
      <c r="E610" s="23"/>
      <c r="F610" s="59"/>
      <c r="G610" s="6"/>
      <c r="H610" s="6"/>
      <c r="I610" s="59"/>
      <c r="J610" s="83"/>
      <c r="K610" s="59"/>
      <c r="L610" s="59"/>
      <c r="M610" s="59"/>
      <c r="N610" s="59"/>
      <c r="O610" s="59"/>
      <c r="P610" s="59"/>
      <c r="Q610" s="59"/>
    </row>
    <row r="611">
      <c r="A611" s="19"/>
      <c r="B611" s="84"/>
      <c r="C611" s="82"/>
      <c r="D611" s="23"/>
      <c r="E611" s="23"/>
      <c r="F611" s="59"/>
      <c r="G611" s="6"/>
      <c r="H611" s="6"/>
      <c r="I611" s="59"/>
      <c r="J611" s="83"/>
      <c r="K611" s="59"/>
      <c r="L611" s="59"/>
      <c r="M611" s="59"/>
      <c r="N611" s="59"/>
      <c r="O611" s="59"/>
      <c r="P611" s="59"/>
      <c r="Q611" s="59"/>
    </row>
    <row r="612">
      <c r="A612" s="19"/>
      <c r="B612" s="84"/>
      <c r="C612" s="82"/>
      <c r="D612" s="23"/>
      <c r="E612" s="23"/>
      <c r="F612" s="59"/>
      <c r="G612" s="6"/>
      <c r="H612" s="6"/>
      <c r="I612" s="59"/>
      <c r="J612" s="83"/>
      <c r="K612" s="59"/>
      <c r="L612" s="59"/>
      <c r="M612" s="59"/>
      <c r="N612" s="59"/>
      <c r="O612" s="59"/>
      <c r="P612" s="59"/>
      <c r="Q612" s="59"/>
    </row>
    <row r="613">
      <c r="A613" s="19"/>
      <c r="B613" s="84"/>
      <c r="C613" s="82"/>
      <c r="D613" s="23"/>
      <c r="E613" s="23"/>
      <c r="F613" s="59"/>
      <c r="G613" s="6"/>
      <c r="H613" s="6"/>
      <c r="I613" s="59"/>
      <c r="J613" s="83"/>
      <c r="K613" s="59"/>
      <c r="L613" s="59"/>
      <c r="M613" s="59"/>
      <c r="N613" s="59"/>
      <c r="O613" s="59"/>
      <c r="P613" s="59"/>
      <c r="Q613" s="59"/>
    </row>
    <row r="614">
      <c r="A614" s="19"/>
      <c r="B614" s="84"/>
      <c r="C614" s="82"/>
      <c r="D614" s="23"/>
      <c r="E614" s="23"/>
      <c r="F614" s="59"/>
      <c r="G614" s="6"/>
      <c r="H614" s="6"/>
      <c r="I614" s="59"/>
      <c r="J614" s="83"/>
      <c r="K614" s="59"/>
      <c r="L614" s="59"/>
      <c r="M614" s="59"/>
      <c r="N614" s="59"/>
      <c r="O614" s="59"/>
      <c r="P614" s="59"/>
      <c r="Q614" s="59"/>
    </row>
    <row r="615">
      <c r="A615" s="19"/>
      <c r="B615" s="84"/>
      <c r="C615" s="82"/>
      <c r="D615" s="23"/>
      <c r="E615" s="23"/>
      <c r="F615" s="59"/>
      <c r="G615" s="6"/>
      <c r="H615" s="6"/>
      <c r="I615" s="59"/>
      <c r="J615" s="83"/>
      <c r="K615" s="59"/>
      <c r="L615" s="59"/>
      <c r="M615" s="59"/>
      <c r="N615" s="59"/>
      <c r="O615" s="59"/>
      <c r="P615" s="59"/>
      <c r="Q615" s="59"/>
    </row>
    <row r="616">
      <c r="A616" s="19"/>
      <c r="B616" s="84"/>
      <c r="C616" s="82"/>
      <c r="D616" s="23"/>
      <c r="E616" s="23"/>
      <c r="F616" s="59"/>
      <c r="G616" s="6"/>
      <c r="H616" s="6"/>
      <c r="I616" s="59"/>
      <c r="J616" s="83"/>
      <c r="K616" s="59"/>
      <c r="L616" s="59"/>
      <c r="M616" s="59"/>
      <c r="N616" s="59"/>
      <c r="O616" s="59"/>
      <c r="P616" s="59"/>
      <c r="Q616" s="59"/>
    </row>
    <row r="617">
      <c r="A617" s="19"/>
      <c r="B617" s="84"/>
      <c r="C617" s="82"/>
      <c r="D617" s="23"/>
      <c r="E617" s="23"/>
      <c r="F617" s="59"/>
      <c r="G617" s="6"/>
      <c r="H617" s="6"/>
      <c r="I617" s="59"/>
      <c r="J617" s="83"/>
      <c r="K617" s="59"/>
      <c r="L617" s="59"/>
      <c r="M617" s="59"/>
      <c r="N617" s="59"/>
      <c r="O617" s="59"/>
      <c r="P617" s="59"/>
      <c r="Q617" s="59"/>
    </row>
    <row r="618">
      <c r="A618" s="19"/>
      <c r="B618" s="84"/>
      <c r="C618" s="82"/>
      <c r="D618" s="23"/>
      <c r="E618" s="23"/>
      <c r="F618" s="59"/>
      <c r="G618" s="6"/>
      <c r="H618" s="6"/>
      <c r="I618" s="59"/>
      <c r="J618" s="83"/>
      <c r="K618" s="59"/>
      <c r="L618" s="59"/>
      <c r="M618" s="59"/>
      <c r="N618" s="59"/>
      <c r="O618" s="59"/>
      <c r="P618" s="59"/>
      <c r="Q618" s="59"/>
    </row>
    <row r="619">
      <c r="A619" s="19"/>
      <c r="B619" s="84"/>
      <c r="C619" s="82"/>
      <c r="D619" s="23"/>
      <c r="E619" s="23"/>
      <c r="F619" s="59"/>
      <c r="G619" s="6"/>
      <c r="H619" s="6"/>
      <c r="I619" s="59"/>
      <c r="J619" s="83"/>
      <c r="K619" s="59"/>
      <c r="L619" s="59"/>
      <c r="M619" s="59"/>
      <c r="N619" s="59"/>
      <c r="O619" s="59"/>
      <c r="P619" s="59"/>
      <c r="Q619" s="59"/>
    </row>
    <row r="620">
      <c r="A620" s="19"/>
      <c r="B620" s="84"/>
      <c r="C620" s="82"/>
      <c r="D620" s="23"/>
      <c r="E620" s="23"/>
      <c r="F620" s="59"/>
      <c r="G620" s="6"/>
      <c r="H620" s="6"/>
      <c r="I620" s="59"/>
      <c r="J620" s="83"/>
      <c r="K620" s="59"/>
      <c r="L620" s="59"/>
      <c r="M620" s="59"/>
      <c r="N620" s="59"/>
      <c r="O620" s="59"/>
      <c r="P620" s="59"/>
      <c r="Q620" s="59"/>
    </row>
    <row r="621">
      <c r="A621" s="19"/>
      <c r="B621" s="84"/>
      <c r="C621" s="82"/>
      <c r="D621" s="23"/>
      <c r="E621" s="23"/>
      <c r="F621" s="59"/>
      <c r="G621" s="6"/>
      <c r="H621" s="6"/>
      <c r="I621" s="59"/>
      <c r="J621" s="83"/>
      <c r="K621" s="59"/>
      <c r="L621" s="59"/>
      <c r="M621" s="59"/>
      <c r="N621" s="59"/>
      <c r="O621" s="59"/>
      <c r="P621" s="59"/>
      <c r="Q621" s="59"/>
    </row>
    <row r="622">
      <c r="A622" s="19"/>
      <c r="B622" s="84"/>
      <c r="C622" s="82"/>
      <c r="D622" s="23"/>
      <c r="E622" s="23"/>
      <c r="F622" s="59"/>
      <c r="G622" s="6"/>
      <c r="H622" s="6"/>
      <c r="I622" s="59"/>
      <c r="J622" s="83"/>
      <c r="K622" s="59"/>
      <c r="L622" s="59"/>
      <c r="M622" s="59"/>
      <c r="N622" s="59"/>
      <c r="O622" s="59"/>
      <c r="P622" s="59"/>
      <c r="Q622" s="59"/>
    </row>
    <row r="623">
      <c r="A623" s="19"/>
      <c r="B623" s="84"/>
      <c r="C623" s="82"/>
      <c r="D623" s="23"/>
      <c r="E623" s="23"/>
      <c r="F623" s="59"/>
      <c r="G623" s="6"/>
      <c r="H623" s="6"/>
      <c r="I623" s="59"/>
      <c r="J623" s="83"/>
      <c r="K623" s="59"/>
      <c r="L623" s="59"/>
      <c r="M623" s="59"/>
      <c r="N623" s="59"/>
      <c r="O623" s="59"/>
      <c r="P623" s="59"/>
      <c r="Q623" s="59"/>
    </row>
    <row r="624">
      <c r="A624" s="19"/>
      <c r="B624" s="84"/>
      <c r="C624" s="82"/>
      <c r="D624" s="23"/>
      <c r="E624" s="23"/>
      <c r="F624" s="59"/>
      <c r="G624" s="6"/>
      <c r="H624" s="6"/>
      <c r="I624" s="59"/>
      <c r="J624" s="83"/>
      <c r="K624" s="59"/>
      <c r="L624" s="59"/>
      <c r="M624" s="59"/>
      <c r="N624" s="59"/>
      <c r="O624" s="59"/>
      <c r="P624" s="59"/>
      <c r="Q624" s="59"/>
    </row>
    <row r="625">
      <c r="A625" s="19"/>
      <c r="B625" s="84"/>
      <c r="C625" s="82"/>
      <c r="D625" s="23"/>
      <c r="E625" s="23"/>
      <c r="F625" s="59"/>
      <c r="G625" s="6"/>
      <c r="H625" s="6"/>
      <c r="I625" s="59"/>
      <c r="J625" s="83"/>
      <c r="K625" s="59"/>
      <c r="L625" s="59"/>
      <c r="M625" s="59"/>
      <c r="N625" s="59"/>
      <c r="O625" s="59"/>
      <c r="P625" s="59"/>
      <c r="Q625" s="59"/>
    </row>
    <row r="626">
      <c r="A626" s="19"/>
      <c r="B626" s="84"/>
      <c r="C626" s="82"/>
      <c r="D626" s="23"/>
      <c r="E626" s="23"/>
      <c r="F626" s="59"/>
      <c r="G626" s="6"/>
      <c r="H626" s="6"/>
      <c r="I626" s="59"/>
      <c r="J626" s="83"/>
      <c r="K626" s="59"/>
      <c r="L626" s="59"/>
      <c r="M626" s="59"/>
      <c r="N626" s="59"/>
      <c r="O626" s="59"/>
      <c r="P626" s="59"/>
      <c r="Q626" s="59"/>
    </row>
    <row r="627">
      <c r="A627" s="19"/>
      <c r="B627" s="84"/>
      <c r="C627" s="82"/>
      <c r="D627" s="23"/>
      <c r="E627" s="23"/>
      <c r="F627" s="59"/>
      <c r="G627" s="6"/>
      <c r="H627" s="6"/>
      <c r="I627" s="59"/>
      <c r="J627" s="83"/>
      <c r="K627" s="59"/>
      <c r="L627" s="59"/>
      <c r="M627" s="59"/>
      <c r="N627" s="59"/>
      <c r="O627" s="59"/>
      <c r="P627" s="59"/>
      <c r="Q627" s="59"/>
    </row>
    <row r="628">
      <c r="A628" s="19"/>
      <c r="B628" s="84"/>
      <c r="C628" s="82"/>
      <c r="D628" s="23"/>
      <c r="E628" s="23"/>
      <c r="F628" s="59"/>
      <c r="G628" s="6"/>
      <c r="H628" s="6"/>
      <c r="I628" s="59"/>
      <c r="J628" s="83"/>
      <c r="K628" s="59"/>
      <c r="L628" s="59"/>
      <c r="M628" s="59"/>
      <c r="N628" s="59"/>
      <c r="O628" s="59"/>
      <c r="P628" s="59"/>
      <c r="Q628" s="59"/>
    </row>
    <row r="629">
      <c r="A629" s="19"/>
      <c r="B629" s="84"/>
      <c r="C629" s="82"/>
      <c r="D629" s="23"/>
      <c r="E629" s="23"/>
      <c r="F629" s="59"/>
      <c r="G629" s="6"/>
      <c r="H629" s="6"/>
      <c r="I629" s="59"/>
      <c r="J629" s="83"/>
      <c r="K629" s="59"/>
      <c r="L629" s="59"/>
      <c r="M629" s="59"/>
      <c r="N629" s="59"/>
      <c r="O629" s="59"/>
      <c r="P629" s="59"/>
      <c r="Q629" s="59"/>
    </row>
    <row r="630">
      <c r="A630" s="19"/>
      <c r="B630" s="84"/>
      <c r="C630" s="82"/>
      <c r="D630" s="23"/>
      <c r="E630" s="23"/>
      <c r="F630" s="59"/>
      <c r="G630" s="6"/>
      <c r="H630" s="6"/>
      <c r="I630" s="59"/>
      <c r="J630" s="83"/>
      <c r="K630" s="59"/>
      <c r="L630" s="59"/>
      <c r="M630" s="59"/>
      <c r="N630" s="59"/>
      <c r="O630" s="59"/>
      <c r="P630" s="59"/>
      <c r="Q630" s="59"/>
    </row>
    <row r="631">
      <c r="A631" s="19"/>
      <c r="B631" s="84"/>
      <c r="C631" s="82"/>
      <c r="D631" s="23"/>
      <c r="E631" s="23"/>
      <c r="F631" s="59"/>
      <c r="G631" s="6"/>
      <c r="H631" s="6"/>
      <c r="I631" s="59"/>
      <c r="J631" s="83"/>
      <c r="K631" s="59"/>
      <c r="L631" s="59"/>
      <c r="M631" s="59"/>
      <c r="N631" s="59"/>
      <c r="O631" s="59"/>
      <c r="P631" s="59"/>
      <c r="Q631" s="59"/>
    </row>
    <row r="632">
      <c r="A632" s="19"/>
      <c r="B632" s="84"/>
      <c r="C632" s="82"/>
      <c r="D632" s="23"/>
      <c r="E632" s="23"/>
      <c r="F632" s="59"/>
      <c r="G632" s="6"/>
      <c r="H632" s="6"/>
      <c r="I632" s="59"/>
      <c r="J632" s="83"/>
      <c r="K632" s="59"/>
      <c r="L632" s="59"/>
      <c r="M632" s="59"/>
      <c r="N632" s="59"/>
      <c r="O632" s="59"/>
      <c r="P632" s="59"/>
      <c r="Q632" s="59"/>
    </row>
    <row r="633">
      <c r="A633" s="19"/>
      <c r="B633" s="84"/>
      <c r="C633" s="82"/>
      <c r="D633" s="23"/>
      <c r="E633" s="23"/>
      <c r="F633" s="59"/>
      <c r="G633" s="6"/>
      <c r="H633" s="6"/>
      <c r="I633" s="59"/>
      <c r="J633" s="83"/>
      <c r="K633" s="59"/>
      <c r="L633" s="59"/>
      <c r="M633" s="59"/>
      <c r="N633" s="59"/>
      <c r="O633" s="59"/>
      <c r="P633" s="59"/>
      <c r="Q633" s="59"/>
    </row>
    <row r="634">
      <c r="A634" s="19"/>
      <c r="B634" s="84"/>
      <c r="C634" s="82"/>
      <c r="D634" s="23"/>
      <c r="E634" s="23"/>
      <c r="F634" s="59"/>
      <c r="G634" s="6"/>
      <c r="H634" s="6"/>
      <c r="I634" s="59"/>
      <c r="J634" s="83"/>
      <c r="K634" s="59"/>
      <c r="L634" s="59"/>
      <c r="M634" s="59"/>
      <c r="N634" s="59"/>
      <c r="O634" s="59"/>
      <c r="P634" s="59"/>
      <c r="Q634" s="59"/>
    </row>
    <row r="635">
      <c r="A635" s="19"/>
      <c r="B635" s="84"/>
      <c r="C635" s="82"/>
      <c r="D635" s="23"/>
      <c r="E635" s="23"/>
      <c r="F635" s="59"/>
      <c r="G635" s="6"/>
      <c r="H635" s="6"/>
      <c r="I635" s="59"/>
      <c r="J635" s="83"/>
      <c r="K635" s="59"/>
      <c r="L635" s="59"/>
      <c r="M635" s="59"/>
      <c r="N635" s="59"/>
      <c r="O635" s="59"/>
      <c r="P635" s="59"/>
      <c r="Q635" s="59"/>
    </row>
    <row r="636">
      <c r="A636" s="19"/>
      <c r="B636" s="84"/>
      <c r="C636" s="82"/>
      <c r="D636" s="23"/>
      <c r="E636" s="23"/>
      <c r="F636" s="59"/>
      <c r="G636" s="6"/>
      <c r="H636" s="6"/>
      <c r="I636" s="59"/>
      <c r="J636" s="83"/>
      <c r="K636" s="59"/>
      <c r="L636" s="59"/>
      <c r="M636" s="59"/>
      <c r="N636" s="59"/>
      <c r="O636" s="59"/>
      <c r="P636" s="59"/>
      <c r="Q636" s="59"/>
    </row>
    <row r="637">
      <c r="A637" s="19"/>
      <c r="B637" s="84"/>
      <c r="C637" s="82"/>
      <c r="D637" s="23"/>
      <c r="E637" s="23"/>
      <c r="F637" s="59"/>
      <c r="G637" s="6"/>
      <c r="H637" s="6"/>
      <c r="I637" s="59"/>
      <c r="J637" s="83"/>
      <c r="K637" s="59"/>
      <c r="L637" s="59"/>
      <c r="M637" s="59"/>
      <c r="N637" s="59"/>
      <c r="O637" s="59"/>
      <c r="P637" s="59"/>
      <c r="Q637" s="59"/>
    </row>
    <row r="638">
      <c r="A638" s="19"/>
      <c r="B638" s="84"/>
      <c r="C638" s="82"/>
      <c r="D638" s="23"/>
      <c r="E638" s="23"/>
      <c r="F638" s="59"/>
      <c r="G638" s="6"/>
      <c r="H638" s="6"/>
      <c r="I638" s="59"/>
      <c r="J638" s="83"/>
      <c r="K638" s="59"/>
      <c r="L638" s="59"/>
      <c r="M638" s="59"/>
      <c r="N638" s="59"/>
      <c r="O638" s="59"/>
      <c r="P638" s="59"/>
      <c r="Q638" s="59"/>
    </row>
    <row r="639">
      <c r="A639" s="19"/>
      <c r="B639" s="84"/>
      <c r="C639" s="82"/>
      <c r="D639" s="23"/>
      <c r="E639" s="23"/>
      <c r="F639" s="59"/>
      <c r="G639" s="6"/>
      <c r="H639" s="6"/>
      <c r="I639" s="59"/>
      <c r="J639" s="83"/>
      <c r="K639" s="59"/>
      <c r="L639" s="59"/>
      <c r="M639" s="59"/>
      <c r="N639" s="59"/>
      <c r="O639" s="59"/>
      <c r="P639" s="59"/>
      <c r="Q639" s="59"/>
    </row>
    <row r="640">
      <c r="A640" s="19"/>
      <c r="B640" s="84"/>
      <c r="C640" s="82"/>
      <c r="D640" s="23"/>
      <c r="E640" s="23"/>
      <c r="F640" s="59"/>
      <c r="G640" s="6"/>
      <c r="H640" s="6"/>
      <c r="I640" s="59"/>
      <c r="J640" s="83"/>
      <c r="K640" s="59"/>
      <c r="L640" s="59"/>
      <c r="M640" s="59"/>
      <c r="N640" s="59"/>
      <c r="O640" s="59"/>
      <c r="P640" s="59"/>
      <c r="Q640" s="59"/>
    </row>
    <row r="641">
      <c r="A641" s="19"/>
      <c r="B641" s="84"/>
      <c r="C641" s="82"/>
      <c r="D641" s="23"/>
      <c r="E641" s="23"/>
      <c r="F641" s="59"/>
      <c r="G641" s="6"/>
      <c r="H641" s="6"/>
      <c r="I641" s="59"/>
      <c r="J641" s="83"/>
      <c r="K641" s="59"/>
      <c r="L641" s="59"/>
      <c r="M641" s="59"/>
      <c r="N641" s="59"/>
      <c r="O641" s="59"/>
      <c r="P641" s="59"/>
      <c r="Q641" s="59"/>
    </row>
    <row r="642">
      <c r="A642" s="19"/>
      <c r="B642" s="84"/>
      <c r="C642" s="82"/>
      <c r="D642" s="23"/>
      <c r="E642" s="23"/>
      <c r="F642" s="59"/>
      <c r="G642" s="6"/>
      <c r="H642" s="6"/>
      <c r="I642" s="59"/>
      <c r="J642" s="83"/>
      <c r="K642" s="59"/>
      <c r="L642" s="59"/>
      <c r="M642" s="59"/>
      <c r="N642" s="59"/>
      <c r="O642" s="59"/>
      <c r="P642" s="59"/>
      <c r="Q642" s="59"/>
    </row>
    <row r="643">
      <c r="A643" s="19"/>
      <c r="B643" s="84"/>
      <c r="C643" s="82"/>
      <c r="D643" s="23"/>
      <c r="E643" s="23"/>
      <c r="F643" s="59"/>
      <c r="G643" s="6"/>
      <c r="H643" s="6"/>
      <c r="I643" s="59"/>
      <c r="J643" s="83"/>
      <c r="K643" s="59"/>
      <c r="L643" s="59"/>
      <c r="M643" s="59"/>
      <c r="N643" s="59"/>
      <c r="O643" s="59"/>
      <c r="P643" s="59"/>
      <c r="Q643" s="59"/>
    </row>
    <row r="644">
      <c r="A644" s="19"/>
      <c r="B644" s="84"/>
      <c r="C644" s="82"/>
      <c r="D644" s="23"/>
      <c r="E644" s="23"/>
      <c r="F644" s="59"/>
      <c r="G644" s="6"/>
      <c r="H644" s="6"/>
      <c r="I644" s="59"/>
      <c r="J644" s="83"/>
      <c r="K644" s="59"/>
      <c r="L644" s="59"/>
      <c r="M644" s="59"/>
      <c r="N644" s="59"/>
      <c r="O644" s="59"/>
      <c r="P644" s="59"/>
      <c r="Q644" s="59"/>
    </row>
    <row r="645">
      <c r="A645" s="19"/>
      <c r="B645" s="84"/>
      <c r="C645" s="82"/>
      <c r="D645" s="23"/>
      <c r="E645" s="23"/>
      <c r="F645" s="59"/>
      <c r="G645" s="6"/>
      <c r="H645" s="6"/>
      <c r="I645" s="59"/>
      <c r="J645" s="83"/>
      <c r="K645" s="59"/>
      <c r="L645" s="59"/>
      <c r="M645" s="59"/>
      <c r="N645" s="59"/>
      <c r="O645" s="59"/>
      <c r="P645" s="59"/>
      <c r="Q645" s="59"/>
    </row>
    <row r="646">
      <c r="A646" s="19"/>
      <c r="B646" s="84"/>
      <c r="C646" s="82"/>
      <c r="D646" s="23"/>
      <c r="E646" s="23"/>
      <c r="F646" s="59"/>
      <c r="G646" s="6"/>
      <c r="H646" s="6"/>
      <c r="I646" s="59"/>
      <c r="J646" s="83"/>
      <c r="K646" s="59"/>
      <c r="L646" s="59"/>
      <c r="M646" s="59"/>
      <c r="N646" s="59"/>
      <c r="O646" s="59"/>
      <c r="P646" s="59"/>
      <c r="Q646" s="59"/>
    </row>
    <row r="647">
      <c r="A647" s="19"/>
      <c r="B647" s="84"/>
      <c r="C647" s="82"/>
      <c r="D647" s="23"/>
      <c r="E647" s="23"/>
      <c r="F647" s="59"/>
      <c r="G647" s="6"/>
      <c r="H647" s="6"/>
      <c r="I647" s="59"/>
      <c r="J647" s="83"/>
      <c r="K647" s="59"/>
      <c r="L647" s="59"/>
      <c r="M647" s="59"/>
      <c r="N647" s="59"/>
      <c r="O647" s="59"/>
      <c r="P647" s="59"/>
      <c r="Q647" s="59"/>
    </row>
    <row r="648">
      <c r="A648" s="19"/>
      <c r="B648" s="84"/>
      <c r="C648" s="82"/>
      <c r="D648" s="23"/>
      <c r="E648" s="23"/>
      <c r="F648" s="59"/>
      <c r="G648" s="6"/>
      <c r="H648" s="6"/>
      <c r="I648" s="59"/>
      <c r="J648" s="83"/>
      <c r="K648" s="59"/>
      <c r="L648" s="59"/>
      <c r="M648" s="59"/>
      <c r="N648" s="59"/>
      <c r="O648" s="59"/>
      <c r="P648" s="59"/>
      <c r="Q648" s="59"/>
    </row>
    <row r="649">
      <c r="A649" s="19"/>
      <c r="B649" s="84"/>
      <c r="C649" s="82"/>
      <c r="D649" s="23"/>
      <c r="E649" s="23"/>
      <c r="F649" s="59"/>
      <c r="G649" s="6"/>
      <c r="H649" s="6"/>
      <c r="I649" s="59"/>
      <c r="J649" s="83"/>
      <c r="K649" s="59"/>
      <c r="L649" s="59"/>
      <c r="M649" s="59"/>
      <c r="N649" s="59"/>
      <c r="O649" s="59"/>
      <c r="P649" s="59"/>
      <c r="Q649" s="59"/>
    </row>
    <row r="650">
      <c r="A650" s="19"/>
      <c r="B650" s="84"/>
      <c r="C650" s="82"/>
      <c r="D650" s="23"/>
      <c r="E650" s="23"/>
      <c r="F650" s="59"/>
      <c r="G650" s="6"/>
      <c r="H650" s="6"/>
      <c r="I650" s="59"/>
      <c r="J650" s="83"/>
      <c r="K650" s="59"/>
      <c r="L650" s="59"/>
      <c r="M650" s="59"/>
      <c r="N650" s="59"/>
      <c r="O650" s="59"/>
      <c r="P650" s="59"/>
      <c r="Q650" s="59"/>
    </row>
    <row r="651">
      <c r="A651" s="19"/>
      <c r="B651" s="84"/>
      <c r="C651" s="82"/>
      <c r="D651" s="23"/>
      <c r="E651" s="23"/>
      <c r="F651" s="59"/>
      <c r="G651" s="6"/>
      <c r="H651" s="6"/>
      <c r="I651" s="59"/>
      <c r="J651" s="83"/>
      <c r="K651" s="59"/>
      <c r="L651" s="59"/>
      <c r="M651" s="59"/>
      <c r="N651" s="59"/>
      <c r="O651" s="59"/>
      <c r="P651" s="59"/>
      <c r="Q651" s="59"/>
    </row>
    <row r="652">
      <c r="A652" s="19"/>
      <c r="B652" s="84"/>
      <c r="C652" s="82"/>
      <c r="D652" s="23"/>
      <c r="E652" s="23"/>
      <c r="F652" s="59"/>
      <c r="G652" s="6"/>
      <c r="H652" s="6"/>
      <c r="I652" s="59"/>
      <c r="J652" s="83"/>
      <c r="K652" s="59"/>
      <c r="L652" s="59"/>
      <c r="M652" s="59"/>
      <c r="N652" s="59"/>
      <c r="O652" s="59"/>
      <c r="P652" s="59"/>
      <c r="Q652" s="59"/>
    </row>
    <row r="653">
      <c r="A653" s="19"/>
      <c r="B653" s="84"/>
      <c r="C653" s="82"/>
      <c r="D653" s="23"/>
      <c r="E653" s="23"/>
      <c r="F653" s="59"/>
      <c r="G653" s="6"/>
      <c r="H653" s="6"/>
      <c r="I653" s="59"/>
      <c r="J653" s="83"/>
      <c r="K653" s="59"/>
      <c r="L653" s="59"/>
      <c r="M653" s="59"/>
      <c r="N653" s="59"/>
      <c r="O653" s="59"/>
      <c r="P653" s="59"/>
      <c r="Q653" s="59"/>
    </row>
    <row r="654">
      <c r="A654" s="19"/>
      <c r="B654" s="84"/>
      <c r="C654" s="82"/>
      <c r="D654" s="23"/>
      <c r="E654" s="23"/>
      <c r="F654" s="59"/>
      <c r="G654" s="6"/>
      <c r="H654" s="6"/>
      <c r="I654" s="59"/>
      <c r="J654" s="83"/>
      <c r="K654" s="59"/>
      <c r="L654" s="59"/>
      <c r="M654" s="59"/>
      <c r="N654" s="59"/>
      <c r="O654" s="59"/>
      <c r="P654" s="59"/>
      <c r="Q654" s="59"/>
    </row>
    <row r="655">
      <c r="A655" s="19"/>
      <c r="B655" s="84"/>
      <c r="C655" s="82"/>
      <c r="D655" s="23"/>
      <c r="E655" s="23"/>
      <c r="F655" s="59"/>
      <c r="G655" s="6"/>
      <c r="H655" s="6"/>
      <c r="I655" s="59"/>
      <c r="J655" s="83"/>
      <c r="K655" s="59"/>
      <c r="L655" s="59"/>
      <c r="M655" s="59"/>
      <c r="N655" s="59"/>
      <c r="O655" s="59"/>
      <c r="P655" s="59"/>
      <c r="Q655" s="59"/>
    </row>
    <row r="656">
      <c r="A656" s="19"/>
      <c r="B656" s="84"/>
      <c r="C656" s="82"/>
      <c r="D656" s="23"/>
      <c r="E656" s="23"/>
      <c r="F656" s="59"/>
      <c r="G656" s="6"/>
      <c r="H656" s="6"/>
      <c r="I656" s="59"/>
      <c r="J656" s="83"/>
      <c r="K656" s="59"/>
      <c r="L656" s="59"/>
      <c r="M656" s="59"/>
      <c r="N656" s="59"/>
      <c r="O656" s="59"/>
      <c r="P656" s="59"/>
      <c r="Q656" s="59"/>
    </row>
    <row r="657">
      <c r="A657" s="19"/>
      <c r="B657" s="84"/>
      <c r="C657" s="82"/>
      <c r="D657" s="23"/>
      <c r="E657" s="23"/>
      <c r="F657" s="59"/>
      <c r="G657" s="6"/>
      <c r="H657" s="6"/>
      <c r="I657" s="59"/>
      <c r="J657" s="83"/>
      <c r="K657" s="59"/>
      <c r="L657" s="59"/>
      <c r="M657" s="59"/>
      <c r="N657" s="59"/>
      <c r="O657" s="59"/>
      <c r="P657" s="59"/>
      <c r="Q657" s="59"/>
    </row>
    <row r="658">
      <c r="A658" s="19"/>
      <c r="B658" s="84"/>
      <c r="C658" s="82"/>
      <c r="D658" s="23"/>
      <c r="E658" s="23"/>
      <c r="F658" s="59"/>
      <c r="G658" s="6"/>
      <c r="H658" s="6"/>
      <c r="I658" s="59"/>
      <c r="J658" s="83"/>
      <c r="K658" s="59"/>
      <c r="L658" s="59"/>
      <c r="M658" s="59"/>
      <c r="N658" s="59"/>
      <c r="O658" s="59"/>
      <c r="P658" s="59"/>
      <c r="Q658" s="59"/>
    </row>
  </sheetData>
  <autoFilter ref="$A$1:$Q$658"/>
  <hyperlinks>
    <hyperlink r:id="rId1" ref="Q12"/>
    <hyperlink r:id="rId2" ref="Q15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6" t="s">
        <v>15325</v>
      </c>
      <c r="B1" s="85" t="s">
        <v>15326</v>
      </c>
      <c r="C1" s="85" t="s">
        <v>15137</v>
      </c>
      <c r="D1" s="76" t="s">
        <v>15327</v>
      </c>
    </row>
    <row r="2">
      <c r="A2" s="76" t="s">
        <v>15328</v>
      </c>
      <c r="B2" s="85" t="s">
        <v>15303</v>
      </c>
      <c r="C2" s="85" t="s">
        <v>15093</v>
      </c>
      <c r="D2" s="76" t="s">
        <v>15327</v>
      </c>
    </row>
    <row r="3">
      <c r="A3" s="76" t="s">
        <v>15329</v>
      </c>
      <c r="B3" s="85" t="s">
        <v>15299</v>
      </c>
      <c r="C3" s="85" t="s">
        <v>15096</v>
      </c>
      <c r="D3" s="76" t="s">
        <v>15327</v>
      </c>
    </row>
    <row r="4">
      <c r="A4" s="76" t="s">
        <v>15330</v>
      </c>
      <c r="B4" s="85" t="s">
        <v>15313</v>
      </c>
      <c r="C4" s="85" t="s">
        <v>15100</v>
      </c>
      <c r="D4" s="76" t="s">
        <v>15327</v>
      </c>
    </row>
    <row r="5">
      <c r="A5" s="76" t="s">
        <v>15331</v>
      </c>
      <c r="B5" s="85" t="s">
        <v>15301</v>
      </c>
      <c r="C5" s="85" t="s">
        <v>15082</v>
      </c>
      <c r="D5" s="76" t="s">
        <v>15327</v>
      </c>
    </row>
    <row r="6">
      <c r="A6" s="76" t="s">
        <v>15332</v>
      </c>
      <c r="B6" s="85" t="s">
        <v>15297</v>
      </c>
      <c r="C6" s="85" t="s">
        <v>15296</v>
      </c>
      <c r="D6" s="76" t="s">
        <v>15327</v>
      </c>
    </row>
    <row r="7">
      <c r="A7" s="76" t="s">
        <v>15333</v>
      </c>
      <c r="B7" s="85" t="s">
        <v>15308</v>
      </c>
      <c r="C7" s="85" t="s">
        <v>15130</v>
      </c>
      <c r="D7" s="76" t="s">
        <v>15327</v>
      </c>
    </row>
    <row r="8">
      <c r="A8" s="76" t="s">
        <v>15334</v>
      </c>
      <c r="B8" s="85" t="s">
        <v>15305</v>
      </c>
      <c r="C8" s="85" t="s">
        <v>15122</v>
      </c>
      <c r="D8" s="76" t="s">
        <v>15327</v>
      </c>
    </row>
    <row r="9">
      <c r="A9" s="76" t="s">
        <v>15335</v>
      </c>
      <c r="B9" s="85" t="s">
        <v>15312</v>
      </c>
      <c r="C9" s="85" t="s">
        <v>15074</v>
      </c>
      <c r="D9" s="76" t="s">
        <v>15336</v>
      </c>
    </row>
    <row r="10">
      <c r="A10" s="76" t="s">
        <v>15337</v>
      </c>
    </row>
    <row r="12">
      <c r="A12" s="76" t="s">
        <v>15338</v>
      </c>
    </row>
    <row r="13">
      <c r="A13" s="76" t="s">
        <v>15339</v>
      </c>
    </row>
    <row r="14">
      <c r="A14" s="76" t="s">
        <v>15340</v>
      </c>
    </row>
    <row r="15">
      <c r="A15" s="76" t="s">
        <v>15341</v>
      </c>
    </row>
    <row r="16">
      <c r="A16" s="76" t="s">
        <v>15342</v>
      </c>
    </row>
    <row r="17">
      <c r="A17" s="76" t="s">
        <v>15343</v>
      </c>
    </row>
    <row r="18">
      <c r="A18" s="76" t="s">
        <v>15344</v>
      </c>
      <c r="B18" s="76" t="s">
        <v>15345</v>
      </c>
    </row>
    <row r="20">
      <c r="A20" s="76" t="s">
        <v>15346</v>
      </c>
    </row>
    <row r="21">
      <c r="A21" s="76" t="s">
        <v>15347</v>
      </c>
    </row>
    <row r="22">
      <c r="A22" s="76" t="s">
        <v>15348</v>
      </c>
    </row>
    <row r="24">
      <c r="A24" s="76" t="s">
        <v>15349</v>
      </c>
    </row>
    <row r="25">
      <c r="A25" s="76" t="s">
        <v>15350</v>
      </c>
    </row>
    <row r="26">
      <c r="A26" s="76" t="s">
        <v>15351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5.0" topLeftCell="A16" activePane="bottomLeft" state="frozen"/>
      <selection activeCell="B17" sqref="B17" pane="bottomLeft"/>
    </sheetView>
  </sheetViews>
  <sheetFormatPr customHeight="1" defaultColWidth="12.63" defaultRowHeight="15.75"/>
  <cols>
    <col customWidth="1" min="1" max="1" width="11.75"/>
    <col customWidth="1" min="2" max="2" width="7.25"/>
    <col customWidth="1" min="3" max="3" width="10.38"/>
    <col customWidth="1" min="4" max="4" width="21.75"/>
    <col customWidth="1" min="5" max="5" width="23.75"/>
    <col customWidth="1" min="6" max="170" width="8.13"/>
  </cols>
  <sheetData>
    <row r="1">
      <c r="A1" s="86" t="s">
        <v>15352</v>
      </c>
      <c r="B1" s="87" t="s">
        <v>15353</v>
      </c>
      <c r="C1" s="19"/>
      <c r="E1" s="58"/>
      <c r="G1" s="19"/>
      <c r="H1" s="88"/>
      <c r="I1" s="88"/>
      <c r="J1" s="88"/>
      <c r="K1" s="88"/>
      <c r="L1" s="88"/>
      <c r="M1" s="88"/>
      <c r="N1" s="88"/>
      <c r="O1" s="88"/>
      <c r="P1" s="88"/>
      <c r="Q1" s="88"/>
      <c r="R1" s="88"/>
      <c r="S1" s="88"/>
      <c r="T1" s="88"/>
      <c r="U1" s="88"/>
      <c r="V1" s="88"/>
      <c r="W1" s="88"/>
      <c r="X1" s="88"/>
      <c r="Y1" s="88"/>
      <c r="Z1" s="88"/>
      <c r="AA1" s="88"/>
      <c r="AB1" s="88"/>
      <c r="AC1" s="88"/>
      <c r="AD1" s="88"/>
      <c r="AE1" s="88"/>
      <c r="AF1" s="88"/>
      <c r="AG1" s="88"/>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row>
    <row r="2">
      <c r="A2" s="89"/>
      <c r="B2" s="87" t="s">
        <v>15352</v>
      </c>
      <c r="C2" s="5" t="s">
        <v>73</v>
      </c>
      <c r="E2" s="5"/>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row>
    <row r="3">
      <c r="A3" s="89"/>
      <c r="B3" s="87" t="s">
        <v>15354</v>
      </c>
      <c r="C3" s="19"/>
      <c r="E3" s="5"/>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row>
    <row r="4">
      <c r="A4" s="19" t="str">
        <f>IMAGE("" &amp; E14 &amp;  "", 1)</f>
        <v/>
      </c>
      <c r="D4" s="90" t="s">
        <v>1953</v>
      </c>
      <c r="E4" s="5" t="str">
        <f>IFERROR(__xludf.DUMMYFUNCTION("FLATTEN(QUERY('bd_normalizado PJMC (769)'!A:AAD, ""select * where ("" &amp;
IF(A1=""Nome:"", ""H = '"" &amp; C1 &amp; ""'"", 
IF(A1=""Protocolo:"", ""O = '"" &amp; C2 &amp; ""'"", 
IF(A1=""CPF:"", ""EZ = '"" &amp; C3 &amp; ""'"", """"))) &amp; "")"", 0))
"),"SIM")</f>
        <v>SIM</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row>
    <row r="5">
      <c r="D5" s="90" t="s">
        <v>1954</v>
      </c>
      <c r="E5" s="5" t="str">
        <f>IFERROR(__xludf.DUMMYFUNCTION("""COMPUTED_VALUE"""),"on")</f>
        <v>on</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row>
    <row r="6">
      <c r="D6" s="90" t="s">
        <v>1955</v>
      </c>
      <c r="E6" s="5" t="str">
        <f>IFERROR(__xludf.DUMMYFUNCTION("""COMPUTED_VALUE"""),"on")</f>
        <v>on</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row>
    <row r="7">
      <c r="D7" s="90" t="s">
        <v>1956</v>
      </c>
      <c r="E7" s="5" t="str">
        <f>IFERROR(__xludf.DUMMYFUNCTION("""COMPUTED_VALUE"""),"LEONARDO FAVERO ROCHA")</f>
        <v>LEONARDO FAVERO ROCHA</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row>
    <row r="8">
      <c r="D8" s="90" t="s">
        <v>1957</v>
      </c>
      <c r="E8" s="5" t="str">
        <f>IFERROR(__xludf.DUMMYFUNCTION("""COMPUTED_VALUE"""),"Leonardo Favero Rocha")</f>
        <v>Leonardo Favero Rocha</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row>
    <row r="9">
      <c r="D9" s="90" t="s">
        <v>1958</v>
      </c>
      <c r="E9" s="5" t="str">
        <f>IFERROR(__xludf.DUMMYFUNCTION("""COMPUTED_VALUE"""),"LEO")</f>
        <v>LEO</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row>
    <row r="10">
      <c r="D10" s="90" t="s">
        <v>1959</v>
      </c>
      <c r="E10" s="5" t="str">
        <f>IFERROR(__xludf.DUMMYFUNCTION("""COMPUTED_VALUE"""),"Leo")</f>
        <v>Leo</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row>
    <row r="11">
      <c r="D11" s="90" t="s">
        <v>1960</v>
      </c>
      <c r="E11" s="5" t="str">
        <f>IFERROR(__xludf.DUMMYFUNCTION("""COMPUTED_VALUE"""),"LEONARDO FAVERO ROCHA")</f>
        <v>LEONARDO FAVERO ROCHA</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row>
    <row r="12">
      <c r="D12" s="90" t="s">
        <v>1961</v>
      </c>
      <c r="E12" s="5" t="str">
        <f>IFERROR(__xludf.DUMMYFUNCTION("""COMPUTED_VALUE"""),"411.***.***-70")</f>
        <v>411.***.***-70</v>
      </c>
      <c r="F12" s="19"/>
      <c r="G12" s="19"/>
      <c r="H12" s="19"/>
      <c r="I12" s="23">
        <v>5.0</v>
      </c>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row>
    <row r="13">
      <c r="D13" s="90" t="s">
        <v>1962</v>
      </c>
      <c r="E13" s="5" t="str">
        <f>IFERROR(__xludf.DUMMYFUNCTION("""COMPUTED_VALUE"""),"leo_faviro@hotmail.com")</f>
        <v>leo_faviro@hotmail.com</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row>
    <row r="14">
      <c r="D14" s="90" t="s">
        <v>1963</v>
      </c>
      <c r="E14" s="91" t="str">
        <f>IFERROR(__xludf.DUMMYFUNCTION("""COMPUTED_VALUE"""),"https://yz2spukd8h-jbrk7pf7uvw.s3.amazonaws.com/2024/05/aUUS1UmSk6aM6w9Z5voIhLjrbLyS7DhhE/c08slBnrs%3D.jpeg")</f>
        <v>https://yz2spukd8h-jbrk7pf7uvw.s3.amazonaws.com/2024/05/aUUS1UmSk6aM6w9Z5voIhLjrbLyS7DhhE/c08slBnrs%3D.jpeg</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row>
    <row r="15">
      <c r="D15" s="90" t="s">
        <v>1964</v>
      </c>
      <c r="E15" s="92">
        <f>IFERROR(__xludf.DUMMYFUNCTION("""COMPUTED_VALUE"""),45427.0)</f>
        <v>45427</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row>
    <row r="16">
      <c r="B16" s="93"/>
      <c r="C16" s="19"/>
      <c r="D16" s="90" t="s">
        <v>1965</v>
      </c>
      <c r="E16" s="92">
        <f>IFERROR(__xludf.DUMMYFUNCTION("""COMPUTED_VALUE"""),45428.0)</f>
        <v>45428</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row>
    <row r="17">
      <c r="B17" s="93"/>
      <c r="C17" s="19"/>
      <c r="D17" s="90" t="s">
        <v>1966</v>
      </c>
      <c r="E17" s="92">
        <f>IFERROR(__xludf.DUMMYFUNCTION("""COMPUTED_VALUE"""),45428.0)</f>
        <v>45428</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row>
    <row r="18">
      <c r="B18" s="93"/>
      <c r="C18" s="19"/>
      <c r="D18" s="90" t="s">
        <v>1967</v>
      </c>
      <c r="E18" s="5" t="str">
        <f>IFERROR(__xludf.DUMMYFUNCTION("""COMPUTED_VALUE"""),"32744928")</f>
        <v>32744928</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row>
    <row r="19">
      <c r="B19" s="93"/>
      <c r="C19" s="19"/>
      <c r="D19" s="90" t="s">
        <v>1968</v>
      </c>
      <c r="E19" s="5">
        <f>IFERROR(__xludf.DUMMYFUNCTION("""COMPUTED_VALUE"""),0.0)</f>
        <v>0</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row>
    <row r="20">
      <c r="B20" s="93"/>
      <c r="C20" s="19"/>
      <c r="D20" s="90" t="s">
        <v>1969</v>
      </c>
      <c r="E20" s="5">
        <f>IFERROR(__xludf.DUMMYFUNCTION("""COMPUTED_VALUE"""),25.0)</f>
        <v>25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row>
    <row r="21">
      <c r="B21" s="93"/>
      <c r="C21" s="19"/>
      <c r="D21" s="90" t="s">
        <v>1970</v>
      </c>
      <c r="E21" s="5">
        <f>IFERROR(__xludf.DUMMYFUNCTION("""COMPUTED_VALUE"""),9212.0)</f>
        <v>9212</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row>
    <row r="22">
      <c r="B22" s="93"/>
      <c r="C22" s="19"/>
      <c r="D22" s="90" t="s">
        <v>1971</v>
      </c>
      <c r="E22" s="5" t="str">
        <f>IFERROR(__xludf.DUMMYFUNCTION("""COMPUTED_VALUE"""),"25 anos, 2 meses, 19 dias")</f>
        <v>25 anos, 2 meses, 19 dias</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row>
    <row r="23">
      <c r="B23" s="93"/>
      <c r="C23" s="19"/>
      <c r="D23" s="90" t="s">
        <v>1972</v>
      </c>
      <c r="E23" s="92">
        <f>IFERROR(__xludf.DUMMYFUNCTION("""COMPUTED_VALUE"""),45461.0)</f>
        <v>45461</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row>
    <row r="24">
      <c r="B24" s="93"/>
      <c r="C24" s="19"/>
      <c r="D24" s="90" t="s">
        <v>1973</v>
      </c>
      <c r="E24" s="5" t="str">
        <f>IFERROR(__xludf.DUMMYFUNCTION("""COMPUTED_VALUE"""),"LEO")</f>
        <v>LEO</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row>
    <row r="25">
      <c r="B25" s="93"/>
      <c r="C25" s="19"/>
      <c r="D25" s="90" t="s">
        <v>2039</v>
      </c>
      <c r="E25" s="5"/>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row>
    <row r="26">
      <c r="B26" s="93"/>
      <c r="C26" s="19"/>
      <c r="D26" s="90" t="s">
        <v>1974</v>
      </c>
      <c r="E26" s="5" t="str">
        <f>IFERROR(__xludf.DUMMYFUNCTION("""COMPUTED_VALUE"""),"CURSANDO SUPERIOR EM PRODUÇÃO CULTURAL")</f>
        <v>CURSANDO SUPERIOR EM PRODUÇÃO CULTURAL</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row>
    <row r="27">
      <c r="B27" s="93"/>
      <c r="C27" s="19"/>
      <c r="D27" s="90" t="s">
        <v>1975</v>
      </c>
      <c r="E27" s="94">
        <f>IFERROR(__xludf.DUMMYFUNCTION("""COMPUTED_VALUE"""),20.0)</f>
        <v>20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row>
    <row r="28">
      <c r="B28" s="93"/>
      <c r="C28" s="19"/>
      <c r="D28" s="90" t="s">
        <v>1976</v>
      </c>
      <c r="E28" s="94">
        <f>IFERROR(__xludf.DUMMYFUNCTION("""COMPUTED_VALUE"""),10.0)</f>
        <v>10</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row>
    <row r="29">
      <c r="B29" s="93"/>
      <c r="C29" s="19"/>
      <c r="D29" s="90" t="s">
        <v>1977</v>
      </c>
      <c r="E29" s="94">
        <f>IFERROR(__xludf.DUMMYFUNCTION("""COMPUTED_VALUE"""),5.0)</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row>
    <row r="30">
      <c r="B30" s="93"/>
      <c r="C30" s="19"/>
      <c r="D30" s="90" t="s">
        <v>1978</v>
      </c>
      <c r="E30" s="94">
        <f>IFERROR(__xludf.DUMMYFUNCTION("""COMPUTED_VALUE"""),3.0)</f>
        <v>3</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row>
    <row r="31">
      <c r="B31" s="93"/>
      <c r="C31" s="19"/>
      <c r="D31" s="90" t="s">
        <v>1979</v>
      </c>
      <c r="E31" s="94">
        <f>IFERROR(__xludf.DUMMYFUNCTION("""COMPUTED_VALUE"""),38.0)</f>
        <v>38</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row>
    <row r="32">
      <c r="B32" s="93"/>
      <c r="C32" s="19"/>
      <c r="D32" s="90" t="s">
        <v>1994</v>
      </c>
      <c r="E32" s="5">
        <f>IFERROR(__xludf.DUMMYFUNCTION("""COMPUTED_VALUE"""),4.6)</f>
        <v>4.6</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row>
    <row r="33">
      <c r="B33" s="93"/>
      <c r="C33" s="19"/>
      <c r="D33" s="90" t="s">
        <v>15355</v>
      </c>
      <c r="E33" s="5">
        <f>IFERROR(__xludf.DUMMYFUNCTION("""COMPUTED_VALUE"""),4.6)</f>
        <v>4.6</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row>
    <row r="34">
      <c r="B34" s="93"/>
      <c r="C34" s="19"/>
      <c r="D34" s="90" t="s">
        <v>1981</v>
      </c>
      <c r="E34" s="5">
        <f>IFERROR(__xludf.DUMMYFUNCTION("""COMPUTED_VALUE"""),4.0)</f>
        <v>4</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row>
    <row r="35">
      <c r="B35" s="93"/>
      <c r="C35" s="19"/>
      <c r="D35" s="90" t="s">
        <v>1982</v>
      </c>
      <c r="E35" s="5">
        <f>IFERROR(__xludf.DUMMYFUNCTION("""COMPUTED_VALUE"""),4.3)</f>
        <v>4.3</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row>
    <row r="36">
      <c r="B36" s="93"/>
      <c r="C36" s="19"/>
      <c r="D36" s="90" t="s">
        <v>1983</v>
      </c>
      <c r="E36" s="5">
        <f>IFERROR(__xludf.DUMMYFUNCTION("""COMPUTED_VALUE"""),4.0)</f>
        <v>4</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row>
    <row r="37">
      <c r="B37" s="93"/>
      <c r="C37" s="19"/>
      <c r="D37" s="90" t="s">
        <v>1984</v>
      </c>
      <c r="E37" s="5">
        <f>IFERROR(__xludf.DUMMYFUNCTION("""COMPUTED_VALUE"""),4.6)</f>
        <v>4.6</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row>
    <row r="38">
      <c r="B38" s="93"/>
      <c r="C38" s="19"/>
      <c r="D38" s="90" t="s">
        <v>1985</v>
      </c>
      <c r="E38" s="95">
        <f>IFERROR(__xludf.DUMMYFUNCTION("""COMPUTED_VALUE"""),13.012500000000001)</f>
        <v>13.0125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row>
    <row r="39">
      <c r="B39" s="93"/>
      <c r="C39" s="19"/>
      <c r="D39" s="90" t="s">
        <v>1997</v>
      </c>
      <c r="E39" s="5">
        <f>IFERROR(__xludf.DUMMYFUNCTION("""COMPUTED_VALUE"""),13.0)</f>
        <v>13</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row>
    <row r="40">
      <c r="B40" s="93"/>
      <c r="C40" s="19"/>
      <c r="D40" s="90" t="s">
        <v>1987</v>
      </c>
      <c r="E40" s="5">
        <f>IFERROR(__xludf.DUMMYFUNCTION("""COMPUTED_VALUE"""),15.0)</f>
        <v>15</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row>
    <row r="41">
      <c r="B41" s="93"/>
      <c r="C41" s="19"/>
      <c r="D41" s="90" t="s">
        <v>1986</v>
      </c>
      <c r="E41" s="5">
        <f>IFERROR(__xludf.DUMMYFUNCTION("""COMPUTED_VALUE"""),15.0)</f>
        <v>15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row>
    <row r="42">
      <c r="B42" s="93"/>
      <c r="C42" s="19"/>
      <c r="D42" s="90" t="s">
        <v>1995</v>
      </c>
      <c r="E42" s="5">
        <f>IFERROR(__xludf.DUMMYFUNCTION("""COMPUTED_VALUE"""),43.0)</f>
        <v>43</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row>
    <row r="43">
      <c r="B43" s="93"/>
      <c r="C43" s="19"/>
      <c r="D43" s="90" t="s">
        <v>1996</v>
      </c>
      <c r="E43" s="95">
        <f>IFERROR(__xludf.DUMMYFUNCTION("""COMPUTED_VALUE"""),56.0)</f>
        <v>56</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row>
    <row r="44">
      <c r="B44" s="93"/>
      <c r="C44" s="19"/>
      <c r="D44" s="90" t="s">
        <v>1988</v>
      </c>
      <c r="E44" s="95">
        <f>IFERROR(__xludf.DUMMYFUNCTION("""COMPUTED_VALUE"""),94.0)</f>
        <v>94</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row>
    <row r="45">
      <c r="B45" s="93"/>
      <c r="C45" s="19"/>
      <c r="D45" s="90" t="s">
        <v>1989</v>
      </c>
      <c r="E45" s="5">
        <f>IFERROR(__xludf.DUMMYFUNCTION("""COMPUTED_VALUE"""),6.0)</f>
        <v>6</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row>
    <row r="46">
      <c r="B46" s="93"/>
      <c r="C46" s="19"/>
      <c r="D46" s="90" t="s">
        <v>1992</v>
      </c>
      <c r="E46" s="5">
        <f>IFERROR(__xludf.DUMMYFUNCTION("""COMPUTED_VALUE"""),18.0)</f>
        <v>18</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row>
    <row r="47">
      <c r="B47" s="93"/>
      <c r="C47" s="19"/>
      <c r="D47" s="90" t="s">
        <v>15356</v>
      </c>
      <c r="E47" s="5">
        <f>IFERROR(__xludf.DUMMYFUNCTION("""COMPUTED_VALUE"""),1.0)</f>
        <v>1</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row>
    <row r="48">
      <c r="B48" s="93"/>
      <c r="C48" s="19"/>
      <c r="D48" s="90" t="s">
        <v>1990</v>
      </c>
      <c r="E48" s="5"/>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row>
    <row r="49">
      <c r="B49" s="93"/>
      <c r="C49" s="19"/>
      <c r="D49" s="90" t="s">
        <v>15357</v>
      </c>
      <c r="E49" s="5" t="str">
        <f>IFERROR(__xludf.DUMMYFUNCTION("""COMPUTED_VALUE"""),"Branca")</f>
        <v>Branca</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row>
    <row r="50">
      <c r="B50" s="93"/>
      <c r="C50" s="19"/>
      <c r="D50" s="90" t="s">
        <v>1998</v>
      </c>
      <c r="E50" s="5" t="str">
        <f>IFERROR(__xludf.DUMMYFUNCTION("""COMPUTED_VALUE"""),"Jardim Castro Alves")</f>
        <v>Jardim Castro Alves</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row>
    <row r="51">
      <c r="B51" s="93"/>
      <c r="C51" s="19"/>
      <c r="D51" s="90" t="s">
        <v>1999</v>
      </c>
      <c r="E51" s="5" t="str">
        <f>IFERROR(__xludf.DUMMYFUNCTION("""COMPUTED_VALUE"""),"04842-510")</f>
        <v>04842-510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row>
    <row r="52">
      <c r="B52" s="93"/>
      <c r="C52" s="19"/>
      <c r="D52" s="90" t="s">
        <v>2000</v>
      </c>
      <c r="E52" s="5" t="str">
        <f>IFERROR(__xludf.DUMMYFUNCTION("""COMPUTED_VALUE"""),"Casa")</f>
        <v>Casa</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row>
    <row r="53">
      <c r="B53" s="93"/>
      <c r="C53" s="19"/>
      <c r="D53" s="90" t="s">
        <v>2001</v>
      </c>
      <c r="E53" s="92">
        <f>IFERROR(__xludf.DUMMYFUNCTION("""COMPUTED_VALUE"""),36249.0)</f>
        <v>36249</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row>
    <row r="54">
      <c r="B54" s="93"/>
      <c r="C54" s="19"/>
      <c r="D54" s="90" t="s">
        <v>2002</v>
      </c>
      <c r="E54" s="5" t="str">
        <f>IFERROR(__xludf.DUMMYFUNCTION("""COMPUTED_VALUE"""),"GRAJAÚ")</f>
        <v>GRAJAÚ</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row>
    <row r="55">
      <c r="B55" s="93"/>
      <c r="C55" s="19"/>
      <c r="D55" s="90" t="s">
        <v>2003</v>
      </c>
      <c r="E55" s="5" t="str">
        <f>IFERROR(__xludf.DUMMYFUNCTION("""COMPUTED_VALUE"""),"Não-binária")</f>
        <v>Não-binária</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row>
    <row r="56">
      <c r="B56" s="93"/>
      <c r="C56" s="19"/>
      <c r="D56" s="90" t="s">
        <v>2004</v>
      </c>
      <c r="E56" s="5" t="str">
        <f>IFERROR(__xludf.DUMMYFUNCTION("""COMPUTED_VALUE"""),"Rua Olney Cazarre")</f>
        <v>Rua Olney Cazarre</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row>
    <row r="57">
      <c r="B57" s="93"/>
      <c r="C57" s="19"/>
      <c r="D57" s="90" t="s">
        <v>2005</v>
      </c>
      <c r="E57" s="5" t="str">
        <f>IFERROR(__xludf.DUMMYFUNCTION("""COMPUTED_VALUE"""),"20")</f>
        <v>20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row>
    <row r="58">
      <c r="B58" s="93"/>
      <c r="C58" s="19"/>
      <c r="D58" s="90" t="s">
        <v>2006</v>
      </c>
      <c r="E58" s="5" t="str">
        <f>IFERROR(__xludf.DUMMYFUNCTION("""COMPUTED_VALUE"""),"36651183x")</f>
        <v>36651183x</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row>
    <row r="59">
      <c r="B59" s="93"/>
      <c r="C59" s="19"/>
      <c r="D59" s="90" t="s">
        <v>2007</v>
      </c>
      <c r="E59" s="5" t="str">
        <f>IFERROR(__xludf.DUMMYFUNCTION("""COMPUTED_VALUE"""),"(11) 96841-3518")</f>
        <v>(11) 96841-3518</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row>
    <row r="60">
      <c r="B60" s="93"/>
      <c r="C60" s="19"/>
      <c r="D60" s="90" t="s">
        <v>2008</v>
      </c>
      <c r="E60" s="5" t="str">
        <f>IFERROR(__xludf.DUMMYFUNCTION("""COMPUTED_VALUE"""),"leo_faviro@hotmail.com")</f>
        <v>leo_faviro@hotmail.com</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row>
    <row r="61">
      <c r="B61" s="93"/>
      <c r="C61" s="19"/>
      <c r="D61" s="90" t="s">
        <v>2009</v>
      </c>
      <c r="E61" s="5">
        <f>IFERROR(__xludf.DUMMYFUNCTION("""COMPUTED_VALUE"""),1.1968413518E10)</f>
        <v>11968413518</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row>
    <row r="62">
      <c r="B62" s="93"/>
      <c r="C62" s="19"/>
      <c r="D62" s="90" t="s">
        <v>2010</v>
      </c>
      <c r="E62" s="5" t="str">
        <f>IFERROR(__xludf.DUMMYFUNCTION("""COMPUTED_VALUE"""),"Não estou cursando superior")</f>
        <v>Não estou cursando superior</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row>
    <row r="63">
      <c r="B63" s="93"/>
      <c r="C63" s="19"/>
      <c r="D63" s="90" t="s">
        <v>2011</v>
      </c>
      <c r="E63" s="5" t="str">
        <f>IFERROR(__xludf.DUMMYFUNCTION("""COMPUTED_VALUE"""),"Público")</f>
        <v>Público</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row>
    <row r="64">
      <c r="B64" s="93"/>
      <c r="C64" s="19"/>
      <c r="D64" s="90" t="s">
        <v>2012</v>
      </c>
      <c r="E64" s="5"/>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row>
    <row r="65">
      <c r="B65" s="93"/>
      <c r="C65" s="19"/>
      <c r="D65" s="90" t="s">
        <v>2013</v>
      </c>
      <c r="E65" s="5"/>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row>
    <row r="66">
      <c r="B66" s="93"/>
      <c r="C66" s="19"/>
      <c r="D66" s="90" t="s">
        <v>2014</v>
      </c>
      <c r="E66" s="5" t="str">
        <f>IFERROR(__xludf.DUMMYFUNCTION("""COMPUTED_VALUE"""),"Não")</f>
        <v>Não</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row>
    <row r="67">
      <c r="B67" s="93"/>
      <c r="C67" s="19"/>
      <c r="D67" s="90" t="s">
        <v>2015</v>
      </c>
      <c r="E67" s="5"/>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row>
    <row r="68">
      <c r="B68" s="93"/>
      <c r="C68" s="19"/>
      <c r="D68" s="90" t="s">
        <v>2016</v>
      </c>
      <c r="E68" s="5" t="str">
        <f>IFERROR(__xludf.DUMMYFUNCTION("""COMPUTED_VALUE"""),"Até R$ 706,00 por pessoa (baixa renda, conforme Lei nº 13.841, de 7 de junho de 2004 - n° do CadÚnico obrigatório nessa opção)")</f>
        <v>Até R$ 706,00 por pessoa (baixa renda, conforme Lei nº 13.841, de 7 de junho de 2004 - n° do CadÚnico obrigatório nessa opção)</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row>
    <row r="69">
      <c r="B69" s="93"/>
      <c r="C69" s="19"/>
      <c r="D69" s="90" t="s">
        <v>2017</v>
      </c>
      <c r="E69" s="5" t="str">
        <f>IFERROR(__xludf.DUMMYFUNCTION("""COMPUTED_VALUE"""),"Sim")</f>
        <v>Sim</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row>
    <row r="70">
      <c r="B70" s="93"/>
      <c r="C70" s="19"/>
      <c r="D70" s="90" t="s">
        <v>2018</v>
      </c>
      <c r="E70" s="5" t="str">
        <f>IFERROR(__xludf.DUMMYFUNCTION("""COMPUTED_VALUE"""),"5")</f>
        <v>5</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row>
    <row r="71">
      <c r="B71" s="93"/>
      <c r="C71" s="19"/>
      <c r="D71" s="90" t="s">
        <v>2019</v>
      </c>
      <c r="E71" s="91" t="str">
        <f>IFERROR(__xludf.DUMMYFUNCTION("""COMPUTED_VALUE"""),"https://www.instagram.com/mcda4i20/")</f>
        <v>https://www.instagram.com/mcda4i20/</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row>
    <row r="72">
      <c r="B72" s="93"/>
      <c r="C72" s="19"/>
      <c r="D72" s="90" t="s">
        <v>2020</v>
      </c>
      <c r="E72" s="5" t="str">
        <f>IFERROR(__xludf.DUMMYFUNCTION("""COMPUTED_VALUE"""),"SUL")</f>
        <v>SUL</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row>
    <row r="73">
      <c r="B73" s="93"/>
      <c r="C73" s="19"/>
      <c r="D73" s="90" t="s">
        <v>2021</v>
      </c>
      <c r="E73" s="5" t="str">
        <f>IFERROR(__xludf.DUMMYFUNCTION("""COMPUTED_VALUE"""),"SUL")</f>
        <v>SUL</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row>
    <row r="74">
      <c r="B74" s="93"/>
      <c r="C74" s="19"/>
      <c r="D74" s="90" t="s">
        <v>2022</v>
      </c>
      <c r="E74" s="5" t="str">
        <f>IFERROR(__xludf.DUMMYFUNCTION("""COMPUTED_VALUE"""),"Médio-Técnico")</f>
        <v>Médio-Técnico</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row>
    <row r="75">
      <c r="B75" s="93"/>
      <c r="C75" s="19"/>
      <c r="D75" s="90" t="s">
        <v>2023</v>
      </c>
      <c r="E75" s="5" t="str">
        <f>IFERROR(__xludf.DUMMYFUNCTION("""COMPUTED_VALUE"""),"CAPELA DO SOCORRO-PARELHEIROS")</f>
        <v>CAPELA DO SOCORRO-PARELHEIROS</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row>
    <row r="76">
      <c r="B76" s="93"/>
      <c r="C76" s="19"/>
      <c r="D76" s="90" t="s">
        <v>2024</v>
      </c>
      <c r="E76" s="5" t="str">
        <f>IFERROR(__xludf.DUMMYFUNCTION("""COMPUTED_VALUE"""),"TÉCNICO EM PRODUÇÃO AUDIOVISUAL, SUPERIOR EM PRODUÇÃO CULTURAL")</f>
        <v>TÉCNICO EM PRODUÇÃO AUDIOVISUAL, SUPERIOR EM PRODUÇÃO CULTURAL</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row>
    <row r="77">
      <c r="B77" s="93"/>
      <c r="C77" s="19"/>
      <c r="D77" s="90" t="s">
        <v>2025</v>
      </c>
      <c r="E77" s="5" t="str">
        <f>IFERROR(__xludf.DUMMYFUNCTION("""COMPUTED_VALUE"""),"08279871020")</f>
        <v>08279871020</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row>
    <row r="78">
      <c r="B78" s="93"/>
      <c r="C78" s="19"/>
      <c r="D78" s="90" t="s">
        <v>2026</v>
      </c>
      <c r="E78" s="5"/>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row>
    <row r="79">
      <c r="B79" s="93"/>
      <c r="C79" s="19"/>
      <c r="D79" s="90" t="s">
        <v>2027</v>
      </c>
      <c r="E79" s="5"/>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row>
    <row r="80">
      <c r="B80" s="93"/>
      <c r="C80" s="19"/>
      <c r="D80" s="90" t="s">
        <v>2028</v>
      </c>
      <c r="E80" s="5"/>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row>
    <row r="81">
      <c r="B81" s="93"/>
      <c r="C81" s="19"/>
      <c r="D81" s="90" t="s">
        <v>2029</v>
      </c>
      <c r="E81" s="5"/>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row>
    <row r="82">
      <c r="B82" s="93"/>
      <c r="C82" s="19"/>
      <c r="D82" s="90" t="s">
        <v>2030</v>
      </c>
      <c r="E82" s="5"/>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row>
    <row r="83">
      <c r="B83" s="93"/>
      <c r="C83" s="19"/>
      <c r="D83" s="90" t="s">
        <v>2031</v>
      </c>
      <c r="E83" s="5" t="str">
        <f>IFERROR(__xludf.DUMMYFUNCTION("""COMPUTED_VALUE"""),"on")</f>
        <v>on</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row>
    <row r="84">
      <c r="B84" s="93"/>
      <c r="C84" s="19"/>
      <c r="D84" s="90" t="s">
        <v>2032</v>
      </c>
      <c r="E84" s="5" t="str">
        <f>IFERROR(__xludf.DUMMYFUNCTION("""COMPUTED_VALUE"""),"on")</f>
        <v>on</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row>
    <row r="85">
      <c r="B85" s="93"/>
      <c r="C85" s="19"/>
      <c r="D85" s="90" t="s">
        <v>2033</v>
      </c>
      <c r="E85" s="5" t="str">
        <f>IFERROR(__xludf.DUMMYFUNCTION("""COMPUTED_VALUE"""),"Nunca participei do Programa Jovem Monitor Cultural")</f>
        <v>Nunca participei do Programa Jovem Monitor Cultural</v>
      </c>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row>
    <row r="86">
      <c r="B86" s="93"/>
      <c r="C86" s="19"/>
      <c r="D86" s="90" t="s">
        <v>2034</v>
      </c>
      <c r="E86" s="5" t="str">
        <f>IFERROR(__xludf.DUMMYFUNCTION("""COMPUTED_VALUE"""),"Não")</f>
        <v>Não</v>
      </c>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row>
    <row r="87">
      <c r="B87" s="93"/>
      <c r="C87" s="19"/>
      <c r="D87" s="90" t="s">
        <v>2035</v>
      </c>
      <c r="E87" s="5"/>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row>
    <row r="88">
      <c r="B88" s="93"/>
      <c r="C88" s="19"/>
      <c r="D88" s="90" t="s">
        <v>2036</v>
      </c>
      <c r="E88" s="5"/>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row>
    <row r="89">
      <c r="B89" s="93"/>
      <c r="C89" s="19"/>
      <c r="D89" s="90" t="s">
        <v>2037</v>
      </c>
      <c r="E89" s="5" t="str">
        <f>IFERROR(__xludf.DUMMYFUNCTION("""COMPUTED_VALUE"""),"Sim")</f>
        <v>Sim</v>
      </c>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row>
    <row r="90">
      <c r="B90" s="93"/>
      <c r="C90" s="19"/>
      <c r="D90" s="90" t="s">
        <v>2038</v>
      </c>
      <c r="E90" s="94">
        <f>IFERROR(__xludf.DUMMYFUNCTION("""COMPUTED_VALUE"""),3.0)</f>
        <v>3</v>
      </c>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row>
    <row r="91">
      <c r="B91" s="93"/>
      <c r="C91" s="19"/>
      <c r="D91" s="90" t="s">
        <v>2040</v>
      </c>
      <c r="E91" s="5" t="str">
        <f>IFERROR(__xludf.DUMMYFUNCTION("""COMPUTED_VALUE"""),"Não")</f>
        <v>Não</v>
      </c>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row>
    <row r="92">
      <c r="B92" s="93"/>
      <c r="C92" s="19"/>
      <c r="D92" s="90" t="s">
        <v>2041</v>
      </c>
      <c r="E92" s="5"/>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row>
    <row r="93">
      <c r="B93" s="93"/>
      <c r="C93" s="19"/>
      <c r="D93" s="90" t="s">
        <v>2042</v>
      </c>
      <c r="E93" s="5"/>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row>
    <row r="94">
      <c r="B94" s="93"/>
      <c r="C94" s="19"/>
      <c r="D94" s="90" t="s">
        <v>2043</v>
      </c>
      <c r="E94" s="5" t="str">
        <f>IFERROR(__xludf.DUMMYFUNCTION("""COMPUTED_VALUE"""),"Desempregado e procurando emprego")</f>
        <v>Desempregado e procurando emprego</v>
      </c>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row>
    <row r="95">
      <c r="B95" s="93"/>
      <c r="C95" s="19"/>
      <c r="D95" s="90" t="s">
        <v>2044</v>
      </c>
      <c r="E95" s="5" t="str">
        <f>IFERROR(__xludf.DUMMYFUNCTION("""COMPUTED_VALUE"""),"CAPELA DO SOCORRO (CIDADE DUTRA, GRAJAÚ, SOCORRO)")</f>
        <v>CAPELA DO SOCORRO (CIDADE DUTRA, GRAJAÚ, SOCORRO)</v>
      </c>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row>
    <row r="96">
      <c r="B96" s="93"/>
      <c r="C96" s="19"/>
      <c r="D96" s="90" t="s">
        <v>2045</v>
      </c>
      <c r="E96" s="5"/>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row>
    <row r="97">
      <c r="B97" s="93"/>
      <c r="C97" s="19"/>
      <c r="D97" s="90" t="s">
        <v>2046</v>
      </c>
      <c r="E97" s="5"/>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row>
    <row r="98">
      <c r="B98" s="93"/>
      <c r="C98" s="19"/>
      <c r="D98" s="90" t="s">
        <v>2047</v>
      </c>
      <c r="E98" s="5"/>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row>
    <row r="99">
      <c r="B99" s="93"/>
      <c r="C99" s="19"/>
      <c r="D99" s="90" t="s">
        <v>2048</v>
      </c>
      <c r="E99" s="5" t="str">
        <f>IFERROR(__xludf.DUMMYFUNCTION("""COMPUTED_VALUE"""),"on")</f>
        <v>on</v>
      </c>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row>
    <row r="100">
      <c r="B100" s="93"/>
      <c r="C100" s="19"/>
      <c r="D100" s="90" t="s">
        <v>2049</v>
      </c>
      <c r="E100" s="5" t="str">
        <f>IFERROR(__xludf.DUMMYFUNCTION("""COMPUTED_VALUE"""),"on")</f>
        <v>on</v>
      </c>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row>
    <row r="101">
      <c r="B101" s="93"/>
      <c r="C101" s="19"/>
      <c r="D101" s="90" t="s">
        <v>2050</v>
      </c>
      <c r="E101" s="5" t="str">
        <f>IFERROR(__xludf.DUMMYFUNCTION("""COMPUTED_VALUE"""),"on")</f>
        <v>on</v>
      </c>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row>
    <row r="102">
      <c r="B102" s="93"/>
      <c r="C102" s="19"/>
      <c r="D102" s="90" t="s">
        <v>2051</v>
      </c>
      <c r="E102" s="5" t="str">
        <f>IFERROR(__xludf.DUMMYFUNCTION("""COMPUTED_VALUE"""),"on")</f>
        <v>on</v>
      </c>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row>
    <row r="103">
      <c r="B103" s="93"/>
      <c r="C103" s="19"/>
      <c r="D103" s="90" t="s">
        <v>2052</v>
      </c>
      <c r="E103" s="5" t="str">
        <f>IFERROR(__xludf.DUMMYFUNCTION("""COMPUTED_VALUE"""),"Carta de apresentação")</f>
        <v>Carta de apresentação</v>
      </c>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row>
    <row r="104">
      <c r="B104" s="93"/>
      <c r="C104" s="19"/>
      <c r="D104" s="90" t="s">
        <v>2053</v>
      </c>
      <c r="E104" s="5" t="str">
        <f>IFERROR(__xludf.DUMMYFUNCTION("""COMPUTED_VALUE"""),"on")</f>
        <v>on</v>
      </c>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row>
    <row r="105">
      <c r="B105" s="93"/>
      <c r="C105" s="19"/>
      <c r="D105" s="90" t="s">
        <v>2054</v>
      </c>
      <c r="E105" s="5" t="str">
        <f>IFERROR(__xludf.DUMMYFUNCTION("""COMPUTED_VALUE"""),"on")</f>
        <v>on</v>
      </c>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row>
    <row r="106">
      <c r="B106" s="93"/>
      <c r="C106" s="19"/>
      <c r="D106" s="90" t="s">
        <v>2055</v>
      </c>
      <c r="E106" s="5" t="str">
        <f>IFERROR(__xludf.DUMMYFUNCTION("""COMPUTED_VALUE"""),"on")</f>
        <v>on</v>
      </c>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row>
    <row r="107">
      <c r="B107" s="93"/>
      <c r="C107" s="19"/>
      <c r="D107" s="90" t="s">
        <v>2056</v>
      </c>
      <c r="E107" s="5" t="str">
        <f>IFERROR(__xludf.DUMMYFUNCTION("""COMPUTED_VALUE"""),"on")</f>
        <v>on</v>
      </c>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row>
    <row r="108">
      <c r="B108" s="93"/>
      <c r="C108" s="19"/>
      <c r="D108" s="90" t="s">
        <v>2057</v>
      </c>
      <c r="E108" s="5" t="str">
        <f>IFERROR(__xludf.DUMMYFUNCTION("""COMPUTED_VALUE"""),"Não")</f>
        <v>Não</v>
      </c>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row>
    <row r="109">
      <c r="B109" s="93"/>
      <c r="C109" s="19"/>
      <c r="D109" s="90" t="s">
        <v>2058</v>
      </c>
      <c r="E109" s="5" t="str">
        <f>IFERROR(__xludf.DUMMYFUNCTION("""COMPUTED_VALUE"""),"Não")</f>
        <v>Não</v>
      </c>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row>
    <row r="110">
      <c r="B110" s="93"/>
      <c r="C110" s="19"/>
      <c r="D110" s="90" t="s">
        <v>2059</v>
      </c>
      <c r="E110" s="5" t="str">
        <f>IFERROR(__xludf.DUMMYFUNCTION("""COMPUTED_VALUE"""),"CENTRO CULTURAL GRAJAÚ - PALHAÇO CAREQUINHA")</f>
        <v>CENTRO CULTURAL GRAJAÚ - PALHAÇO CAREQUINHA</v>
      </c>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row>
    <row r="111">
      <c r="B111" s="93"/>
      <c r="C111" s="19"/>
      <c r="D111" s="90" t="s">
        <v>2060</v>
      </c>
      <c r="E111" s="5" t="str">
        <f>IFERROR(__xludf.DUMMYFUNCTION("""COMPUTED_VALUE"""),"on")</f>
        <v>on</v>
      </c>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row>
    <row r="112">
      <c r="B112" s="93"/>
      <c r="C112" s="19"/>
      <c r="D112" s="90" t="s">
        <v>2061</v>
      </c>
      <c r="E112" s="5" t="str">
        <f>IFERROR(__xludf.DUMMYFUNCTION("""COMPUTED_VALUE"""),"on")</f>
        <v>on</v>
      </c>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row>
    <row r="113">
      <c r="B113" s="93"/>
      <c r="C113" s="19"/>
      <c r="D113" s="90" t="s">
        <v>2062</v>
      </c>
      <c r="E113" s="5" t="str">
        <f>IFERROR(__xludf.DUMMYFUNCTION("""COMPUTED_VALUE"""),"CASA DE CULTURA HIP-HOP SUL")</f>
        <v>CASA DE CULTURA HIP-HOP SUL</v>
      </c>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row>
    <row r="114">
      <c r="B114" s="93"/>
      <c r="C114" s="19"/>
      <c r="D114" s="90" t="s">
        <v>2063</v>
      </c>
      <c r="E114" s="5" t="str">
        <f>IFERROR(__xludf.DUMMYFUNCTION("""COMPUTED_VALUE"""),"CASA DE CULTURA PARELHEIROS")</f>
        <v>CASA DE CULTURA PARELHEIROS</v>
      </c>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row>
    <row r="115">
      <c r="B115" s="93"/>
      <c r="C115" s="19"/>
      <c r="D115" s="90" t="s">
        <v>2064</v>
      </c>
      <c r="E115" s="5" t="str">
        <f>IFERROR(__xludf.DUMMYFUNCTION("""COMPUTED_VALUE"""),"P")</f>
        <v>P</v>
      </c>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row>
    <row r="116">
      <c r="B116" s="93"/>
      <c r="C116" s="19"/>
      <c r="D116" s="90" t="s">
        <v>2065</v>
      </c>
      <c r="E116" s="96">
        <f>IFERROR(__xludf.DUMMYFUNCTION("""COMPUTED_VALUE"""),45531.0)</f>
        <v>45531</v>
      </c>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row>
    <row r="117">
      <c r="B117" s="93"/>
      <c r="C117" s="19"/>
      <c r="D117" s="90" t="s">
        <v>2066</v>
      </c>
      <c r="E117" s="5" t="str">
        <f>IFERROR(__xludf.DUMMYFUNCTION("""COMPUTED_VALUE"""),"SUL")</f>
        <v>SUL</v>
      </c>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row>
    <row r="118">
      <c r="B118" s="93"/>
      <c r="C118" s="19"/>
      <c r="D118" s="90" t="s">
        <v>2067</v>
      </c>
      <c r="E118" s="5" t="str">
        <f>IFERROR(__xludf.DUMMYFUNCTION("""COMPUTED_VALUE"""),"09h às 13h")</f>
        <v>09h às 13h</v>
      </c>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row>
    <row r="119">
      <c r="B119" s="93"/>
      <c r="C119" s="19"/>
      <c r="D119" s="90" t="s">
        <v>2068</v>
      </c>
      <c r="E119" s="5" t="str">
        <f>IFERROR(__xludf.DUMMYFUNCTION("""COMPUTED_VALUE"""),"CENTRO CULTURAL SANTO AMARO")</f>
        <v>CENTRO CULTURAL SANTO AMARO</v>
      </c>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row>
    <row r="120">
      <c r="B120" s="93"/>
      <c r="C120" s="19"/>
      <c r="D120" s="90" t="s">
        <v>2069</v>
      </c>
      <c r="E120" s="5"/>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row>
    <row r="121">
      <c r="B121" s="93"/>
      <c r="C121" s="19"/>
      <c r="D121" s="90" t="s">
        <v>2070</v>
      </c>
      <c r="E121" s="5">
        <f>IFERROR(__xludf.DUMMYFUNCTION("""COMPUTED_VALUE"""),7.0)</f>
        <v>7</v>
      </c>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row>
    <row r="122">
      <c r="B122" s="93"/>
      <c r="C122" s="19"/>
      <c r="D122" s="90" t="s">
        <v>2071</v>
      </c>
      <c r="E122" s="5">
        <f>IFERROR(__xludf.DUMMYFUNCTION("""COMPUTED_VALUE"""),7.0)</f>
        <v>7</v>
      </c>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row>
    <row r="123">
      <c r="B123" s="93"/>
      <c r="C123" s="19"/>
      <c r="D123" s="90" t="s">
        <v>2072</v>
      </c>
      <c r="E123" s="5" t="str">
        <f>IFERROR(__xludf.DUMMYFUNCTION("""COMPUTED_VALUE"""),"Olá, sou Leonardo, venho da favela do Grajaú, onde moro desde criança, sempre tive muito anseio por arte e pela cultura, mas infelizmente sempre fui travado e barrado de fluir minhas ideias e vontades por causa dos meus pais, eles nunca acreditaram no pla"&amp;"no de eu me tornar artista, então passei muito tempo da minha vida seguindo os caminhos que eles achavam melhores pra mim, mas nunca consegui me adaptar em nada, sempre senti que eu estava meio deslocado, mas não por eu não sentir que as pessoas não gosta"&amp;"m de mim, mas sim por eu sempre pensar muito diferente de todo mundo e sentir que ninguem entenderia minhas questões por não terem o mesmo estilo de vida do que eu...")</f>
        <v>Olá, sou Leonardo, venho da favela do Grajaú, onde moro desde criança, sempre tive muito anseio por arte e pela cultura, mas infelizmente sempre fui travado e barrado de fluir minhas ideias e vontades por causa dos meus pais, eles nunca acreditaram no plano de eu me tornar artista, então passei muito tempo da minha vida seguindo os caminhos que eles achavam melhores pra mim, mas nunca consegui me adaptar em nada, sempre senti que eu estava meio deslocado, mas não por eu não sentir que as pessoas não gostam de mim, mas sim por eu sempre pensar muito diferente de todo mundo e sentir que ninguem entenderia minhas questões por não terem o mesmo estilo de vida do que eu...</v>
      </c>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row>
    <row r="124">
      <c r="B124" s="93"/>
      <c r="C124" s="19"/>
      <c r="D124" s="90" t="s">
        <v>2073</v>
      </c>
      <c r="E124" s="5" t="str">
        <f>IFERROR(__xludf.DUMMYFUNCTION("""COMPUTED_VALUE"""),"Hoje eu já me sinto orgulhoso de dizer que sou produtor audiovisual e produtor/compositor musical, gosto de fazer musicas puxadas pro rap, rock e reagge, eu corri atras de tudo por conta própria e sempre buscando conhecimento de forma gratuita, e pude ter"&amp;" a oportunidade de desenvolver meus projetos proprios na base do improviso e gambiarra rsrs, me fez entender que pra ser artista basta por a mao na massa, uma super produção vem como consequencia do esforço e da qualidade do seu trabalho, entao estou ness"&amp;"e caminho pra me expandir profissionalmente no meio artistico e construir meus projetos cada vez melhor.")</f>
        <v>Hoje eu já me sinto orgulhoso de dizer que sou produtor audiovisual e produtor/compositor musical, gosto de fazer musicas puxadas pro rap, rock e reagge, eu corri atras de tudo por conta própria e sempre buscando conhecimento de forma gratuita, e pude ter a oportunidade de desenvolver meus projetos proprios na base do improviso e gambiarra rsrs, me fez entender que pra ser artista basta por a mao na massa, uma super produção vem como consequencia do esforço e da qualidade do seu trabalho, entao estou nesse caminho pra me expandir profissionalmente no meio artistico e construir meus projetos cada vez melhor.</v>
      </c>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row>
    <row r="125">
      <c r="B125" s="93"/>
      <c r="C125" s="19"/>
      <c r="D125" s="90" t="s">
        <v>2074</v>
      </c>
      <c r="E125" s="5" t="str">
        <f>IFERROR(__xludf.DUMMYFUNCTION("""COMPUTED_VALUE"""),"meu sonho é investir num sistema de som pra eu poder tocar minhas musicas pela cidade de são paulo, atraindo publico, gerando circulação economica e trazendo cultura pra favela, sempre puxando filosofias sociais pra juventude aprender cada vez mais sobre "&amp;"seus direitos e o poder popular que juntos podemos ter. Também tenho um sonho de criar meu estudio de produção de filmes e documentarios, gosto de explorar minha capacidade de construir historias e adoro documentar conhecimentos que considero importante p"&amp;"ras pessoas.")</f>
        <v>meu sonho é investir num sistema de som pra eu poder tocar minhas musicas pela cidade de são paulo, atraindo publico, gerando circulação economica e trazendo cultura pra favela, sempre puxando filosofias sociais pra juventude aprender cada vez mais sobre seus direitos e o poder popular que juntos podemos ter. Também tenho um sonho de criar meu estudio de produção de filmes e documentarios, gosto de explorar minha capacidade de construir historias e adoro documentar conhecimentos que considero importante pras pessoas.</v>
      </c>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row>
    <row r="126">
      <c r="B126" s="93"/>
      <c r="C126" s="19"/>
      <c r="D126" s="90" t="s">
        <v>2075</v>
      </c>
      <c r="E126" s="5" t="str">
        <f>IFERROR(__xludf.DUMMYFUNCTION("""COMPUTED_VALUE"""),"3) Quinta, 26/09")</f>
        <v>3) Quinta, 26/09</v>
      </c>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row>
    <row r="127">
      <c r="B127" s="93"/>
      <c r="C127" s="19"/>
      <c r="D127" s="90" t="s">
        <v>2076</v>
      </c>
      <c r="E127" s="5" t="str">
        <f>IFERROR(__xludf.DUMMYFUNCTION("""COMPUTED_VALUE"""),"11h às 11h40")</f>
        <v>11h às 11h40</v>
      </c>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row>
    <row r="128">
      <c r="B128" s="93"/>
      <c r="C128" s="19"/>
      <c r="D128" s="90" t="s">
        <v>2077</v>
      </c>
      <c r="E128" s="5"/>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row>
    <row r="129">
      <c r="B129" s="93"/>
      <c r="C129" s="19"/>
      <c r="D129" s="90" t="s">
        <v>2078</v>
      </c>
      <c r="E129" s="5"/>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row>
    <row r="130">
      <c r="B130" s="93"/>
      <c r="C130" s="19"/>
      <c r="D130" s="90" t="s">
        <v>2079</v>
      </c>
      <c r="E130" s="5" t="str">
        <f>IFERROR(__xludf.DUMMYFUNCTION("""COMPUTED_VALUE"""),"CAFÉ - OLIDO")</f>
        <v>CAFÉ - OLIDO</v>
      </c>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row>
    <row r="131">
      <c r="B131" s="93"/>
      <c r="C131" s="19"/>
      <c r="D131" s="90" t="s">
        <v>2080</v>
      </c>
      <c r="E131" s="5">
        <f>IFERROR(__xludf.DUMMYFUNCTION("""COMPUTED_VALUE"""),15.0)</f>
        <v>15</v>
      </c>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row>
    <row r="132">
      <c r="B132" s="93"/>
      <c r="C132" s="19"/>
      <c r="D132" s="90" t="s">
        <v>2081</v>
      </c>
      <c r="E132" s="5">
        <f>IFERROR(__xludf.DUMMYFUNCTION("""COMPUTED_VALUE"""),10.0)</f>
        <v>10</v>
      </c>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row>
    <row r="133">
      <c r="B133" s="93"/>
      <c r="C133" s="19"/>
      <c r="D133" s="90" t="s">
        <v>2082</v>
      </c>
      <c r="E133" s="5">
        <f>IFERROR(__xludf.DUMMYFUNCTION("""COMPUTED_VALUE"""),0.0)</f>
        <v>0</v>
      </c>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row>
    <row r="134">
      <c r="B134" s="93"/>
      <c r="C134" s="19"/>
      <c r="D134" s="90" t="s">
        <v>2083</v>
      </c>
      <c r="E134" s="5">
        <f>IFERROR(__xludf.DUMMYFUNCTION("""COMPUTED_VALUE"""),10.0)</f>
        <v>10</v>
      </c>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row>
    <row r="135">
      <c r="B135" s="93"/>
      <c r="C135" s="19"/>
      <c r="D135" s="90" t="s">
        <v>2084</v>
      </c>
      <c r="E135" s="5">
        <f>IFERROR(__xludf.DUMMYFUNCTION("""COMPUTED_VALUE"""),3.0)</f>
        <v>3</v>
      </c>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row>
    <row r="136">
      <c r="B136" s="93"/>
      <c r="C136" s="19"/>
      <c r="D136" s="90" t="s">
        <v>2085</v>
      </c>
      <c r="E136" s="5">
        <f>IFERROR(__xludf.DUMMYFUNCTION("""COMPUTED_VALUE"""),20.0)</f>
        <v>20</v>
      </c>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row>
    <row r="137">
      <c r="B137" s="93"/>
      <c r="C137" s="19"/>
      <c r="D137" s="90" t="s">
        <v>2086</v>
      </c>
      <c r="E137" s="5" t="str">
        <f>IFERROR(__xludf.DUMMYFUNCTION("""COMPUTED_VALUE"""),"SUL")</f>
        <v>SUL</v>
      </c>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row>
    <row r="138">
      <c r="B138" s="93"/>
      <c r="C138" s="19"/>
      <c r="D138" s="90" t="s">
        <v>2087</v>
      </c>
      <c r="E138" s="96">
        <f>IFERROR(__xludf.DUMMYFUNCTION("""COMPUTED_VALUE"""),45531.0)</f>
        <v>45531</v>
      </c>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row>
    <row r="139">
      <c r="B139" s="93"/>
      <c r="C139" s="19"/>
      <c r="D139" s="90" t="s">
        <v>2088</v>
      </c>
      <c r="E139" s="5" t="str">
        <f>IFERROR(__xludf.DUMMYFUNCTION("""COMPUTED_VALUE"""),"SUL")</f>
        <v>SUL</v>
      </c>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row>
    <row r="140">
      <c r="B140" s="93"/>
      <c r="C140" s="19"/>
      <c r="D140" s="90" t="s">
        <v>2089</v>
      </c>
      <c r="E140" s="5" t="str">
        <f>IFERROR(__xludf.DUMMYFUNCTION("""COMPUTED_VALUE"""),"09h às 13h")</f>
        <v>09h às 13h</v>
      </c>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row>
    <row r="141">
      <c r="B141" s="93"/>
      <c r="C141" s="19"/>
      <c r="D141" s="90" t="s">
        <v>2090</v>
      </c>
      <c r="E141" s="5" t="str">
        <f>IFERROR(__xludf.DUMMYFUNCTION("""COMPUTED_VALUE"""),"CENTRO CULTURAL SANTO AMARO")</f>
        <v>CENTRO CULTURAL SANTO AMARO</v>
      </c>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row>
    <row r="142">
      <c r="B142" s="93"/>
      <c r="C142" s="19"/>
      <c r="D142" s="90" t="s">
        <v>2092</v>
      </c>
      <c r="E142" s="95">
        <f>IFERROR(__xludf.DUMMYFUNCTION("""COMPUTED_VALUE"""),13.012500000000001)</f>
        <v>13.0125</v>
      </c>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row>
    <row r="143">
      <c r="B143" s="93"/>
      <c r="C143" s="19"/>
      <c r="D143" s="90" t="s">
        <v>2093</v>
      </c>
      <c r="E143" s="5">
        <f>IFERROR(__xludf.DUMMYFUNCTION("""COMPUTED_VALUE"""),43.0)</f>
        <v>43</v>
      </c>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row>
    <row r="144">
      <c r="B144" s="93"/>
      <c r="C144" s="19"/>
      <c r="D144" s="90" t="s">
        <v>2094</v>
      </c>
      <c r="E144" s="5"/>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row>
    <row r="145">
      <c r="B145" s="93"/>
      <c r="C145" s="19"/>
      <c r="D145" s="90" t="s">
        <v>2095</v>
      </c>
      <c r="E145" s="5" t="str">
        <f>IFERROR(__xludf.DUMMYFUNCTION("""COMPUTED_VALUE"""),"Branca")</f>
        <v>Branca</v>
      </c>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row>
    <row r="146">
      <c r="B146" s="93"/>
      <c r="C146" s="19"/>
      <c r="D146" s="90" t="s">
        <v>2096</v>
      </c>
      <c r="E146" s="5" t="str">
        <f>IFERROR(__xludf.DUMMYFUNCTION("""COMPUTED_VALUE"""),"Jardim Castro Alves")</f>
        <v>Jardim Castro Alves</v>
      </c>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row>
    <row r="147">
      <c r="B147" s="93"/>
      <c r="C147" s="19"/>
      <c r="D147" s="90" t="s">
        <v>2097</v>
      </c>
      <c r="E147" s="5" t="str">
        <f>IFERROR(__xludf.DUMMYFUNCTION("""COMPUTED_VALUE"""),"411.***.***-70")</f>
        <v>411.***.***-70</v>
      </c>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row>
    <row r="148">
      <c r="B148" s="93"/>
      <c r="C148" s="19"/>
      <c r="D148" s="90" t="s">
        <v>2098</v>
      </c>
      <c r="E148" s="5" t="str">
        <f>IFERROR(__xludf.DUMMYFUNCTION("""COMPUTED_VALUE"""),"GRAJAÚ")</f>
        <v>GRAJAÚ</v>
      </c>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row>
    <row r="149">
      <c r="B149" s="93"/>
      <c r="C149" s="19"/>
      <c r="D149" s="90" t="s">
        <v>2099</v>
      </c>
      <c r="E149" s="5" t="str">
        <f>IFERROR(__xludf.DUMMYFUNCTION("""COMPUTED_VALUE"""),"Não-binária")</f>
        <v>Não-binária</v>
      </c>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row>
    <row r="150">
      <c r="B150" s="93"/>
      <c r="C150" s="19"/>
      <c r="D150" s="90" t="s">
        <v>2100</v>
      </c>
      <c r="E150" s="5" t="str">
        <f>IFERROR(__xludf.DUMMYFUNCTION("""COMPUTED_VALUE"""),"CAPELA DO SOCORRO (CIDADE DUTRA, GRAJAÚ, SOCORRO)")</f>
        <v>CAPELA DO SOCORRO (CIDADE DUTRA, GRAJAÚ, SOCORRO)</v>
      </c>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row>
    <row r="151">
      <c r="B151" s="93"/>
      <c r="C151" s="19"/>
      <c r="D151" s="90" t="s">
        <v>2101</v>
      </c>
      <c r="E151" s="5"/>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row>
    <row r="152">
      <c r="B152" s="93"/>
      <c r="C152" s="19"/>
      <c r="D152" s="90" t="s">
        <v>2102</v>
      </c>
      <c r="E152" s="5" t="str">
        <f>IFERROR(__xludf.DUMMYFUNCTION("""COMPUTED_VALUE"""),"411.***.***-70")</f>
        <v>411.***.***-70</v>
      </c>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row>
    <row r="153">
      <c r="B153" s="93"/>
      <c r="C153" s="19"/>
      <c r="D153" s="90" t="s">
        <v>2103</v>
      </c>
      <c r="E153" s="5" t="str">
        <f>IFERROR(__xludf.DUMMYFUNCTION("""COMPUTED_VALUE"""),"411.***.***-70")</f>
        <v>411.***.***-70</v>
      </c>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row>
    <row r="154">
      <c r="B154" s="93"/>
      <c r="C154" s="19"/>
      <c r="D154" s="90" t="s">
        <v>2104</v>
      </c>
      <c r="E154" s="91" t="str">
        <f>IFERROR(__xludf.DUMMYFUNCTION("""COMPUTED_VALUE"""),"https://yz2spukd8h-jbrk7pf7uvw.s3.amazonaws.com/2024/05/aUUS1UmSk6aM6w9Z5voIhLjrbLyS7DhhE/c08slBnrs%3D.jpeg")</f>
        <v>https://yz2spukd8h-jbrk7pf7uvw.s3.amazonaws.com/2024/05/aUUS1UmSk6aM6w9Z5voIhLjrbLyS7DhhE/c08slBnrs%3D.jpeg</v>
      </c>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row>
    <row r="155">
      <c r="B155" s="93"/>
      <c r="C155" s="19"/>
      <c r="D155" s="90" t="s">
        <v>2105</v>
      </c>
      <c r="E155" s="5">
        <f>IFERROR(__xludf.DUMMYFUNCTION("""COMPUTED_VALUE"""),9212.0)</f>
        <v>9212</v>
      </c>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row>
    <row r="156">
      <c r="B156" s="93"/>
      <c r="C156" s="19"/>
      <c r="D156" s="90" t="s">
        <v>2106</v>
      </c>
      <c r="E156" s="5" t="str">
        <f>IFERROR(__xludf.DUMMYFUNCTION("""COMPUTED_VALUE"""),"Não")</f>
        <v>Não</v>
      </c>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row>
    <row r="157">
      <c r="B157" s="93"/>
      <c r="C157" s="19"/>
      <c r="D157" s="90" t="s">
        <v>2107</v>
      </c>
      <c r="E157" s="5">
        <f>IFERROR(__xludf.DUMMYFUNCTION("""COMPUTED_VALUE"""),5.0)</f>
        <v>5</v>
      </c>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row>
    <row r="158">
      <c r="B158" s="93"/>
      <c r="C158" s="19"/>
      <c r="D158" s="90" t="s">
        <v>2108</v>
      </c>
      <c r="E158" s="5" t="str">
        <f>IFERROR(__xludf.DUMMYFUNCTION("""COMPUTED_VALUE"""),"32744928")</f>
        <v>32744928</v>
      </c>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row>
    <row r="159">
      <c r="B159" s="93"/>
      <c r="C159" s="19"/>
      <c r="D159" s="90" t="s">
        <v>2109</v>
      </c>
      <c r="E159" s="5"/>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row>
    <row r="160">
      <c r="B160" s="93"/>
      <c r="C160" s="19"/>
      <c r="D160" s="90"/>
      <c r="E160" s="5" t="str">
        <f>IFERROR(__xludf.DUMMYFUNCTION("""COMPUTED_VALUE"""),"411.281.488-70")</f>
        <v>411.281.488-70</v>
      </c>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row>
    <row r="161">
      <c r="B161" s="93"/>
      <c r="C161" s="19"/>
      <c r="D161" s="90"/>
      <c r="E161" s="5" t="str">
        <f>IFERROR(__xludf.DUMMYFUNCTION("""COMPUTED_VALUE"""),"sim")</f>
        <v>sim</v>
      </c>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row>
    <row r="162">
      <c r="B162" s="93"/>
      <c r="C162" s="19"/>
      <c r="D162" s="90"/>
      <c r="E162" s="5"/>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row>
    <row r="163">
      <c r="B163" s="93"/>
      <c r="C163" s="19"/>
      <c r="D163" s="90"/>
      <c r="E163" s="5"/>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row>
    <row r="164">
      <c r="B164" s="93"/>
      <c r="C164" s="19"/>
      <c r="D164" s="90"/>
      <c r="E164" s="5"/>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c r="FJ164" s="19"/>
      <c r="FK164" s="19"/>
      <c r="FL164" s="19"/>
      <c r="FM164" s="19"/>
      <c r="FN164" s="19"/>
    </row>
    <row r="165">
      <c r="B165" s="93"/>
      <c r="C165" s="19"/>
      <c r="D165" s="90"/>
      <c r="E165" s="5"/>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19"/>
      <c r="EC165" s="19"/>
      <c r="ED165" s="19"/>
      <c r="EE165" s="19"/>
      <c r="EF165" s="19"/>
      <c r="EG165" s="19"/>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c r="FJ165" s="19"/>
      <c r="FK165" s="19"/>
      <c r="FL165" s="19"/>
      <c r="FM165" s="19"/>
      <c r="FN165" s="19"/>
    </row>
    <row r="166">
      <c r="B166" s="93"/>
      <c r="C166" s="19"/>
      <c r="D166" s="90"/>
      <c r="E166" s="5"/>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c r="FJ166" s="19"/>
      <c r="FK166" s="19"/>
      <c r="FL166" s="19"/>
      <c r="FM166" s="19"/>
      <c r="FN166" s="19"/>
    </row>
    <row r="167">
      <c r="B167" s="93"/>
      <c r="C167" s="19"/>
      <c r="D167" s="90"/>
      <c r="E167" s="5"/>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c r="FJ167" s="19"/>
      <c r="FK167" s="19"/>
      <c r="FL167" s="19"/>
      <c r="FM167" s="19"/>
      <c r="FN167" s="19"/>
    </row>
    <row r="168">
      <c r="B168" s="93"/>
      <c r="C168" s="19"/>
      <c r="D168" s="90"/>
      <c r="E168" s="5"/>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19"/>
      <c r="FI168" s="19"/>
      <c r="FJ168" s="19"/>
      <c r="FK168" s="19"/>
      <c r="FL168" s="19"/>
      <c r="FM168" s="19"/>
      <c r="FN168" s="19"/>
    </row>
    <row r="169">
      <c r="B169" s="93"/>
      <c r="C169" s="19"/>
      <c r="D169" s="90"/>
      <c r="E169" s="5"/>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c r="FJ169" s="19"/>
      <c r="FK169" s="19"/>
      <c r="FL169" s="19"/>
      <c r="FM169" s="19"/>
      <c r="FN169" s="19"/>
    </row>
    <row r="170">
      <c r="B170" s="93"/>
      <c r="C170" s="19"/>
      <c r="D170" s="90"/>
      <c r="E170" s="5"/>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c r="FJ170" s="19"/>
      <c r="FK170" s="19"/>
      <c r="FL170" s="19"/>
      <c r="FM170" s="19"/>
      <c r="FN170" s="19"/>
    </row>
    <row r="171">
      <c r="B171" s="93"/>
      <c r="C171" s="19"/>
      <c r="D171" s="90"/>
      <c r="E171" s="5"/>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c r="FJ171" s="19"/>
      <c r="FK171" s="19"/>
      <c r="FL171" s="19"/>
      <c r="FM171" s="19"/>
      <c r="FN171" s="19"/>
    </row>
    <row r="172">
      <c r="B172" s="93"/>
      <c r="C172" s="19"/>
      <c r="D172" s="90"/>
      <c r="E172" s="5"/>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c r="FJ172" s="19"/>
      <c r="FK172" s="19"/>
      <c r="FL172" s="19"/>
      <c r="FM172" s="19"/>
      <c r="FN172" s="19"/>
    </row>
    <row r="173">
      <c r="B173" s="93"/>
      <c r="C173" s="19"/>
      <c r="D173" s="90"/>
      <c r="E173" s="5"/>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19"/>
      <c r="CZ173" s="19"/>
      <c r="DA173" s="19"/>
      <c r="DB173" s="19"/>
      <c r="DC173" s="19"/>
      <c r="DD173" s="19"/>
      <c r="DE173" s="19"/>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19"/>
      <c r="EX173" s="19"/>
      <c r="EY173" s="19"/>
      <c r="EZ173" s="19"/>
      <c r="FA173" s="19"/>
      <c r="FB173" s="19"/>
      <c r="FC173" s="19"/>
      <c r="FD173" s="19"/>
      <c r="FE173" s="19"/>
      <c r="FF173" s="19"/>
      <c r="FG173" s="19"/>
      <c r="FH173" s="19"/>
      <c r="FI173" s="19"/>
      <c r="FJ173" s="19"/>
      <c r="FK173" s="19"/>
      <c r="FL173" s="19"/>
      <c r="FM173" s="19"/>
      <c r="FN173" s="19"/>
    </row>
    <row r="174">
      <c r="B174" s="93"/>
      <c r="C174" s="19"/>
      <c r="D174" s="90"/>
      <c r="E174" s="5"/>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row>
    <row r="175">
      <c r="B175" s="93"/>
      <c r="C175" s="19"/>
      <c r="D175" s="90"/>
      <c r="E175" s="5"/>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c r="FJ175" s="19"/>
      <c r="FK175" s="19"/>
      <c r="FL175" s="19"/>
      <c r="FM175" s="19"/>
      <c r="FN175" s="19"/>
    </row>
    <row r="176">
      <c r="B176" s="93"/>
      <c r="C176" s="19"/>
      <c r="D176" s="90"/>
      <c r="E176" s="5"/>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9"/>
      <c r="CR176" s="19"/>
      <c r="CS176" s="19"/>
      <c r="CT176" s="19"/>
      <c r="CU176" s="19"/>
      <c r="CV176" s="19"/>
      <c r="CW176" s="19"/>
      <c r="CX176" s="19"/>
      <c r="CY176" s="19"/>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19"/>
      <c r="FB176" s="19"/>
      <c r="FC176" s="19"/>
      <c r="FD176" s="19"/>
      <c r="FE176" s="19"/>
      <c r="FF176" s="19"/>
      <c r="FG176" s="19"/>
      <c r="FH176" s="19"/>
      <c r="FI176" s="19"/>
      <c r="FJ176" s="19"/>
      <c r="FK176" s="19"/>
      <c r="FL176" s="19"/>
      <c r="FM176" s="19"/>
      <c r="FN176" s="19"/>
    </row>
    <row r="177">
      <c r="B177" s="93"/>
      <c r="C177" s="19"/>
      <c r="D177" s="90"/>
      <c r="E177" s="5"/>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19"/>
      <c r="EC177" s="19"/>
      <c r="ED177" s="19"/>
      <c r="EE177" s="19"/>
      <c r="EF177" s="19"/>
      <c r="EG177" s="19"/>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c r="FE177" s="19"/>
      <c r="FF177" s="19"/>
      <c r="FG177" s="19"/>
      <c r="FH177" s="19"/>
      <c r="FI177" s="19"/>
      <c r="FJ177" s="19"/>
      <c r="FK177" s="19"/>
      <c r="FL177" s="19"/>
      <c r="FM177" s="19"/>
      <c r="FN177" s="19"/>
    </row>
    <row r="178">
      <c r="B178" s="93"/>
      <c r="C178" s="19"/>
      <c r="D178" s="90"/>
      <c r="E178" s="5"/>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c r="FJ178" s="19"/>
      <c r="FK178" s="19"/>
      <c r="FL178" s="19"/>
      <c r="FM178" s="19"/>
      <c r="FN178" s="19"/>
    </row>
    <row r="179">
      <c r="B179" s="93"/>
      <c r="C179" s="19"/>
      <c r="D179" s="90"/>
      <c r="E179" s="5"/>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row>
    <row r="180">
      <c r="B180" s="93"/>
      <c r="C180" s="19"/>
      <c r="D180" s="90"/>
      <c r="E180" s="5"/>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row>
    <row r="181">
      <c r="B181" s="93"/>
      <c r="C181" s="19"/>
      <c r="D181" s="90"/>
      <c r="E181" s="5"/>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row>
    <row r="182">
      <c r="B182" s="93"/>
      <c r="C182" s="19"/>
      <c r="D182" s="90"/>
      <c r="E182" s="5"/>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row>
    <row r="183">
      <c r="B183" s="93"/>
      <c r="C183" s="19"/>
      <c r="D183" s="90"/>
      <c r="E183" s="5"/>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row>
    <row r="184">
      <c r="B184" s="93"/>
      <c r="C184" s="19"/>
      <c r="D184" s="90"/>
      <c r="E184" s="5"/>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row>
    <row r="185">
      <c r="B185" s="93"/>
      <c r="C185" s="19"/>
      <c r="D185" s="90"/>
      <c r="E185" s="5"/>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row>
    <row r="186">
      <c r="B186" s="93"/>
      <c r="C186" s="19"/>
      <c r="D186" s="90"/>
      <c r="E186" s="5"/>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row>
    <row r="187">
      <c r="B187" s="93"/>
      <c r="C187" s="19"/>
      <c r="D187" s="90"/>
      <c r="E187" s="5"/>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row>
    <row r="188">
      <c r="B188" s="93"/>
      <c r="C188" s="19"/>
      <c r="D188" s="90"/>
      <c r="E188" s="5"/>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row>
    <row r="189">
      <c r="B189" s="93"/>
      <c r="C189" s="19"/>
      <c r="D189" s="90"/>
      <c r="E189" s="5"/>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19"/>
      <c r="EC189" s="19"/>
      <c r="ED189" s="19"/>
      <c r="EE189" s="19"/>
      <c r="EF189" s="19"/>
      <c r="EG189" s="19"/>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c r="FJ189" s="19"/>
      <c r="FK189" s="19"/>
      <c r="FL189" s="19"/>
      <c r="FM189" s="19"/>
      <c r="FN189" s="19"/>
    </row>
    <row r="190">
      <c r="B190" s="93"/>
      <c r="C190" s="19"/>
      <c r="D190" s="90"/>
      <c r="E190" s="5"/>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c r="FJ190" s="19"/>
      <c r="FK190" s="19"/>
      <c r="FL190" s="19"/>
      <c r="FM190" s="19"/>
      <c r="FN190" s="19"/>
    </row>
    <row r="191">
      <c r="B191" s="93"/>
      <c r="C191" s="19"/>
      <c r="D191" s="90"/>
      <c r="E191" s="5"/>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19"/>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c r="FJ191" s="19"/>
      <c r="FK191" s="19"/>
      <c r="FL191" s="19"/>
      <c r="FM191" s="19"/>
      <c r="FN191" s="19"/>
    </row>
    <row r="192">
      <c r="B192" s="93"/>
      <c r="C192" s="19"/>
      <c r="D192" s="90"/>
      <c r="E192" s="5"/>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c r="FJ192" s="19"/>
      <c r="FK192" s="19"/>
      <c r="FL192" s="19"/>
      <c r="FM192" s="19"/>
      <c r="FN192" s="19"/>
    </row>
    <row r="193">
      <c r="B193" s="93"/>
      <c r="C193" s="19"/>
      <c r="D193" s="90"/>
      <c r="E193" s="5"/>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c r="FJ193" s="19"/>
      <c r="FK193" s="19"/>
      <c r="FL193" s="19"/>
      <c r="FM193" s="19"/>
      <c r="FN193" s="19"/>
    </row>
    <row r="194">
      <c r="B194" s="93"/>
      <c r="C194" s="19"/>
      <c r="D194" s="90"/>
      <c r="E194" s="5"/>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19"/>
      <c r="FI194" s="19"/>
      <c r="FJ194" s="19"/>
      <c r="FK194" s="19"/>
      <c r="FL194" s="19"/>
      <c r="FM194" s="19"/>
      <c r="FN194" s="19"/>
    </row>
    <row r="195">
      <c r="B195" s="93"/>
      <c r="C195" s="19"/>
      <c r="D195" s="90"/>
      <c r="E195" s="5"/>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19"/>
      <c r="FI195" s="19"/>
      <c r="FJ195" s="19"/>
      <c r="FK195" s="19"/>
      <c r="FL195" s="19"/>
      <c r="FM195" s="19"/>
      <c r="FN195" s="19"/>
    </row>
    <row r="196">
      <c r="B196" s="93"/>
      <c r="C196" s="19"/>
      <c r="D196" s="90"/>
      <c r="E196" s="5"/>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c r="FJ196" s="19"/>
      <c r="FK196" s="19"/>
      <c r="FL196" s="19"/>
      <c r="FM196" s="19"/>
      <c r="FN196" s="19"/>
    </row>
    <row r="197">
      <c r="B197" s="93"/>
      <c r="C197" s="19"/>
      <c r="D197" s="90"/>
      <c r="E197" s="5"/>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c r="FJ197" s="19"/>
      <c r="FK197" s="19"/>
      <c r="FL197" s="19"/>
      <c r="FM197" s="19"/>
      <c r="FN197" s="19"/>
    </row>
    <row r="198">
      <c r="B198" s="93"/>
      <c r="C198" s="19"/>
      <c r="D198" s="90"/>
      <c r="E198" s="5"/>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19"/>
      <c r="FH198" s="19"/>
      <c r="FI198" s="19"/>
      <c r="FJ198" s="19"/>
      <c r="FK198" s="19"/>
      <c r="FL198" s="19"/>
      <c r="FM198" s="19"/>
      <c r="FN198" s="19"/>
    </row>
    <row r="199">
      <c r="B199" s="93"/>
      <c r="C199" s="19"/>
      <c r="D199" s="90"/>
      <c r="E199" s="5"/>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c r="FJ199" s="19"/>
      <c r="FK199" s="19"/>
      <c r="FL199" s="19"/>
      <c r="FM199" s="19"/>
      <c r="FN199" s="19"/>
    </row>
    <row r="200">
      <c r="B200" s="93"/>
      <c r="C200" s="19"/>
      <c r="D200" s="90"/>
      <c r="E200" s="5"/>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c r="EX200" s="19"/>
      <c r="EY200" s="19"/>
      <c r="EZ200" s="19"/>
      <c r="FA200" s="19"/>
      <c r="FB200" s="19"/>
      <c r="FC200" s="19"/>
      <c r="FD200" s="19"/>
      <c r="FE200" s="19"/>
      <c r="FF200" s="19"/>
      <c r="FG200" s="19"/>
      <c r="FH200" s="19"/>
      <c r="FI200" s="19"/>
      <c r="FJ200" s="19"/>
      <c r="FK200" s="19"/>
      <c r="FL200" s="19"/>
      <c r="FM200" s="19"/>
      <c r="FN200" s="19"/>
    </row>
    <row r="201">
      <c r="B201" s="93"/>
      <c r="C201" s="19"/>
      <c r="D201" s="90"/>
      <c r="E201" s="5"/>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c r="EX201" s="19"/>
      <c r="EY201" s="19"/>
      <c r="EZ201" s="19"/>
      <c r="FA201" s="19"/>
      <c r="FB201" s="19"/>
      <c r="FC201" s="19"/>
      <c r="FD201" s="19"/>
      <c r="FE201" s="19"/>
      <c r="FF201" s="19"/>
      <c r="FG201" s="19"/>
      <c r="FH201" s="19"/>
      <c r="FI201" s="19"/>
      <c r="FJ201" s="19"/>
      <c r="FK201" s="19"/>
      <c r="FL201" s="19"/>
      <c r="FM201" s="19"/>
      <c r="FN201" s="19"/>
    </row>
    <row r="202">
      <c r="B202" s="93"/>
      <c r="C202" s="19"/>
      <c r="D202" s="90"/>
      <c r="E202" s="5"/>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c r="FJ202" s="19"/>
      <c r="FK202" s="19"/>
      <c r="FL202" s="19"/>
      <c r="FM202" s="19"/>
      <c r="FN202" s="19"/>
    </row>
    <row r="203">
      <c r="B203" s="93"/>
      <c r="C203" s="19"/>
      <c r="D203" s="90"/>
      <c r="E203" s="5"/>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c r="FJ203" s="19"/>
      <c r="FK203" s="19"/>
      <c r="FL203" s="19"/>
      <c r="FM203" s="19"/>
      <c r="FN203" s="19"/>
    </row>
    <row r="204">
      <c r="B204" s="93"/>
      <c r="C204" s="19"/>
      <c r="D204" s="90"/>
      <c r="E204" s="5"/>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row>
    <row r="205">
      <c r="B205" s="93"/>
      <c r="C205" s="19"/>
      <c r="D205" s="90"/>
      <c r="E205" s="5"/>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row>
    <row r="206">
      <c r="B206" s="93"/>
      <c r="C206" s="19"/>
      <c r="D206" s="90"/>
      <c r="E206" s="5"/>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row>
    <row r="207">
      <c r="B207" s="93"/>
      <c r="C207" s="19"/>
      <c r="D207" s="90"/>
      <c r="E207" s="5"/>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row>
    <row r="208">
      <c r="B208" s="93"/>
      <c r="C208" s="19"/>
      <c r="D208" s="90"/>
      <c r="E208" s="5"/>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row>
    <row r="209">
      <c r="B209" s="93"/>
      <c r="C209" s="19"/>
      <c r="D209" s="90"/>
      <c r="E209" s="5"/>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row>
    <row r="210">
      <c r="B210" s="93"/>
      <c r="C210" s="19"/>
      <c r="D210" s="90"/>
      <c r="E210" s="5"/>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row>
    <row r="211">
      <c r="B211" s="93"/>
      <c r="C211" s="19"/>
      <c r="D211" s="90"/>
      <c r="E211" s="5"/>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row>
    <row r="212">
      <c r="B212" s="93"/>
      <c r="C212" s="19"/>
      <c r="D212" s="90"/>
      <c r="E212" s="5"/>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row>
    <row r="213">
      <c r="B213" s="93"/>
      <c r="C213" s="19"/>
      <c r="D213" s="90"/>
      <c r="E213" s="5"/>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row>
    <row r="214">
      <c r="B214" s="93"/>
      <c r="C214" s="19"/>
      <c r="D214" s="90"/>
      <c r="E214" s="5"/>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c r="FJ214" s="19"/>
      <c r="FK214" s="19"/>
      <c r="FL214" s="19"/>
      <c r="FM214" s="19"/>
      <c r="FN214" s="19"/>
    </row>
    <row r="215">
      <c r="B215" s="93"/>
      <c r="C215" s="19"/>
      <c r="D215" s="90"/>
      <c r="E215" s="5"/>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c r="FJ215" s="19"/>
      <c r="FK215" s="19"/>
      <c r="FL215" s="19"/>
      <c r="FM215" s="19"/>
      <c r="FN215" s="19"/>
    </row>
    <row r="216">
      <c r="B216" s="93"/>
      <c r="C216" s="19"/>
      <c r="D216" s="90"/>
      <c r="E216" s="5"/>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c r="FJ216" s="19"/>
      <c r="FK216" s="19"/>
      <c r="FL216" s="19"/>
      <c r="FM216" s="19"/>
      <c r="FN216" s="19"/>
    </row>
    <row r="217">
      <c r="B217" s="93"/>
      <c r="C217" s="19"/>
      <c r="D217" s="90"/>
      <c r="E217" s="5"/>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c r="FJ217" s="19"/>
      <c r="FK217" s="19"/>
      <c r="FL217" s="19"/>
      <c r="FM217" s="19"/>
      <c r="FN217" s="19"/>
    </row>
    <row r="218">
      <c r="B218" s="93"/>
      <c r="C218" s="19"/>
      <c r="D218" s="90"/>
      <c r="E218" s="5"/>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c r="FJ218" s="19"/>
      <c r="FK218" s="19"/>
      <c r="FL218" s="19"/>
      <c r="FM218" s="19"/>
      <c r="FN218" s="19"/>
    </row>
    <row r="219">
      <c r="B219" s="93"/>
      <c r="C219" s="19"/>
      <c r="D219" s="90"/>
      <c r="E219" s="5"/>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19"/>
      <c r="FI219" s="19"/>
      <c r="FJ219" s="19"/>
      <c r="FK219" s="19"/>
      <c r="FL219" s="19"/>
      <c r="FM219" s="19"/>
      <c r="FN219" s="19"/>
    </row>
    <row r="220">
      <c r="B220" s="93"/>
      <c r="C220" s="19"/>
      <c r="D220" s="90"/>
      <c r="E220" s="5"/>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19"/>
      <c r="FI220" s="19"/>
      <c r="FJ220" s="19"/>
      <c r="FK220" s="19"/>
      <c r="FL220" s="19"/>
      <c r="FM220" s="19"/>
      <c r="FN220" s="19"/>
    </row>
    <row r="221">
      <c r="B221" s="93"/>
      <c r="C221" s="19"/>
      <c r="D221" s="90"/>
      <c r="E221" s="5"/>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c r="DE221" s="19"/>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19"/>
      <c r="FI221" s="19"/>
      <c r="FJ221" s="19"/>
      <c r="FK221" s="19"/>
      <c r="FL221" s="19"/>
      <c r="FM221" s="19"/>
      <c r="FN221" s="19"/>
    </row>
    <row r="222">
      <c r="B222" s="93"/>
      <c r="C222" s="19"/>
      <c r="D222" s="90"/>
      <c r="E222" s="5"/>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c r="FJ222" s="19"/>
      <c r="FK222" s="19"/>
      <c r="FL222" s="19"/>
      <c r="FM222" s="19"/>
      <c r="FN222" s="19"/>
    </row>
    <row r="223">
      <c r="B223" s="93"/>
      <c r="C223" s="19"/>
      <c r="D223" s="90"/>
      <c r="E223" s="5"/>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c r="FJ223" s="19"/>
      <c r="FK223" s="19"/>
      <c r="FL223" s="19"/>
      <c r="FM223" s="19"/>
      <c r="FN223" s="19"/>
    </row>
    <row r="224">
      <c r="B224" s="93"/>
      <c r="C224" s="19"/>
      <c r="D224" s="90"/>
      <c r="E224" s="5"/>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c r="FJ224" s="19"/>
      <c r="FK224" s="19"/>
      <c r="FL224" s="19"/>
      <c r="FM224" s="19"/>
      <c r="FN224" s="19"/>
    </row>
    <row r="225">
      <c r="B225" s="93"/>
      <c r="C225" s="19"/>
      <c r="D225" s="90"/>
      <c r="E225" s="5"/>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c r="FJ225" s="19"/>
      <c r="FK225" s="19"/>
      <c r="FL225" s="19"/>
      <c r="FM225" s="19"/>
      <c r="FN225" s="19"/>
    </row>
    <row r="226">
      <c r="B226" s="93"/>
      <c r="C226" s="19"/>
      <c r="D226" s="90"/>
      <c r="E226" s="5"/>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c r="FJ226" s="19"/>
      <c r="FK226" s="19"/>
      <c r="FL226" s="19"/>
      <c r="FM226" s="19"/>
      <c r="FN226" s="19"/>
    </row>
    <row r="227">
      <c r="B227" s="93"/>
      <c r="C227" s="19"/>
      <c r="D227" s="90"/>
      <c r="E227" s="5"/>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c r="FJ227" s="19"/>
      <c r="FK227" s="19"/>
      <c r="FL227" s="19"/>
      <c r="FM227" s="19"/>
      <c r="FN227" s="19"/>
    </row>
    <row r="228">
      <c r="B228" s="93"/>
      <c r="C228" s="19"/>
      <c r="D228" s="90"/>
      <c r="E228" s="5"/>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19"/>
      <c r="FI228" s="19"/>
      <c r="FJ228" s="19"/>
      <c r="FK228" s="19"/>
      <c r="FL228" s="19"/>
      <c r="FM228" s="19"/>
      <c r="FN228" s="19"/>
    </row>
    <row r="229">
      <c r="B229" s="93"/>
      <c r="C229" s="19"/>
      <c r="D229" s="90"/>
      <c r="E229" s="5"/>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row>
    <row r="230">
      <c r="B230" s="93"/>
      <c r="C230" s="19"/>
      <c r="D230" s="90"/>
      <c r="E230" s="5"/>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row>
    <row r="231">
      <c r="B231" s="93"/>
      <c r="C231" s="19"/>
      <c r="D231" s="90"/>
      <c r="E231" s="5"/>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row>
    <row r="232">
      <c r="B232" s="93"/>
      <c r="C232" s="19"/>
      <c r="D232" s="90"/>
      <c r="E232" s="5"/>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row>
    <row r="233">
      <c r="B233" s="93"/>
      <c r="C233" s="19"/>
      <c r="D233" s="90"/>
      <c r="E233" s="5"/>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row>
    <row r="234">
      <c r="B234" s="93"/>
      <c r="C234" s="19"/>
      <c r="D234" s="90"/>
      <c r="E234" s="5"/>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row>
    <row r="235">
      <c r="B235" s="93"/>
      <c r="C235" s="19"/>
      <c r="D235" s="90"/>
      <c r="E235" s="5"/>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row>
    <row r="236">
      <c r="B236" s="93"/>
      <c r="C236" s="19"/>
      <c r="D236" s="90"/>
      <c r="E236" s="5"/>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row>
    <row r="237">
      <c r="B237" s="93"/>
      <c r="C237" s="19"/>
      <c r="D237" s="90"/>
      <c r="E237" s="5"/>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row>
    <row r="238">
      <c r="B238" s="93"/>
      <c r="C238" s="19"/>
      <c r="D238" s="90"/>
      <c r="E238" s="5"/>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row>
    <row r="239">
      <c r="B239" s="93"/>
      <c r="C239" s="19"/>
      <c r="D239" s="90"/>
      <c r="E239" s="5"/>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c r="FJ239" s="19"/>
      <c r="FK239" s="19"/>
      <c r="FL239" s="19"/>
      <c r="FM239" s="19"/>
      <c r="FN239" s="19"/>
    </row>
    <row r="240">
      <c r="B240" s="93"/>
      <c r="C240" s="19"/>
      <c r="D240" s="90"/>
      <c r="E240" s="5"/>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c r="FE240" s="19"/>
      <c r="FF240" s="19"/>
      <c r="FG240" s="19"/>
      <c r="FH240" s="19"/>
      <c r="FI240" s="19"/>
      <c r="FJ240" s="19"/>
      <c r="FK240" s="19"/>
      <c r="FL240" s="19"/>
      <c r="FM240" s="19"/>
      <c r="FN240" s="19"/>
    </row>
    <row r="241">
      <c r="B241" s="93"/>
      <c r="C241" s="19"/>
      <c r="D241" s="90"/>
      <c r="E241" s="5"/>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c r="FJ241" s="19"/>
      <c r="FK241" s="19"/>
      <c r="FL241" s="19"/>
      <c r="FM241" s="19"/>
      <c r="FN241" s="19"/>
    </row>
    <row r="242">
      <c r="B242" s="93"/>
      <c r="C242" s="19"/>
      <c r="D242" s="90"/>
      <c r="E242" s="5"/>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c r="FJ242" s="19"/>
      <c r="FK242" s="19"/>
      <c r="FL242" s="19"/>
      <c r="FM242" s="19"/>
      <c r="FN242" s="19"/>
    </row>
    <row r="243">
      <c r="B243" s="93"/>
      <c r="C243" s="19"/>
      <c r="D243" s="90"/>
      <c r="E243" s="5"/>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c r="FJ243" s="19"/>
      <c r="FK243" s="19"/>
      <c r="FL243" s="19"/>
      <c r="FM243" s="19"/>
      <c r="FN243" s="19"/>
    </row>
    <row r="244">
      <c r="B244" s="93"/>
      <c r="C244" s="19"/>
      <c r="D244" s="90"/>
      <c r="E244" s="5"/>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c r="FJ244" s="19"/>
      <c r="FK244" s="19"/>
      <c r="FL244" s="19"/>
      <c r="FM244" s="19"/>
      <c r="FN244" s="19"/>
    </row>
    <row r="245">
      <c r="B245" s="93"/>
      <c r="C245" s="19"/>
      <c r="D245" s="90"/>
      <c r="E245" s="5"/>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c r="FJ245" s="19"/>
      <c r="FK245" s="19"/>
      <c r="FL245" s="19"/>
      <c r="FM245" s="19"/>
      <c r="FN245" s="19"/>
    </row>
    <row r="246">
      <c r="B246" s="93"/>
      <c r="C246" s="19"/>
      <c r="D246" s="90"/>
      <c r="E246" s="5"/>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c r="FJ246" s="19"/>
      <c r="FK246" s="19"/>
      <c r="FL246" s="19"/>
      <c r="FM246" s="19"/>
      <c r="FN246" s="19"/>
    </row>
    <row r="247">
      <c r="B247" s="93"/>
      <c r="C247" s="19"/>
      <c r="D247" s="90"/>
      <c r="E247" s="5"/>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19"/>
      <c r="FL247" s="19"/>
      <c r="FM247" s="19"/>
      <c r="FN247" s="19"/>
    </row>
    <row r="248">
      <c r="B248" s="93"/>
      <c r="C248" s="19"/>
      <c r="D248" s="90"/>
      <c r="E248" s="5"/>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19"/>
      <c r="FN248" s="19"/>
    </row>
    <row r="249">
      <c r="B249" s="93"/>
      <c r="C249" s="19"/>
      <c r="D249" s="90"/>
      <c r="E249" s="5"/>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row>
    <row r="250">
      <c r="B250" s="93"/>
      <c r="C250" s="19"/>
      <c r="D250" s="90"/>
      <c r="E250" s="5"/>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c r="FJ250" s="19"/>
      <c r="FK250" s="19"/>
      <c r="FL250" s="19"/>
      <c r="FM250" s="19"/>
      <c r="FN250" s="19"/>
    </row>
    <row r="251">
      <c r="B251" s="93"/>
      <c r="C251" s="19"/>
      <c r="D251" s="90"/>
      <c r="E251" s="5"/>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c r="FJ251" s="19"/>
      <c r="FK251" s="19"/>
      <c r="FL251" s="19"/>
      <c r="FM251" s="19"/>
      <c r="FN251" s="19"/>
    </row>
    <row r="252">
      <c r="B252" s="93"/>
      <c r="C252" s="19"/>
      <c r="D252" s="90"/>
      <c r="E252" s="5"/>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c r="FJ252" s="19"/>
      <c r="FK252" s="19"/>
      <c r="FL252" s="19"/>
      <c r="FM252" s="19"/>
      <c r="FN252" s="19"/>
    </row>
    <row r="253">
      <c r="B253" s="93"/>
      <c r="C253" s="19"/>
      <c r="D253" s="90"/>
      <c r="E253" s="5"/>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c r="FJ253" s="19"/>
      <c r="FK253" s="19"/>
      <c r="FL253" s="19"/>
      <c r="FM253" s="19"/>
      <c r="FN253" s="19"/>
    </row>
    <row r="254">
      <c r="B254" s="93"/>
      <c r="C254" s="19"/>
      <c r="D254" s="90"/>
      <c r="E254" s="5"/>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row>
    <row r="255">
      <c r="B255" s="93"/>
      <c r="C255" s="19"/>
      <c r="D255" s="90"/>
      <c r="E255" s="5"/>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row>
    <row r="256">
      <c r="B256" s="93"/>
      <c r="C256" s="19"/>
      <c r="D256" s="90"/>
      <c r="E256" s="5"/>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row>
    <row r="257">
      <c r="B257" s="93"/>
      <c r="C257" s="19"/>
      <c r="D257" s="90"/>
      <c r="E257" s="5"/>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row>
    <row r="258">
      <c r="B258" s="93"/>
      <c r="C258" s="19"/>
      <c r="D258" s="90"/>
      <c r="E258" s="5"/>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row>
    <row r="259">
      <c r="B259" s="93"/>
      <c r="C259" s="19"/>
      <c r="D259" s="90"/>
      <c r="E259" s="5"/>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row>
    <row r="260">
      <c r="B260" s="93"/>
      <c r="C260" s="19"/>
      <c r="D260" s="90"/>
      <c r="E260" s="5"/>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row>
    <row r="261">
      <c r="B261" s="93"/>
      <c r="C261" s="19"/>
      <c r="D261" s="90"/>
      <c r="E261" s="5"/>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row>
    <row r="262">
      <c r="B262" s="93"/>
      <c r="C262" s="19"/>
      <c r="D262" s="90"/>
      <c r="E262" s="5"/>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row>
    <row r="263">
      <c r="B263" s="93"/>
      <c r="C263" s="19"/>
      <c r="D263" s="90"/>
      <c r="E263" s="5"/>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row>
    <row r="264">
      <c r="B264" s="93"/>
      <c r="C264" s="19"/>
      <c r="D264" s="90"/>
      <c r="E264" s="5"/>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c r="FJ264" s="19"/>
      <c r="FK264" s="19"/>
      <c r="FL264" s="19"/>
      <c r="FM264" s="19"/>
      <c r="FN264" s="19"/>
    </row>
    <row r="265">
      <c r="B265" s="93"/>
      <c r="C265" s="19"/>
      <c r="D265" s="90"/>
      <c r="E265" s="5"/>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c r="FJ265" s="19"/>
      <c r="FK265" s="19"/>
      <c r="FL265" s="19"/>
      <c r="FM265" s="19"/>
      <c r="FN265" s="19"/>
    </row>
    <row r="266">
      <c r="B266" s="93"/>
      <c r="C266" s="19"/>
      <c r="D266" s="90"/>
      <c r="E266" s="5"/>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c r="FJ266" s="19"/>
      <c r="FK266" s="19"/>
      <c r="FL266" s="19"/>
      <c r="FM266" s="19"/>
      <c r="FN266" s="19"/>
    </row>
    <row r="267">
      <c r="B267" s="93"/>
      <c r="C267" s="19"/>
      <c r="D267" s="90"/>
      <c r="E267" s="5"/>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c r="FJ267" s="19"/>
      <c r="FK267" s="19"/>
      <c r="FL267" s="19"/>
      <c r="FM267" s="19"/>
      <c r="FN267" s="19"/>
    </row>
    <row r="268">
      <c r="B268" s="93"/>
      <c r="C268" s="19"/>
      <c r="D268" s="90"/>
      <c r="E268" s="5"/>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c r="FJ268" s="19"/>
      <c r="FK268" s="19"/>
      <c r="FL268" s="19"/>
      <c r="FM268" s="19"/>
      <c r="FN268" s="19"/>
    </row>
    <row r="269">
      <c r="B269" s="93"/>
      <c r="C269" s="19"/>
      <c r="D269" s="90"/>
      <c r="E269" s="5"/>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19"/>
      <c r="FI269" s="19"/>
      <c r="FJ269" s="19"/>
      <c r="FK269" s="19"/>
      <c r="FL269" s="19"/>
      <c r="FM269" s="19"/>
      <c r="FN269" s="19"/>
    </row>
    <row r="270">
      <c r="B270" s="93"/>
      <c r="C270" s="19"/>
      <c r="D270" s="90"/>
      <c r="E270" s="5"/>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c r="FJ270" s="19"/>
      <c r="FK270" s="19"/>
      <c r="FL270" s="19"/>
      <c r="FM270" s="19"/>
      <c r="FN270" s="19"/>
    </row>
    <row r="271">
      <c r="B271" s="93"/>
      <c r="C271" s="19"/>
      <c r="D271" s="90"/>
      <c r="E271" s="5"/>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c r="FJ271" s="19"/>
      <c r="FK271" s="19"/>
      <c r="FL271" s="19"/>
      <c r="FM271" s="19"/>
      <c r="FN271" s="19"/>
    </row>
    <row r="272">
      <c r="B272" s="93"/>
      <c r="C272" s="19"/>
      <c r="D272" s="90"/>
      <c r="E272" s="5"/>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c r="FJ272" s="19"/>
      <c r="FK272" s="19"/>
      <c r="FL272" s="19"/>
      <c r="FM272" s="19"/>
      <c r="FN272" s="19"/>
    </row>
    <row r="273">
      <c r="B273" s="93"/>
      <c r="C273" s="19"/>
      <c r="D273" s="90"/>
      <c r="E273" s="5"/>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19"/>
      <c r="EC273" s="19"/>
      <c r="ED273" s="19"/>
      <c r="EE273" s="19"/>
      <c r="EF273" s="19"/>
      <c r="EG273" s="19"/>
      <c r="EH273" s="19"/>
      <c r="EI273" s="19"/>
      <c r="EJ273" s="19"/>
      <c r="EK273" s="19"/>
      <c r="EL273" s="19"/>
      <c r="EM273" s="19"/>
      <c r="EN273" s="19"/>
      <c r="EO273" s="19"/>
      <c r="EP273" s="19"/>
      <c r="EQ273" s="19"/>
      <c r="ER273" s="19"/>
      <c r="ES273" s="19"/>
      <c r="ET273" s="19"/>
      <c r="EU273" s="19"/>
      <c r="EV273" s="19"/>
      <c r="EW273" s="19"/>
      <c r="EX273" s="19"/>
      <c r="EY273" s="19"/>
      <c r="EZ273" s="19"/>
      <c r="FA273" s="19"/>
      <c r="FB273" s="19"/>
      <c r="FC273" s="19"/>
      <c r="FD273" s="19"/>
      <c r="FE273" s="19"/>
      <c r="FF273" s="19"/>
      <c r="FG273" s="19"/>
      <c r="FH273" s="19"/>
      <c r="FI273" s="19"/>
      <c r="FJ273" s="19"/>
      <c r="FK273" s="19"/>
      <c r="FL273" s="19"/>
      <c r="FM273" s="19"/>
      <c r="FN273" s="19"/>
    </row>
    <row r="274">
      <c r="B274" s="93"/>
      <c r="C274" s="19"/>
      <c r="D274" s="90"/>
      <c r="E274" s="5"/>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c r="FB274" s="19"/>
      <c r="FC274" s="19"/>
      <c r="FD274" s="19"/>
      <c r="FE274" s="19"/>
      <c r="FF274" s="19"/>
      <c r="FG274" s="19"/>
      <c r="FH274" s="19"/>
      <c r="FI274" s="19"/>
      <c r="FJ274" s="19"/>
      <c r="FK274" s="19"/>
      <c r="FL274" s="19"/>
      <c r="FM274" s="19"/>
      <c r="FN274" s="19"/>
    </row>
    <row r="275">
      <c r="B275" s="93"/>
      <c r="C275" s="19"/>
      <c r="D275" s="90"/>
      <c r="E275" s="5"/>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c r="FB275" s="19"/>
      <c r="FC275" s="19"/>
      <c r="FD275" s="19"/>
      <c r="FE275" s="19"/>
      <c r="FF275" s="19"/>
      <c r="FG275" s="19"/>
      <c r="FH275" s="19"/>
      <c r="FI275" s="19"/>
      <c r="FJ275" s="19"/>
      <c r="FK275" s="19"/>
      <c r="FL275" s="19"/>
      <c r="FM275" s="19"/>
      <c r="FN275" s="19"/>
    </row>
    <row r="276">
      <c r="B276" s="93"/>
      <c r="C276" s="19"/>
      <c r="D276" s="90"/>
      <c r="E276" s="5"/>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c r="FE276" s="19"/>
      <c r="FF276" s="19"/>
      <c r="FG276" s="19"/>
      <c r="FH276" s="19"/>
      <c r="FI276" s="19"/>
      <c r="FJ276" s="19"/>
      <c r="FK276" s="19"/>
      <c r="FL276" s="19"/>
      <c r="FM276" s="19"/>
      <c r="FN276" s="19"/>
    </row>
    <row r="277">
      <c r="B277" s="93"/>
      <c r="C277" s="19"/>
      <c r="D277" s="90"/>
      <c r="E277" s="5"/>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c r="FJ277" s="19"/>
      <c r="FK277" s="19"/>
      <c r="FL277" s="19"/>
      <c r="FM277" s="19"/>
      <c r="FN277" s="19"/>
    </row>
    <row r="278">
      <c r="B278" s="93"/>
      <c r="C278" s="19"/>
      <c r="D278" s="90"/>
      <c r="E278" s="5"/>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c r="FJ278" s="19"/>
      <c r="FK278" s="19"/>
      <c r="FL278" s="19"/>
      <c r="FM278" s="19"/>
      <c r="FN278" s="19"/>
    </row>
    <row r="279">
      <c r="B279" s="93"/>
      <c r="C279" s="19"/>
      <c r="D279" s="90"/>
      <c r="E279" s="5"/>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row>
    <row r="280">
      <c r="B280" s="93"/>
      <c r="C280" s="19"/>
      <c r="D280" s="90"/>
      <c r="E280" s="5"/>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row>
    <row r="281">
      <c r="B281" s="93"/>
      <c r="C281" s="19"/>
      <c r="D281" s="90"/>
      <c r="E281" s="5"/>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row>
    <row r="282">
      <c r="B282" s="93"/>
      <c r="C282" s="19"/>
      <c r="D282" s="90"/>
      <c r="E282" s="5"/>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row>
    <row r="283">
      <c r="B283" s="93"/>
      <c r="C283" s="19"/>
      <c r="D283" s="90"/>
      <c r="E283" s="5"/>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row>
    <row r="284">
      <c r="B284" s="93"/>
      <c r="C284" s="19"/>
      <c r="D284" s="90"/>
      <c r="E284" s="5"/>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row>
    <row r="285">
      <c r="B285" s="93"/>
      <c r="C285" s="19"/>
      <c r="D285" s="90"/>
      <c r="E285" s="5"/>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row>
    <row r="286">
      <c r="B286" s="93"/>
      <c r="C286" s="19"/>
      <c r="D286" s="90"/>
      <c r="E286" s="5"/>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row>
    <row r="287">
      <c r="B287" s="93"/>
      <c r="C287" s="19"/>
      <c r="D287" s="90"/>
      <c r="E287" s="5"/>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row>
    <row r="288">
      <c r="B288" s="93"/>
      <c r="C288" s="19"/>
      <c r="D288" s="90"/>
      <c r="E288" s="5"/>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row>
    <row r="289">
      <c r="B289" s="93"/>
      <c r="C289" s="19"/>
      <c r="D289" s="90"/>
      <c r="E289" s="5"/>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c r="FJ289" s="19"/>
      <c r="FK289" s="19"/>
      <c r="FL289" s="19"/>
      <c r="FM289" s="19"/>
      <c r="FN289" s="19"/>
    </row>
    <row r="290">
      <c r="B290" s="93"/>
      <c r="C290" s="19"/>
      <c r="D290" s="90"/>
      <c r="E290" s="5"/>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c r="FJ290" s="19"/>
      <c r="FK290" s="19"/>
      <c r="FL290" s="19"/>
      <c r="FM290" s="19"/>
      <c r="FN290" s="19"/>
    </row>
    <row r="291">
      <c r="B291" s="93"/>
      <c r="C291" s="19"/>
      <c r="D291" s="90"/>
      <c r="E291" s="5"/>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c r="FJ291" s="19"/>
      <c r="FK291" s="19"/>
      <c r="FL291" s="19"/>
      <c r="FM291" s="19"/>
      <c r="FN291" s="19"/>
    </row>
    <row r="292">
      <c r="B292" s="93"/>
      <c r="C292" s="19"/>
      <c r="D292" s="90"/>
      <c r="E292" s="5"/>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row>
    <row r="293">
      <c r="B293" s="93"/>
      <c r="C293" s="19"/>
      <c r="D293" s="90"/>
      <c r="E293" s="5"/>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c r="FJ293" s="19"/>
      <c r="FK293" s="19"/>
      <c r="FL293" s="19"/>
      <c r="FM293" s="19"/>
      <c r="FN293" s="19"/>
    </row>
    <row r="294">
      <c r="B294" s="93"/>
      <c r="C294" s="19"/>
      <c r="D294" s="90"/>
      <c r="E294" s="5"/>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c r="FJ294" s="19"/>
      <c r="FK294" s="19"/>
      <c r="FL294" s="19"/>
      <c r="FM294" s="19"/>
      <c r="FN294" s="19"/>
    </row>
    <row r="295">
      <c r="B295" s="93"/>
      <c r="C295" s="19"/>
      <c r="D295" s="90"/>
      <c r="E295" s="5"/>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c r="FJ295" s="19"/>
      <c r="FK295" s="19"/>
      <c r="FL295" s="19"/>
      <c r="FM295" s="19"/>
      <c r="FN295" s="19"/>
    </row>
    <row r="296">
      <c r="B296" s="93"/>
      <c r="C296" s="19"/>
      <c r="D296" s="90"/>
      <c r="E296" s="5"/>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c r="FJ296" s="19"/>
      <c r="FK296" s="19"/>
      <c r="FL296" s="19"/>
      <c r="FM296" s="19"/>
      <c r="FN296" s="19"/>
    </row>
    <row r="297">
      <c r="B297" s="93"/>
      <c r="C297" s="19"/>
      <c r="D297" s="90"/>
      <c r="E297" s="5"/>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c r="FJ297" s="19"/>
      <c r="FK297" s="19"/>
      <c r="FL297" s="19"/>
      <c r="FM297" s="19"/>
      <c r="FN297" s="19"/>
    </row>
    <row r="298">
      <c r="B298" s="93"/>
      <c r="C298" s="19"/>
      <c r="D298" s="90"/>
      <c r="E298" s="5"/>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c r="FJ298" s="19"/>
      <c r="FK298" s="19"/>
      <c r="FL298" s="19"/>
      <c r="FM298" s="19"/>
      <c r="FN298" s="19"/>
    </row>
    <row r="299">
      <c r="B299" s="93"/>
      <c r="C299" s="19"/>
      <c r="D299" s="90"/>
      <c r="E299" s="5"/>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c r="FJ299" s="19"/>
      <c r="FK299" s="19"/>
      <c r="FL299" s="19"/>
      <c r="FM299" s="19"/>
      <c r="FN299" s="19"/>
    </row>
    <row r="300">
      <c r="B300" s="93"/>
      <c r="C300" s="19"/>
      <c r="D300" s="90"/>
      <c r="E300" s="5"/>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c r="FJ300" s="19"/>
      <c r="FK300" s="19"/>
      <c r="FL300" s="19"/>
      <c r="FM300" s="19"/>
      <c r="FN300" s="19"/>
    </row>
    <row r="301">
      <c r="B301" s="93"/>
      <c r="C301" s="19"/>
      <c r="D301" s="90"/>
      <c r="E301" s="5"/>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c r="FJ301" s="19"/>
      <c r="FK301" s="19"/>
      <c r="FL301" s="19"/>
      <c r="FM301" s="19"/>
      <c r="FN301" s="19"/>
    </row>
    <row r="302">
      <c r="B302" s="93"/>
      <c r="C302" s="19"/>
      <c r="D302" s="90"/>
      <c r="E302" s="5"/>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c r="FJ302" s="19"/>
      <c r="FK302" s="19"/>
      <c r="FL302" s="19"/>
      <c r="FM302" s="19"/>
      <c r="FN302" s="19"/>
    </row>
    <row r="303">
      <c r="B303" s="93"/>
      <c r="C303" s="19"/>
      <c r="D303" s="90"/>
      <c r="E303" s="5"/>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19"/>
      <c r="EC303" s="19"/>
      <c r="ED303" s="19"/>
      <c r="EE303" s="19"/>
      <c r="EF303" s="19"/>
      <c r="EG303" s="19"/>
      <c r="EH303" s="19"/>
      <c r="EI303" s="19"/>
      <c r="EJ303" s="19"/>
      <c r="EK303" s="19"/>
      <c r="EL303" s="19"/>
      <c r="EM303" s="19"/>
      <c r="EN303" s="19"/>
      <c r="EO303" s="19"/>
      <c r="EP303" s="19"/>
      <c r="EQ303" s="19"/>
      <c r="ER303" s="19"/>
      <c r="ES303" s="19"/>
      <c r="ET303" s="19"/>
      <c r="EU303" s="19"/>
      <c r="EV303" s="19"/>
      <c r="EW303" s="19"/>
      <c r="EX303" s="19"/>
      <c r="EY303" s="19"/>
      <c r="EZ303" s="19"/>
      <c r="FA303" s="19"/>
      <c r="FB303" s="19"/>
      <c r="FC303" s="19"/>
      <c r="FD303" s="19"/>
      <c r="FE303" s="19"/>
      <c r="FF303" s="19"/>
      <c r="FG303" s="19"/>
      <c r="FH303" s="19"/>
      <c r="FI303" s="19"/>
      <c r="FJ303" s="19"/>
      <c r="FK303" s="19"/>
      <c r="FL303" s="19"/>
      <c r="FM303" s="19"/>
      <c r="FN303" s="19"/>
    </row>
    <row r="304">
      <c r="B304" s="93"/>
      <c r="C304" s="19"/>
      <c r="D304" s="90"/>
      <c r="E304" s="5"/>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row>
    <row r="305">
      <c r="B305" s="93"/>
      <c r="C305" s="19"/>
      <c r="D305" s="90"/>
      <c r="E305" s="5"/>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row>
    <row r="306">
      <c r="B306" s="93"/>
      <c r="C306" s="19"/>
      <c r="D306" s="90"/>
      <c r="E306" s="5"/>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row>
    <row r="307">
      <c r="B307" s="93"/>
      <c r="C307" s="19"/>
      <c r="D307" s="90"/>
      <c r="E307" s="5"/>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row>
    <row r="308">
      <c r="B308" s="93"/>
      <c r="C308" s="19"/>
      <c r="D308" s="90"/>
      <c r="E308" s="5"/>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row>
    <row r="309">
      <c r="B309" s="93"/>
      <c r="C309" s="19"/>
      <c r="D309" s="90"/>
      <c r="E309" s="5"/>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row>
    <row r="310">
      <c r="B310" s="93"/>
      <c r="C310" s="19"/>
      <c r="D310" s="90"/>
      <c r="E310" s="5"/>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row>
    <row r="311">
      <c r="B311" s="93"/>
      <c r="C311" s="19"/>
      <c r="D311" s="90"/>
      <c r="E311" s="5"/>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row>
    <row r="312">
      <c r="B312" s="93"/>
      <c r="C312" s="19"/>
      <c r="D312" s="90"/>
      <c r="E312" s="5"/>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row>
    <row r="313">
      <c r="B313" s="93"/>
      <c r="C313" s="19"/>
      <c r="D313" s="90"/>
      <c r="E313" s="5"/>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row>
    <row r="314">
      <c r="B314" s="93"/>
      <c r="C314" s="19"/>
      <c r="D314" s="90"/>
      <c r="E314" s="5"/>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19"/>
      <c r="FI314" s="19"/>
      <c r="FJ314" s="19"/>
      <c r="FK314" s="19"/>
      <c r="FL314" s="19"/>
      <c r="FM314" s="19"/>
      <c r="FN314" s="19"/>
    </row>
    <row r="315">
      <c r="B315" s="93"/>
      <c r="C315" s="19"/>
      <c r="D315" s="90"/>
      <c r="E315" s="5"/>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19"/>
      <c r="FI315" s="19"/>
      <c r="FJ315" s="19"/>
      <c r="FK315" s="19"/>
      <c r="FL315" s="19"/>
      <c r="FM315" s="19"/>
      <c r="FN315" s="19"/>
    </row>
    <row r="316">
      <c r="B316" s="93"/>
      <c r="C316" s="19"/>
      <c r="D316" s="90"/>
      <c r="E316" s="5"/>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c r="FJ316" s="19"/>
      <c r="FK316" s="19"/>
      <c r="FL316" s="19"/>
      <c r="FM316" s="19"/>
      <c r="FN316" s="19"/>
    </row>
    <row r="317">
      <c r="B317" s="93"/>
      <c r="C317" s="19"/>
      <c r="D317" s="90"/>
      <c r="E317" s="5"/>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19"/>
      <c r="FI317" s="19"/>
      <c r="FJ317" s="19"/>
      <c r="FK317" s="19"/>
      <c r="FL317" s="19"/>
      <c r="FM317" s="19"/>
      <c r="FN317" s="19"/>
    </row>
    <row r="318">
      <c r="B318" s="93"/>
      <c r="C318" s="19"/>
      <c r="D318" s="90"/>
      <c r="E318" s="5"/>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c r="FJ318" s="19"/>
      <c r="FK318" s="19"/>
      <c r="FL318" s="19"/>
      <c r="FM318" s="19"/>
      <c r="FN318" s="19"/>
    </row>
    <row r="319">
      <c r="B319" s="93"/>
      <c r="C319" s="19"/>
      <c r="D319" s="90"/>
      <c r="E319" s="5"/>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c r="FJ319" s="19"/>
      <c r="FK319" s="19"/>
      <c r="FL319" s="19"/>
      <c r="FM319" s="19"/>
      <c r="FN319" s="19"/>
    </row>
    <row r="320">
      <c r="B320" s="93"/>
      <c r="C320" s="19"/>
      <c r="D320" s="90"/>
      <c r="E320" s="5"/>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19"/>
      <c r="FI320" s="19"/>
      <c r="FJ320" s="19"/>
      <c r="FK320" s="19"/>
      <c r="FL320" s="19"/>
      <c r="FM320" s="19"/>
      <c r="FN320" s="19"/>
    </row>
    <row r="321">
      <c r="B321" s="93"/>
      <c r="C321" s="19"/>
      <c r="D321" s="90"/>
      <c r="E321" s="5"/>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c r="FJ321" s="19"/>
      <c r="FK321" s="19"/>
      <c r="FL321" s="19"/>
      <c r="FM321" s="19"/>
      <c r="FN321" s="19"/>
    </row>
    <row r="322">
      <c r="B322" s="93"/>
      <c r="C322" s="19"/>
      <c r="D322" s="90"/>
      <c r="E322" s="5"/>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c r="FJ322" s="19"/>
      <c r="FK322" s="19"/>
      <c r="FL322" s="19"/>
      <c r="FM322" s="19"/>
      <c r="FN322" s="19"/>
    </row>
    <row r="323">
      <c r="B323" s="93"/>
      <c r="C323" s="19"/>
      <c r="D323" s="90"/>
      <c r="E323" s="5"/>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c r="FJ323" s="19"/>
      <c r="FK323" s="19"/>
      <c r="FL323" s="19"/>
      <c r="FM323" s="19"/>
      <c r="FN323" s="19"/>
    </row>
    <row r="324">
      <c r="B324" s="93"/>
      <c r="C324" s="19"/>
      <c r="D324" s="90"/>
      <c r="E324" s="5"/>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c r="FJ324" s="19"/>
      <c r="FK324" s="19"/>
      <c r="FL324" s="19"/>
      <c r="FM324" s="19"/>
      <c r="FN324" s="19"/>
    </row>
    <row r="325">
      <c r="B325" s="93"/>
      <c r="C325" s="19"/>
      <c r="D325" s="90"/>
      <c r="E325" s="5"/>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c r="FJ325" s="19"/>
      <c r="FK325" s="19"/>
      <c r="FL325" s="19"/>
      <c r="FM325" s="19"/>
      <c r="FN325" s="19"/>
    </row>
    <row r="326">
      <c r="B326" s="93"/>
      <c r="C326" s="19"/>
      <c r="D326" s="90"/>
      <c r="E326" s="5"/>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19"/>
      <c r="FH326" s="19"/>
      <c r="FI326" s="19"/>
      <c r="FJ326" s="19"/>
      <c r="FK326" s="19"/>
      <c r="FL326" s="19"/>
      <c r="FM326" s="19"/>
      <c r="FN326" s="19"/>
    </row>
    <row r="327">
      <c r="B327" s="93"/>
      <c r="C327" s="19"/>
      <c r="D327" s="90"/>
      <c r="E327" s="5"/>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X327" s="19"/>
      <c r="EY327" s="19"/>
      <c r="EZ327" s="19"/>
      <c r="FA327" s="19"/>
      <c r="FB327" s="19"/>
      <c r="FC327" s="19"/>
      <c r="FD327" s="19"/>
      <c r="FE327" s="19"/>
      <c r="FF327" s="19"/>
      <c r="FG327" s="19"/>
      <c r="FH327" s="19"/>
      <c r="FI327" s="19"/>
      <c r="FJ327" s="19"/>
      <c r="FK327" s="19"/>
      <c r="FL327" s="19"/>
      <c r="FM327" s="19"/>
      <c r="FN327" s="19"/>
    </row>
    <row r="328">
      <c r="B328" s="93"/>
      <c r="C328" s="19"/>
      <c r="D328" s="90"/>
      <c r="E328" s="5"/>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c r="ET328" s="19"/>
      <c r="EU328" s="19"/>
      <c r="EV328" s="19"/>
      <c r="EW328" s="19"/>
      <c r="EX328" s="19"/>
      <c r="EY328" s="19"/>
      <c r="EZ328" s="19"/>
      <c r="FA328" s="19"/>
      <c r="FB328" s="19"/>
      <c r="FC328" s="19"/>
      <c r="FD328" s="19"/>
      <c r="FE328" s="19"/>
      <c r="FF328" s="19"/>
      <c r="FG328" s="19"/>
      <c r="FH328" s="19"/>
      <c r="FI328" s="19"/>
      <c r="FJ328" s="19"/>
      <c r="FK328" s="19"/>
      <c r="FL328" s="19"/>
      <c r="FM328" s="19"/>
      <c r="FN328" s="19"/>
    </row>
    <row r="329">
      <c r="B329" s="93"/>
      <c r="C329" s="19"/>
      <c r="D329" s="90"/>
      <c r="E329" s="5"/>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row>
    <row r="330">
      <c r="B330" s="93"/>
      <c r="C330" s="19"/>
      <c r="D330" s="90"/>
      <c r="E330" s="5"/>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row>
    <row r="331">
      <c r="B331" s="93"/>
      <c r="C331" s="19"/>
      <c r="D331" s="90"/>
      <c r="E331" s="5"/>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row>
    <row r="332">
      <c r="B332" s="93"/>
      <c r="C332" s="19"/>
      <c r="D332" s="90"/>
      <c r="E332" s="5"/>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row>
    <row r="333">
      <c r="B333" s="93"/>
      <c r="C333" s="19"/>
      <c r="D333" s="90"/>
      <c r="E333" s="5"/>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row>
    <row r="334">
      <c r="B334" s="93"/>
      <c r="C334" s="19"/>
      <c r="D334" s="90"/>
      <c r="E334" s="5"/>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row>
    <row r="335">
      <c r="B335" s="93"/>
      <c r="C335" s="19"/>
      <c r="D335" s="90"/>
      <c r="E335" s="5"/>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row>
    <row r="336">
      <c r="B336" s="93"/>
      <c r="C336" s="19"/>
      <c r="D336" s="90"/>
      <c r="E336" s="5"/>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row>
    <row r="337">
      <c r="B337" s="93"/>
      <c r="C337" s="19"/>
      <c r="D337" s="90"/>
      <c r="E337" s="5"/>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row>
    <row r="338">
      <c r="B338" s="93"/>
      <c r="C338" s="19"/>
      <c r="D338" s="90"/>
      <c r="E338" s="5"/>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row>
    <row r="339">
      <c r="B339" s="93"/>
      <c r="C339" s="19"/>
      <c r="D339" s="90"/>
      <c r="E339" s="5"/>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c r="FJ339" s="19"/>
      <c r="FK339" s="19"/>
      <c r="FL339" s="19"/>
      <c r="FM339" s="19"/>
      <c r="FN339" s="19"/>
    </row>
    <row r="340">
      <c r="B340" s="93"/>
      <c r="C340" s="19"/>
      <c r="D340" s="90"/>
      <c r="E340" s="5"/>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c r="FJ340" s="19"/>
      <c r="FK340" s="19"/>
      <c r="FL340" s="19"/>
      <c r="FM340" s="19"/>
      <c r="FN340" s="19"/>
    </row>
    <row r="341">
      <c r="B341" s="93"/>
      <c r="C341" s="19"/>
      <c r="D341" s="90"/>
      <c r="E341" s="5"/>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c r="FJ341" s="19"/>
      <c r="FK341" s="19"/>
      <c r="FL341" s="19"/>
      <c r="FM341" s="19"/>
      <c r="FN341" s="19"/>
    </row>
    <row r="342">
      <c r="B342" s="93"/>
      <c r="C342" s="19"/>
      <c r="D342" s="90"/>
      <c r="E342" s="5"/>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c r="FJ342" s="19"/>
      <c r="FK342" s="19"/>
      <c r="FL342" s="19"/>
      <c r="FM342" s="19"/>
      <c r="FN342" s="19"/>
    </row>
    <row r="343">
      <c r="B343" s="93"/>
      <c r="C343" s="19"/>
      <c r="D343" s="90"/>
      <c r="E343" s="5"/>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c r="FJ343" s="19"/>
      <c r="FK343" s="19"/>
      <c r="FL343" s="19"/>
      <c r="FM343" s="19"/>
      <c r="FN343" s="19"/>
    </row>
    <row r="344">
      <c r="B344" s="93"/>
      <c r="C344" s="19"/>
      <c r="D344" s="90"/>
      <c r="E344" s="5"/>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c r="FJ344" s="19"/>
      <c r="FK344" s="19"/>
      <c r="FL344" s="19"/>
      <c r="FM344" s="19"/>
      <c r="FN344" s="19"/>
    </row>
    <row r="345">
      <c r="B345" s="93"/>
      <c r="C345" s="19"/>
      <c r="D345" s="90"/>
      <c r="E345" s="5"/>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c r="FJ345" s="19"/>
      <c r="FK345" s="19"/>
      <c r="FL345" s="19"/>
      <c r="FM345" s="19"/>
      <c r="FN345" s="19"/>
    </row>
    <row r="346">
      <c r="B346" s="93"/>
      <c r="C346" s="19"/>
      <c r="D346" s="90"/>
      <c r="E346" s="5"/>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c r="FJ346" s="19"/>
      <c r="FK346" s="19"/>
      <c r="FL346" s="19"/>
      <c r="FM346" s="19"/>
      <c r="FN346" s="19"/>
    </row>
    <row r="347">
      <c r="B347" s="93"/>
      <c r="C347" s="19"/>
      <c r="D347" s="90"/>
      <c r="E347" s="5"/>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c r="FJ347" s="19"/>
      <c r="FK347" s="19"/>
      <c r="FL347" s="19"/>
      <c r="FM347" s="19"/>
      <c r="FN347" s="19"/>
    </row>
    <row r="348">
      <c r="B348" s="93"/>
      <c r="C348" s="19"/>
      <c r="D348" s="90"/>
      <c r="E348" s="5"/>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19"/>
      <c r="EC348" s="19"/>
      <c r="ED348" s="19"/>
      <c r="EE348" s="19"/>
      <c r="EF348" s="19"/>
      <c r="EG348" s="19"/>
      <c r="EH348" s="19"/>
      <c r="EI348" s="19"/>
      <c r="EJ348" s="19"/>
      <c r="EK348" s="19"/>
      <c r="EL348" s="19"/>
      <c r="EM348" s="19"/>
      <c r="EN348" s="19"/>
      <c r="EO348" s="19"/>
      <c r="EP348" s="19"/>
      <c r="EQ348" s="19"/>
      <c r="ER348" s="19"/>
      <c r="ES348" s="19"/>
      <c r="ET348" s="19"/>
      <c r="EU348" s="19"/>
      <c r="EV348" s="19"/>
      <c r="EW348" s="19"/>
      <c r="EX348" s="19"/>
      <c r="EY348" s="19"/>
      <c r="EZ348" s="19"/>
      <c r="FA348" s="19"/>
      <c r="FB348" s="19"/>
      <c r="FC348" s="19"/>
      <c r="FD348" s="19"/>
      <c r="FE348" s="19"/>
      <c r="FF348" s="19"/>
      <c r="FG348" s="19"/>
      <c r="FH348" s="19"/>
      <c r="FI348" s="19"/>
      <c r="FJ348" s="19"/>
      <c r="FK348" s="19"/>
      <c r="FL348" s="19"/>
      <c r="FM348" s="19"/>
      <c r="FN348" s="19"/>
    </row>
    <row r="349">
      <c r="B349" s="93"/>
      <c r="C349" s="19"/>
      <c r="D349" s="90"/>
      <c r="E349" s="5"/>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c r="DW349" s="19"/>
      <c r="DX349" s="19"/>
      <c r="DY349" s="19"/>
      <c r="DZ349" s="19"/>
      <c r="EA349" s="19"/>
      <c r="EB349" s="19"/>
      <c r="EC349" s="19"/>
      <c r="ED349" s="19"/>
      <c r="EE349" s="19"/>
      <c r="EF349" s="19"/>
      <c r="EG349" s="19"/>
      <c r="EH349" s="19"/>
      <c r="EI349" s="19"/>
      <c r="EJ349" s="19"/>
      <c r="EK349" s="19"/>
      <c r="EL349" s="19"/>
      <c r="EM349" s="19"/>
      <c r="EN349" s="19"/>
      <c r="EO349" s="19"/>
      <c r="EP349" s="19"/>
      <c r="EQ349" s="19"/>
      <c r="ER349" s="19"/>
      <c r="ES349" s="19"/>
      <c r="ET349" s="19"/>
      <c r="EU349" s="19"/>
      <c r="EV349" s="19"/>
      <c r="EW349" s="19"/>
      <c r="EX349" s="19"/>
      <c r="EY349" s="19"/>
      <c r="EZ349" s="19"/>
      <c r="FA349" s="19"/>
      <c r="FB349" s="19"/>
      <c r="FC349" s="19"/>
      <c r="FD349" s="19"/>
      <c r="FE349" s="19"/>
      <c r="FF349" s="19"/>
      <c r="FG349" s="19"/>
      <c r="FH349" s="19"/>
      <c r="FI349" s="19"/>
      <c r="FJ349" s="19"/>
      <c r="FK349" s="19"/>
      <c r="FL349" s="19"/>
      <c r="FM349" s="19"/>
      <c r="FN349" s="19"/>
    </row>
    <row r="350">
      <c r="B350" s="93"/>
      <c r="C350" s="19"/>
      <c r="D350" s="90"/>
      <c r="E350" s="5"/>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19"/>
      <c r="FH350" s="19"/>
      <c r="FI350" s="19"/>
      <c r="FJ350" s="19"/>
      <c r="FK350" s="19"/>
      <c r="FL350" s="19"/>
      <c r="FM350" s="19"/>
      <c r="FN350" s="19"/>
    </row>
    <row r="351">
      <c r="B351" s="93"/>
      <c r="C351" s="19"/>
      <c r="D351" s="90"/>
      <c r="E351" s="5"/>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c r="FH351" s="19"/>
      <c r="FI351" s="19"/>
      <c r="FJ351" s="19"/>
      <c r="FK351" s="19"/>
      <c r="FL351" s="19"/>
      <c r="FM351" s="19"/>
      <c r="FN351" s="19"/>
    </row>
    <row r="352">
      <c r="B352" s="93"/>
      <c r="C352" s="19"/>
      <c r="D352" s="90"/>
      <c r="E352" s="5"/>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19"/>
      <c r="EC352" s="19"/>
      <c r="ED352" s="19"/>
      <c r="EE352" s="19"/>
      <c r="EF352" s="19"/>
      <c r="EG352" s="19"/>
      <c r="EH352" s="19"/>
      <c r="EI352" s="19"/>
      <c r="EJ352" s="19"/>
      <c r="EK352" s="19"/>
      <c r="EL352" s="19"/>
      <c r="EM352" s="19"/>
      <c r="EN352" s="19"/>
      <c r="EO352" s="19"/>
      <c r="EP352" s="19"/>
      <c r="EQ352" s="19"/>
      <c r="ER352" s="19"/>
      <c r="ES352" s="19"/>
      <c r="ET352" s="19"/>
      <c r="EU352" s="19"/>
      <c r="EV352" s="19"/>
      <c r="EW352" s="19"/>
      <c r="EX352" s="19"/>
      <c r="EY352" s="19"/>
      <c r="EZ352" s="19"/>
      <c r="FA352" s="19"/>
      <c r="FB352" s="19"/>
      <c r="FC352" s="19"/>
      <c r="FD352" s="19"/>
      <c r="FE352" s="19"/>
      <c r="FF352" s="19"/>
      <c r="FG352" s="19"/>
      <c r="FH352" s="19"/>
      <c r="FI352" s="19"/>
      <c r="FJ352" s="19"/>
      <c r="FK352" s="19"/>
      <c r="FL352" s="19"/>
      <c r="FM352" s="19"/>
      <c r="FN352" s="19"/>
    </row>
    <row r="353">
      <c r="B353" s="93"/>
      <c r="C353" s="19"/>
      <c r="D353" s="90"/>
      <c r="E353" s="5"/>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c r="ET353" s="19"/>
      <c r="EU353" s="19"/>
      <c r="EV353" s="19"/>
      <c r="EW353" s="19"/>
      <c r="EX353" s="19"/>
      <c r="EY353" s="19"/>
      <c r="EZ353" s="19"/>
      <c r="FA353" s="19"/>
      <c r="FB353" s="19"/>
      <c r="FC353" s="19"/>
      <c r="FD353" s="19"/>
      <c r="FE353" s="19"/>
      <c r="FF353" s="19"/>
      <c r="FG353" s="19"/>
      <c r="FH353" s="19"/>
      <c r="FI353" s="19"/>
      <c r="FJ353" s="19"/>
      <c r="FK353" s="19"/>
      <c r="FL353" s="19"/>
      <c r="FM353" s="19"/>
      <c r="FN353" s="19"/>
    </row>
    <row r="354">
      <c r="B354" s="93"/>
      <c r="C354" s="19"/>
      <c r="D354" s="90"/>
      <c r="E354" s="5"/>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row>
    <row r="355">
      <c r="B355" s="93"/>
      <c r="C355" s="19"/>
      <c r="D355" s="90"/>
      <c r="E355" s="5"/>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row>
    <row r="356">
      <c r="B356" s="93"/>
      <c r="C356" s="19"/>
      <c r="D356" s="90"/>
      <c r="E356" s="5"/>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row>
    <row r="357">
      <c r="B357" s="93"/>
      <c r="C357" s="19"/>
      <c r="D357" s="90"/>
      <c r="E357" s="5"/>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row>
    <row r="358">
      <c r="B358" s="93"/>
      <c r="C358" s="19"/>
      <c r="D358" s="90"/>
      <c r="E358" s="5"/>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row>
    <row r="359">
      <c r="B359" s="93"/>
      <c r="C359" s="19"/>
      <c r="D359" s="90"/>
      <c r="E359" s="5"/>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row>
    <row r="360">
      <c r="B360" s="93"/>
      <c r="C360" s="19"/>
      <c r="D360" s="90"/>
      <c r="E360" s="5"/>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row>
    <row r="361">
      <c r="B361" s="93"/>
      <c r="C361" s="19"/>
      <c r="D361" s="90"/>
      <c r="E361" s="5"/>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row>
    <row r="362">
      <c r="B362" s="93"/>
      <c r="C362" s="19"/>
      <c r="D362" s="90"/>
      <c r="E362" s="5"/>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row>
    <row r="363">
      <c r="B363" s="93"/>
      <c r="C363" s="19"/>
      <c r="D363" s="90"/>
      <c r="E363" s="5"/>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row>
    <row r="364">
      <c r="B364" s="93"/>
      <c r="C364" s="19"/>
      <c r="D364" s="90"/>
      <c r="E364" s="5"/>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c r="FJ364" s="19"/>
      <c r="FK364" s="19"/>
      <c r="FL364" s="19"/>
      <c r="FM364" s="19"/>
      <c r="FN364" s="19"/>
    </row>
    <row r="365">
      <c r="B365" s="93"/>
      <c r="C365" s="19"/>
      <c r="D365" s="90"/>
      <c r="E365" s="5"/>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c r="FJ365" s="19"/>
      <c r="FK365" s="19"/>
      <c r="FL365" s="19"/>
      <c r="FM365" s="19"/>
      <c r="FN365" s="19"/>
    </row>
    <row r="366">
      <c r="B366" s="93"/>
      <c r="C366" s="19"/>
      <c r="D366" s="90"/>
      <c r="E366" s="5"/>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c r="FJ366" s="19"/>
      <c r="FK366" s="19"/>
      <c r="FL366" s="19"/>
      <c r="FM366" s="19"/>
      <c r="FN366" s="19"/>
    </row>
    <row r="367">
      <c r="B367" s="93"/>
      <c r="C367" s="19"/>
      <c r="D367" s="90"/>
      <c r="E367" s="5"/>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c r="FJ367" s="19"/>
      <c r="FK367" s="19"/>
      <c r="FL367" s="19"/>
      <c r="FM367" s="19"/>
      <c r="FN367" s="19"/>
    </row>
    <row r="368">
      <c r="B368" s="93"/>
      <c r="C368" s="19"/>
      <c r="D368" s="90"/>
      <c r="E368" s="5"/>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c r="FJ368" s="19"/>
      <c r="FK368" s="19"/>
      <c r="FL368" s="19"/>
      <c r="FM368" s="19"/>
      <c r="FN368" s="19"/>
    </row>
    <row r="369">
      <c r="B369" s="93"/>
      <c r="C369" s="19"/>
      <c r="D369" s="90"/>
      <c r="E369" s="5"/>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c r="FJ369" s="19"/>
      <c r="FK369" s="19"/>
      <c r="FL369" s="19"/>
      <c r="FM369" s="19"/>
      <c r="FN369" s="19"/>
    </row>
    <row r="370">
      <c r="B370" s="93"/>
      <c r="C370" s="19"/>
      <c r="D370" s="90"/>
      <c r="E370" s="5"/>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c r="FJ370" s="19"/>
      <c r="FK370" s="19"/>
      <c r="FL370" s="19"/>
      <c r="FM370" s="19"/>
      <c r="FN370" s="19"/>
    </row>
    <row r="371">
      <c r="B371" s="93"/>
      <c r="C371" s="19"/>
      <c r="D371" s="90"/>
      <c r="E371" s="5"/>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c r="EO371" s="19"/>
      <c r="EP371" s="19"/>
      <c r="EQ371" s="19"/>
      <c r="ER371" s="19"/>
      <c r="ES371" s="19"/>
      <c r="ET371" s="19"/>
      <c r="EU371" s="19"/>
      <c r="EV371" s="19"/>
      <c r="EW371" s="19"/>
      <c r="EX371" s="19"/>
      <c r="EY371" s="19"/>
      <c r="EZ371" s="19"/>
      <c r="FA371" s="19"/>
      <c r="FB371" s="19"/>
      <c r="FC371" s="19"/>
      <c r="FD371" s="19"/>
      <c r="FE371" s="19"/>
      <c r="FF371" s="19"/>
      <c r="FG371" s="19"/>
      <c r="FH371" s="19"/>
      <c r="FI371" s="19"/>
      <c r="FJ371" s="19"/>
      <c r="FK371" s="19"/>
      <c r="FL371" s="19"/>
      <c r="FM371" s="19"/>
      <c r="FN371" s="19"/>
    </row>
    <row r="372">
      <c r="B372" s="93"/>
      <c r="C372" s="19"/>
      <c r="D372" s="90"/>
      <c r="E372" s="5"/>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c r="EO372" s="19"/>
      <c r="EP372" s="19"/>
      <c r="EQ372" s="19"/>
      <c r="ER372" s="19"/>
      <c r="ES372" s="19"/>
      <c r="ET372" s="19"/>
      <c r="EU372" s="19"/>
      <c r="EV372" s="19"/>
      <c r="EW372" s="19"/>
      <c r="EX372" s="19"/>
      <c r="EY372" s="19"/>
      <c r="EZ372" s="19"/>
      <c r="FA372" s="19"/>
      <c r="FB372" s="19"/>
      <c r="FC372" s="19"/>
      <c r="FD372" s="19"/>
      <c r="FE372" s="19"/>
      <c r="FF372" s="19"/>
      <c r="FG372" s="19"/>
      <c r="FH372" s="19"/>
      <c r="FI372" s="19"/>
      <c r="FJ372" s="19"/>
      <c r="FK372" s="19"/>
      <c r="FL372" s="19"/>
      <c r="FM372" s="19"/>
      <c r="FN372" s="19"/>
    </row>
    <row r="373">
      <c r="B373" s="93"/>
      <c r="C373" s="19"/>
      <c r="D373" s="90"/>
      <c r="E373" s="5"/>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c r="EO373" s="19"/>
      <c r="EP373" s="19"/>
      <c r="EQ373" s="19"/>
      <c r="ER373" s="19"/>
      <c r="ES373" s="19"/>
      <c r="ET373" s="19"/>
      <c r="EU373" s="19"/>
      <c r="EV373" s="19"/>
      <c r="EW373" s="19"/>
      <c r="EX373" s="19"/>
      <c r="EY373" s="19"/>
      <c r="EZ373" s="19"/>
      <c r="FA373" s="19"/>
      <c r="FB373" s="19"/>
      <c r="FC373" s="19"/>
      <c r="FD373" s="19"/>
      <c r="FE373" s="19"/>
      <c r="FF373" s="19"/>
      <c r="FG373" s="19"/>
      <c r="FH373" s="19"/>
      <c r="FI373" s="19"/>
      <c r="FJ373" s="19"/>
      <c r="FK373" s="19"/>
      <c r="FL373" s="19"/>
      <c r="FM373" s="19"/>
      <c r="FN373" s="19"/>
    </row>
    <row r="374">
      <c r="B374" s="93"/>
      <c r="C374" s="19"/>
      <c r="D374" s="90"/>
      <c r="E374" s="5"/>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c r="FJ374" s="19"/>
      <c r="FK374" s="19"/>
      <c r="FL374" s="19"/>
      <c r="FM374" s="19"/>
      <c r="FN374" s="19"/>
    </row>
    <row r="375">
      <c r="B375" s="93"/>
      <c r="C375" s="19"/>
      <c r="D375" s="90"/>
      <c r="E375" s="5"/>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c r="FJ375" s="19"/>
      <c r="FK375" s="19"/>
      <c r="FL375" s="19"/>
      <c r="FM375" s="19"/>
      <c r="FN375" s="19"/>
    </row>
    <row r="376">
      <c r="B376" s="93"/>
      <c r="C376" s="19"/>
      <c r="D376" s="90"/>
      <c r="E376" s="5"/>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19"/>
      <c r="EC376" s="19"/>
      <c r="ED376" s="19"/>
      <c r="EE376" s="19"/>
      <c r="EF376" s="19"/>
      <c r="EG376" s="19"/>
      <c r="EH376" s="19"/>
      <c r="EI376" s="19"/>
      <c r="EJ376" s="19"/>
      <c r="EK376" s="19"/>
      <c r="EL376" s="19"/>
      <c r="EM376" s="19"/>
      <c r="EN376" s="19"/>
      <c r="EO376" s="19"/>
      <c r="EP376" s="19"/>
      <c r="EQ376" s="19"/>
      <c r="ER376" s="19"/>
      <c r="ES376" s="19"/>
      <c r="ET376" s="19"/>
      <c r="EU376" s="19"/>
      <c r="EV376" s="19"/>
      <c r="EW376" s="19"/>
      <c r="EX376" s="19"/>
      <c r="EY376" s="19"/>
      <c r="EZ376" s="19"/>
      <c r="FA376" s="19"/>
      <c r="FB376" s="19"/>
      <c r="FC376" s="19"/>
      <c r="FD376" s="19"/>
      <c r="FE376" s="19"/>
      <c r="FF376" s="19"/>
      <c r="FG376" s="19"/>
      <c r="FH376" s="19"/>
      <c r="FI376" s="19"/>
      <c r="FJ376" s="19"/>
      <c r="FK376" s="19"/>
      <c r="FL376" s="19"/>
      <c r="FM376" s="19"/>
      <c r="FN376" s="19"/>
    </row>
    <row r="377">
      <c r="B377" s="93"/>
      <c r="C377" s="19"/>
      <c r="D377" s="90"/>
      <c r="E377" s="5"/>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19"/>
      <c r="EC377" s="19"/>
      <c r="ED377" s="19"/>
      <c r="EE377" s="19"/>
      <c r="EF377" s="19"/>
      <c r="EG377" s="19"/>
      <c r="EH377" s="19"/>
      <c r="EI377" s="19"/>
      <c r="EJ377" s="19"/>
      <c r="EK377" s="19"/>
      <c r="EL377" s="19"/>
      <c r="EM377" s="19"/>
      <c r="EN377" s="19"/>
      <c r="EO377" s="19"/>
      <c r="EP377" s="19"/>
      <c r="EQ377" s="19"/>
      <c r="ER377" s="19"/>
      <c r="ES377" s="19"/>
      <c r="ET377" s="19"/>
      <c r="EU377" s="19"/>
      <c r="EV377" s="19"/>
      <c r="EW377" s="19"/>
      <c r="EX377" s="19"/>
      <c r="EY377" s="19"/>
      <c r="EZ377" s="19"/>
      <c r="FA377" s="19"/>
      <c r="FB377" s="19"/>
      <c r="FC377" s="19"/>
      <c r="FD377" s="19"/>
      <c r="FE377" s="19"/>
      <c r="FF377" s="19"/>
      <c r="FG377" s="19"/>
      <c r="FH377" s="19"/>
      <c r="FI377" s="19"/>
      <c r="FJ377" s="19"/>
      <c r="FK377" s="19"/>
      <c r="FL377" s="19"/>
      <c r="FM377" s="19"/>
      <c r="FN377" s="19"/>
    </row>
    <row r="378">
      <c r="B378" s="93"/>
      <c r="C378" s="19"/>
      <c r="D378" s="90"/>
      <c r="E378" s="5"/>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c r="FJ378" s="19"/>
      <c r="FK378" s="19"/>
      <c r="FL378" s="19"/>
      <c r="FM378" s="19"/>
      <c r="FN378" s="19"/>
    </row>
    <row r="379">
      <c r="B379" s="93"/>
      <c r="C379" s="19"/>
      <c r="D379" s="90"/>
      <c r="E379" s="5"/>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row>
    <row r="380">
      <c r="B380" s="93"/>
      <c r="C380" s="19"/>
      <c r="D380" s="90"/>
      <c r="E380" s="5"/>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row>
    <row r="381">
      <c r="B381" s="93"/>
      <c r="C381" s="19"/>
      <c r="D381" s="90"/>
      <c r="E381" s="5"/>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row>
    <row r="382">
      <c r="B382" s="93"/>
      <c r="C382" s="19"/>
      <c r="D382" s="90"/>
      <c r="E382" s="5"/>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row>
    <row r="383">
      <c r="B383" s="93"/>
      <c r="C383" s="19"/>
      <c r="D383" s="90"/>
      <c r="E383" s="5"/>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row>
    <row r="384">
      <c r="B384" s="93"/>
      <c r="C384" s="19"/>
      <c r="D384" s="90"/>
      <c r="E384" s="5"/>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row>
    <row r="385">
      <c r="B385" s="93"/>
      <c r="C385" s="19"/>
      <c r="D385" s="90"/>
      <c r="E385" s="5"/>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row>
    <row r="386">
      <c r="B386" s="93"/>
      <c r="C386" s="19"/>
      <c r="D386" s="90"/>
      <c r="E386" s="5"/>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row>
    <row r="387">
      <c r="B387" s="93"/>
      <c r="C387" s="19"/>
      <c r="D387" s="90"/>
      <c r="E387" s="5"/>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row>
    <row r="388">
      <c r="B388" s="93"/>
      <c r="C388" s="19"/>
      <c r="D388" s="90"/>
      <c r="E388" s="5"/>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row>
    <row r="389">
      <c r="B389" s="93"/>
      <c r="C389" s="19"/>
      <c r="D389" s="90"/>
      <c r="E389" s="5"/>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c r="FJ389" s="19"/>
      <c r="FK389" s="19"/>
      <c r="FL389" s="19"/>
      <c r="FM389" s="19"/>
      <c r="FN389" s="19"/>
    </row>
    <row r="390">
      <c r="B390" s="93"/>
      <c r="C390" s="19"/>
      <c r="D390" s="90"/>
      <c r="E390" s="5"/>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19"/>
      <c r="FH390" s="19"/>
      <c r="FI390" s="19"/>
      <c r="FJ390" s="19"/>
      <c r="FK390" s="19"/>
      <c r="FL390" s="19"/>
      <c r="FM390" s="19"/>
      <c r="FN390" s="19"/>
    </row>
    <row r="391">
      <c r="B391" s="93"/>
      <c r="C391" s="19"/>
      <c r="D391" s="90"/>
      <c r="E391" s="5"/>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c r="FF391" s="19"/>
      <c r="FG391" s="19"/>
      <c r="FH391" s="19"/>
      <c r="FI391" s="19"/>
      <c r="FJ391" s="19"/>
      <c r="FK391" s="19"/>
      <c r="FL391" s="19"/>
      <c r="FM391" s="19"/>
      <c r="FN391" s="19"/>
    </row>
    <row r="392">
      <c r="B392" s="93"/>
      <c r="C392" s="19"/>
      <c r="D392" s="90"/>
      <c r="E392" s="5"/>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c r="FJ392" s="19"/>
      <c r="FK392" s="19"/>
      <c r="FL392" s="19"/>
      <c r="FM392" s="19"/>
      <c r="FN392" s="19"/>
    </row>
    <row r="393">
      <c r="B393" s="93"/>
      <c r="C393" s="19"/>
      <c r="D393" s="90"/>
      <c r="E393" s="5"/>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c r="FE393" s="19"/>
      <c r="FF393" s="19"/>
      <c r="FG393" s="19"/>
      <c r="FH393" s="19"/>
      <c r="FI393" s="19"/>
      <c r="FJ393" s="19"/>
      <c r="FK393" s="19"/>
      <c r="FL393" s="19"/>
      <c r="FM393" s="19"/>
      <c r="FN393" s="19"/>
    </row>
    <row r="394">
      <c r="B394" s="93"/>
      <c r="C394" s="19"/>
      <c r="D394" s="90"/>
      <c r="E394" s="5"/>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c r="ER394" s="19"/>
      <c r="ES394" s="19"/>
      <c r="ET394" s="19"/>
      <c r="EU394" s="19"/>
      <c r="EV394" s="19"/>
      <c r="EW394" s="19"/>
      <c r="EX394" s="19"/>
      <c r="EY394" s="19"/>
      <c r="EZ394" s="19"/>
      <c r="FA394" s="19"/>
      <c r="FB394" s="19"/>
      <c r="FC394" s="19"/>
      <c r="FD394" s="19"/>
      <c r="FE394" s="19"/>
      <c r="FF394" s="19"/>
      <c r="FG394" s="19"/>
      <c r="FH394" s="19"/>
      <c r="FI394" s="19"/>
      <c r="FJ394" s="19"/>
      <c r="FK394" s="19"/>
      <c r="FL394" s="19"/>
      <c r="FM394" s="19"/>
      <c r="FN394" s="19"/>
    </row>
    <row r="395">
      <c r="B395" s="93"/>
      <c r="C395" s="19"/>
      <c r="D395" s="90"/>
      <c r="E395" s="5"/>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c r="FJ395" s="19"/>
      <c r="FK395" s="19"/>
      <c r="FL395" s="19"/>
      <c r="FM395" s="19"/>
      <c r="FN395" s="19"/>
    </row>
    <row r="396">
      <c r="B396" s="93"/>
      <c r="C396" s="19"/>
      <c r="D396" s="90"/>
      <c r="E396" s="5"/>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c r="FJ396" s="19"/>
      <c r="FK396" s="19"/>
      <c r="FL396" s="19"/>
      <c r="FM396" s="19"/>
      <c r="FN396" s="19"/>
    </row>
    <row r="397">
      <c r="B397" s="93"/>
      <c r="C397" s="19"/>
      <c r="D397" s="90"/>
      <c r="E397" s="5"/>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c r="FJ397" s="19"/>
      <c r="FK397" s="19"/>
      <c r="FL397" s="19"/>
      <c r="FM397" s="19"/>
      <c r="FN397" s="19"/>
    </row>
    <row r="398">
      <c r="B398" s="93"/>
      <c r="C398" s="19"/>
      <c r="D398" s="90"/>
      <c r="E398" s="5"/>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c r="FJ398" s="19"/>
      <c r="FK398" s="19"/>
      <c r="FL398" s="19"/>
      <c r="FM398" s="19"/>
      <c r="FN398" s="19"/>
    </row>
    <row r="399">
      <c r="B399" s="93"/>
      <c r="C399" s="19"/>
      <c r="D399" s="90"/>
      <c r="E399" s="5"/>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c r="FJ399" s="19"/>
      <c r="FK399" s="19"/>
      <c r="FL399" s="19"/>
      <c r="FM399" s="19"/>
      <c r="FN399" s="19"/>
    </row>
    <row r="400">
      <c r="B400" s="93"/>
      <c r="C400" s="19"/>
      <c r="D400" s="90"/>
      <c r="E400" s="5"/>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c r="FJ400" s="19"/>
      <c r="FK400" s="19"/>
      <c r="FL400" s="19"/>
      <c r="FM400" s="19"/>
      <c r="FN400" s="19"/>
    </row>
    <row r="401">
      <c r="B401" s="93"/>
      <c r="C401" s="19"/>
      <c r="D401" s="90"/>
      <c r="E401" s="5"/>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c r="FJ401" s="19"/>
      <c r="FK401" s="19"/>
      <c r="FL401" s="19"/>
      <c r="FM401" s="19"/>
      <c r="FN401" s="19"/>
    </row>
    <row r="402">
      <c r="B402" s="93"/>
      <c r="C402" s="19"/>
      <c r="D402" s="90"/>
      <c r="E402" s="5"/>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c r="ET402" s="19"/>
      <c r="EU402" s="19"/>
      <c r="EV402" s="19"/>
      <c r="EW402" s="19"/>
      <c r="EX402" s="19"/>
      <c r="EY402" s="19"/>
      <c r="EZ402" s="19"/>
      <c r="FA402" s="19"/>
      <c r="FB402" s="19"/>
      <c r="FC402" s="19"/>
      <c r="FD402" s="19"/>
      <c r="FE402" s="19"/>
      <c r="FF402" s="19"/>
      <c r="FG402" s="19"/>
      <c r="FH402" s="19"/>
      <c r="FI402" s="19"/>
      <c r="FJ402" s="19"/>
      <c r="FK402" s="19"/>
      <c r="FL402" s="19"/>
      <c r="FM402" s="19"/>
      <c r="FN402" s="19"/>
    </row>
    <row r="403">
      <c r="B403" s="93"/>
      <c r="C403" s="19"/>
      <c r="D403" s="90"/>
      <c r="E403" s="5"/>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c r="ET403" s="19"/>
      <c r="EU403" s="19"/>
      <c r="EV403" s="19"/>
      <c r="EW403" s="19"/>
      <c r="EX403" s="19"/>
      <c r="EY403" s="19"/>
      <c r="EZ403" s="19"/>
      <c r="FA403" s="19"/>
      <c r="FB403" s="19"/>
      <c r="FC403" s="19"/>
      <c r="FD403" s="19"/>
      <c r="FE403" s="19"/>
      <c r="FF403" s="19"/>
      <c r="FG403" s="19"/>
      <c r="FH403" s="19"/>
      <c r="FI403" s="19"/>
      <c r="FJ403" s="19"/>
      <c r="FK403" s="19"/>
      <c r="FL403" s="19"/>
      <c r="FM403" s="19"/>
      <c r="FN403" s="19"/>
    </row>
    <row r="404">
      <c r="B404" s="93"/>
      <c r="C404" s="19"/>
      <c r="D404" s="90"/>
      <c r="E404" s="5"/>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row>
    <row r="405">
      <c r="B405" s="93"/>
      <c r="C405" s="19"/>
      <c r="D405" s="90"/>
      <c r="E405" s="5"/>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row>
    <row r="406">
      <c r="B406" s="93"/>
      <c r="C406" s="19"/>
      <c r="D406" s="90"/>
      <c r="E406" s="5"/>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row>
    <row r="407">
      <c r="B407" s="93"/>
      <c r="C407" s="19"/>
      <c r="D407" s="90"/>
      <c r="E407" s="5"/>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row>
    <row r="408">
      <c r="B408" s="93"/>
      <c r="C408" s="19"/>
      <c r="D408" s="90"/>
      <c r="E408" s="5"/>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row>
    <row r="409">
      <c r="B409" s="93"/>
      <c r="C409" s="19"/>
      <c r="D409" s="90"/>
      <c r="E409" s="5"/>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row>
    <row r="410">
      <c r="B410" s="93"/>
      <c r="C410" s="19"/>
      <c r="D410" s="90"/>
      <c r="E410" s="5"/>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row>
    <row r="411">
      <c r="B411" s="93"/>
      <c r="C411" s="19"/>
      <c r="D411" s="90"/>
      <c r="E411" s="5"/>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row>
    <row r="412">
      <c r="B412" s="93"/>
      <c r="C412" s="19"/>
      <c r="D412" s="90"/>
      <c r="E412" s="5"/>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row>
    <row r="413">
      <c r="B413" s="93"/>
      <c r="C413" s="19"/>
      <c r="D413" s="90"/>
      <c r="E413" s="5"/>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row>
    <row r="414">
      <c r="B414" s="93"/>
      <c r="C414" s="19"/>
      <c r="D414" s="90"/>
      <c r="E414" s="5"/>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c r="FJ414" s="19"/>
      <c r="FK414" s="19"/>
      <c r="FL414" s="19"/>
      <c r="FM414" s="19"/>
      <c r="FN414" s="19"/>
    </row>
    <row r="415">
      <c r="B415" s="93"/>
      <c r="C415" s="19"/>
      <c r="D415" s="90"/>
      <c r="E415" s="5"/>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c r="FJ415" s="19"/>
      <c r="FK415" s="19"/>
      <c r="FL415" s="19"/>
      <c r="FM415" s="19"/>
      <c r="FN415" s="19"/>
    </row>
    <row r="416">
      <c r="B416" s="93"/>
      <c r="C416" s="19"/>
      <c r="D416" s="90"/>
      <c r="E416" s="5"/>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c r="DP416" s="19"/>
      <c r="DQ416" s="19"/>
      <c r="DR416" s="19"/>
      <c r="DS416" s="19"/>
      <c r="DT416" s="19"/>
      <c r="DU416" s="19"/>
      <c r="DV416" s="19"/>
      <c r="DW416" s="19"/>
      <c r="DX416" s="19"/>
      <c r="DY416" s="19"/>
      <c r="DZ416" s="19"/>
      <c r="EA416" s="19"/>
      <c r="EB416" s="19"/>
      <c r="EC416" s="19"/>
      <c r="ED416" s="19"/>
      <c r="EE416" s="19"/>
      <c r="EF416" s="19"/>
      <c r="EG416" s="19"/>
      <c r="EH416" s="19"/>
      <c r="EI416" s="19"/>
      <c r="EJ416" s="19"/>
      <c r="EK416" s="19"/>
      <c r="EL416" s="19"/>
      <c r="EM416" s="19"/>
      <c r="EN416" s="19"/>
      <c r="EO416" s="19"/>
      <c r="EP416" s="19"/>
      <c r="EQ416" s="19"/>
      <c r="ER416" s="19"/>
      <c r="ES416" s="19"/>
      <c r="ET416" s="19"/>
      <c r="EU416" s="19"/>
      <c r="EV416" s="19"/>
      <c r="EW416" s="19"/>
      <c r="EX416" s="19"/>
      <c r="EY416" s="19"/>
      <c r="EZ416" s="19"/>
      <c r="FA416" s="19"/>
      <c r="FB416" s="19"/>
      <c r="FC416" s="19"/>
      <c r="FD416" s="19"/>
      <c r="FE416" s="19"/>
      <c r="FF416" s="19"/>
      <c r="FG416" s="19"/>
      <c r="FH416" s="19"/>
      <c r="FI416" s="19"/>
      <c r="FJ416" s="19"/>
      <c r="FK416" s="19"/>
      <c r="FL416" s="19"/>
      <c r="FM416" s="19"/>
      <c r="FN416" s="19"/>
    </row>
    <row r="417">
      <c r="B417" s="93"/>
      <c r="C417" s="19"/>
      <c r="D417" s="90"/>
      <c r="E417" s="5"/>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c r="FE417" s="19"/>
      <c r="FF417" s="19"/>
      <c r="FG417" s="19"/>
      <c r="FH417" s="19"/>
      <c r="FI417" s="19"/>
      <c r="FJ417" s="19"/>
      <c r="FK417" s="19"/>
      <c r="FL417" s="19"/>
      <c r="FM417" s="19"/>
      <c r="FN417" s="19"/>
    </row>
    <row r="418">
      <c r="B418" s="93"/>
      <c r="C418" s="19"/>
      <c r="D418" s="90"/>
      <c r="E418" s="5"/>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c r="FJ418" s="19"/>
      <c r="FK418" s="19"/>
      <c r="FL418" s="19"/>
      <c r="FM418" s="19"/>
      <c r="FN418" s="19"/>
    </row>
    <row r="419">
      <c r="B419" s="93"/>
      <c r="C419" s="19"/>
      <c r="D419" s="90"/>
      <c r="E419" s="5"/>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19"/>
      <c r="DY419" s="19"/>
      <c r="DZ419" s="19"/>
      <c r="EA419" s="19"/>
      <c r="EB419" s="19"/>
      <c r="EC419" s="19"/>
      <c r="ED419" s="19"/>
      <c r="EE419" s="19"/>
      <c r="EF419" s="19"/>
      <c r="EG419" s="19"/>
      <c r="EH419" s="19"/>
      <c r="EI419" s="19"/>
      <c r="EJ419" s="19"/>
      <c r="EK419" s="19"/>
      <c r="EL419" s="19"/>
      <c r="EM419" s="19"/>
      <c r="EN419" s="19"/>
      <c r="EO419" s="19"/>
      <c r="EP419" s="19"/>
      <c r="EQ419" s="19"/>
      <c r="ER419" s="19"/>
      <c r="ES419" s="19"/>
      <c r="ET419" s="19"/>
      <c r="EU419" s="19"/>
      <c r="EV419" s="19"/>
      <c r="EW419" s="19"/>
      <c r="EX419" s="19"/>
      <c r="EY419" s="19"/>
      <c r="EZ419" s="19"/>
      <c r="FA419" s="19"/>
      <c r="FB419" s="19"/>
      <c r="FC419" s="19"/>
      <c r="FD419" s="19"/>
      <c r="FE419" s="19"/>
      <c r="FF419" s="19"/>
      <c r="FG419" s="19"/>
      <c r="FH419" s="19"/>
      <c r="FI419" s="19"/>
      <c r="FJ419" s="19"/>
      <c r="FK419" s="19"/>
      <c r="FL419" s="19"/>
      <c r="FM419" s="19"/>
      <c r="FN419" s="19"/>
    </row>
    <row r="420">
      <c r="B420" s="93"/>
      <c r="C420" s="19"/>
      <c r="D420" s="90"/>
      <c r="E420" s="5"/>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c r="ED420" s="19"/>
      <c r="EE420" s="19"/>
      <c r="EF420" s="19"/>
      <c r="EG420" s="19"/>
      <c r="EH420" s="19"/>
      <c r="EI420" s="19"/>
      <c r="EJ420" s="19"/>
      <c r="EK420" s="19"/>
      <c r="EL420" s="19"/>
      <c r="EM420" s="19"/>
      <c r="EN420" s="19"/>
      <c r="EO420" s="19"/>
      <c r="EP420" s="19"/>
      <c r="EQ420" s="19"/>
      <c r="ER420" s="19"/>
      <c r="ES420" s="19"/>
      <c r="ET420" s="19"/>
      <c r="EU420" s="19"/>
      <c r="EV420" s="19"/>
      <c r="EW420" s="19"/>
      <c r="EX420" s="19"/>
      <c r="EY420" s="19"/>
      <c r="EZ420" s="19"/>
      <c r="FA420" s="19"/>
      <c r="FB420" s="19"/>
      <c r="FC420" s="19"/>
      <c r="FD420" s="19"/>
      <c r="FE420" s="19"/>
      <c r="FF420" s="19"/>
      <c r="FG420" s="19"/>
      <c r="FH420" s="19"/>
      <c r="FI420" s="19"/>
      <c r="FJ420" s="19"/>
      <c r="FK420" s="19"/>
      <c r="FL420" s="19"/>
      <c r="FM420" s="19"/>
      <c r="FN420" s="19"/>
    </row>
    <row r="421">
      <c r="B421" s="93"/>
      <c r="C421" s="19"/>
      <c r="D421" s="90"/>
      <c r="E421" s="5"/>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c r="ER421" s="19"/>
      <c r="ES421" s="19"/>
      <c r="ET421" s="19"/>
      <c r="EU421" s="19"/>
      <c r="EV421" s="19"/>
      <c r="EW421" s="19"/>
      <c r="EX421" s="19"/>
      <c r="EY421" s="19"/>
      <c r="EZ421" s="19"/>
      <c r="FA421" s="19"/>
      <c r="FB421" s="19"/>
      <c r="FC421" s="19"/>
      <c r="FD421" s="19"/>
      <c r="FE421" s="19"/>
      <c r="FF421" s="19"/>
      <c r="FG421" s="19"/>
      <c r="FH421" s="19"/>
      <c r="FI421" s="19"/>
      <c r="FJ421" s="19"/>
      <c r="FK421" s="19"/>
      <c r="FL421" s="19"/>
      <c r="FM421" s="19"/>
      <c r="FN421" s="19"/>
    </row>
    <row r="422">
      <c r="B422" s="93"/>
      <c r="C422" s="19"/>
      <c r="D422" s="90"/>
      <c r="E422" s="5"/>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19"/>
      <c r="FH422" s="19"/>
      <c r="FI422" s="19"/>
      <c r="FJ422" s="19"/>
      <c r="FK422" s="19"/>
      <c r="FL422" s="19"/>
      <c r="FM422" s="19"/>
      <c r="FN422" s="19"/>
    </row>
    <row r="423">
      <c r="B423" s="93"/>
      <c r="C423" s="19"/>
      <c r="D423" s="90"/>
      <c r="E423" s="5"/>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c r="FJ423" s="19"/>
      <c r="FK423" s="19"/>
      <c r="FL423" s="19"/>
      <c r="FM423" s="19"/>
      <c r="FN423" s="19"/>
    </row>
    <row r="424">
      <c r="B424" s="93"/>
      <c r="C424" s="19"/>
      <c r="D424" s="90"/>
      <c r="E424" s="5"/>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c r="FJ424" s="19"/>
      <c r="FK424" s="19"/>
      <c r="FL424" s="19"/>
      <c r="FM424" s="19"/>
      <c r="FN424" s="19"/>
    </row>
    <row r="425">
      <c r="B425" s="93"/>
      <c r="C425" s="19"/>
      <c r="D425" s="90"/>
      <c r="E425" s="5"/>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c r="FJ425" s="19"/>
      <c r="FK425" s="19"/>
      <c r="FL425" s="19"/>
      <c r="FM425" s="19"/>
      <c r="FN425" s="19"/>
    </row>
    <row r="426">
      <c r="B426" s="93"/>
      <c r="C426" s="19"/>
      <c r="D426" s="90"/>
      <c r="E426" s="5"/>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c r="FJ426" s="19"/>
      <c r="FK426" s="19"/>
      <c r="FL426" s="19"/>
      <c r="FM426" s="19"/>
      <c r="FN426" s="19"/>
    </row>
    <row r="427">
      <c r="B427" s="93"/>
      <c r="C427" s="19"/>
      <c r="D427" s="90"/>
      <c r="E427" s="5"/>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19"/>
      <c r="FI427" s="19"/>
      <c r="FJ427" s="19"/>
      <c r="FK427" s="19"/>
      <c r="FL427" s="19"/>
      <c r="FM427" s="19"/>
      <c r="FN427" s="19"/>
    </row>
    <row r="428">
      <c r="B428" s="93"/>
      <c r="C428" s="19"/>
      <c r="D428" s="90"/>
      <c r="E428" s="5"/>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19"/>
      <c r="FI428" s="19"/>
      <c r="FJ428" s="19"/>
      <c r="FK428" s="19"/>
      <c r="FL428" s="19"/>
      <c r="FM428" s="19"/>
      <c r="FN428" s="19"/>
    </row>
    <row r="429">
      <c r="B429" s="93"/>
      <c r="C429" s="19"/>
      <c r="D429" s="90"/>
      <c r="E429" s="5"/>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row>
    <row r="430">
      <c r="B430" s="93"/>
      <c r="C430" s="19"/>
      <c r="D430" s="90"/>
      <c r="E430" s="5"/>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row>
    <row r="431">
      <c r="B431" s="93"/>
      <c r="C431" s="19"/>
      <c r="D431" s="90"/>
      <c r="E431" s="5"/>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row>
    <row r="432">
      <c r="B432" s="93"/>
      <c r="C432" s="19"/>
      <c r="D432" s="90"/>
      <c r="E432" s="5"/>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row>
    <row r="433">
      <c r="B433" s="93"/>
      <c r="C433" s="19"/>
      <c r="D433" s="90"/>
      <c r="E433" s="5"/>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row>
    <row r="434">
      <c r="B434" s="93"/>
      <c r="C434" s="19"/>
      <c r="D434" s="90"/>
      <c r="E434" s="5"/>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row>
    <row r="435">
      <c r="B435" s="93"/>
      <c r="C435" s="19"/>
      <c r="D435" s="90"/>
      <c r="E435" s="5"/>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row>
    <row r="436">
      <c r="B436" s="93"/>
      <c r="C436" s="19"/>
      <c r="D436" s="90"/>
      <c r="E436" s="5"/>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row>
    <row r="437">
      <c r="B437" s="93"/>
      <c r="C437" s="19"/>
      <c r="D437" s="90"/>
      <c r="E437" s="5"/>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row>
    <row r="438">
      <c r="B438" s="93"/>
      <c r="C438" s="19"/>
      <c r="D438" s="90"/>
      <c r="E438" s="5"/>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row>
    <row r="439">
      <c r="B439" s="93"/>
      <c r="C439" s="19"/>
      <c r="D439" s="90"/>
      <c r="E439" s="5"/>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c r="FJ439" s="19"/>
      <c r="FK439" s="19"/>
      <c r="FL439" s="19"/>
      <c r="FM439" s="19"/>
      <c r="FN439" s="19"/>
    </row>
    <row r="440">
      <c r="B440" s="93"/>
      <c r="C440" s="19"/>
      <c r="D440" s="90"/>
      <c r="E440" s="5"/>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c r="FJ440" s="19"/>
      <c r="FK440" s="19"/>
      <c r="FL440" s="19"/>
      <c r="FM440" s="19"/>
      <c r="FN440" s="19"/>
    </row>
    <row r="441">
      <c r="B441" s="93"/>
      <c r="C441" s="19"/>
      <c r="D441" s="90"/>
      <c r="E441" s="5"/>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c r="FJ441" s="19"/>
      <c r="FK441" s="19"/>
      <c r="FL441" s="19"/>
      <c r="FM441" s="19"/>
      <c r="FN441" s="19"/>
    </row>
    <row r="442">
      <c r="B442" s="93"/>
      <c r="C442" s="19"/>
      <c r="D442" s="90"/>
      <c r="E442" s="5"/>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19"/>
      <c r="FI442" s="19"/>
      <c r="FJ442" s="19"/>
      <c r="FK442" s="19"/>
      <c r="FL442" s="19"/>
      <c r="FM442" s="19"/>
      <c r="FN442" s="19"/>
    </row>
    <row r="443">
      <c r="B443" s="93"/>
      <c r="C443" s="19"/>
      <c r="D443" s="90"/>
      <c r="E443" s="5"/>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c r="FJ443" s="19"/>
      <c r="FK443" s="19"/>
      <c r="FL443" s="19"/>
      <c r="FM443" s="19"/>
      <c r="FN443" s="19"/>
    </row>
    <row r="444">
      <c r="B444" s="93"/>
      <c r="C444" s="19"/>
      <c r="D444" s="90"/>
      <c r="E444" s="5"/>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19"/>
      <c r="FI444" s="19"/>
      <c r="FJ444" s="19"/>
      <c r="FK444" s="19"/>
      <c r="FL444" s="19"/>
      <c r="FM444" s="19"/>
      <c r="FN444" s="19"/>
    </row>
    <row r="445">
      <c r="B445" s="93"/>
      <c r="C445" s="19"/>
      <c r="D445" s="90"/>
      <c r="E445" s="5"/>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c r="FJ445" s="19"/>
      <c r="FK445" s="19"/>
      <c r="FL445" s="19"/>
      <c r="FM445" s="19"/>
      <c r="FN445" s="19"/>
    </row>
    <row r="446">
      <c r="B446" s="93"/>
      <c r="C446" s="19"/>
      <c r="D446" s="90"/>
      <c r="E446" s="5"/>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c r="FJ446" s="19"/>
      <c r="FK446" s="19"/>
      <c r="FL446" s="19"/>
      <c r="FM446" s="19"/>
      <c r="FN446" s="19"/>
    </row>
    <row r="447">
      <c r="B447" s="93"/>
      <c r="C447" s="19"/>
      <c r="D447" s="90"/>
      <c r="E447" s="5"/>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c r="FJ447" s="19"/>
      <c r="FK447" s="19"/>
      <c r="FL447" s="19"/>
      <c r="FM447" s="19"/>
      <c r="FN447" s="19"/>
    </row>
    <row r="448">
      <c r="B448" s="93"/>
      <c r="C448" s="19"/>
      <c r="D448" s="90"/>
      <c r="E448" s="5"/>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c r="FJ448" s="19"/>
      <c r="FK448" s="19"/>
      <c r="FL448" s="19"/>
      <c r="FM448" s="19"/>
      <c r="FN448" s="19"/>
    </row>
    <row r="449">
      <c r="B449" s="93"/>
      <c r="C449" s="19"/>
      <c r="D449" s="90"/>
      <c r="E449" s="5"/>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c r="FJ449" s="19"/>
      <c r="FK449" s="19"/>
      <c r="FL449" s="19"/>
      <c r="FM449" s="19"/>
      <c r="FN449" s="19"/>
    </row>
    <row r="450">
      <c r="B450" s="93"/>
      <c r="C450" s="19"/>
      <c r="D450" s="90"/>
      <c r="E450" s="5"/>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c r="FJ450" s="19"/>
      <c r="FK450" s="19"/>
      <c r="FL450" s="19"/>
      <c r="FM450" s="19"/>
      <c r="FN450" s="19"/>
    </row>
    <row r="451">
      <c r="B451" s="93"/>
      <c r="C451" s="19"/>
      <c r="D451" s="90"/>
      <c r="E451" s="5"/>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c r="DP451" s="19"/>
      <c r="DQ451" s="19"/>
      <c r="DR451" s="19"/>
      <c r="DS451" s="19"/>
      <c r="DT451" s="19"/>
      <c r="DU451" s="19"/>
      <c r="DV451" s="19"/>
      <c r="DW451" s="19"/>
      <c r="DX451" s="19"/>
      <c r="DY451" s="19"/>
      <c r="DZ451" s="19"/>
      <c r="EA451" s="19"/>
      <c r="EB451" s="19"/>
      <c r="EC451" s="19"/>
      <c r="ED451" s="19"/>
      <c r="EE451" s="19"/>
      <c r="EF451" s="19"/>
      <c r="EG451" s="19"/>
      <c r="EH451" s="19"/>
      <c r="EI451" s="19"/>
      <c r="EJ451" s="19"/>
      <c r="EK451" s="19"/>
      <c r="EL451" s="19"/>
      <c r="EM451" s="19"/>
      <c r="EN451" s="19"/>
      <c r="EO451" s="19"/>
      <c r="EP451" s="19"/>
      <c r="EQ451" s="19"/>
      <c r="ER451" s="19"/>
      <c r="ES451" s="19"/>
      <c r="ET451" s="19"/>
      <c r="EU451" s="19"/>
      <c r="EV451" s="19"/>
      <c r="EW451" s="19"/>
      <c r="EX451" s="19"/>
      <c r="EY451" s="19"/>
      <c r="EZ451" s="19"/>
      <c r="FA451" s="19"/>
      <c r="FB451" s="19"/>
      <c r="FC451" s="19"/>
      <c r="FD451" s="19"/>
      <c r="FE451" s="19"/>
      <c r="FF451" s="19"/>
      <c r="FG451" s="19"/>
      <c r="FH451" s="19"/>
      <c r="FI451" s="19"/>
      <c r="FJ451" s="19"/>
      <c r="FK451" s="19"/>
      <c r="FL451" s="19"/>
      <c r="FM451" s="19"/>
      <c r="FN451" s="19"/>
    </row>
    <row r="452">
      <c r="B452" s="93"/>
      <c r="C452" s="19"/>
      <c r="D452" s="90"/>
      <c r="E452" s="5"/>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c r="FE452" s="19"/>
      <c r="FF452" s="19"/>
      <c r="FG452" s="19"/>
      <c r="FH452" s="19"/>
      <c r="FI452" s="19"/>
      <c r="FJ452" s="19"/>
      <c r="FK452" s="19"/>
      <c r="FL452" s="19"/>
      <c r="FM452" s="19"/>
      <c r="FN452" s="19"/>
    </row>
    <row r="453">
      <c r="B453" s="93"/>
      <c r="C453" s="19"/>
      <c r="D453" s="90"/>
      <c r="E453" s="5"/>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c r="DP453" s="19"/>
      <c r="DQ453" s="19"/>
      <c r="DR453" s="19"/>
      <c r="DS453" s="19"/>
      <c r="DT453" s="19"/>
      <c r="DU453" s="19"/>
      <c r="DV453" s="19"/>
      <c r="DW453" s="19"/>
      <c r="DX453" s="19"/>
      <c r="DY453" s="19"/>
      <c r="DZ453" s="19"/>
      <c r="EA453" s="19"/>
      <c r="EB453" s="19"/>
      <c r="EC453" s="19"/>
      <c r="ED453" s="19"/>
      <c r="EE453" s="19"/>
      <c r="EF453" s="19"/>
      <c r="EG453" s="19"/>
      <c r="EH453" s="19"/>
      <c r="EI453" s="19"/>
      <c r="EJ453" s="19"/>
      <c r="EK453" s="19"/>
      <c r="EL453" s="19"/>
      <c r="EM453" s="19"/>
      <c r="EN453" s="19"/>
      <c r="EO453" s="19"/>
      <c r="EP453" s="19"/>
      <c r="EQ453" s="19"/>
      <c r="ER453" s="19"/>
      <c r="ES453" s="19"/>
      <c r="ET453" s="19"/>
      <c r="EU453" s="19"/>
      <c r="EV453" s="19"/>
      <c r="EW453" s="19"/>
      <c r="EX453" s="19"/>
      <c r="EY453" s="19"/>
      <c r="EZ453" s="19"/>
      <c r="FA453" s="19"/>
      <c r="FB453" s="19"/>
      <c r="FC453" s="19"/>
      <c r="FD453" s="19"/>
      <c r="FE453" s="19"/>
      <c r="FF453" s="19"/>
      <c r="FG453" s="19"/>
      <c r="FH453" s="19"/>
      <c r="FI453" s="19"/>
      <c r="FJ453" s="19"/>
      <c r="FK453" s="19"/>
      <c r="FL453" s="19"/>
      <c r="FM453" s="19"/>
      <c r="FN453" s="19"/>
    </row>
    <row r="454">
      <c r="B454" s="93"/>
      <c r="C454" s="19"/>
      <c r="D454" s="90"/>
      <c r="E454" s="5"/>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row>
    <row r="455">
      <c r="B455" s="93"/>
      <c r="C455" s="19"/>
      <c r="D455" s="90"/>
      <c r="E455" s="5"/>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row>
    <row r="456">
      <c r="B456" s="93"/>
      <c r="C456" s="19"/>
      <c r="D456" s="90"/>
      <c r="E456" s="5"/>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row>
    <row r="457">
      <c r="B457" s="93"/>
      <c r="C457" s="19"/>
      <c r="D457" s="90"/>
      <c r="E457" s="5"/>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row>
    <row r="458">
      <c r="B458" s="93"/>
      <c r="C458" s="19"/>
      <c r="D458" s="90"/>
      <c r="E458" s="5"/>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row>
    <row r="459">
      <c r="B459" s="93"/>
      <c r="C459" s="19"/>
      <c r="D459" s="90"/>
      <c r="E459" s="5"/>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row>
    <row r="460">
      <c r="B460" s="93"/>
      <c r="C460" s="19"/>
      <c r="D460" s="90"/>
      <c r="E460" s="5"/>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row>
    <row r="461">
      <c r="B461" s="93"/>
      <c r="C461" s="19"/>
      <c r="D461" s="90"/>
      <c r="E461" s="5"/>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row>
    <row r="462">
      <c r="B462" s="93"/>
      <c r="C462" s="19"/>
      <c r="D462" s="90"/>
      <c r="E462" s="5"/>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row>
    <row r="463">
      <c r="B463" s="93"/>
      <c r="C463" s="19"/>
      <c r="D463" s="90"/>
      <c r="E463" s="5"/>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row>
    <row r="464">
      <c r="B464" s="93"/>
      <c r="C464" s="19"/>
      <c r="D464" s="90"/>
      <c r="E464" s="5"/>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c r="DP464" s="19"/>
      <c r="DQ464" s="19"/>
      <c r="DR464" s="19"/>
      <c r="DS464" s="19"/>
      <c r="DT464" s="19"/>
      <c r="DU464" s="19"/>
      <c r="DV464" s="19"/>
      <c r="DW464" s="19"/>
      <c r="DX464" s="19"/>
      <c r="DY464" s="19"/>
      <c r="DZ464" s="19"/>
      <c r="EA464" s="19"/>
      <c r="EB464" s="19"/>
      <c r="EC464" s="19"/>
      <c r="ED464" s="19"/>
      <c r="EE464" s="19"/>
      <c r="EF464" s="19"/>
      <c r="EG464" s="19"/>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c r="FJ464" s="19"/>
      <c r="FK464" s="19"/>
      <c r="FL464" s="19"/>
      <c r="FM464" s="19"/>
      <c r="FN464" s="19"/>
    </row>
    <row r="465">
      <c r="B465" s="93"/>
      <c r="C465" s="19"/>
      <c r="D465" s="90"/>
      <c r="E465" s="5"/>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c r="FJ465" s="19"/>
      <c r="FK465" s="19"/>
      <c r="FL465" s="19"/>
      <c r="FM465" s="19"/>
      <c r="FN465" s="19"/>
    </row>
    <row r="466">
      <c r="B466" s="93"/>
      <c r="C466" s="19"/>
      <c r="D466" s="90"/>
      <c r="E466" s="5"/>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c r="DV466" s="19"/>
      <c r="DW466" s="19"/>
      <c r="DX466" s="19"/>
      <c r="DY466" s="19"/>
      <c r="DZ466" s="19"/>
      <c r="EA466" s="19"/>
      <c r="EB466" s="19"/>
      <c r="EC466" s="19"/>
      <c r="ED466" s="19"/>
      <c r="EE466" s="19"/>
      <c r="EF466" s="19"/>
      <c r="EG466" s="19"/>
      <c r="EH466" s="19"/>
      <c r="EI466" s="19"/>
      <c r="EJ466" s="19"/>
      <c r="EK466" s="19"/>
      <c r="EL466" s="19"/>
      <c r="EM466" s="19"/>
      <c r="EN466" s="19"/>
      <c r="EO466" s="19"/>
      <c r="EP466" s="19"/>
      <c r="EQ466" s="19"/>
      <c r="ER466" s="19"/>
      <c r="ES466" s="19"/>
      <c r="ET466" s="19"/>
      <c r="EU466" s="19"/>
      <c r="EV466" s="19"/>
      <c r="EW466" s="19"/>
      <c r="EX466" s="19"/>
      <c r="EY466" s="19"/>
      <c r="EZ466" s="19"/>
      <c r="FA466" s="19"/>
      <c r="FB466" s="19"/>
      <c r="FC466" s="19"/>
      <c r="FD466" s="19"/>
      <c r="FE466" s="19"/>
      <c r="FF466" s="19"/>
      <c r="FG466" s="19"/>
      <c r="FH466" s="19"/>
      <c r="FI466" s="19"/>
      <c r="FJ466" s="19"/>
      <c r="FK466" s="19"/>
      <c r="FL466" s="19"/>
      <c r="FM466" s="19"/>
      <c r="FN466" s="19"/>
    </row>
    <row r="467">
      <c r="B467" s="93"/>
      <c r="C467" s="19"/>
      <c r="D467" s="90"/>
      <c r="E467" s="5"/>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c r="FJ467" s="19"/>
      <c r="FK467" s="19"/>
      <c r="FL467" s="19"/>
      <c r="FM467" s="19"/>
      <c r="FN467" s="19"/>
    </row>
    <row r="468">
      <c r="B468" s="93"/>
      <c r="C468" s="19"/>
      <c r="D468" s="90"/>
      <c r="E468" s="5"/>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19"/>
      <c r="DQ468" s="19"/>
      <c r="DR468" s="19"/>
      <c r="DS468" s="19"/>
      <c r="DT468" s="19"/>
      <c r="DU468" s="19"/>
      <c r="DV468" s="19"/>
      <c r="DW468" s="19"/>
      <c r="DX468" s="19"/>
      <c r="DY468" s="19"/>
      <c r="DZ468" s="19"/>
      <c r="EA468" s="19"/>
      <c r="EB468" s="19"/>
      <c r="EC468" s="19"/>
      <c r="ED468" s="19"/>
      <c r="EE468" s="19"/>
      <c r="EF468" s="19"/>
      <c r="EG468" s="19"/>
      <c r="EH468" s="19"/>
      <c r="EI468" s="19"/>
      <c r="EJ468" s="19"/>
      <c r="EK468" s="19"/>
      <c r="EL468" s="19"/>
      <c r="EM468" s="19"/>
      <c r="EN468" s="19"/>
      <c r="EO468" s="19"/>
      <c r="EP468" s="19"/>
      <c r="EQ468" s="19"/>
      <c r="ER468" s="19"/>
      <c r="ES468" s="19"/>
      <c r="ET468" s="19"/>
      <c r="EU468" s="19"/>
      <c r="EV468" s="19"/>
      <c r="EW468" s="19"/>
      <c r="EX468" s="19"/>
      <c r="EY468" s="19"/>
      <c r="EZ468" s="19"/>
      <c r="FA468" s="19"/>
      <c r="FB468" s="19"/>
      <c r="FC468" s="19"/>
      <c r="FD468" s="19"/>
      <c r="FE468" s="19"/>
      <c r="FF468" s="19"/>
      <c r="FG468" s="19"/>
      <c r="FH468" s="19"/>
      <c r="FI468" s="19"/>
      <c r="FJ468" s="19"/>
      <c r="FK468" s="19"/>
      <c r="FL468" s="19"/>
      <c r="FM468" s="19"/>
      <c r="FN468" s="19"/>
    </row>
    <row r="469">
      <c r="B469" s="93"/>
      <c r="C469" s="19"/>
      <c r="D469" s="90"/>
      <c r="E469" s="5"/>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c r="DP469" s="19"/>
      <c r="DQ469" s="19"/>
      <c r="DR469" s="19"/>
      <c r="DS469" s="19"/>
      <c r="DT469" s="19"/>
      <c r="DU469" s="19"/>
      <c r="DV469" s="19"/>
      <c r="DW469" s="19"/>
      <c r="DX469" s="19"/>
      <c r="DY469" s="19"/>
      <c r="DZ469" s="19"/>
      <c r="EA469" s="19"/>
      <c r="EB469" s="19"/>
      <c r="EC469" s="19"/>
      <c r="ED469" s="19"/>
      <c r="EE469" s="19"/>
      <c r="EF469" s="19"/>
      <c r="EG469" s="19"/>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c r="FJ469" s="19"/>
      <c r="FK469" s="19"/>
      <c r="FL469" s="19"/>
      <c r="FM469" s="19"/>
      <c r="FN469" s="19"/>
    </row>
    <row r="470">
      <c r="B470" s="93"/>
      <c r="C470" s="19"/>
      <c r="D470" s="90"/>
      <c r="E470" s="5"/>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c r="FJ470" s="19"/>
      <c r="FK470" s="19"/>
      <c r="FL470" s="19"/>
      <c r="FM470" s="19"/>
      <c r="FN470" s="19"/>
    </row>
    <row r="471">
      <c r="B471" s="93"/>
      <c r="C471" s="19"/>
      <c r="D471" s="90"/>
      <c r="E471" s="5"/>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c r="DP471" s="19"/>
      <c r="DQ471" s="19"/>
      <c r="DR471" s="19"/>
      <c r="DS471" s="19"/>
      <c r="DT471" s="19"/>
      <c r="DU471" s="19"/>
      <c r="DV471" s="19"/>
      <c r="DW471" s="19"/>
      <c r="DX471" s="19"/>
      <c r="DY471" s="19"/>
      <c r="DZ471" s="19"/>
      <c r="EA471" s="19"/>
      <c r="EB471" s="19"/>
      <c r="EC471" s="19"/>
      <c r="ED471" s="19"/>
      <c r="EE471" s="19"/>
      <c r="EF471" s="19"/>
      <c r="EG471" s="19"/>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c r="FJ471" s="19"/>
      <c r="FK471" s="19"/>
      <c r="FL471" s="19"/>
      <c r="FM471" s="19"/>
      <c r="FN471" s="19"/>
    </row>
    <row r="472">
      <c r="B472" s="93"/>
      <c r="C472" s="19"/>
      <c r="D472" s="90"/>
      <c r="E472" s="5"/>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c r="FJ472" s="19"/>
      <c r="FK472" s="19"/>
      <c r="FL472" s="19"/>
      <c r="FM472" s="19"/>
      <c r="FN472" s="19"/>
    </row>
    <row r="473">
      <c r="B473" s="93"/>
      <c r="C473" s="19"/>
      <c r="D473" s="90"/>
      <c r="E473" s="5"/>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c r="EZ473" s="19"/>
      <c r="FA473" s="19"/>
      <c r="FB473" s="19"/>
      <c r="FC473" s="19"/>
      <c r="FD473" s="19"/>
      <c r="FE473" s="19"/>
      <c r="FF473" s="19"/>
      <c r="FG473" s="19"/>
      <c r="FH473" s="19"/>
      <c r="FI473" s="19"/>
      <c r="FJ473" s="19"/>
      <c r="FK473" s="19"/>
      <c r="FL473" s="19"/>
      <c r="FM473" s="19"/>
      <c r="FN473" s="19"/>
    </row>
    <row r="474">
      <c r="B474" s="93"/>
      <c r="C474" s="19"/>
      <c r="D474" s="90"/>
      <c r="E474" s="5"/>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c r="FE474" s="19"/>
      <c r="FF474" s="19"/>
      <c r="FG474" s="19"/>
      <c r="FH474" s="19"/>
      <c r="FI474" s="19"/>
      <c r="FJ474" s="19"/>
      <c r="FK474" s="19"/>
      <c r="FL474" s="19"/>
      <c r="FM474" s="19"/>
      <c r="FN474" s="19"/>
    </row>
    <row r="475">
      <c r="B475" s="93"/>
      <c r="C475" s="19"/>
      <c r="D475" s="90"/>
      <c r="E475" s="5"/>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c r="FE475" s="19"/>
      <c r="FF475" s="19"/>
      <c r="FG475" s="19"/>
      <c r="FH475" s="19"/>
      <c r="FI475" s="19"/>
      <c r="FJ475" s="19"/>
      <c r="FK475" s="19"/>
      <c r="FL475" s="19"/>
      <c r="FM475" s="19"/>
      <c r="FN475" s="19"/>
    </row>
    <row r="476">
      <c r="B476" s="93"/>
      <c r="C476" s="19"/>
      <c r="D476" s="90"/>
      <c r="E476" s="5"/>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B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EX476" s="19"/>
      <c r="EY476" s="19"/>
      <c r="EZ476" s="19"/>
      <c r="FA476" s="19"/>
      <c r="FB476" s="19"/>
      <c r="FC476" s="19"/>
      <c r="FD476" s="19"/>
      <c r="FE476" s="19"/>
      <c r="FF476" s="19"/>
      <c r="FG476" s="19"/>
      <c r="FH476" s="19"/>
      <c r="FI476" s="19"/>
      <c r="FJ476" s="19"/>
      <c r="FK476" s="19"/>
      <c r="FL476" s="19"/>
      <c r="FM476" s="19"/>
      <c r="FN476" s="19"/>
    </row>
    <row r="477">
      <c r="B477" s="93"/>
      <c r="C477" s="19"/>
      <c r="D477" s="90"/>
      <c r="E477" s="5"/>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B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c r="FJ477" s="19"/>
      <c r="FK477" s="19"/>
      <c r="FL477" s="19"/>
      <c r="FM477" s="19"/>
      <c r="FN477" s="19"/>
    </row>
    <row r="478">
      <c r="B478" s="93"/>
      <c r="C478" s="19"/>
      <c r="D478" s="90"/>
      <c r="E478" s="5"/>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19"/>
      <c r="FH478" s="19"/>
      <c r="FI478" s="19"/>
      <c r="FJ478" s="19"/>
      <c r="FK478" s="19"/>
      <c r="FL478" s="19"/>
      <c r="FM478" s="19"/>
      <c r="FN478" s="19"/>
    </row>
    <row r="479">
      <c r="B479" s="93"/>
      <c r="C479" s="19"/>
      <c r="D479" s="90"/>
      <c r="E479" s="5"/>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row>
    <row r="480">
      <c r="B480" s="93"/>
      <c r="C480" s="19"/>
      <c r="D480" s="90"/>
      <c r="E480" s="5"/>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row>
    <row r="481">
      <c r="B481" s="93"/>
      <c r="C481" s="19"/>
      <c r="D481" s="90"/>
      <c r="E481" s="5"/>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row>
    <row r="482">
      <c r="B482" s="93"/>
      <c r="C482" s="19"/>
      <c r="D482" s="90"/>
      <c r="E482" s="5"/>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row>
    <row r="483">
      <c r="B483" s="93"/>
      <c r="C483" s="19"/>
      <c r="D483" s="90"/>
      <c r="E483" s="5"/>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row>
    <row r="484">
      <c r="B484" s="93"/>
      <c r="C484" s="19"/>
      <c r="D484" s="90"/>
      <c r="E484" s="5"/>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row>
    <row r="485">
      <c r="B485" s="93"/>
      <c r="C485" s="19"/>
      <c r="D485" s="90"/>
      <c r="E485" s="5"/>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row>
    <row r="486">
      <c r="B486" s="93"/>
      <c r="C486" s="19"/>
      <c r="D486" s="90"/>
      <c r="E486" s="5"/>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row>
    <row r="487">
      <c r="B487" s="93"/>
      <c r="C487" s="19"/>
      <c r="D487" s="90"/>
      <c r="E487" s="5"/>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row>
    <row r="488">
      <c r="B488" s="93"/>
      <c r="C488" s="19"/>
      <c r="D488" s="90"/>
      <c r="E488" s="5"/>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row>
    <row r="489">
      <c r="B489" s="93"/>
      <c r="C489" s="19"/>
      <c r="D489" s="90"/>
      <c r="E489" s="5"/>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c r="FJ489" s="19"/>
      <c r="FK489" s="19"/>
      <c r="FL489" s="19"/>
      <c r="FM489" s="19"/>
      <c r="FN489" s="19"/>
    </row>
    <row r="490">
      <c r="B490" s="93"/>
      <c r="C490" s="19"/>
      <c r="D490" s="90"/>
      <c r="E490" s="5"/>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c r="FJ490" s="19"/>
      <c r="FK490" s="19"/>
      <c r="FL490" s="19"/>
      <c r="FM490" s="19"/>
      <c r="FN490" s="19"/>
    </row>
    <row r="491">
      <c r="B491" s="93"/>
      <c r="C491" s="19"/>
      <c r="D491" s="90"/>
      <c r="E491" s="5"/>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c r="FJ491" s="19"/>
      <c r="FK491" s="19"/>
      <c r="FL491" s="19"/>
      <c r="FM491" s="19"/>
      <c r="FN491" s="19"/>
    </row>
    <row r="492">
      <c r="B492" s="93"/>
      <c r="C492" s="19"/>
      <c r="D492" s="90"/>
      <c r="E492" s="5"/>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19"/>
      <c r="FI492" s="19"/>
      <c r="FJ492" s="19"/>
      <c r="FK492" s="19"/>
      <c r="FL492" s="19"/>
      <c r="FM492" s="19"/>
      <c r="FN492" s="19"/>
    </row>
    <row r="493">
      <c r="B493" s="93"/>
      <c r="C493" s="19"/>
      <c r="D493" s="90"/>
      <c r="E493" s="5"/>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c r="FJ493" s="19"/>
      <c r="FK493" s="19"/>
      <c r="FL493" s="19"/>
      <c r="FM493" s="19"/>
      <c r="FN493" s="19"/>
    </row>
    <row r="494">
      <c r="B494" s="93"/>
      <c r="C494" s="19"/>
      <c r="D494" s="90"/>
      <c r="E494" s="5"/>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c r="FJ494" s="19"/>
      <c r="FK494" s="19"/>
      <c r="FL494" s="19"/>
      <c r="FM494" s="19"/>
      <c r="FN494" s="19"/>
    </row>
    <row r="495">
      <c r="B495" s="93"/>
      <c r="C495" s="19"/>
      <c r="D495" s="90"/>
      <c r="E495" s="5"/>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c r="FJ495" s="19"/>
      <c r="FK495" s="19"/>
      <c r="FL495" s="19"/>
      <c r="FM495" s="19"/>
      <c r="FN495" s="19"/>
    </row>
    <row r="496">
      <c r="B496" s="93"/>
      <c r="C496" s="19"/>
      <c r="D496" s="90"/>
      <c r="E496" s="5"/>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c r="DP496" s="19"/>
      <c r="DQ496" s="19"/>
      <c r="DR496" s="19"/>
      <c r="DS496" s="19"/>
      <c r="DT496" s="19"/>
      <c r="DU496" s="19"/>
      <c r="DV496" s="19"/>
      <c r="DW496" s="19"/>
      <c r="DX496" s="19"/>
      <c r="DY496" s="19"/>
      <c r="DZ496" s="19"/>
      <c r="EA496" s="19"/>
      <c r="EB496" s="19"/>
      <c r="EC496" s="19"/>
      <c r="ED496" s="19"/>
      <c r="EE496" s="19"/>
      <c r="EF496" s="19"/>
      <c r="EG496" s="19"/>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c r="FJ496" s="19"/>
      <c r="FK496" s="19"/>
      <c r="FL496" s="19"/>
      <c r="FM496" s="19"/>
      <c r="FN496" s="19"/>
    </row>
    <row r="497">
      <c r="B497" s="93"/>
      <c r="C497" s="19"/>
      <c r="D497" s="90"/>
      <c r="E497" s="5"/>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c r="DP497" s="19"/>
      <c r="DQ497" s="19"/>
      <c r="DR497" s="19"/>
      <c r="DS497" s="19"/>
      <c r="DT497" s="19"/>
      <c r="DU497" s="19"/>
      <c r="DV497" s="19"/>
      <c r="DW497" s="19"/>
      <c r="DX497" s="19"/>
      <c r="DY497" s="19"/>
      <c r="DZ497" s="19"/>
      <c r="EA497" s="19"/>
      <c r="EB497" s="19"/>
      <c r="EC497" s="19"/>
      <c r="ED497" s="19"/>
      <c r="EE497" s="19"/>
      <c r="EF497" s="19"/>
      <c r="EG497" s="19"/>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c r="FJ497" s="19"/>
      <c r="FK497" s="19"/>
      <c r="FL497" s="19"/>
      <c r="FM497" s="19"/>
      <c r="FN497" s="19"/>
    </row>
    <row r="498">
      <c r="B498" s="93"/>
      <c r="C498" s="19"/>
      <c r="D498" s="90"/>
      <c r="E498" s="5"/>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c r="FJ498" s="19"/>
      <c r="FK498" s="19"/>
      <c r="FL498" s="19"/>
      <c r="FM498" s="19"/>
      <c r="FN498" s="19"/>
    </row>
    <row r="499">
      <c r="B499" s="93"/>
      <c r="C499" s="19"/>
      <c r="D499" s="90"/>
      <c r="E499" s="5"/>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c r="FJ499" s="19"/>
      <c r="FK499" s="19"/>
      <c r="FL499" s="19"/>
      <c r="FM499" s="19"/>
      <c r="FN499" s="19"/>
    </row>
    <row r="500">
      <c r="B500" s="93"/>
      <c r="C500" s="19"/>
      <c r="D500" s="90"/>
      <c r="E500" s="5"/>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c r="FJ500" s="19"/>
      <c r="FK500" s="19"/>
      <c r="FL500" s="19"/>
      <c r="FM500" s="19"/>
      <c r="FN500" s="19"/>
    </row>
    <row r="501">
      <c r="B501" s="93"/>
      <c r="C501" s="19"/>
      <c r="D501" s="90"/>
      <c r="E501" s="5"/>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c r="FJ501" s="19"/>
      <c r="FK501" s="19"/>
      <c r="FL501" s="19"/>
      <c r="FM501" s="19"/>
      <c r="FN501" s="19"/>
    </row>
    <row r="502">
      <c r="B502" s="93"/>
      <c r="C502" s="19"/>
      <c r="D502" s="90"/>
      <c r="E502" s="5"/>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c r="FJ502" s="19"/>
      <c r="FK502" s="19"/>
      <c r="FL502" s="19"/>
      <c r="FM502" s="19"/>
      <c r="FN502" s="19"/>
    </row>
    <row r="503">
      <c r="B503" s="93"/>
      <c r="C503" s="19"/>
      <c r="D503" s="90"/>
      <c r="E503" s="5"/>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19"/>
      <c r="DY503" s="19"/>
      <c r="DZ503" s="19"/>
      <c r="EA503" s="19"/>
      <c r="EB503" s="19"/>
      <c r="EC503" s="19"/>
      <c r="ED503" s="19"/>
      <c r="EE503" s="19"/>
      <c r="EF503" s="19"/>
      <c r="EG503" s="19"/>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c r="FE503" s="19"/>
      <c r="FF503" s="19"/>
      <c r="FG503" s="19"/>
      <c r="FH503" s="19"/>
      <c r="FI503" s="19"/>
      <c r="FJ503" s="19"/>
      <c r="FK503" s="19"/>
      <c r="FL503" s="19"/>
      <c r="FM503" s="19"/>
      <c r="FN503" s="19"/>
    </row>
    <row r="504">
      <c r="B504" s="93"/>
      <c r="C504" s="19"/>
      <c r="D504" s="90"/>
      <c r="E504" s="5"/>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row>
    <row r="505">
      <c r="B505" s="93"/>
      <c r="C505" s="19"/>
      <c r="D505" s="90"/>
      <c r="E505" s="5"/>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row>
    <row r="506">
      <c r="B506" s="93"/>
      <c r="C506" s="19"/>
      <c r="D506" s="90"/>
      <c r="E506" s="5"/>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row>
    <row r="507">
      <c r="B507" s="93"/>
      <c r="C507" s="19"/>
      <c r="D507" s="90"/>
      <c r="E507" s="5"/>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row>
    <row r="508">
      <c r="B508" s="93"/>
      <c r="C508" s="19"/>
      <c r="D508" s="90"/>
      <c r="E508" s="5"/>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row>
    <row r="509">
      <c r="B509" s="93"/>
      <c r="C509" s="19"/>
      <c r="D509" s="90"/>
      <c r="E509" s="5"/>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row>
    <row r="510">
      <c r="B510" s="93"/>
      <c r="C510" s="19"/>
      <c r="D510" s="90"/>
      <c r="E510" s="5"/>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row>
    <row r="511">
      <c r="B511" s="93"/>
      <c r="C511" s="19"/>
      <c r="D511" s="90"/>
      <c r="E511" s="5"/>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row>
    <row r="512">
      <c r="B512" s="93"/>
      <c r="C512" s="19"/>
      <c r="D512" s="90"/>
      <c r="E512" s="5"/>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row>
    <row r="513">
      <c r="B513" s="93"/>
      <c r="C513" s="19"/>
      <c r="D513" s="90"/>
      <c r="E513" s="5"/>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row>
    <row r="514">
      <c r="B514" s="93"/>
      <c r="C514" s="19"/>
      <c r="D514" s="90"/>
      <c r="E514" s="5"/>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19"/>
      <c r="CM514" s="19"/>
      <c r="CN514" s="19"/>
      <c r="CO514" s="19"/>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c r="DP514" s="19"/>
      <c r="DQ514" s="19"/>
      <c r="DR514" s="19"/>
      <c r="DS514" s="19"/>
      <c r="DT514" s="19"/>
      <c r="DU514" s="19"/>
      <c r="DV514" s="19"/>
      <c r="DW514" s="19"/>
      <c r="DX514" s="19"/>
      <c r="DY514" s="19"/>
      <c r="DZ514" s="19"/>
      <c r="EA514" s="19"/>
      <c r="EB514" s="19"/>
      <c r="EC514" s="19"/>
      <c r="ED514" s="19"/>
      <c r="EE514" s="19"/>
      <c r="EF514" s="19"/>
      <c r="EG514" s="19"/>
      <c r="EH514" s="19"/>
      <c r="EI514" s="19"/>
      <c r="EJ514" s="19"/>
      <c r="EK514" s="19"/>
      <c r="EL514" s="19"/>
      <c r="EM514" s="19"/>
      <c r="EN514" s="19"/>
      <c r="EO514" s="19"/>
      <c r="EP514" s="19"/>
      <c r="EQ514" s="19"/>
      <c r="ER514" s="19"/>
      <c r="ES514" s="19"/>
      <c r="ET514" s="19"/>
      <c r="EU514" s="19"/>
      <c r="EV514" s="19"/>
      <c r="EW514" s="19"/>
      <c r="EX514" s="19"/>
      <c r="EY514" s="19"/>
      <c r="EZ514" s="19"/>
      <c r="FA514" s="19"/>
      <c r="FB514" s="19"/>
      <c r="FC514" s="19"/>
      <c r="FD514" s="19"/>
      <c r="FE514" s="19"/>
      <c r="FF514" s="19"/>
      <c r="FG514" s="19"/>
      <c r="FH514" s="19"/>
      <c r="FI514" s="19"/>
      <c r="FJ514" s="19"/>
      <c r="FK514" s="19"/>
      <c r="FL514" s="19"/>
      <c r="FM514" s="19"/>
      <c r="FN514" s="19"/>
    </row>
    <row r="515">
      <c r="B515" s="93"/>
      <c r="C515" s="19"/>
      <c r="D515" s="90"/>
      <c r="E515" s="5"/>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c r="DP515" s="19"/>
      <c r="DQ515" s="19"/>
      <c r="DR515" s="19"/>
      <c r="DS515" s="19"/>
      <c r="DT515" s="19"/>
      <c r="DU515" s="19"/>
      <c r="DV515" s="19"/>
      <c r="DW515" s="19"/>
      <c r="DX515" s="19"/>
      <c r="DY515" s="19"/>
      <c r="DZ515" s="19"/>
      <c r="EA515" s="19"/>
      <c r="EB515" s="19"/>
      <c r="EC515" s="19"/>
      <c r="ED515" s="19"/>
      <c r="EE515" s="19"/>
      <c r="EF515" s="19"/>
      <c r="EG515" s="19"/>
      <c r="EH515" s="19"/>
      <c r="EI515" s="19"/>
      <c r="EJ515" s="19"/>
      <c r="EK515" s="19"/>
      <c r="EL515" s="19"/>
      <c r="EM515" s="19"/>
      <c r="EN515" s="19"/>
      <c r="EO515" s="19"/>
      <c r="EP515" s="19"/>
      <c r="EQ515" s="19"/>
      <c r="ER515" s="19"/>
      <c r="ES515" s="19"/>
      <c r="ET515" s="19"/>
      <c r="EU515" s="19"/>
      <c r="EV515" s="19"/>
      <c r="EW515" s="19"/>
      <c r="EX515" s="19"/>
      <c r="EY515" s="19"/>
      <c r="EZ515" s="19"/>
      <c r="FA515" s="19"/>
      <c r="FB515" s="19"/>
      <c r="FC515" s="19"/>
      <c r="FD515" s="19"/>
      <c r="FE515" s="19"/>
      <c r="FF515" s="19"/>
      <c r="FG515" s="19"/>
      <c r="FH515" s="19"/>
      <c r="FI515" s="19"/>
      <c r="FJ515" s="19"/>
      <c r="FK515" s="19"/>
      <c r="FL515" s="19"/>
      <c r="FM515" s="19"/>
      <c r="FN515" s="19"/>
    </row>
    <row r="516">
      <c r="B516" s="93"/>
      <c r="C516" s="19"/>
      <c r="D516" s="90"/>
      <c r="E516" s="5"/>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19"/>
      <c r="CC516" s="19"/>
      <c r="CD516" s="19"/>
      <c r="CE516" s="19"/>
      <c r="CF516" s="19"/>
      <c r="CG516" s="19"/>
      <c r="CH516" s="19"/>
      <c r="CI516" s="19"/>
      <c r="CJ516" s="19"/>
      <c r="CK516" s="19"/>
      <c r="CL516" s="19"/>
      <c r="CM516" s="19"/>
      <c r="CN516" s="19"/>
      <c r="CO516" s="19"/>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c r="DP516" s="19"/>
      <c r="DQ516" s="19"/>
      <c r="DR516" s="19"/>
      <c r="DS516" s="19"/>
      <c r="DT516" s="19"/>
      <c r="DU516" s="19"/>
      <c r="DV516" s="19"/>
      <c r="DW516" s="19"/>
      <c r="DX516" s="19"/>
      <c r="DY516" s="19"/>
      <c r="DZ516" s="19"/>
      <c r="EA516" s="19"/>
      <c r="EB516" s="19"/>
      <c r="EC516" s="19"/>
      <c r="ED516" s="19"/>
      <c r="EE516" s="19"/>
      <c r="EF516" s="19"/>
      <c r="EG516" s="19"/>
      <c r="EH516" s="19"/>
      <c r="EI516" s="19"/>
      <c r="EJ516" s="19"/>
      <c r="EK516" s="19"/>
      <c r="EL516" s="19"/>
      <c r="EM516" s="19"/>
      <c r="EN516" s="19"/>
      <c r="EO516" s="19"/>
      <c r="EP516" s="19"/>
      <c r="EQ516" s="19"/>
      <c r="ER516" s="19"/>
      <c r="ES516" s="19"/>
      <c r="ET516" s="19"/>
      <c r="EU516" s="19"/>
      <c r="EV516" s="19"/>
      <c r="EW516" s="19"/>
      <c r="EX516" s="19"/>
      <c r="EY516" s="19"/>
      <c r="EZ516" s="19"/>
      <c r="FA516" s="19"/>
      <c r="FB516" s="19"/>
      <c r="FC516" s="19"/>
      <c r="FD516" s="19"/>
      <c r="FE516" s="19"/>
      <c r="FF516" s="19"/>
      <c r="FG516" s="19"/>
      <c r="FH516" s="19"/>
      <c r="FI516" s="19"/>
      <c r="FJ516" s="19"/>
      <c r="FK516" s="19"/>
      <c r="FL516" s="19"/>
      <c r="FM516" s="19"/>
      <c r="FN516" s="19"/>
    </row>
    <row r="517">
      <c r="B517" s="93"/>
      <c r="C517" s="19"/>
      <c r="D517" s="90"/>
      <c r="E517" s="5"/>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19"/>
      <c r="CM517" s="19"/>
      <c r="CN517" s="19"/>
      <c r="CO517" s="19"/>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c r="DP517" s="19"/>
      <c r="DQ517" s="19"/>
      <c r="DR517" s="19"/>
      <c r="DS517" s="19"/>
      <c r="DT517" s="19"/>
      <c r="DU517" s="19"/>
      <c r="DV517" s="19"/>
      <c r="DW517" s="19"/>
      <c r="DX517" s="19"/>
      <c r="DY517" s="19"/>
      <c r="DZ517" s="19"/>
      <c r="EA517" s="19"/>
      <c r="EB517" s="19"/>
      <c r="EC517" s="19"/>
      <c r="ED517" s="19"/>
      <c r="EE517" s="19"/>
      <c r="EF517" s="19"/>
      <c r="EG517" s="19"/>
      <c r="EH517" s="19"/>
      <c r="EI517" s="19"/>
      <c r="EJ517" s="19"/>
      <c r="EK517" s="19"/>
      <c r="EL517" s="19"/>
      <c r="EM517" s="19"/>
      <c r="EN517" s="19"/>
      <c r="EO517" s="19"/>
      <c r="EP517" s="19"/>
      <c r="EQ517" s="19"/>
      <c r="ER517" s="19"/>
      <c r="ES517" s="19"/>
      <c r="ET517" s="19"/>
      <c r="EU517" s="19"/>
      <c r="EV517" s="19"/>
      <c r="EW517" s="19"/>
      <c r="EX517" s="19"/>
      <c r="EY517" s="19"/>
      <c r="EZ517" s="19"/>
      <c r="FA517" s="19"/>
      <c r="FB517" s="19"/>
      <c r="FC517" s="19"/>
      <c r="FD517" s="19"/>
      <c r="FE517" s="19"/>
      <c r="FF517" s="19"/>
      <c r="FG517" s="19"/>
      <c r="FH517" s="19"/>
      <c r="FI517" s="19"/>
      <c r="FJ517" s="19"/>
      <c r="FK517" s="19"/>
      <c r="FL517" s="19"/>
      <c r="FM517" s="19"/>
      <c r="FN517" s="19"/>
    </row>
    <row r="518">
      <c r="B518" s="93"/>
      <c r="C518" s="19"/>
      <c r="D518" s="90"/>
      <c r="E518" s="5"/>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c r="DP518" s="19"/>
      <c r="DQ518" s="19"/>
      <c r="DR518" s="19"/>
      <c r="DS518" s="19"/>
      <c r="DT518" s="19"/>
      <c r="DU518" s="19"/>
      <c r="DV518" s="19"/>
      <c r="DW518" s="19"/>
      <c r="DX518" s="19"/>
      <c r="DY518" s="19"/>
      <c r="DZ518" s="19"/>
      <c r="EA518" s="19"/>
      <c r="EB518" s="19"/>
      <c r="EC518" s="19"/>
      <c r="ED518" s="19"/>
      <c r="EE518" s="19"/>
      <c r="EF518" s="19"/>
      <c r="EG518" s="19"/>
      <c r="EH518" s="19"/>
      <c r="EI518" s="19"/>
      <c r="EJ518" s="19"/>
      <c r="EK518" s="19"/>
      <c r="EL518" s="19"/>
      <c r="EM518" s="19"/>
      <c r="EN518" s="19"/>
      <c r="EO518" s="19"/>
      <c r="EP518" s="19"/>
      <c r="EQ518" s="19"/>
      <c r="ER518" s="19"/>
      <c r="ES518" s="19"/>
      <c r="ET518" s="19"/>
      <c r="EU518" s="19"/>
      <c r="EV518" s="19"/>
      <c r="EW518" s="19"/>
      <c r="EX518" s="19"/>
      <c r="EY518" s="19"/>
      <c r="EZ518" s="19"/>
      <c r="FA518" s="19"/>
      <c r="FB518" s="19"/>
      <c r="FC518" s="19"/>
      <c r="FD518" s="19"/>
      <c r="FE518" s="19"/>
      <c r="FF518" s="19"/>
      <c r="FG518" s="19"/>
      <c r="FH518" s="19"/>
      <c r="FI518" s="19"/>
      <c r="FJ518" s="19"/>
      <c r="FK518" s="19"/>
      <c r="FL518" s="19"/>
      <c r="FM518" s="19"/>
      <c r="FN518" s="19"/>
    </row>
    <row r="519">
      <c r="B519" s="93"/>
      <c r="C519" s="19"/>
      <c r="D519" s="90"/>
      <c r="E519" s="5"/>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c r="DP519" s="19"/>
      <c r="DQ519" s="19"/>
      <c r="DR519" s="19"/>
      <c r="DS519" s="19"/>
      <c r="DT519" s="19"/>
      <c r="DU519" s="19"/>
      <c r="DV519" s="19"/>
      <c r="DW519" s="19"/>
      <c r="DX519" s="19"/>
      <c r="DY519" s="19"/>
      <c r="DZ519" s="19"/>
      <c r="EA519" s="19"/>
      <c r="EB519" s="19"/>
      <c r="EC519" s="19"/>
      <c r="ED519" s="19"/>
      <c r="EE519" s="19"/>
      <c r="EF519" s="19"/>
      <c r="EG519" s="19"/>
      <c r="EH519" s="19"/>
      <c r="EI519" s="19"/>
      <c r="EJ519" s="19"/>
      <c r="EK519" s="19"/>
      <c r="EL519" s="19"/>
      <c r="EM519" s="19"/>
      <c r="EN519" s="19"/>
      <c r="EO519" s="19"/>
      <c r="EP519" s="19"/>
      <c r="EQ519" s="19"/>
      <c r="ER519" s="19"/>
      <c r="ES519" s="19"/>
      <c r="ET519" s="19"/>
      <c r="EU519" s="19"/>
      <c r="EV519" s="19"/>
      <c r="EW519" s="19"/>
      <c r="EX519" s="19"/>
      <c r="EY519" s="19"/>
      <c r="EZ519" s="19"/>
      <c r="FA519" s="19"/>
      <c r="FB519" s="19"/>
      <c r="FC519" s="19"/>
      <c r="FD519" s="19"/>
      <c r="FE519" s="19"/>
      <c r="FF519" s="19"/>
      <c r="FG519" s="19"/>
      <c r="FH519" s="19"/>
      <c r="FI519" s="19"/>
      <c r="FJ519" s="19"/>
      <c r="FK519" s="19"/>
      <c r="FL519" s="19"/>
      <c r="FM519" s="19"/>
      <c r="FN519" s="19"/>
    </row>
    <row r="520">
      <c r="B520" s="93"/>
      <c r="C520" s="19"/>
      <c r="D520" s="90"/>
      <c r="E520" s="5"/>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19"/>
      <c r="CM520" s="19"/>
      <c r="CN520" s="19"/>
      <c r="CO520" s="19"/>
      <c r="CP520" s="19"/>
      <c r="CQ520" s="19"/>
      <c r="CR520" s="19"/>
      <c r="CS520" s="19"/>
      <c r="CT520" s="19"/>
      <c r="CU520" s="19"/>
      <c r="CV520" s="19"/>
      <c r="CW520" s="19"/>
      <c r="CX520" s="19"/>
      <c r="CY520" s="19"/>
      <c r="CZ520" s="19"/>
      <c r="DA520" s="19"/>
      <c r="DB520" s="19"/>
      <c r="DC520" s="19"/>
      <c r="DD520" s="19"/>
      <c r="DE520" s="19"/>
      <c r="DF520" s="19"/>
      <c r="DG520" s="19"/>
      <c r="DH520" s="19"/>
      <c r="DI520" s="19"/>
      <c r="DJ520" s="19"/>
      <c r="DK520" s="19"/>
      <c r="DL520" s="19"/>
      <c r="DM520" s="19"/>
      <c r="DN520" s="19"/>
      <c r="DO520" s="19"/>
      <c r="DP520" s="19"/>
      <c r="DQ520" s="19"/>
      <c r="DR520" s="19"/>
      <c r="DS520" s="19"/>
      <c r="DT520" s="19"/>
      <c r="DU520" s="19"/>
      <c r="DV520" s="19"/>
      <c r="DW520" s="19"/>
      <c r="DX520" s="19"/>
      <c r="DY520" s="19"/>
      <c r="DZ520" s="19"/>
      <c r="EA520" s="19"/>
      <c r="EB520" s="19"/>
      <c r="EC520" s="19"/>
      <c r="ED520" s="19"/>
      <c r="EE520" s="19"/>
      <c r="EF520" s="19"/>
      <c r="EG520" s="19"/>
      <c r="EH520" s="19"/>
      <c r="EI520" s="19"/>
      <c r="EJ520" s="19"/>
      <c r="EK520" s="19"/>
      <c r="EL520" s="19"/>
      <c r="EM520" s="19"/>
      <c r="EN520" s="19"/>
      <c r="EO520" s="19"/>
      <c r="EP520" s="19"/>
      <c r="EQ520" s="19"/>
      <c r="ER520" s="19"/>
      <c r="ES520" s="19"/>
      <c r="ET520" s="19"/>
      <c r="EU520" s="19"/>
      <c r="EV520" s="19"/>
      <c r="EW520" s="19"/>
      <c r="EX520" s="19"/>
      <c r="EY520" s="19"/>
      <c r="EZ520" s="19"/>
      <c r="FA520" s="19"/>
      <c r="FB520" s="19"/>
      <c r="FC520" s="19"/>
      <c r="FD520" s="19"/>
      <c r="FE520" s="19"/>
      <c r="FF520" s="19"/>
      <c r="FG520" s="19"/>
      <c r="FH520" s="19"/>
      <c r="FI520" s="19"/>
      <c r="FJ520" s="19"/>
      <c r="FK520" s="19"/>
      <c r="FL520" s="19"/>
      <c r="FM520" s="19"/>
      <c r="FN520" s="19"/>
    </row>
    <row r="521">
      <c r="B521" s="93"/>
      <c r="C521" s="19"/>
      <c r="D521" s="90"/>
      <c r="E521" s="5"/>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19"/>
      <c r="CM521" s="19"/>
      <c r="CN521" s="19"/>
      <c r="CO521" s="19"/>
      <c r="CP521" s="19"/>
      <c r="CQ521" s="19"/>
      <c r="CR521" s="19"/>
      <c r="CS521" s="19"/>
      <c r="CT521" s="19"/>
      <c r="CU521" s="19"/>
      <c r="CV521" s="19"/>
      <c r="CW521" s="19"/>
      <c r="CX521" s="19"/>
      <c r="CY521" s="19"/>
      <c r="CZ521" s="19"/>
      <c r="DA521" s="19"/>
      <c r="DB521" s="19"/>
      <c r="DC521" s="19"/>
      <c r="DD521" s="19"/>
      <c r="DE521" s="19"/>
      <c r="DF521" s="19"/>
      <c r="DG521" s="19"/>
      <c r="DH521" s="19"/>
      <c r="DI521" s="19"/>
      <c r="DJ521" s="19"/>
      <c r="DK521" s="19"/>
      <c r="DL521" s="19"/>
      <c r="DM521" s="19"/>
      <c r="DN521" s="19"/>
      <c r="DO521" s="19"/>
      <c r="DP521" s="19"/>
      <c r="DQ521" s="19"/>
      <c r="DR521" s="19"/>
      <c r="DS521" s="19"/>
      <c r="DT521" s="19"/>
      <c r="DU521" s="19"/>
      <c r="DV521" s="19"/>
      <c r="DW521" s="19"/>
      <c r="DX521" s="19"/>
      <c r="DY521" s="19"/>
      <c r="DZ521" s="19"/>
      <c r="EA521" s="19"/>
      <c r="EB521" s="19"/>
      <c r="EC521" s="19"/>
      <c r="ED521" s="19"/>
      <c r="EE521" s="19"/>
      <c r="EF521" s="19"/>
      <c r="EG521" s="19"/>
      <c r="EH521" s="19"/>
      <c r="EI521" s="19"/>
      <c r="EJ521" s="19"/>
      <c r="EK521" s="19"/>
      <c r="EL521" s="19"/>
      <c r="EM521" s="19"/>
      <c r="EN521" s="19"/>
      <c r="EO521" s="19"/>
      <c r="EP521" s="19"/>
      <c r="EQ521" s="19"/>
      <c r="ER521" s="19"/>
      <c r="ES521" s="19"/>
      <c r="ET521" s="19"/>
      <c r="EU521" s="19"/>
      <c r="EV521" s="19"/>
      <c r="EW521" s="19"/>
      <c r="EX521" s="19"/>
      <c r="EY521" s="19"/>
      <c r="EZ521" s="19"/>
      <c r="FA521" s="19"/>
      <c r="FB521" s="19"/>
      <c r="FC521" s="19"/>
      <c r="FD521" s="19"/>
      <c r="FE521" s="19"/>
      <c r="FF521" s="19"/>
      <c r="FG521" s="19"/>
      <c r="FH521" s="19"/>
      <c r="FI521" s="19"/>
      <c r="FJ521" s="19"/>
      <c r="FK521" s="19"/>
      <c r="FL521" s="19"/>
      <c r="FM521" s="19"/>
      <c r="FN521" s="19"/>
    </row>
    <row r="522">
      <c r="B522" s="93"/>
      <c r="C522" s="19"/>
      <c r="D522" s="90"/>
      <c r="E522" s="5"/>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c r="DP522" s="19"/>
      <c r="DQ522" s="19"/>
      <c r="DR522" s="19"/>
      <c r="DS522" s="19"/>
      <c r="DT522" s="19"/>
      <c r="DU522" s="19"/>
      <c r="DV522" s="19"/>
      <c r="DW522" s="19"/>
      <c r="DX522" s="19"/>
      <c r="DY522" s="19"/>
      <c r="DZ522" s="19"/>
      <c r="EA522" s="19"/>
      <c r="EB522" s="19"/>
      <c r="EC522" s="19"/>
      <c r="ED522" s="19"/>
      <c r="EE522" s="19"/>
      <c r="EF522" s="19"/>
      <c r="EG522" s="19"/>
      <c r="EH522" s="19"/>
      <c r="EI522" s="19"/>
      <c r="EJ522" s="19"/>
      <c r="EK522" s="19"/>
      <c r="EL522" s="19"/>
      <c r="EM522" s="19"/>
      <c r="EN522" s="19"/>
      <c r="EO522" s="19"/>
      <c r="EP522" s="19"/>
      <c r="EQ522" s="19"/>
      <c r="ER522" s="19"/>
      <c r="ES522" s="19"/>
      <c r="ET522" s="19"/>
      <c r="EU522" s="19"/>
      <c r="EV522" s="19"/>
      <c r="EW522" s="19"/>
      <c r="EX522" s="19"/>
      <c r="EY522" s="19"/>
      <c r="EZ522" s="19"/>
      <c r="FA522" s="19"/>
      <c r="FB522" s="19"/>
      <c r="FC522" s="19"/>
      <c r="FD522" s="19"/>
      <c r="FE522" s="19"/>
      <c r="FF522" s="19"/>
      <c r="FG522" s="19"/>
      <c r="FH522" s="19"/>
      <c r="FI522" s="19"/>
      <c r="FJ522" s="19"/>
      <c r="FK522" s="19"/>
      <c r="FL522" s="19"/>
      <c r="FM522" s="19"/>
      <c r="FN522" s="19"/>
    </row>
    <row r="523">
      <c r="B523" s="93"/>
      <c r="C523" s="19"/>
      <c r="D523" s="90"/>
      <c r="E523" s="5"/>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19"/>
      <c r="CC523" s="19"/>
      <c r="CD523" s="19"/>
      <c r="CE523" s="19"/>
      <c r="CF523" s="19"/>
      <c r="CG523" s="19"/>
      <c r="CH523" s="19"/>
      <c r="CI523" s="19"/>
      <c r="CJ523" s="19"/>
      <c r="CK523" s="19"/>
      <c r="CL523" s="19"/>
      <c r="CM523" s="19"/>
      <c r="CN523" s="19"/>
      <c r="CO523" s="19"/>
      <c r="CP523" s="19"/>
      <c r="CQ523" s="19"/>
      <c r="CR523" s="19"/>
      <c r="CS523" s="19"/>
      <c r="CT523" s="19"/>
      <c r="CU523" s="19"/>
      <c r="CV523" s="19"/>
      <c r="CW523" s="19"/>
      <c r="CX523" s="19"/>
      <c r="CY523" s="19"/>
      <c r="CZ523" s="19"/>
      <c r="DA523" s="19"/>
      <c r="DB523" s="19"/>
      <c r="DC523" s="19"/>
      <c r="DD523" s="19"/>
      <c r="DE523" s="19"/>
      <c r="DF523" s="19"/>
      <c r="DG523" s="19"/>
      <c r="DH523" s="19"/>
      <c r="DI523" s="19"/>
      <c r="DJ523" s="19"/>
      <c r="DK523" s="19"/>
      <c r="DL523" s="19"/>
      <c r="DM523" s="19"/>
      <c r="DN523" s="19"/>
      <c r="DO523" s="19"/>
      <c r="DP523" s="19"/>
      <c r="DQ523" s="19"/>
      <c r="DR523" s="19"/>
      <c r="DS523" s="19"/>
      <c r="DT523" s="19"/>
      <c r="DU523" s="19"/>
      <c r="DV523" s="19"/>
      <c r="DW523" s="19"/>
      <c r="DX523" s="19"/>
      <c r="DY523" s="19"/>
      <c r="DZ523" s="19"/>
      <c r="EA523" s="19"/>
      <c r="EB523" s="19"/>
      <c r="EC523" s="19"/>
      <c r="ED523" s="19"/>
      <c r="EE523" s="19"/>
      <c r="EF523" s="19"/>
      <c r="EG523" s="19"/>
      <c r="EH523" s="19"/>
      <c r="EI523" s="19"/>
      <c r="EJ523" s="19"/>
      <c r="EK523" s="19"/>
      <c r="EL523" s="19"/>
      <c r="EM523" s="19"/>
      <c r="EN523" s="19"/>
      <c r="EO523" s="19"/>
      <c r="EP523" s="19"/>
      <c r="EQ523" s="19"/>
      <c r="ER523" s="19"/>
      <c r="ES523" s="19"/>
      <c r="ET523" s="19"/>
      <c r="EU523" s="19"/>
      <c r="EV523" s="19"/>
      <c r="EW523" s="19"/>
      <c r="EX523" s="19"/>
      <c r="EY523" s="19"/>
      <c r="EZ523" s="19"/>
      <c r="FA523" s="19"/>
      <c r="FB523" s="19"/>
      <c r="FC523" s="19"/>
      <c r="FD523" s="19"/>
      <c r="FE523" s="19"/>
      <c r="FF523" s="19"/>
      <c r="FG523" s="19"/>
      <c r="FH523" s="19"/>
      <c r="FI523" s="19"/>
      <c r="FJ523" s="19"/>
      <c r="FK523" s="19"/>
      <c r="FL523" s="19"/>
      <c r="FM523" s="19"/>
      <c r="FN523" s="19"/>
    </row>
    <row r="524">
      <c r="B524" s="93"/>
      <c r="C524" s="19"/>
      <c r="D524" s="90"/>
      <c r="E524" s="5"/>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19"/>
      <c r="CC524" s="19"/>
      <c r="CD524" s="19"/>
      <c r="CE524" s="19"/>
      <c r="CF524" s="19"/>
      <c r="CG524" s="19"/>
      <c r="CH524" s="19"/>
      <c r="CI524" s="19"/>
      <c r="CJ524" s="19"/>
      <c r="CK524" s="19"/>
      <c r="CL524" s="19"/>
      <c r="CM524" s="19"/>
      <c r="CN524" s="19"/>
      <c r="CO524" s="19"/>
      <c r="CP524" s="19"/>
      <c r="CQ524" s="19"/>
      <c r="CR524" s="19"/>
      <c r="CS524" s="19"/>
      <c r="CT524" s="19"/>
      <c r="CU524" s="19"/>
      <c r="CV524" s="19"/>
      <c r="CW524" s="19"/>
      <c r="CX524" s="19"/>
      <c r="CY524" s="19"/>
      <c r="CZ524" s="19"/>
      <c r="DA524" s="19"/>
      <c r="DB524" s="19"/>
      <c r="DC524" s="19"/>
      <c r="DD524" s="19"/>
      <c r="DE524" s="19"/>
      <c r="DF524" s="19"/>
      <c r="DG524" s="19"/>
      <c r="DH524" s="19"/>
      <c r="DI524" s="19"/>
      <c r="DJ524" s="19"/>
      <c r="DK524" s="19"/>
      <c r="DL524" s="19"/>
      <c r="DM524" s="19"/>
      <c r="DN524" s="19"/>
      <c r="DO524" s="19"/>
      <c r="DP524" s="19"/>
      <c r="DQ524" s="19"/>
      <c r="DR524" s="19"/>
      <c r="DS524" s="19"/>
      <c r="DT524" s="19"/>
      <c r="DU524" s="19"/>
      <c r="DV524" s="19"/>
      <c r="DW524" s="19"/>
      <c r="DX524" s="19"/>
      <c r="DY524" s="19"/>
      <c r="DZ524" s="19"/>
      <c r="EA524" s="19"/>
      <c r="EB524" s="19"/>
      <c r="EC524" s="19"/>
      <c r="ED524" s="19"/>
      <c r="EE524" s="19"/>
      <c r="EF524" s="19"/>
      <c r="EG524" s="19"/>
      <c r="EH524" s="19"/>
      <c r="EI524" s="19"/>
      <c r="EJ524" s="19"/>
      <c r="EK524" s="19"/>
      <c r="EL524" s="19"/>
      <c r="EM524" s="19"/>
      <c r="EN524" s="19"/>
      <c r="EO524" s="19"/>
      <c r="EP524" s="19"/>
      <c r="EQ524" s="19"/>
      <c r="ER524" s="19"/>
      <c r="ES524" s="19"/>
      <c r="ET524" s="19"/>
      <c r="EU524" s="19"/>
      <c r="EV524" s="19"/>
      <c r="EW524" s="19"/>
      <c r="EX524" s="19"/>
      <c r="EY524" s="19"/>
      <c r="EZ524" s="19"/>
      <c r="FA524" s="19"/>
      <c r="FB524" s="19"/>
      <c r="FC524" s="19"/>
      <c r="FD524" s="19"/>
      <c r="FE524" s="19"/>
      <c r="FF524" s="19"/>
      <c r="FG524" s="19"/>
      <c r="FH524" s="19"/>
      <c r="FI524" s="19"/>
      <c r="FJ524" s="19"/>
      <c r="FK524" s="19"/>
      <c r="FL524" s="19"/>
      <c r="FM524" s="19"/>
      <c r="FN524" s="19"/>
    </row>
    <row r="525">
      <c r="B525" s="93"/>
      <c r="C525" s="19"/>
      <c r="D525" s="90"/>
      <c r="E525" s="5"/>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19"/>
      <c r="CC525" s="19"/>
      <c r="CD525" s="19"/>
      <c r="CE525" s="19"/>
      <c r="CF525" s="19"/>
      <c r="CG525" s="19"/>
      <c r="CH525" s="19"/>
      <c r="CI525" s="19"/>
      <c r="CJ525" s="19"/>
      <c r="CK525" s="19"/>
      <c r="CL525" s="19"/>
      <c r="CM525" s="19"/>
      <c r="CN525" s="19"/>
      <c r="CO525" s="19"/>
      <c r="CP525" s="19"/>
      <c r="CQ525" s="19"/>
      <c r="CR525" s="19"/>
      <c r="CS525" s="19"/>
      <c r="CT525" s="19"/>
      <c r="CU525" s="19"/>
      <c r="CV525" s="19"/>
      <c r="CW525" s="19"/>
      <c r="CX525" s="19"/>
      <c r="CY525" s="19"/>
      <c r="CZ525" s="19"/>
      <c r="DA525" s="19"/>
      <c r="DB525" s="19"/>
      <c r="DC525" s="19"/>
      <c r="DD525" s="19"/>
      <c r="DE525" s="19"/>
      <c r="DF525" s="19"/>
      <c r="DG525" s="19"/>
      <c r="DH525" s="19"/>
      <c r="DI525" s="19"/>
      <c r="DJ525" s="19"/>
      <c r="DK525" s="19"/>
      <c r="DL525" s="19"/>
      <c r="DM525" s="19"/>
      <c r="DN525" s="19"/>
      <c r="DO525" s="19"/>
      <c r="DP525" s="19"/>
      <c r="DQ525" s="19"/>
      <c r="DR525" s="19"/>
      <c r="DS525" s="19"/>
      <c r="DT525" s="19"/>
      <c r="DU525" s="19"/>
      <c r="DV525" s="19"/>
      <c r="DW525" s="19"/>
      <c r="DX525" s="19"/>
      <c r="DY525" s="19"/>
      <c r="DZ525" s="19"/>
      <c r="EA525" s="19"/>
      <c r="EB525" s="19"/>
      <c r="EC525" s="19"/>
      <c r="ED525" s="19"/>
      <c r="EE525" s="19"/>
      <c r="EF525" s="19"/>
      <c r="EG525" s="19"/>
      <c r="EH525" s="19"/>
      <c r="EI525" s="19"/>
      <c r="EJ525" s="19"/>
      <c r="EK525" s="19"/>
      <c r="EL525" s="19"/>
      <c r="EM525" s="19"/>
      <c r="EN525" s="19"/>
      <c r="EO525" s="19"/>
      <c r="EP525" s="19"/>
      <c r="EQ525" s="19"/>
      <c r="ER525" s="19"/>
      <c r="ES525" s="19"/>
      <c r="ET525" s="19"/>
      <c r="EU525" s="19"/>
      <c r="EV525" s="19"/>
      <c r="EW525" s="19"/>
      <c r="EX525" s="19"/>
      <c r="EY525" s="19"/>
      <c r="EZ525" s="19"/>
      <c r="FA525" s="19"/>
      <c r="FB525" s="19"/>
      <c r="FC525" s="19"/>
      <c r="FD525" s="19"/>
      <c r="FE525" s="19"/>
      <c r="FF525" s="19"/>
      <c r="FG525" s="19"/>
      <c r="FH525" s="19"/>
      <c r="FI525" s="19"/>
      <c r="FJ525" s="19"/>
      <c r="FK525" s="19"/>
      <c r="FL525" s="19"/>
      <c r="FM525" s="19"/>
      <c r="FN525" s="19"/>
    </row>
    <row r="526">
      <c r="B526" s="93"/>
      <c r="C526" s="19"/>
      <c r="D526" s="90"/>
      <c r="E526" s="5"/>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c r="DP526" s="19"/>
      <c r="DQ526" s="19"/>
      <c r="DR526" s="19"/>
      <c r="DS526" s="19"/>
      <c r="DT526" s="19"/>
      <c r="DU526" s="19"/>
      <c r="DV526" s="19"/>
      <c r="DW526" s="19"/>
      <c r="DX526" s="19"/>
      <c r="DY526" s="19"/>
      <c r="DZ526" s="19"/>
      <c r="EA526" s="19"/>
      <c r="EB526" s="19"/>
      <c r="EC526" s="19"/>
      <c r="ED526" s="19"/>
      <c r="EE526" s="19"/>
      <c r="EF526" s="19"/>
      <c r="EG526" s="19"/>
      <c r="EH526" s="19"/>
      <c r="EI526" s="19"/>
      <c r="EJ526" s="19"/>
      <c r="EK526" s="19"/>
      <c r="EL526" s="19"/>
      <c r="EM526" s="19"/>
      <c r="EN526" s="19"/>
      <c r="EO526" s="19"/>
      <c r="EP526" s="19"/>
      <c r="EQ526" s="19"/>
      <c r="ER526" s="19"/>
      <c r="ES526" s="19"/>
      <c r="ET526" s="19"/>
      <c r="EU526" s="19"/>
      <c r="EV526" s="19"/>
      <c r="EW526" s="19"/>
      <c r="EX526" s="19"/>
      <c r="EY526" s="19"/>
      <c r="EZ526" s="19"/>
      <c r="FA526" s="19"/>
      <c r="FB526" s="19"/>
      <c r="FC526" s="19"/>
      <c r="FD526" s="19"/>
      <c r="FE526" s="19"/>
      <c r="FF526" s="19"/>
      <c r="FG526" s="19"/>
      <c r="FH526" s="19"/>
      <c r="FI526" s="19"/>
      <c r="FJ526" s="19"/>
      <c r="FK526" s="19"/>
      <c r="FL526" s="19"/>
      <c r="FM526" s="19"/>
      <c r="FN526" s="19"/>
    </row>
    <row r="527">
      <c r="B527" s="93"/>
      <c r="C527" s="19"/>
      <c r="D527" s="90"/>
      <c r="E527" s="5"/>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19"/>
      <c r="CC527" s="19"/>
      <c r="CD527" s="19"/>
      <c r="CE527" s="19"/>
      <c r="CF527" s="19"/>
      <c r="CG527" s="19"/>
      <c r="CH527" s="19"/>
      <c r="CI527" s="19"/>
      <c r="CJ527" s="19"/>
      <c r="CK527" s="19"/>
      <c r="CL527" s="19"/>
      <c r="CM527" s="19"/>
      <c r="CN527" s="19"/>
      <c r="CO527" s="19"/>
      <c r="CP527" s="19"/>
      <c r="CQ527" s="19"/>
      <c r="CR527" s="19"/>
      <c r="CS527" s="19"/>
      <c r="CT527" s="19"/>
      <c r="CU527" s="19"/>
      <c r="CV527" s="19"/>
      <c r="CW527" s="19"/>
      <c r="CX527" s="19"/>
      <c r="CY527" s="19"/>
      <c r="CZ527" s="19"/>
      <c r="DA527" s="19"/>
      <c r="DB527" s="19"/>
      <c r="DC527" s="19"/>
      <c r="DD527" s="19"/>
      <c r="DE527" s="19"/>
      <c r="DF527" s="19"/>
      <c r="DG527" s="19"/>
      <c r="DH527" s="19"/>
      <c r="DI527" s="19"/>
      <c r="DJ527" s="19"/>
      <c r="DK527" s="19"/>
      <c r="DL527" s="19"/>
      <c r="DM527" s="19"/>
      <c r="DN527" s="19"/>
      <c r="DO527" s="19"/>
      <c r="DP527" s="19"/>
      <c r="DQ527" s="19"/>
      <c r="DR527" s="19"/>
      <c r="DS527" s="19"/>
      <c r="DT527" s="19"/>
      <c r="DU527" s="19"/>
      <c r="DV527" s="19"/>
      <c r="DW527" s="19"/>
      <c r="DX527" s="19"/>
      <c r="DY527" s="19"/>
      <c r="DZ527" s="19"/>
      <c r="EA527" s="19"/>
      <c r="EB527" s="19"/>
      <c r="EC527" s="19"/>
      <c r="ED527" s="19"/>
      <c r="EE527" s="19"/>
      <c r="EF527" s="19"/>
      <c r="EG527" s="19"/>
      <c r="EH527" s="19"/>
      <c r="EI527" s="19"/>
      <c r="EJ527" s="19"/>
      <c r="EK527" s="19"/>
      <c r="EL527" s="19"/>
      <c r="EM527" s="19"/>
      <c r="EN527" s="19"/>
      <c r="EO527" s="19"/>
      <c r="EP527" s="19"/>
      <c r="EQ527" s="19"/>
      <c r="ER527" s="19"/>
      <c r="ES527" s="19"/>
      <c r="ET527" s="19"/>
      <c r="EU527" s="19"/>
      <c r="EV527" s="19"/>
      <c r="EW527" s="19"/>
      <c r="EX527" s="19"/>
      <c r="EY527" s="19"/>
      <c r="EZ527" s="19"/>
      <c r="FA527" s="19"/>
      <c r="FB527" s="19"/>
      <c r="FC527" s="19"/>
      <c r="FD527" s="19"/>
      <c r="FE527" s="19"/>
      <c r="FF527" s="19"/>
      <c r="FG527" s="19"/>
      <c r="FH527" s="19"/>
      <c r="FI527" s="19"/>
      <c r="FJ527" s="19"/>
      <c r="FK527" s="19"/>
      <c r="FL527" s="19"/>
      <c r="FM527" s="19"/>
      <c r="FN527" s="19"/>
    </row>
    <row r="528">
      <c r="B528" s="93"/>
      <c r="C528" s="19"/>
      <c r="D528" s="90"/>
      <c r="E528" s="5"/>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19"/>
      <c r="CC528" s="19"/>
      <c r="CD528" s="19"/>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19"/>
      <c r="DM528" s="19"/>
      <c r="DN528" s="19"/>
      <c r="DO528" s="19"/>
      <c r="DP528" s="19"/>
      <c r="DQ528" s="19"/>
      <c r="DR528" s="19"/>
      <c r="DS528" s="19"/>
      <c r="DT528" s="19"/>
      <c r="DU528" s="19"/>
      <c r="DV528" s="19"/>
      <c r="DW528" s="19"/>
      <c r="DX528" s="19"/>
      <c r="DY528" s="19"/>
      <c r="DZ528" s="19"/>
      <c r="EA528" s="19"/>
      <c r="EB528" s="19"/>
      <c r="EC528" s="19"/>
      <c r="ED528" s="19"/>
      <c r="EE528" s="19"/>
      <c r="EF528" s="19"/>
      <c r="EG528" s="19"/>
      <c r="EH528" s="19"/>
      <c r="EI528" s="19"/>
      <c r="EJ528" s="19"/>
      <c r="EK528" s="19"/>
      <c r="EL528" s="19"/>
      <c r="EM528" s="19"/>
      <c r="EN528" s="19"/>
      <c r="EO528" s="19"/>
      <c r="EP528" s="19"/>
      <c r="EQ528" s="19"/>
      <c r="ER528" s="19"/>
      <c r="ES528" s="19"/>
      <c r="ET528" s="19"/>
      <c r="EU528" s="19"/>
      <c r="EV528" s="19"/>
      <c r="EW528" s="19"/>
      <c r="EX528" s="19"/>
      <c r="EY528" s="19"/>
      <c r="EZ528" s="19"/>
      <c r="FA528" s="19"/>
      <c r="FB528" s="19"/>
      <c r="FC528" s="19"/>
      <c r="FD528" s="19"/>
      <c r="FE528" s="19"/>
      <c r="FF528" s="19"/>
      <c r="FG528" s="19"/>
      <c r="FH528" s="19"/>
      <c r="FI528" s="19"/>
      <c r="FJ528" s="19"/>
      <c r="FK528" s="19"/>
      <c r="FL528" s="19"/>
      <c r="FM528" s="19"/>
      <c r="FN528" s="19"/>
    </row>
    <row r="529">
      <c r="B529" s="93"/>
      <c r="C529" s="19"/>
      <c r="D529" s="90"/>
      <c r="E529" s="5"/>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row>
    <row r="530">
      <c r="B530" s="93"/>
      <c r="C530" s="19"/>
      <c r="D530" s="90"/>
      <c r="E530" s="5"/>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row>
    <row r="531">
      <c r="B531" s="93"/>
      <c r="C531" s="19"/>
      <c r="D531" s="90"/>
      <c r="E531" s="5"/>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row>
    <row r="532">
      <c r="B532" s="93"/>
      <c r="C532" s="19"/>
      <c r="D532" s="90"/>
      <c r="E532" s="5"/>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row>
    <row r="533">
      <c r="B533" s="93"/>
      <c r="C533" s="19"/>
      <c r="D533" s="90"/>
      <c r="E533" s="5"/>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row>
    <row r="534">
      <c r="B534" s="93"/>
      <c r="C534" s="19"/>
      <c r="D534" s="90"/>
      <c r="E534" s="5"/>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row>
    <row r="535">
      <c r="B535" s="93"/>
      <c r="C535" s="19"/>
      <c r="D535" s="90"/>
      <c r="E535" s="5"/>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row>
    <row r="536">
      <c r="B536" s="93"/>
      <c r="C536" s="19"/>
      <c r="D536" s="90"/>
      <c r="E536" s="5"/>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row>
    <row r="537">
      <c r="B537" s="93"/>
      <c r="C537" s="19"/>
      <c r="D537" s="90"/>
      <c r="E537" s="5"/>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row>
    <row r="538">
      <c r="B538" s="93"/>
      <c r="C538" s="19"/>
      <c r="D538" s="90"/>
      <c r="E538" s="5"/>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row>
    <row r="539">
      <c r="B539" s="93"/>
      <c r="C539" s="19"/>
      <c r="D539" s="90"/>
      <c r="E539" s="5"/>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19"/>
      <c r="CM539" s="19"/>
      <c r="CN539" s="19"/>
      <c r="CO539" s="19"/>
      <c r="CP539" s="19"/>
      <c r="CQ539" s="19"/>
      <c r="CR539" s="19"/>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c r="DP539" s="19"/>
      <c r="DQ539" s="19"/>
      <c r="DR539" s="19"/>
      <c r="DS539" s="19"/>
      <c r="DT539" s="19"/>
      <c r="DU539" s="19"/>
      <c r="DV539" s="19"/>
      <c r="DW539" s="19"/>
      <c r="DX539" s="19"/>
      <c r="DY539" s="19"/>
      <c r="DZ539" s="19"/>
      <c r="EA539" s="19"/>
      <c r="EB539" s="19"/>
      <c r="EC539" s="19"/>
      <c r="ED539" s="19"/>
      <c r="EE539" s="19"/>
      <c r="EF539" s="19"/>
      <c r="EG539" s="19"/>
      <c r="EH539" s="19"/>
      <c r="EI539" s="19"/>
      <c r="EJ539" s="19"/>
      <c r="EK539" s="19"/>
      <c r="EL539" s="19"/>
      <c r="EM539" s="19"/>
      <c r="EN539" s="19"/>
      <c r="EO539" s="19"/>
      <c r="EP539" s="19"/>
      <c r="EQ539" s="19"/>
      <c r="ER539" s="19"/>
      <c r="ES539" s="19"/>
      <c r="ET539" s="19"/>
      <c r="EU539" s="19"/>
      <c r="EV539" s="19"/>
      <c r="EW539" s="19"/>
      <c r="EX539" s="19"/>
      <c r="EY539" s="19"/>
      <c r="EZ539" s="19"/>
      <c r="FA539" s="19"/>
      <c r="FB539" s="19"/>
      <c r="FC539" s="19"/>
      <c r="FD539" s="19"/>
      <c r="FE539" s="19"/>
      <c r="FF539" s="19"/>
      <c r="FG539" s="19"/>
      <c r="FH539" s="19"/>
      <c r="FI539" s="19"/>
      <c r="FJ539" s="19"/>
      <c r="FK539" s="19"/>
      <c r="FL539" s="19"/>
      <c r="FM539" s="19"/>
      <c r="FN539" s="19"/>
    </row>
    <row r="540">
      <c r="B540" s="93"/>
      <c r="C540" s="19"/>
      <c r="D540" s="90"/>
      <c r="E540" s="5"/>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c r="EU540" s="19"/>
      <c r="EV540" s="19"/>
      <c r="EW540" s="19"/>
      <c r="EX540" s="19"/>
      <c r="EY540" s="19"/>
      <c r="EZ540" s="19"/>
      <c r="FA540" s="19"/>
      <c r="FB540" s="19"/>
      <c r="FC540" s="19"/>
      <c r="FD540" s="19"/>
      <c r="FE540" s="19"/>
      <c r="FF540" s="19"/>
      <c r="FG540" s="19"/>
      <c r="FH540" s="19"/>
      <c r="FI540" s="19"/>
      <c r="FJ540" s="19"/>
      <c r="FK540" s="19"/>
      <c r="FL540" s="19"/>
      <c r="FM540" s="19"/>
      <c r="FN540" s="19"/>
    </row>
    <row r="541">
      <c r="B541" s="93"/>
      <c r="C541" s="19"/>
      <c r="D541" s="90"/>
      <c r="E541" s="5"/>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19"/>
      <c r="CC541" s="19"/>
      <c r="CD541" s="19"/>
      <c r="CE541" s="19"/>
      <c r="CF541" s="19"/>
      <c r="CG541" s="19"/>
      <c r="CH541" s="19"/>
      <c r="CI541" s="19"/>
      <c r="CJ541" s="19"/>
      <c r="CK541" s="19"/>
      <c r="CL541" s="19"/>
      <c r="CM541" s="19"/>
      <c r="CN541" s="19"/>
      <c r="CO541" s="19"/>
      <c r="CP541" s="19"/>
      <c r="CQ541" s="19"/>
      <c r="CR541" s="19"/>
      <c r="CS541" s="19"/>
      <c r="CT541" s="19"/>
      <c r="CU541" s="19"/>
      <c r="CV541" s="19"/>
      <c r="CW541" s="19"/>
      <c r="CX541" s="19"/>
      <c r="CY541" s="19"/>
      <c r="CZ541" s="19"/>
      <c r="DA541" s="19"/>
      <c r="DB541" s="19"/>
      <c r="DC541" s="19"/>
      <c r="DD541" s="19"/>
      <c r="DE541" s="19"/>
      <c r="DF541" s="19"/>
      <c r="DG541" s="19"/>
      <c r="DH541" s="19"/>
      <c r="DI541" s="19"/>
      <c r="DJ541" s="19"/>
      <c r="DK541" s="19"/>
      <c r="DL541" s="19"/>
      <c r="DM541" s="19"/>
      <c r="DN541" s="19"/>
      <c r="DO541" s="19"/>
      <c r="DP541" s="19"/>
      <c r="DQ541" s="19"/>
      <c r="DR541" s="19"/>
      <c r="DS541" s="19"/>
      <c r="DT541" s="19"/>
      <c r="DU541" s="19"/>
      <c r="DV541" s="19"/>
      <c r="DW541" s="19"/>
      <c r="DX541" s="19"/>
      <c r="DY541" s="19"/>
      <c r="DZ541" s="19"/>
      <c r="EA541" s="19"/>
      <c r="EB541" s="19"/>
      <c r="EC541" s="19"/>
      <c r="ED541" s="19"/>
      <c r="EE541" s="19"/>
      <c r="EF541" s="19"/>
      <c r="EG541" s="19"/>
      <c r="EH541" s="19"/>
      <c r="EI541" s="19"/>
      <c r="EJ541" s="19"/>
      <c r="EK541" s="19"/>
      <c r="EL541" s="19"/>
      <c r="EM541" s="19"/>
      <c r="EN541" s="19"/>
      <c r="EO541" s="19"/>
      <c r="EP541" s="19"/>
      <c r="EQ541" s="19"/>
      <c r="ER541" s="19"/>
      <c r="ES541" s="19"/>
      <c r="ET541" s="19"/>
      <c r="EU541" s="19"/>
      <c r="EV541" s="19"/>
      <c r="EW541" s="19"/>
      <c r="EX541" s="19"/>
      <c r="EY541" s="19"/>
      <c r="EZ541" s="19"/>
      <c r="FA541" s="19"/>
      <c r="FB541" s="19"/>
      <c r="FC541" s="19"/>
      <c r="FD541" s="19"/>
      <c r="FE541" s="19"/>
      <c r="FF541" s="19"/>
      <c r="FG541" s="19"/>
      <c r="FH541" s="19"/>
      <c r="FI541" s="19"/>
      <c r="FJ541" s="19"/>
      <c r="FK541" s="19"/>
      <c r="FL541" s="19"/>
      <c r="FM541" s="19"/>
      <c r="FN541" s="19"/>
    </row>
    <row r="542">
      <c r="B542" s="93"/>
      <c r="C542" s="19"/>
      <c r="D542" s="90"/>
      <c r="E542" s="5"/>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19"/>
      <c r="EP542" s="19"/>
      <c r="EQ542" s="19"/>
      <c r="ER542" s="19"/>
      <c r="ES542" s="19"/>
      <c r="ET542" s="19"/>
      <c r="EU542" s="19"/>
      <c r="EV542" s="19"/>
      <c r="EW542" s="19"/>
      <c r="EX542" s="19"/>
      <c r="EY542" s="19"/>
      <c r="EZ542" s="19"/>
      <c r="FA542" s="19"/>
      <c r="FB542" s="19"/>
      <c r="FC542" s="19"/>
      <c r="FD542" s="19"/>
      <c r="FE542" s="19"/>
      <c r="FF542" s="19"/>
      <c r="FG542" s="19"/>
      <c r="FH542" s="19"/>
      <c r="FI542" s="19"/>
      <c r="FJ542" s="19"/>
      <c r="FK542" s="19"/>
      <c r="FL542" s="19"/>
      <c r="FM542" s="19"/>
      <c r="FN542" s="19"/>
    </row>
    <row r="543">
      <c r="B543" s="93"/>
      <c r="C543" s="19"/>
      <c r="D543" s="90"/>
      <c r="E543" s="5"/>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c r="DP543" s="19"/>
      <c r="DQ543" s="19"/>
      <c r="DR543" s="19"/>
      <c r="DS543" s="19"/>
      <c r="DT543" s="19"/>
      <c r="DU543" s="19"/>
      <c r="DV543" s="19"/>
      <c r="DW543" s="19"/>
      <c r="DX543" s="19"/>
      <c r="DY543" s="19"/>
      <c r="DZ543" s="19"/>
      <c r="EA543" s="19"/>
      <c r="EB543" s="19"/>
      <c r="EC543" s="19"/>
      <c r="ED543" s="19"/>
      <c r="EE543" s="19"/>
      <c r="EF543" s="19"/>
      <c r="EG543" s="19"/>
      <c r="EH543" s="19"/>
      <c r="EI543" s="19"/>
      <c r="EJ543" s="19"/>
      <c r="EK543" s="19"/>
      <c r="EL543" s="19"/>
      <c r="EM543" s="19"/>
      <c r="EN543" s="19"/>
      <c r="EO543" s="19"/>
      <c r="EP543" s="19"/>
      <c r="EQ543" s="19"/>
      <c r="ER543" s="19"/>
      <c r="ES543" s="19"/>
      <c r="ET543" s="19"/>
      <c r="EU543" s="19"/>
      <c r="EV543" s="19"/>
      <c r="EW543" s="19"/>
      <c r="EX543" s="19"/>
      <c r="EY543" s="19"/>
      <c r="EZ543" s="19"/>
      <c r="FA543" s="19"/>
      <c r="FB543" s="19"/>
      <c r="FC543" s="19"/>
      <c r="FD543" s="19"/>
      <c r="FE543" s="19"/>
      <c r="FF543" s="19"/>
      <c r="FG543" s="19"/>
      <c r="FH543" s="19"/>
      <c r="FI543" s="19"/>
      <c r="FJ543" s="19"/>
      <c r="FK543" s="19"/>
      <c r="FL543" s="19"/>
      <c r="FM543" s="19"/>
      <c r="FN543" s="19"/>
    </row>
    <row r="544">
      <c r="B544" s="93"/>
      <c r="C544" s="19"/>
      <c r="D544" s="90"/>
      <c r="E544" s="5"/>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c r="DP544" s="19"/>
      <c r="DQ544" s="19"/>
      <c r="DR544" s="19"/>
      <c r="DS544" s="19"/>
      <c r="DT544" s="19"/>
      <c r="DU544" s="19"/>
      <c r="DV544" s="19"/>
      <c r="DW544" s="19"/>
      <c r="DX544" s="19"/>
      <c r="DY544" s="19"/>
      <c r="DZ544" s="19"/>
      <c r="EA544" s="19"/>
      <c r="EB544" s="19"/>
      <c r="EC544" s="19"/>
      <c r="ED544" s="19"/>
      <c r="EE544" s="19"/>
      <c r="EF544" s="19"/>
      <c r="EG544" s="19"/>
      <c r="EH544" s="19"/>
      <c r="EI544" s="19"/>
      <c r="EJ544" s="19"/>
      <c r="EK544" s="19"/>
      <c r="EL544" s="19"/>
      <c r="EM544" s="19"/>
      <c r="EN544" s="19"/>
      <c r="EO544" s="19"/>
      <c r="EP544" s="19"/>
      <c r="EQ544" s="19"/>
      <c r="ER544" s="19"/>
      <c r="ES544" s="19"/>
      <c r="ET544" s="19"/>
      <c r="EU544" s="19"/>
      <c r="EV544" s="19"/>
      <c r="EW544" s="19"/>
      <c r="EX544" s="19"/>
      <c r="EY544" s="19"/>
      <c r="EZ544" s="19"/>
      <c r="FA544" s="19"/>
      <c r="FB544" s="19"/>
      <c r="FC544" s="19"/>
      <c r="FD544" s="19"/>
      <c r="FE544" s="19"/>
      <c r="FF544" s="19"/>
      <c r="FG544" s="19"/>
      <c r="FH544" s="19"/>
      <c r="FI544" s="19"/>
      <c r="FJ544" s="19"/>
      <c r="FK544" s="19"/>
      <c r="FL544" s="19"/>
      <c r="FM544" s="19"/>
      <c r="FN544" s="19"/>
    </row>
    <row r="545">
      <c r="B545" s="93"/>
      <c r="C545" s="19"/>
      <c r="D545" s="90"/>
      <c r="E545" s="5"/>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c r="DP545" s="19"/>
      <c r="DQ545" s="19"/>
      <c r="DR545" s="19"/>
      <c r="DS545" s="19"/>
      <c r="DT545" s="19"/>
      <c r="DU545" s="19"/>
      <c r="DV545" s="19"/>
      <c r="DW545" s="19"/>
      <c r="DX545" s="19"/>
      <c r="DY545" s="19"/>
      <c r="DZ545" s="19"/>
      <c r="EA545" s="19"/>
      <c r="EB545" s="19"/>
      <c r="EC545" s="19"/>
      <c r="ED545" s="19"/>
      <c r="EE545" s="19"/>
      <c r="EF545" s="19"/>
      <c r="EG545" s="19"/>
      <c r="EH545" s="19"/>
      <c r="EI545" s="19"/>
      <c r="EJ545" s="19"/>
      <c r="EK545" s="19"/>
      <c r="EL545" s="19"/>
      <c r="EM545" s="19"/>
      <c r="EN545" s="19"/>
      <c r="EO545" s="19"/>
      <c r="EP545" s="19"/>
      <c r="EQ545" s="19"/>
      <c r="ER545" s="19"/>
      <c r="ES545" s="19"/>
      <c r="ET545" s="19"/>
      <c r="EU545" s="19"/>
      <c r="EV545" s="19"/>
      <c r="EW545" s="19"/>
      <c r="EX545" s="19"/>
      <c r="EY545" s="19"/>
      <c r="EZ545" s="19"/>
      <c r="FA545" s="19"/>
      <c r="FB545" s="19"/>
      <c r="FC545" s="19"/>
      <c r="FD545" s="19"/>
      <c r="FE545" s="19"/>
      <c r="FF545" s="19"/>
      <c r="FG545" s="19"/>
      <c r="FH545" s="19"/>
      <c r="FI545" s="19"/>
      <c r="FJ545" s="19"/>
      <c r="FK545" s="19"/>
      <c r="FL545" s="19"/>
      <c r="FM545" s="19"/>
      <c r="FN545" s="19"/>
    </row>
    <row r="546">
      <c r="B546" s="93"/>
      <c r="C546" s="19"/>
      <c r="D546" s="90"/>
      <c r="E546" s="5"/>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c r="DP546" s="19"/>
      <c r="DQ546" s="19"/>
      <c r="DR546" s="19"/>
      <c r="DS546" s="19"/>
      <c r="DT546" s="19"/>
      <c r="DU546" s="19"/>
      <c r="DV546" s="19"/>
      <c r="DW546" s="19"/>
      <c r="DX546" s="19"/>
      <c r="DY546" s="19"/>
      <c r="DZ546" s="19"/>
      <c r="EA546" s="19"/>
      <c r="EB546" s="19"/>
      <c r="EC546" s="19"/>
      <c r="ED546" s="19"/>
      <c r="EE546" s="19"/>
      <c r="EF546" s="19"/>
      <c r="EG546" s="19"/>
      <c r="EH546" s="19"/>
      <c r="EI546" s="19"/>
      <c r="EJ546" s="19"/>
      <c r="EK546" s="19"/>
      <c r="EL546" s="19"/>
      <c r="EM546" s="19"/>
      <c r="EN546" s="19"/>
      <c r="EO546" s="19"/>
      <c r="EP546" s="19"/>
      <c r="EQ546" s="19"/>
      <c r="ER546" s="19"/>
      <c r="ES546" s="19"/>
      <c r="ET546" s="19"/>
      <c r="EU546" s="19"/>
      <c r="EV546" s="19"/>
      <c r="EW546" s="19"/>
      <c r="EX546" s="19"/>
      <c r="EY546" s="19"/>
      <c r="EZ546" s="19"/>
      <c r="FA546" s="19"/>
      <c r="FB546" s="19"/>
      <c r="FC546" s="19"/>
      <c r="FD546" s="19"/>
      <c r="FE546" s="19"/>
      <c r="FF546" s="19"/>
      <c r="FG546" s="19"/>
      <c r="FH546" s="19"/>
      <c r="FI546" s="19"/>
      <c r="FJ546" s="19"/>
      <c r="FK546" s="19"/>
      <c r="FL546" s="19"/>
      <c r="FM546" s="19"/>
      <c r="FN546" s="19"/>
    </row>
    <row r="547">
      <c r="B547" s="93"/>
      <c r="C547" s="19"/>
      <c r="D547" s="90"/>
      <c r="E547" s="5"/>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9"/>
      <c r="CR547" s="19"/>
      <c r="CS547" s="19"/>
      <c r="CT547" s="19"/>
      <c r="CU547" s="19"/>
      <c r="CV547" s="19"/>
      <c r="CW547" s="19"/>
      <c r="CX547" s="19"/>
      <c r="CY547" s="19"/>
      <c r="CZ547" s="19"/>
      <c r="DA547" s="19"/>
      <c r="DB547" s="19"/>
      <c r="DC547" s="19"/>
      <c r="DD547" s="19"/>
      <c r="DE547" s="19"/>
      <c r="DF547" s="19"/>
      <c r="DG547" s="19"/>
      <c r="DH547" s="19"/>
      <c r="DI547" s="19"/>
      <c r="DJ547" s="19"/>
      <c r="DK547" s="19"/>
      <c r="DL547" s="19"/>
      <c r="DM547" s="19"/>
      <c r="DN547" s="19"/>
      <c r="DO547" s="19"/>
      <c r="DP547" s="19"/>
      <c r="DQ547" s="19"/>
      <c r="DR547" s="19"/>
      <c r="DS547" s="19"/>
      <c r="DT547" s="19"/>
      <c r="DU547" s="19"/>
      <c r="DV547" s="19"/>
      <c r="DW547" s="19"/>
      <c r="DX547" s="19"/>
      <c r="DY547" s="19"/>
      <c r="DZ547" s="19"/>
      <c r="EA547" s="19"/>
      <c r="EB547" s="19"/>
      <c r="EC547" s="19"/>
      <c r="ED547" s="19"/>
      <c r="EE547" s="19"/>
      <c r="EF547" s="19"/>
      <c r="EG547" s="19"/>
      <c r="EH547" s="19"/>
      <c r="EI547" s="19"/>
      <c r="EJ547" s="19"/>
      <c r="EK547" s="19"/>
      <c r="EL547" s="19"/>
      <c r="EM547" s="19"/>
      <c r="EN547" s="19"/>
      <c r="EO547" s="19"/>
      <c r="EP547" s="19"/>
      <c r="EQ547" s="19"/>
      <c r="ER547" s="19"/>
      <c r="ES547" s="19"/>
      <c r="ET547" s="19"/>
      <c r="EU547" s="19"/>
      <c r="EV547" s="19"/>
      <c r="EW547" s="19"/>
      <c r="EX547" s="19"/>
      <c r="EY547" s="19"/>
      <c r="EZ547" s="19"/>
      <c r="FA547" s="19"/>
      <c r="FB547" s="19"/>
      <c r="FC547" s="19"/>
      <c r="FD547" s="19"/>
      <c r="FE547" s="19"/>
      <c r="FF547" s="19"/>
      <c r="FG547" s="19"/>
      <c r="FH547" s="19"/>
      <c r="FI547" s="19"/>
      <c r="FJ547" s="19"/>
      <c r="FK547" s="19"/>
      <c r="FL547" s="19"/>
      <c r="FM547" s="19"/>
      <c r="FN547" s="19"/>
    </row>
    <row r="548">
      <c r="B548" s="93"/>
      <c r="C548" s="19"/>
      <c r="D548" s="90"/>
      <c r="E548" s="5"/>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c r="DP548" s="19"/>
      <c r="DQ548" s="19"/>
      <c r="DR548" s="19"/>
      <c r="DS548" s="19"/>
      <c r="DT548" s="19"/>
      <c r="DU548" s="19"/>
      <c r="DV548" s="19"/>
      <c r="DW548" s="19"/>
      <c r="DX548" s="19"/>
      <c r="DY548" s="19"/>
      <c r="DZ548" s="19"/>
      <c r="EA548" s="19"/>
      <c r="EB548" s="19"/>
      <c r="EC548" s="19"/>
      <c r="ED548" s="19"/>
      <c r="EE548" s="19"/>
      <c r="EF548" s="19"/>
      <c r="EG548" s="19"/>
      <c r="EH548" s="19"/>
      <c r="EI548" s="19"/>
      <c r="EJ548" s="19"/>
      <c r="EK548" s="19"/>
      <c r="EL548" s="19"/>
      <c r="EM548" s="19"/>
      <c r="EN548" s="19"/>
      <c r="EO548" s="19"/>
      <c r="EP548" s="19"/>
      <c r="EQ548" s="19"/>
      <c r="ER548" s="19"/>
      <c r="ES548" s="19"/>
      <c r="ET548" s="19"/>
      <c r="EU548" s="19"/>
      <c r="EV548" s="19"/>
      <c r="EW548" s="19"/>
      <c r="EX548" s="19"/>
      <c r="EY548" s="19"/>
      <c r="EZ548" s="19"/>
      <c r="FA548" s="19"/>
      <c r="FB548" s="19"/>
      <c r="FC548" s="19"/>
      <c r="FD548" s="19"/>
      <c r="FE548" s="19"/>
      <c r="FF548" s="19"/>
      <c r="FG548" s="19"/>
      <c r="FH548" s="19"/>
      <c r="FI548" s="19"/>
      <c r="FJ548" s="19"/>
      <c r="FK548" s="19"/>
      <c r="FL548" s="19"/>
      <c r="FM548" s="19"/>
      <c r="FN548" s="19"/>
    </row>
    <row r="549">
      <c r="B549" s="93"/>
      <c r="C549" s="19"/>
      <c r="D549" s="90"/>
      <c r="E549" s="5"/>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c r="DP549" s="19"/>
      <c r="DQ549" s="19"/>
      <c r="DR549" s="19"/>
      <c r="DS549" s="19"/>
      <c r="DT549" s="19"/>
      <c r="DU549" s="19"/>
      <c r="DV549" s="19"/>
      <c r="DW549" s="19"/>
      <c r="DX549" s="19"/>
      <c r="DY549" s="19"/>
      <c r="DZ549" s="19"/>
      <c r="EA549" s="19"/>
      <c r="EB549" s="19"/>
      <c r="EC549" s="19"/>
      <c r="ED549" s="19"/>
      <c r="EE549" s="19"/>
      <c r="EF549" s="19"/>
      <c r="EG549" s="19"/>
      <c r="EH549" s="19"/>
      <c r="EI549" s="19"/>
      <c r="EJ549" s="19"/>
      <c r="EK549" s="19"/>
      <c r="EL549" s="19"/>
      <c r="EM549" s="19"/>
      <c r="EN549" s="19"/>
      <c r="EO549" s="19"/>
      <c r="EP549" s="19"/>
      <c r="EQ549" s="19"/>
      <c r="ER549" s="19"/>
      <c r="ES549" s="19"/>
      <c r="ET549" s="19"/>
      <c r="EU549" s="19"/>
      <c r="EV549" s="19"/>
      <c r="EW549" s="19"/>
      <c r="EX549" s="19"/>
      <c r="EY549" s="19"/>
      <c r="EZ549" s="19"/>
      <c r="FA549" s="19"/>
      <c r="FB549" s="19"/>
      <c r="FC549" s="19"/>
      <c r="FD549" s="19"/>
      <c r="FE549" s="19"/>
      <c r="FF549" s="19"/>
      <c r="FG549" s="19"/>
      <c r="FH549" s="19"/>
      <c r="FI549" s="19"/>
      <c r="FJ549" s="19"/>
      <c r="FK549" s="19"/>
      <c r="FL549" s="19"/>
      <c r="FM549" s="19"/>
      <c r="FN549" s="19"/>
    </row>
    <row r="550">
      <c r="B550" s="93"/>
      <c r="C550" s="19"/>
      <c r="D550" s="90"/>
      <c r="E550" s="5"/>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19"/>
      <c r="EP550" s="19"/>
      <c r="EQ550" s="19"/>
      <c r="ER550" s="19"/>
      <c r="ES550" s="19"/>
      <c r="ET550" s="19"/>
      <c r="EU550" s="19"/>
      <c r="EV550" s="19"/>
      <c r="EW550" s="19"/>
      <c r="EX550" s="19"/>
      <c r="EY550" s="19"/>
      <c r="EZ550" s="19"/>
      <c r="FA550" s="19"/>
      <c r="FB550" s="19"/>
      <c r="FC550" s="19"/>
      <c r="FD550" s="19"/>
      <c r="FE550" s="19"/>
      <c r="FF550" s="19"/>
      <c r="FG550" s="19"/>
      <c r="FH550" s="19"/>
      <c r="FI550" s="19"/>
      <c r="FJ550" s="19"/>
      <c r="FK550" s="19"/>
      <c r="FL550" s="19"/>
      <c r="FM550" s="19"/>
      <c r="FN550" s="19"/>
    </row>
    <row r="551">
      <c r="B551" s="93"/>
      <c r="C551" s="19"/>
      <c r="D551" s="90"/>
      <c r="E551" s="5"/>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c r="DP551" s="19"/>
      <c r="DQ551" s="19"/>
      <c r="DR551" s="19"/>
      <c r="DS551" s="19"/>
      <c r="DT551" s="19"/>
      <c r="DU551" s="19"/>
      <c r="DV551" s="19"/>
      <c r="DW551" s="19"/>
      <c r="DX551" s="19"/>
      <c r="DY551" s="19"/>
      <c r="DZ551" s="19"/>
      <c r="EA551" s="19"/>
      <c r="EB551" s="19"/>
      <c r="EC551" s="19"/>
      <c r="ED551" s="19"/>
      <c r="EE551" s="19"/>
      <c r="EF551" s="19"/>
      <c r="EG551" s="19"/>
      <c r="EH551" s="19"/>
      <c r="EI551" s="19"/>
      <c r="EJ551" s="19"/>
      <c r="EK551" s="19"/>
      <c r="EL551" s="19"/>
      <c r="EM551" s="19"/>
      <c r="EN551" s="19"/>
      <c r="EO551" s="19"/>
      <c r="EP551" s="19"/>
      <c r="EQ551" s="19"/>
      <c r="ER551" s="19"/>
      <c r="ES551" s="19"/>
      <c r="ET551" s="19"/>
      <c r="EU551" s="19"/>
      <c r="EV551" s="19"/>
      <c r="EW551" s="19"/>
      <c r="EX551" s="19"/>
      <c r="EY551" s="19"/>
      <c r="EZ551" s="19"/>
      <c r="FA551" s="19"/>
      <c r="FB551" s="19"/>
      <c r="FC551" s="19"/>
      <c r="FD551" s="19"/>
      <c r="FE551" s="19"/>
      <c r="FF551" s="19"/>
      <c r="FG551" s="19"/>
      <c r="FH551" s="19"/>
      <c r="FI551" s="19"/>
      <c r="FJ551" s="19"/>
      <c r="FK551" s="19"/>
      <c r="FL551" s="19"/>
      <c r="FM551" s="19"/>
      <c r="FN551" s="19"/>
    </row>
    <row r="552">
      <c r="B552" s="93"/>
      <c r="C552" s="19"/>
      <c r="D552" s="90"/>
      <c r="E552" s="5"/>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c r="DP552" s="19"/>
      <c r="DQ552" s="19"/>
      <c r="DR552" s="19"/>
      <c r="DS552" s="19"/>
      <c r="DT552" s="19"/>
      <c r="DU552" s="19"/>
      <c r="DV552" s="19"/>
      <c r="DW552" s="19"/>
      <c r="DX552" s="19"/>
      <c r="DY552" s="19"/>
      <c r="DZ552" s="19"/>
      <c r="EA552" s="19"/>
      <c r="EB552" s="19"/>
      <c r="EC552" s="19"/>
      <c r="ED552" s="19"/>
      <c r="EE552" s="19"/>
      <c r="EF552" s="19"/>
      <c r="EG552" s="19"/>
      <c r="EH552" s="19"/>
      <c r="EI552" s="19"/>
      <c r="EJ552" s="19"/>
      <c r="EK552" s="19"/>
      <c r="EL552" s="19"/>
      <c r="EM552" s="19"/>
      <c r="EN552" s="19"/>
      <c r="EO552" s="19"/>
      <c r="EP552" s="19"/>
      <c r="EQ552" s="19"/>
      <c r="ER552" s="19"/>
      <c r="ES552" s="19"/>
      <c r="ET552" s="19"/>
      <c r="EU552" s="19"/>
      <c r="EV552" s="19"/>
      <c r="EW552" s="19"/>
      <c r="EX552" s="19"/>
      <c r="EY552" s="19"/>
      <c r="EZ552" s="19"/>
      <c r="FA552" s="19"/>
      <c r="FB552" s="19"/>
      <c r="FC552" s="19"/>
      <c r="FD552" s="19"/>
      <c r="FE552" s="19"/>
      <c r="FF552" s="19"/>
      <c r="FG552" s="19"/>
      <c r="FH552" s="19"/>
      <c r="FI552" s="19"/>
      <c r="FJ552" s="19"/>
      <c r="FK552" s="19"/>
      <c r="FL552" s="19"/>
      <c r="FM552" s="19"/>
      <c r="FN552" s="19"/>
    </row>
    <row r="553">
      <c r="B553" s="93"/>
      <c r="C553" s="19"/>
      <c r="D553" s="90"/>
      <c r="E553" s="5"/>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9"/>
      <c r="CR553" s="19"/>
      <c r="CS553" s="19"/>
      <c r="CT553" s="19"/>
      <c r="CU553" s="19"/>
      <c r="CV553" s="19"/>
      <c r="CW553" s="19"/>
      <c r="CX553" s="19"/>
      <c r="CY553" s="19"/>
      <c r="CZ553" s="19"/>
      <c r="DA553" s="19"/>
      <c r="DB553" s="19"/>
      <c r="DC553" s="19"/>
      <c r="DD553" s="19"/>
      <c r="DE553" s="19"/>
      <c r="DF553" s="19"/>
      <c r="DG553" s="19"/>
      <c r="DH553" s="19"/>
      <c r="DI553" s="19"/>
      <c r="DJ553" s="19"/>
      <c r="DK553" s="19"/>
      <c r="DL553" s="19"/>
      <c r="DM553" s="19"/>
      <c r="DN553" s="19"/>
      <c r="DO553" s="19"/>
      <c r="DP553" s="19"/>
      <c r="DQ553" s="19"/>
      <c r="DR553" s="19"/>
      <c r="DS553" s="19"/>
      <c r="DT553" s="19"/>
      <c r="DU553" s="19"/>
      <c r="DV553" s="19"/>
      <c r="DW553" s="19"/>
      <c r="DX553" s="19"/>
      <c r="DY553" s="19"/>
      <c r="DZ553" s="19"/>
      <c r="EA553" s="19"/>
      <c r="EB553" s="19"/>
      <c r="EC553" s="19"/>
      <c r="ED553" s="19"/>
      <c r="EE553" s="19"/>
      <c r="EF553" s="19"/>
      <c r="EG553" s="19"/>
      <c r="EH553" s="19"/>
      <c r="EI553" s="19"/>
      <c r="EJ553" s="19"/>
      <c r="EK553" s="19"/>
      <c r="EL553" s="19"/>
      <c r="EM553" s="19"/>
      <c r="EN553" s="19"/>
      <c r="EO553" s="19"/>
      <c r="EP553" s="19"/>
      <c r="EQ553" s="19"/>
      <c r="ER553" s="19"/>
      <c r="ES553" s="19"/>
      <c r="ET553" s="19"/>
      <c r="EU553" s="19"/>
      <c r="EV553" s="19"/>
      <c r="EW553" s="19"/>
      <c r="EX553" s="19"/>
      <c r="EY553" s="19"/>
      <c r="EZ553" s="19"/>
      <c r="FA553" s="19"/>
      <c r="FB553" s="19"/>
      <c r="FC553" s="19"/>
      <c r="FD553" s="19"/>
      <c r="FE553" s="19"/>
      <c r="FF553" s="19"/>
      <c r="FG553" s="19"/>
      <c r="FH553" s="19"/>
      <c r="FI553" s="19"/>
      <c r="FJ553" s="19"/>
      <c r="FK553" s="19"/>
      <c r="FL553" s="19"/>
      <c r="FM553" s="19"/>
      <c r="FN553" s="19"/>
    </row>
    <row r="554">
      <c r="B554" s="93"/>
      <c r="C554" s="19"/>
      <c r="D554" s="90"/>
      <c r="E554" s="5"/>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row>
    <row r="555">
      <c r="B555" s="93"/>
      <c r="C555" s="19"/>
      <c r="D555" s="90"/>
      <c r="E555" s="5"/>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row>
    <row r="556">
      <c r="B556" s="93"/>
      <c r="C556" s="19"/>
      <c r="D556" s="90"/>
      <c r="E556" s="5"/>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row>
    <row r="557">
      <c r="B557" s="93"/>
      <c r="C557" s="19"/>
      <c r="D557" s="90"/>
      <c r="E557" s="5"/>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row>
    <row r="558">
      <c r="B558" s="93"/>
      <c r="C558" s="19"/>
      <c r="D558" s="90"/>
      <c r="E558" s="5"/>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row>
    <row r="559">
      <c r="B559" s="93"/>
      <c r="C559" s="19"/>
      <c r="D559" s="90"/>
      <c r="E559" s="5"/>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row>
    <row r="560">
      <c r="B560" s="93"/>
      <c r="C560" s="19"/>
      <c r="D560" s="90"/>
      <c r="E560" s="5"/>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row>
    <row r="561">
      <c r="B561" s="93"/>
      <c r="C561" s="19"/>
      <c r="D561" s="90"/>
      <c r="E561" s="5"/>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row>
    <row r="562">
      <c r="B562" s="93"/>
      <c r="C562" s="19"/>
      <c r="D562" s="90"/>
      <c r="E562" s="5"/>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row>
    <row r="563">
      <c r="B563" s="93"/>
      <c r="C563" s="19"/>
      <c r="D563" s="90"/>
      <c r="E563" s="5"/>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row>
    <row r="564">
      <c r="B564" s="93"/>
      <c r="C564" s="19"/>
      <c r="D564" s="90"/>
      <c r="E564" s="5"/>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9"/>
      <c r="CR564" s="19"/>
      <c r="CS564" s="19"/>
      <c r="CT564" s="19"/>
      <c r="CU564" s="19"/>
      <c r="CV564" s="19"/>
      <c r="CW564" s="19"/>
      <c r="CX564" s="19"/>
      <c r="CY564" s="19"/>
      <c r="CZ564" s="19"/>
      <c r="DA564" s="19"/>
      <c r="DB564" s="19"/>
      <c r="DC564" s="19"/>
      <c r="DD564" s="19"/>
      <c r="DE564" s="19"/>
      <c r="DF564" s="19"/>
      <c r="DG564" s="19"/>
      <c r="DH564" s="19"/>
      <c r="DI564" s="19"/>
      <c r="DJ564" s="19"/>
      <c r="DK564" s="19"/>
      <c r="DL564" s="19"/>
      <c r="DM564" s="19"/>
      <c r="DN564" s="19"/>
      <c r="DO564" s="19"/>
      <c r="DP564" s="19"/>
      <c r="DQ564" s="19"/>
      <c r="DR564" s="19"/>
      <c r="DS564" s="19"/>
      <c r="DT564" s="19"/>
      <c r="DU564" s="19"/>
      <c r="DV564" s="19"/>
      <c r="DW564" s="19"/>
      <c r="DX564" s="19"/>
      <c r="DY564" s="19"/>
      <c r="DZ564" s="19"/>
      <c r="EA564" s="19"/>
      <c r="EB564" s="19"/>
      <c r="EC564" s="19"/>
      <c r="ED564" s="19"/>
      <c r="EE564" s="19"/>
      <c r="EF564" s="19"/>
      <c r="EG564" s="19"/>
      <c r="EH564" s="19"/>
      <c r="EI564" s="19"/>
      <c r="EJ564" s="19"/>
      <c r="EK564" s="19"/>
      <c r="EL564" s="19"/>
      <c r="EM564" s="19"/>
      <c r="EN564" s="19"/>
      <c r="EO564" s="19"/>
      <c r="EP564" s="19"/>
      <c r="EQ564" s="19"/>
      <c r="ER564" s="19"/>
      <c r="ES564" s="19"/>
      <c r="ET564" s="19"/>
      <c r="EU564" s="19"/>
      <c r="EV564" s="19"/>
      <c r="EW564" s="19"/>
      <c r="EX564" s="19"/>
      <c r="EY564" s="19"/>
      <c r="EZ564" s="19"/>
      <c r="FA564" s="19"/>
      <c r="FB564" s="19"/>
      <c r="FC564" s="19"/>
      <c r="FD564" s="19"/>
      <c r="FE564" s="19"/>
      <c r="FF564" s="19"/>
      <c r="FG564" s="19"/>
      <c r="FH564" s="19"/>
      <c r="FI564" s="19"/>
      <c r="FJ564" s="19"/>
      <c r="FK564" s="19"/>
      <c r="FL564" s="19"/>
      <c r="FM564" s="19"/>
      <c r="FN564" s="19"/>
    </row>
    <row r="565">
      <c r="B565" s="93"/>
      <c r="C565" s="19"/>
      <c r="D565" s="90"/>
      <c r="E565" s="5"/>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c r="DE565" s="19"/>
      <c r="DF565" s="19"/>
      <c r="DG565" s="19"/>
      <c r="DH565" s="19"/>
      <c r="DI565" s="19"/>
      <c r="DJ565" s="19"/>
      <c r="DK565" s="19"/>
      <c r="DL565" s="19"/>
      <c r="DM565" s="19"/>
      <c r="DN565" s="19"/>
      <c r="DO565" s="19"/>
      <c r="DP565" s="19"/>
      <c r="DQ565" s="19"/>
      <c r="DR565" s="19"/>
      <c r="DS565" s="19"/>
      <c r="DT565" s="19"/>
      <c r="DU565" s="19"/>
      <c r="DV565" s="19"/>
      <c r="DW565" s="19"/>
      <c r="DX565" s="19"/>
      <c r="DY565" s="19"/>
      <c r="DZ565" s="19"/>
      <c r="EA565" s="19"/>
      <c r="EB565" s="19"/>
      <c r="EC565" s="19"/>
      <c r="ED565" s="19"/>
      <c r="EE565" s="19"/>
      <c r="EF565" s="19"/>
      <c r="EG565" s="19"/>
      <c r="EH565" s="19"/>
      <c r="EI565" s="19"/>
      <c r="EJ565" s="19"/>
      <c r="EK565" s="19"/>
      <c r="EL565" s="19"/>
      <c r="EM565" s="19"/>
      <c r="EN565" s="19"/>
      <c r="EO565" s="19"/>
      <c r="EP565" s="19"/>
      <c r="EQ565" s="19"/>
      <c r="ER565" s="19"/>
      <c r="ES565" s="19"/>
      <c r="ET565" s="19"/>
      <c r="EU565" s="19"/>
      <c r="EV565" s="19"/>
      <c r="EW565" s="19"/>
      <c r="EX565" s="19"/>
      <c r="EY565" s="19"/>
      <c r="EZ565" s="19"/>
      <c r="FA565" s="19"/>
      <c r="FB565" s="19"/>
      <c r="FC565" s="19"/>
      <c r="FD565" s="19"/>
      <c r="FE565" s="19"/>
      <c r="FF565" s="19"/>
      <c r="FG565" s="19"/>
      <c r="FH565" s="19"/>
      <c r="FI565" s="19"/>
      <c r="FJ565" s="19"/>
      <c r="FK565" s="19"/>
      <c r="FL565" s="19"/>
      <c r="FM565" s="19"/>
      <c r="FN565" s="19"/>
    </row>
    <row r="566">
      <c r="B566" s="93"/>
      <c r="C566" s="19"/>
      <c r="D566" s="90"/>
      <c r="E566" s="5"/>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19"/>
      <c r="CC566" s="19"/>
      <c r="CD566" s="19"/>
      <c r="CE566" s="19"/>
      <c r="CF566" s="19"/>
      <c r="CG566" s="19"/>
      <c r="CH566" s="19"/>
      <c r="CI566" s="19"/>
      <c r="CJ566" s="19"/>
      <c r="CK566" s="19"/>
      <c r="CL566" s="19"/>
      <c r="CM566" s="19"/>
      <c r="CN566" s="19"/>
      <c r="CO566" s="19"/>
      <c r="CP566" s="19"/>
      <c r="CQ566" s="19"/>
      <c r="CR566" s="19"/>
      <c r="CS566" s="19"/>
      <c r="CT566" s="19"/>
      <c r="CU566" s="19"/>
      <c r="CV566" s="19"/>
      <c r="CW566" s="19"/>
      <c r="CX566" s="19"/>
      <c r="CY566" s="19"/>
      <c r="CZ566" s="19"/>
      <c r="DA566" s="19"/>
      <c r="DB566" s="19"/>
      <c r="DC566" s="19"/>
      <c r="DD566" s="19"/>
      <c r="DE566" s="19"/>
      <c r="DF566" s="19"/>
      <c r="DG566" s="19"/>
      <c r="DH566" s="19"/>
      <c r="DI566" s="19"/>
      <c r="DJ566" s="19"/>
      <c r="DK566" s="19"/>
      <c r="DL566" s="19"/>
      <c r="DM566" s="19"/>
      <c r="DN566" s="19"/>
      <c r="DO566" s="19"/>
      <c r="DP566" s="19"/>
      <c r="DQ566" s="19"/>
      <c r="DR566" s="19"/>
      <c r="DS566" s="19"/>
      <c r="DT566" s="19"/>
      <c r="DU566" s="19"/>
      <c r="DV566" s="19"/>
      <c r="DW566" s="19"/>
      <c r="DX566" s="19"/>
      <c r="DY566" s="19"/>
      <c r="DZ566" s="19"/>
      <c r="EA566" s="19"/>
      <c r="EB566" s="19"/>
      <c r="EC566" s="19"/>
      <c r="ED566" s="19"/>
      <c r="EE566" s="19"/>
      <c r="EF566" s="19"/>
      <c r="EG566" s="19"/>
      <c r="EH566" s="19"/>
      <c r="EI566" s="19"/>
      <c r="EJ566" s="19"/>
      <c r="EK566" s="19"/>
      <c r="EL566" s="19"/>
      <c r="EM566" s="19"/>
      <c r="EN566" s="19"/>
      <c r="EO566" s="19"/>
      <c r="EP566" s="19"/>
      <c r="EQ566" s="19"/>
      <c r="ER566" s="19"/>
      <c r="ES566" s="19"/>
      <c r="ET566" s="19"/>
      <c r="EU566" s="19"/>
      <c r="EV566" s="19"/>
      <c r="EW566" s="19"/>
      <c r="EX566" s="19"/>
      <c r="EY566" s="19"/>
      <c r="EZ566" s="19"/>
      <c r="FA566" s="19"/>
      <c r="FB566" s="19"/>
      <c r="FC566" s="19"/>
      <c r="FD566" s="19"/>
      <c r="FE566" s="19"/>
      <c r="FF566" s="19"/>
      <c r="FG566" s="19"/>
      <c r="FH566" s="19"/>
      <c r="FI566" s="19"/>
      <c r="FJ566" s="19"/>
      <c r="FK566" s="19"/>
      <c r="FL566" s="19"/>
      <c r="FM566" s="19"/>
      <c r="FN566" s="19"/>
    </row>
    <row r="567">
      <c r="B567" s="93"/>
      <c r="C567" s="19"/>
      <c r="D567" s="90"/>
      <c r="E567" s="5"/>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19"/>
      <c r="BZ567" s="19"/>
      <c r="CA567" s="19"/>
      <c r="CB567" s="19"/>
      <c r="CC567" s="19"/>
      <c r="CD567" s="19"/>
      <c r="CE567" s="19"/>
      <c r="CF567" s="19"/>
      <c r="CG567" s="19"/>
      <c r="CH567" s="19"/>
      <c r="CI567" s="19"/>
      <c r="CJ567" s="19"/>
      <c r="CK567" s="19"/>
      <c r="CL567" s="19"/>
      <c r="CM567" s="19"/>
      <c r="CN567" s="19"/>
      <c r="CO567" s="19"/>
      <c r="CP567" s="19"/>
      <c r="CQ567" s="19"/>
      <c r="CR567" s="19"/>
      <c r="CS567" s="19"/>
      <c r="CT567" s="19"/>
      <c r="CU567" s="19"/>
      <c r="CV567" s="19"/>
      <c r="CW567" s="19"/>
      <c r="CX567" s="19"/>
      <c r="CY567" s="19"/>
      <c r="CZ567" s="19"/>
      <c r="DA567" s="19"/>
      <c r="DB567" s="19"/>
      <c r="DC567" s="19"/>
      <c r="DD567" s="19"/>
      <c r="DE567" s="19"/>
      <c r="DF567" s="19"/>
      <c r="DG567" s="19"/>
      <c r="DH567" s="19"/>
      <c r="DI567" s="19"/>
      <c r="DJ567" s="19"/>
      <c r="DK567" s="19"/>
      <c r="DL567" s="19"/>
      <c r="DM567" s="19"/>
      <c r="DN567" s="19"/>
      <c r="DO567" s="19"/>
      <c r="DP567" s="19"/>
      <c r="DQ567" s="19"/>
      <c r="DR567" s="19"/>
      <c r="DS567" s="19"/>
      <c r="DT567" s="19"/>
      <c r="DU567" s="19"/>
      <c r="DV567" s="19"/>
      <c r="DW567" s="19"/>
      <c r="DX567" s="19"/>
      <c r="DY567" s="19"/>
      <c r="DZ567" s="19"/>
      <c r="EA567" s="19"/>
      <c r="EB567" s="19"/>
      <c r="EC567" s="19"/>
      <c r="ED567" s="19"/>
      <c r="EE567" s="19"/>
      <c r="EF567" s="19"/>
      <c r="EG567" s="19"/>
      <c r="EH567" s="19"/>
      <c r="EI567" s="19"/>
      <c r="EJ567" s="19"/>
      <c r="EK567" s="19"/>
      <c r="EL567" s="19"/>
      <c r="EM567" s="19"/>
      <c r="EN567" s="19"/>
      <c r="EO567" s="19"/>
      <c r="EP567" s="19"/>
      <c r="EQ567" s="19"/>
      <c r="ER567" s="19"/>
      <c r="ES567" s="19"/>
      <c r="ET567" s="19"/>
      <c r="EU567" s="19"/>
      <c r="EV567" s="19"/>
      <c r="EW567" s="19"/>
      <c r="EX567" s="19"/>
      <c r="EY567" s="19"/>
      <c r="EZ567" s="19"/>
      <c r="FA567" s="19"/>
      <c r="FB567" s="19"/>
      <c r="FC567" s="19"/>
      <c r="FD567" s="19"/>
      <c r="FE567" s="19"/>
      <c r="FF567" s="19"/>
      <c r="FG567" s="19"/>
      <c r="FH567" s="19"/>
      <c r="FI567" s="19"/>
      <c r="FJ567" s="19"/>
      <c r="FK567" s="19"/>
      <c r="FL567" s="19"/>
      <c r="FM567" s="19"/>
      <c r="FN567" s="19"/>
    </row>
    <row r="568">
      <c r="B568" s="93"/>
      <c r="C568" s="19"/>
      <c r="D568" s="90"/>
      <c r="E568" s="5"/>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19"/>
      <c r="BZ568" s="19"/>
      <c r="CA568" s="19"/>
      <c r="CB568" s="19"/>
      <c r="CC568" s="19"/>
      <c r="CD568" s="19"/>
      <c r="CE568" s="19"/>
      <c r="CF568" s="19"/>
      <c r="CG568" s="19"/>
      <c r="CH568" s="19"/>
      <c r="CI568" s="19"/>
      <c r="CJ568" s="19"/>
      <c r="CK568" s="19"/>
      <c r="CL568" s="19"/>
      <c r="CM568" s="19"/>
      <c r="CN568" s="19"/>
      <c r="CO568" s="19"/>
      <c r="CP568" s="19"/>
      <c r="CQ568" s="19"/>
      <c r="CR568" s="19"/>
      <c r="CS568" s="19"/>
      <c r="CT568" s="19"/>
      <c r="CU568" s="19"/>
      <c r="CV568" s="19"/>
      <c r="CW568" s="19"/>
      <c r="CX568" s="19"/>
      <c r="CY568" s="19"/>
      <c r="CZ568" s="19"/>
      <c r="DA568" s="19"/>
      <c r="DB568" s="19"/>
      <c r="DC568" s="19"/>
      <c r="DD568" s="19"/>
      <c r="DE568" s="19"/>
      <c r="DF568" s="19"/>
      <c r="DG568" s="19"/>
      <c r="DH568" s="19"/>
      <c r="DI568" s="19"/>
      <c r="DJ568" s="19"/>
      <c r="DK568" s="19"/>
      <c r="DL568" s="19"/>
      <c r="DM568" s="19"/>
      <c r="DN568" s="19"/>
      <c r="DO568" s="19"/>
      <c r="DP568" s="19"/>
      <c r="DQ568" s="19"/>
      <c r="DR568" s="19"/>
      <c r="DS568" s="19"/>
      <c r="DT568" s="19"/>
      <c r="DU568" s="19"/>
      <c r="DV568" s="19"/>
      <c r="DW568" s="19"/>
      <c r="DX568" s="19"/>
      <c r="DY568" s="19"/>
      <c r="DZ568" s="19"/>
      <c r="EA568" s="19"/>
      <c r="EB568" s="19"/>
      <c r="EC568" s="19"/>
      <c r="ED568" s="19"/>
      <c r="EE568" s="19"/>
      <c r="EF568" s="19"/>
      <c r="EG568" s="19"/>
      <c r="EH568" s="19"/>
      <c r="EI568" s="19"/>
      <c r="EJ568" s="19"/>
      <c r="EK568" s="19"/>
      <c r="EL568" s="19"/>
      <c r="EM568" s="19"/>
      <c r="EN568" s="19"/>
      <c r="EO568" s="19"/>
      <c r="EP568" s="19"/>
      <c r="EQ568" s="19"/>
      <c r="ER568" s="19"/>
      <c r="ES568" s="19"/>
      <c r="ET568" s="19"/>
      <c r="EU568" s="19"/>
      <c r="EV568" s="19"/>
      <c r="EW568" s="19"/>
      <c r="EX568" s="19"/>
      <c r="EY568" s="19"/>
      <c r="EZ568" s="19"/>
      <c r="FA568" s="19"/>
      <c r="FB568" s="19"/>
      <c r="FC568" s="19"/>
      <c r="FD568" s="19"/>
      <c r="FE568" s="19"/>
      <c r="FF568" s="19"/>
      <c r="FG568" s="19"/>
      <c r="FH568" s="19"/>
      <c r="FI568" s="19"/>
      <c r="FJ568" s="19"/>
      <c r="FK568" s="19"/>
      <c r="FL568" s="19"/>
      <c r="FM568" s="19"/>
      <c r="FN568" s="19"/>
    </row>
    <row r="569">
      <c r="B569" s="93"/>
      <c r="C569" s="19"/>
      <c r="D569" s="90"/>
      <c r="E569" s="5"/>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19"/>
      <c r="BZ569" s="19"/>
      <c r="CA569" s="19"/>
      <c r="CB569" s="19"/>
      <c r="CC569" s="19"/>
      <c r="CD569" s="19"/>
      <c r="CE569" s="19"/>
      <c r="CF569" s="19"/>
      <c r="CG569" s="19"/>
      <c r="CH569" s="19"/>
      <c r="CI569" s="19"/>
      <c r="CJ569" s="19"/>
      <c r="CK569" s="19"/>
      <c r="CL569" s="19"/>
      <c r="CM569" s="19"/>
      <c r="CN569" s="19"/>
      <c r="CO569" s="19"/>
      <c r="CP569" s="19"/>
      <c r="CQ569" s="19"/>
      <c r="CR569" s="19"/>
      <c r="CS569" s="19"/>
      <c r="CT569" s="19"/>
      <c r="CU569" s="19"/>
      <c r="CV569" s="19"/>
      <c r="CW569" s="19"/>
      <c r="CX569" s="19"/>
      <c r="CY569" s="19"/>
      <c r="CZ569" s="19"/>
      <c r="DA569" s="19"/>
      <c r="DB569" s="19"/>
      <c r="DC569" s="19"/>
      <c r="DD569" s="19"/>
      <c r="DE569" s="19"/>
      <c r="DF569" s="19"/>
      <c r="DG569" s="19"/>
      <c r="DH569" s="19"/>
      <c r="DI569" s="19"/>
      <c r="DJ569" s="19"/>
      <c r="DK569" s="19"/>
      <c r="DL569" s="19"/>
      <c r="DM569" s="19"/>
      <c r="DN569" s="19"/>
      <c r="DO569" s="19"/>
      <c r="DP569" s="19"/>
      <c r="DQ569" s="19"/>
      <c r="DR569" s="19"/>
      <c r="DS569" s="19"/>
      <c r="DT569" s="19"/>
      <c r="DU569" s="19"/>
      <c r="DV569" s="19"/>
      <c r="DW569" s="19"/>
      <c r="DX569" s="19"/>
      <c r="DY569" s="19"/>
      <c r="DZ569" s="19"/>
      <c r="EA569" s="19"/>
      <c r="EB569" s="19"/>
      <c r="EC569" s="19"/>
      <c r="ED569" s="19"/>
      <c r="EE569" s="19"/>
      <c r="EF569" s="19"/>
      <c r="EG569" s="19"/>
      <c r="EH569" s="19"/>
      <c r="EI569" s="19"/>
      <c r="EJ569" s="19"/>
      <c r="EK569" s="19"/>
      <c r="EL569" s="19"/>
      <c r="EM569" s="19"/>
      <c r="EN569" s="19"/>
      <c r="EO569" s="19"/>
      <c r="EP569" s="19"/>
      <c r="EQ569" s="19"/>
      <c r="ER569" s="19"/>
      <c r="ES569" s="19"/>
      <c r="ET569" s="19"/>
      <c r="EU569" s="19"/>
      <c r="EV569" s="19"/>
      <c r="EW569" s="19"/>
      <c r="EX569" s="19"/>
      <c r="EY569" s="19"/>
      <c r="EZ569" s="19"/>
      <c r="FA569" s="19"/>
      <c r="FB569" s="19"/>
      <c r="FC569" s="19"/>
      <c r="FD569" s="19"/>
      <c r="FE569" s="19"/>
      <c r="FF569" s="19"/>
      <c r="FG569" s="19"/>
      <c r="FH569" s="19"/>
      <c r="FI569" s="19"/>
      <c r="FJ569" s="19"/>
      <c r="FK569" s="19"/>
      <c r="FL569" s="19"/>
      <c r="FM569" s="19"/>
      <c r="FN569" s="19"/>
    </row>
    <row r="570">
      <c r="B570" s="93"/>
      <c r="C570" s="19"/>
      <c r="D570" s="90"/>
      <c r="E570" s="5"/>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19"/>
      <c r="BZ570" s="19"/>
      <c r="CA570" s="19"/>
      <c r="CB570" s="19"/>
      <c r="CC570" s="19"/>
      <c r="CD570" s="19"/>
      <c r="CE570" s="19"/>
      <c r="CF570" s="19"/>
      <c r="CG570" s="19"/>
      <c r="CH570" s="19"/>
      <c r="CI570" s="19"/>
      <c r="CJ570" s="19"/>
      <c r="CK570" s="19"/>
      <c r="CL570" s="19"/>
      <c r="CM570" s="19"/>
      <c r="CN570" s="19"/>
      <c r="CO570" s="19"/>
      <c r="CP570" s="19"/>
      <c r="CQ570" s="19"/>
      <c r="CR570" s="19"/>
      <c r="CS570" s="19"/>
      <c r="CT570" s="19"/>
      <c r="CU570" s="19"/>
      <c r="CV570" s="19"/>
      <c r="CW570" s="19"/>
      <c r="CX570" s="19"/>
      <c r="CY570" s="19"/>
      <c r="CZ570" s="19"/>
      <c r="DA570" s="19"/>
      <c r="DB570" s="19"/>
      <c r="DC570" s="19"/>
      <c r="DD570" s="19"/>
      <c r="DE570" s="19"/>
      <c r="DF570" s="19"/>
      <c r="DG570" s="19"/>
      <c r="DH570" s="19"/>
      <c r="DI570" s="19"/>
      <c r="DJ570" s="19"/>
      <c r="DK570" s="19"/>
      <c r="DL570" s="19"/>
      <c r="DM570" s="19"/>
      <c r="DN570" s="19"/>
      <c r="DO570" s="19"/>
      <c r="DP570" s="19"/>
      <c r="DQ570" s="19"/>
      <c r="DR570" s="19"/>
      <c r="DS570" s="19"/>
      <c r="DT570" s="19"/>
      <c r="DU570" s="19"/>
      <c r="DV570" s="19"/>
      <c r="DW570" s="19"/>
      <c r="DX570" s="19"/>
      <c r="DY570" s="19"/>
      <c r="DZ570" s="19"/>
      <c r="EA570" s="19"/>
      <c r="EB570" s="19"/>
      <c r="EC570" s="19"/>
      <c r="ED570" s="19"/>
      <c r="EE570" s="19"/>
      <c r="EF570" s="19"/>
      <c r="EG570" s="19"/>
      <c r="EH570" s="19"/>
      <c r="EI570" s="19"/>
      <c r="EJ570" s="19"/>
      <c r="EK570" s="19"/>
      <c r="EL570" s="19"/>
      <c r="EM570" s="19"/>
      <c r="EN570" s="19"/>
      <c r="EO570" s="19"/>
      <c r="EP570" s="19"/>
      <c r="EQ570" s="19"/>
      <c r="ER570" s="19"/>
      <c r="ES570" s="19"/>
      <c r="ET570" s="19"/>
      <c r="EU570" s="19"/>
      <c r="EV570" s="19"/>
      <c r="EW570" s="19"/>
      <c r="EX570" s="19"/>
      <c r="EY570" s="19"/>
      <c r="EZ570" s="19"/>
      <c r="FA570" s="19"/>
      <c r="FB570" s="19"/>
      <c r="FC570" s="19"/>
      <c r="FD570" s="19"/>
      <c r="FE570" s="19"/>
      <c r="FF570" s="19"/>
      <c r="FG570" s="19"/>
      <c r="FH570" s="19"/>
      <c r="FI570" s="19"/>
      <c r="FJ570" s="19"/>
      <c r="FK570" s="19"/>
      <c r="FL570" s="19"/>
      <c r="FM570" s="19"/>
      <c r="FN570" s="19"/>
    </row>
    <row r="571">
      <c r="B571" s="93"/>
      <c r="C571" s="19"/>
      <c r="D571" s="90"/>
      <c r="E571" s="5"/>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19"/>
      <c r="CA571" s="19"/>
      <c r="CB571" s="19"/>
      <c r="CC571" s="19"/>
      <c r="CD571" s="19"/>
      <c r="CE571" s="19"/>
      <c r="CF571" s="19"/>
      <c r="CG571" s="19"/>
      <c r="CH571" s="19"/>
      <c r="CI571" s="19"/>
      <c r="CJ571" s="19"/>
      <c r="CK571" s="19"/>
      <c r="CL571" s="19"/>
      <c r="CM571" s="19"/>
      <c r="CN571" s="19"/>
      <c r="CO571" s="19"/>
      <c r="CP571" s="19"/>
      <c r="CQ571" s="19"/>
      <c r="CR571" s="19"/>
      <c r="CS571" s="19"/>
      <c r="CT571" s="19"/>
      <c r="CU571" s="19"/>
      <c r="CV571" s="19"/>
      <c r="CW571" s="19"/>
      <c r="CX571" s="19"/>
      <c r="CY571" s="19"/>
      <c r="CZ571" s="19"/>
      <c r="DA571" s="19"/>
      <c r="DB571" s="19"/>
      <c r="DC571" s="19"/>
      <c r="DD571" s="19"/>
      <c r="DE571" s="19"/>
      <c r="DF571" s="19"/>
      <c r="DG571" s="19"/>
      <c r="DH571" s="19"/>
      <c r="DI571" s="19"/>
      <c r="DJ571" s="19"/>
      <c r="DK571" s="19"/>
      <c r="DL571" s="19"/>
      <c r="DM571" s="19"/>
      <c r="DN571" s="19"/>
      <c r="DO571" s="19"/>
      <c r="DP571" s="19"/>
      <c r="DQ571" s="19"/>
      <c r="DR571" s="19"/>
      <c r="DS571" s="19"/>
      <c r="DT571" s="19"/>
      <c r="DU571" s="19"/>
      <c r="DV571" s="19"/>
      <c r="DW571" s="19"/>
      <c r="DX571" s="19"/>
      <c r="DY571" s="19"/>
      <c r="DZ571" s="19"/>
      <c r="EA571" s="19"/>
      <c r="EB571" s="19"/>
      <c r="EC571" s="19"/>
      <c r="ED571" s="19"/>
      <c r="EE571" s="19"/>
      <c r="EF571" s="19"/>
      <c r="EG571" s="19"/>
      <c r="EH571" s="19"/>
      <c r="EI571" s="19"/>
      <c r="EJ571" s="19"/>
      <c r="EK571" s="19"/>
      <c r="EL571" s="19"/>
      <c r="EM571" s="19"/>
      <c r="EN571" s="19"/>
      <c r="EO571" s="19"/>
      <c r="EP571" s="19"/>
      <c r="EQ571" s="19"/>
      <c r="ER571" s="19"/>
      <c r="ES571" s="19"/>
      <c r="ET571" s="19"/>
      <c r="EU571" s="19"/>
      <c r="EV571" s="19"/>
      <c r="EW571" s="19"/>
      <c r="EX571" s="19"/>
      <c r="EY571" s="19"/>
      <c r="EZ571" s="19"/>
      <c r="FA571" s="19"/>
      <c r="FB571" s="19"/>
      <c r="FC571" s="19"/>
      <c r="FD571" s="19"/>
      <c r="FE571" s="19"/>
      <c r="FF571" s="19"/>
      <c r="FG571" s="19"/>
      <c r="FH571" s="19"/>
      <c r="FI571" s="19"/>
      <c r="FJ571" s="19"/>
      <c r="FK571" s="19"/>
      <c r="FL571" s="19"/>
      <c r="FM571" s="19"/>
      <c r="FN571" s="19"/>
    </row>
    <row r="572">
      <c r="B572" s="93"/>
      <c r="C572" s="19"/>
      <c r="D572" s="90"/>
      <c r="E572" s="5"/>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19"/>
      <c r="BZ572" s="19"/>
      <c r="CA572" s="19"/>
      <c r="CB572" s="19"/>
      <c r="CC572" s="19"/>
      <c r="CD572" s="19"/>
      <c r="CE572" s="19"/>
      <c r="CF572" s="19"/>
      <c r="CG572" s="19"/>
      <c r="CH572" s="19"/>
      <c r="CI572" s="19"/>
      <c r="CJ572" s="19"/>
      <c r="CK572" s="19"/>
      <c r="CL572" s="19"/>
      <c r="CM572" s="19"/>
      <c r="CN572" s="19"/>
      <c r="CO572" s="19"/>
      <c r="CP572" s="19"/>
      <c r="CQ572" s="19"/>
      <c r="CR572" s="19"/>
      <c r="CS572" s="19"/>
      <c r="CT572" s="19"/>
      <c r="CU572" s="19"/>
      <c r="CV572" s="19"/>
      <c r="CW572" s="19"/>
      <c r="CX572" s="19"/>
      <c r="CY572" s="19"/>
      <c r="CZ572" s="19"/>
      <c r="DA572" s="19"/>
      <c r="DB572" s="19"/>
      <c r="DC572" s="19"/>
      <c r="DD572" s="19"/>
      <c r="DE572" s="19"/>
      <c r="DF572" s="19"/>
      <c r="DG572" s="19"/>
      <c r="DH572" s="19"/>
      <c r="DI572" s="19"/>
      <c r="DJ572" s="19"/>
      <c r="DK572" s="19"/>
      <c r="DL572" s="19"/>
      <c r="DM572" s="19"/>
      <c r="DN572" s="19"/>
      <c r="DO572" s="19"/>
      <c r="DP572" s="19"/>
      <c r="DQ572" s="19"/>
      <c r="DR572" s="19"/>
      <c r="DS572" s="19"/>
      <c r="DT572" s="19"/>
      <c r="DU572" s="19"/>
      <c r="DV572" s="19"/>
      <c r="DW572" s="19"/>
      <c r="DX572" s="19"/>
      <c r="DY572" s="19"/>
      <c r="DZ572" s="19"/>
      <c r="EA572" s="19"/>
      <c r="EB572" s="19"/>
      <c r="EC572" s="19"/>
      <c r="ED572" s="19"/>
      <c r="EE572" s="19"/>
      <c r="EF572" s="19"/>
      <c r="EG572" s="19"/>
      <c r="EH572" s="19"/>
      <c r="EI572" s="19"/>
      <c r="EJ572" s="19"/>
      <c r="EK572" s="19"/>
      <c r="EL572" s="19"/>
      <c r="EM572" s="19"/>
      <c r="EN572" s="19"/>
      <c r="EO572" s="19"/>
      <c r="EP572" s="19"/>
      <c r="EQ572" s="19"/>
      <c r="ER572" s="19"/>
      <c r="ES572" s="19"/>
      <c r="ET572" s="19"/>
      <c r="EU572" s="19"/>
      <c r="EV572" s="19"/>
      <c r="EW572" s="19"/>
      <c r="EX572" s="19"/>
      <c r="EY572" s="19"/>
      <c r="EZ572" s="19"/>
      <c r="FA572" s="19"/>
      <c r="FB572" s="19"/>
      <c r="FC572" s="19"/>
      <c r="FD572" s="19"/>
      <c r="FE572" s="19"/>
      <c r="FF572" s="19"/>
      <c r="FG572" s="19"/>
      <c r="FH572" s="19"/>
      <c r="FI572" s="19"/>
      <c r="FJ572" s="19"/>
      <c r="FK572" s="19"/>
      <c r="FL572" s="19"/>
      <c r="FM572" s="19"/>
      <c r="FN572" s="19"/>
    </row>
    <row r="573">
      <c r="B573" s="93"/>
      <c r="C573" s="19"/>
      <c r="D573" s="90"/>
      <c r="E573" s="5"/>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19"/>
      <c r="CA573" s="19"/>
      <c r="CB573" s="19"/>
      <c r="CC573" s="19"/>
      <c r="CD573" s="19"/>
      <c r="CE573" s="19"/>
      <c r="CF573" s="19"/>
      <c r="CG573" s="19"/>
      <c r="CH573" s="19"/>
      <c r="CI573" s="19"/>
      <c r="CJ573" s="19"/>
      <c r="CK573" s="19"/>
      <c r="CL573" s="19"/>
      <c r="CM573" s="19"/>
      <c r="CN573" s="19"/>
      <c r="CO573" s="19"/>
      <c r="CP573" s="19"/>
      <c r="CQ573" s="19"/>
      <c r="CR573" s="19"/>
      <c r="CS573" s="19"/>
      <c r="CT573" s="19"/>
      <c r="CU573" s="19"/>
      <c r="CV573" s="19"/>
      <c r="CW573" s="19"/>
      <c r="CX573" s="19"/>
      <c r="CY573" s="19"/>
      <c r="CZ573" s="19"/>
      <c r="DA573" s="19"/>
      <c r="DB573" s="19"/>
      <c r="DC573" s="19"/>
      <c r="DD573" s="19"/>
      <c r="DE573" s="19"/>
      <c r="DF573" s="19"/>
      <c r="DG573" s="19"/>
      <c r="DH573" s="19"/>
      <c r="DI573" s="19"/>
      <c r="DJ573" s="19"/>
      <c r="DK573" s="19"/>
      <c r="DL573" s="19"/>
      <c r="DM573" s="19"/>
      <c r="DN573" s="19"/>
      <c r="DO573" s="19"/>
      <c r="DP573" s="19"/>
      <c r="DQ573" s="19"/>
      <c r="DR573" s="19"/>
      <c r="DS573" s="19"/>
      <c r="DT573" s="19"/>
      <c r="DU573" s="19"/>
      <c r="DV573" s="19"/>
      <c r="DW573" s="19"/>
      <c r="DX573" s="19"/>
      <c r="DY573" s="19"/>
      <c r="DZ573" s="19"/>
      <c r="EA573" s="19"/>
      <c r="EB573" s="19"/>
      <c r="EC573" s="19"/>
      <c r="ED573" s="19"/>
      <c r="EE573" s="19"/>
      <c r="EF573" s="19"/>
      <c r="EG573" s="19"/>
      <c r="EH573" s="19"/>
      <c r="EI573" s="19"/>
      <c r="EJ573" s="19"/>
      <c r="EK573" s="19"/>
      <c r="EL573" s="19"/>
      <c r="EM573" s="19"/>
      <c r="EN573" s="19"/>
      <c r="EO573" s="19"/>
      <c r="EP573" s="19"/>
      <c r="EQ573" s="19"/>
      <c r="ER573" s="19"/>
      <c r="ES573" s="19"/>
      <c r="ET573" s="19"/>
      <c r="EU573" s="19"/>
      <c r="EV573" s="19"/>
      <c r="EW573" s="19"/>
      <c r="EX573" s="19"/>
      <c r="EY573" s="19"/>
      <c r="EZ573" s="19"/>
      <c r="FA573" s="19"/>
      <c r="FB573" s="19"/>
      <c r="FC573" s="19"/>
      <c r="FD573" s="19"/>
      <c r="FE573" s="19"/>
      <c r="FF573" s="19"/>
      <c r="FG573" s="19"/>
      <c r="FH573" s="19"/>
      <c r="FI573" s="19"/>
      <c r="FJ573" s="19"/>
      <c r="FK573" s="19"/>
      <c r="FL573" s="19"/>
      <c r="FM573" s="19"/>
      <c r="FN573" s="19"/>
    </row>
    <row r="574">
      <c r="B574" s="93"/>
      <c r="C574" s="19"/>
      <c r="D574" s="90"/>
      <c r="E574" s="5"/>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19"/>
      <c r="CC574" s="19"/>
      <c r="CD574" s="19"/>
      <c r="CE574" s="19"/>
      <c r="CF574" s="19"/>
      <c r="CG574" s="19"/>
      <c r="CH574" s="19"/>
      <c r="CI574" s="19"/>
      <c r="CJ574" s="19"/>
      <c r="CK574" s="19"/>
      <c r="CL574" s="19"/>
      <c r="CM574" s="19"/>
      <c r="CN574" s="19"/>
      <c r="CO574" s="19"/>
      <c r="CP574" s="19"/>
      <c r="CQ574" s="19"/>
      <c r="CR574" s="19"/>
      <c r="CS574" s="19"/>
      <c r="CT574" s="19"/>
      <c r="CU574" s="19"/>
      <c r="CV574" s="19"/>
      <c r="CW574" s="19"/>
      <c r="CX574" s="19"/>
      <c r="CY574" s="19"/>
      <c r="CZ574" s="19"/>
      <c r="DA574" s="19"/>
      <c r="DB574" s="19"/>
      <c r="DC574" s="19"/>
      <c r="DD574" s="19"/>
      <c r="DE574" s="19"/>
      <c r="DF574" s="19"/>
      <c r="DG574" s="19"/>
      <c r="DH574" s="19"/>
      <c r="DI574" s="19"/>
      <c r="DJ574" s="19"/>
      <c r="DK574" s="19"/>
      <c r="DL574" s="19"/>
      <c r="DM574" s="19"/>
      <c r="DN574" s="19"/>
      <c r="DO574" s="19"/>
      <c r="DP574" s="19"/>
      <c r="DQ574" s="19"/>
      <c r="DR574" s="19"/>
      <c r="DS574" s="19"/>
      <c r="DT574" s="19"/>
      <c r="DU574" s="19"/>
      <c r="DV574" s="19"/>
      <c r="DW574" s="19"/>
      <c r="DX574" s="19"/>
      <c r="DY574" s="19"/>
      <c r="DZ574" s="19"/>
      <c r="EA574" s="19"/>
      <c r="EB574" s="19"/>
      <c r="EC574" s="19"/>
      <c r="ED574" s="19"/>
      <c r="EE574" s="19"/>
      <c r="EF574" s="19"/>
      <c r="EG574" s="19"/>
      <c r="EH574" s="19"/>
      <c r="EI574" s="19"/>
      <c r="EJ574" s="19"/>
      <c r="EK574" s="19"/>
      <c r="EL574" s="19"/>
      <c r="EM574" s="19"/>
      <c r="EN574" s="19"/>
      <c r="EO574" s="19"/>
      <c r="EP574" s="19"/>
      <c r="EQ574" s="19"/>
      <c r="ER574" s="19"/>
      <c r="ES574" s="19"/>
      <c r="ET574" s="19"/>
      <c r="EU574" s="19"/>
      <c r="EV574" s="19"/>
      <c r="EW574" s="19"/>
      <c r="EX574" s="19"/>
      <c r="EY574" s="19"/>
      <c r="EZ574" s="19"/>
      <c r="FA574" s="19"/>
      <c r="FB574" s="19"/>
      <c r="FC574" s="19"/>
      <c r="FD574" s="19"/>
      <c r="FE574" s="19"/>
      <c r="FF574" s="19"/>
      <c r="FG574" s="19"/>
      <c r="FH574" s="19"/>
      <c r="FI574" s="19"/>
      <c r="FJ574" s="19"/>
      <c r="FK574" s="19"/>
      <c r="FL574" s="19"/>
      <c r="FM574" s="19"/>
      <c r="FN574" s="19"/>
    </row>
    <row r="575">
      <c r="B575" s="93"/>
      <c r="C575" s="19"/>
      <c r="D575" s="90"/>
      <c r="E575" s="5"/>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19"/>
      <c r="BZ575" s="19"/>
      <c r="CA575" s="19"/>
      <c r="CB575" s="19"/>
      <c r="CC575" s="19"/>
      <c r="CD575" s="19"/>
      <c r="CE575" s="19"/>
      <c r="CF575" s="19"/>
      <c r="CG575" s="19"/>
      <c r="CH575" s="19"/>
      <c r="CI575" s="19"/>
      <c r="CJ575" s="19"/>
      <c r="CK575" s="19"/>
      <c r="CL575" s="19"/>
      <c r="CM575" s="19"/>
      <c r="CN575" s="19"/>
      <c r="CO575" s="19"/>
      <c r="CP575" s="19"/>
      <c r="CQ575" s="19"/>
      <c r="CR575" s="19"/>
      <c r="CS575" s="19"/>
      <c r="CT575" s="19"/>
      <c r="CU575" s="19"/>
      <c r="CV575" s="19"/>
      <c r="CW575" s="19"/>
      <c r="CX575" s="19"/>
      <c r="CY575" s="19"/>
      <c r="CZ575" s="19"/>
      <c r="DA575" s="19"/>
      <c r="DB575" s="19"/>
      <c r="DC575" s="19"/>
      <c r="DD575" s="19"/>
      <c r="DE575" s="19"/>
      <c r="DF575" s="19"/>
      <c r="DG575" s="19"/>
      <c r="DH575" s="19"/>
      <c r="DI575" s="19"/>
      <c r="DJ575" s="19"/>
      <c r="DK575" s="19"/>
      <c r="DL575" s="19"/>
      <c r="DM575" s="19"/>
      <c r="DN575" s="19"/>
      <c r="DO575" s="19"/>
      <c r="DP575" s="19"/>
      <c r="DQ575" s="19"/>
      <c r="DR575" s="19"/>
      <c r="DS575" s="19"/>
      <c r="DT575" s="19"/>
      <c r="DU575" s="19"/>
      <c r="DV575" s="19"/>
      <c r="DW575" s="19"/>
      <c r="DX575" s="19"/>
      <c r="DY575" s="19"/>
      <c r="DZ575" s="19"/>
      <c r="EA575" s="19"/>
      <c r="EB575" s="19"/>
      <c r="EC575" s="19"/>
      <c r="ED575" s="19"/>
      <c r="EE575" s="19"/>
      <c r="EF575" s="19"/>
      <c r="EG575" s="19"/>
      <c r="EH575" s="19"/>
      <c r="EI575" s="19"/>
      <c r="EJ575" s="19"/>
      <c r="EK575" s="19"/>
      <c r="EL575" s="19"/>
      <c r="EM575" s="19"/>
      <c r="EN575" s="19"/>
      <c r="EO575" s="19"/>
      <c r="EP575" s="19"/>
      <c r="EQ575" s="19"/>
      <c r="ER575" s="19"/>
      <c r="ES575" s="19"/>
      <c r="ET575" s="19"/>
      <c r="EU575" s="19"/>
      <c r="EV575" s="19"/>
      <c r="EW575" s="19"/>
      <c r="EX575" s="19"/>
      <c r="EY575" s="19"/>
      <c r="EZ575" s="19"/>
      <c r="FA575" s="19"/>
      <c r="FB575" s="19"/>
      <c r="FC575" s="19"/>
      <c r="FD575" s="19"/>
      <c r="FE575" s="19"/>
      <c r="FF575" s="19"/>
      <c r="FG575" s="19"/>
      <c r="FH575" s="19"/>
      <c r="FI575" s="19"/>
      <c r="FJ575" s="19"/>
      <c r="FK575" s="19"/>
      <c r="FL575" s="19"/>
      <c r="FM575" s="19"/>
      <c r="FN575" s="19"/>
    </row>
    <row r="576">
      <c r="B576" s="93"/>
      <c r="C576" s="19"/>
      <c r="D576" s="90"/>
      <c r="E576" s="5"/>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19"/>
      <c r="BZ576" s="19"/>
      <c r="CA576" s="19"/>
      <c r="CB576" s="19"/>
      <c r="CC576" s="19"/>
      <c r="CD576" s="19"/>
      <c r="CE576" s="19"/>
      <c r="CF576" s="19"/>
      <c r="CG576" s="19"/>
      <c r="CH576" s="19"/>
      <c r="CI576" s="19"/>
      <c r="CJ576" s="19"/>
      <c r="CK576" s="19"/>
      <c r="CL576" s="19"/>
      <c r="CM576" s="19"/>
      <c r="CN576" s="19"/>
      <c r="CO576" s="19"/>
      <c r="CP576" s="19"/>
      <c r="CQ576" s="19"/>
      <c r="CR576" s="19"/>
      <c r="CS576" s="19"/>
      <c r="CT576" s="19"/>
      <c r="CU576" s="19"/>
      <c r="CV576" s="19"/>
      <c r="CW576" s="19"/>
      <c r="CX576" s="19"/>
      <c r="CY576" s="19"/>
      <c r="CZ576" s="19"/>
      <c r="DA576" s="19"/>
      <c r="DB576" s="19"/>
      <c r="DC576" s="19"/>
      <c r="DD576" s="19"/>
      <c r="DE576" s="19"/>
      <c r="DF576" s="19"/>
      <c r="DG576" s="19"/>
      <c r="DH576" s="19"/>
      <c r="DI576" s="19"/>
      <c r="DJ576" s="19"/>
      <c r="DK576" s="19"/>
      <c r="DL576" s="19"/>
      <c r="DM576" s="19"/>
      <c r="DN576" s="19"/>
      <c r="DO576" s="19"/>
      <c r="DP576" s="19"/>
      <c r="DQ576" s="19"/>
      <c r="DR576" s="19"/>
      <c r="DS576" s="19"/>
      <c r="DT576" s="19"/>
      <c r="DU576" s="19"/>
      <c r="DV576" s="19"/>
      <c r="DW576" s="19"/>
      <c r="DX576" s="19"/>
      <c r="DY576" s="19"/>
      <c r="DZ576" s="19"/>
      <c r="EA576" s="19"/>
      <c r="EB576" s="19"/>
      <c r="EC576" s="19"/>
      <c r="ED576" s="19"/>
      <c r="EE576" s="19"/>
      <c r="EF576" s="19"/>
      <c r="EG576" s="19"/>
      <c r="EH576" s="19"/>
      <c r="EI576" s="19"/>
      <c r="EJ576" s="19"/>
      <c r="EK576" s="19"/>
      <c r="EL576" s="19"/>
      <c r="EM576" s="19"/>
      <c r="EN576" s="19"/>
      <c r="EO576" s="19"/>
      <c r="EP576" s="19"/>
      <c r="EQ576" s="19"/>
      <c r="ER576" s="19"/>
      <c r="ES576" s="19"/>
      <c r="ET576" s="19"/>
      <c r="EU576" s="19"/>
      <c r="EV576" s="19"/>
      <c r="EW576" s="19"/>
      <c r="EX576" s="19"/>
      <c r="EY576" s="19"/>
      <c r="EZ576" s="19"/>
      <c r="FA576" s="19"/>
      <c r="FB576" s="19"/>
      <c r="FC576" s="19"/>
      <c r="FD576" s="19"/>
      <c r="FE576" s="19"/>
      <c r="FF576" s="19"/>
      <c r="FG576" s="19"/>
      <c r="FH576" s="19"/>
      <c r="FI576" s="19"/>
      <c r="FJ576" s="19"/>
      <c r="FK576" s="19"/>
      <c r="FL576" s="19"/>
      <c r="FM576" s="19"/>
      <c r="FN576" s="19"/>
    </row>
    <row r="577">
      <c r="B577" s="93"/>
      <c r="C577" s="19"/>
      <c r="D577" s="90"/>
      <c r="E577" s="5"/>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19"/>
      <c r="BZ577" s="19"/>
      <c r="CA577" s="19"/>
      <c r="CB577" s="19"/>
      <c r="CC577" s="19"/>
      <c r="CD577" s="19"/>
      <c r="CE577" s="19"/>
      <c r="CF577" s="19"/>
      <c r="CG577" s="19"/>
      <c r="CH577" s="19"/>
      <c r="CI577" s="19"/>
      <c r="CJ577" s="19"/>
      <c r="CK577" s="19"/>
      <c r="CL577" s="19"/>
      <c r="CM577" s="19"/>
      <c r="CN577" s="19"/>
      <c r="CO577" s="19"/>
      <c r="CP577" s="19"/>
      <c r="CQ577" s="19"/>
      <c r="CR577" s="19"/>
      <c r="CS577" s="19"/>
      <c r="CT577" s="19"/>
      <c r="CU577" s="19"/>
      <c r="CV577" s="19"/>
      <c r="CW577" s="19"/>
      <c r="CX577" s="19"/>
      <c r="CY577" s="19"/>
      <c r="CZ577" s="19"/>
      <c r="DA577" s="19"/>
      <c r="DB577" s="19"/>
      <c r="DC577" s="19"/>
      <c r="DD577" s="19"/>
      <c r="DE577" s="19"/>
      <c r="DF577" s="19"/>
      <c r="DG577" s="19"/>
      <c r="DH577" s="19"/>
      <c r="DI577" s="19"/>
      <c r="DJ577" s="19"/>
      <c r="DK577" s="19"/>
      <c r="DL577" s="19"/>
      <c r="DM577" s="19"/>
      <c r="DN577" s="19"/>
      <c r="DO577" s="19"/>
      <c r="DP577" s="19"/>
      <c r="DQ577" s="19"/>
      <c r="DR577" s="19"/>
      <c r="DS577" s="19"/>
      <c r="DT577" s="19"/>
      <c r="DU577" s="19"/>
      <c r="DV577" s="19"/>
      <c r="DW577" s="19"/>
      <c r="DX577" s="19"/>
      <c r="DY577" s="19"/>
      <c r="DZ577" s="19"/>
      <c r="EA577" s="19"/>
      <c r="EB577" s="19"/>
      <c r="EC577" s="19"/>
      <c r="ED577" s="19"/>
      <c r="EE577" s="19"/>
      <c r="EF577" s="19"/>
      <c r="EG577" s="19"/>
      <c r="EH577" s="19"/>
      <c r="EI577" s="19"/>
      <c r="EJ577" s="19"/>
      <c r="EK577" s="19"/>
      <c r="EL577" s="19"/>
      <c r="EM577" s="19"/>
      <c r="EN577" s="19"/>
      <c r="EO577" s="19"/>
      <c r="EP577" s="19"/>
      <c r="EQ577" s="19"/>
      <c r="ER577" s="19"/>
      <c r="ES577" s="19"/>
      <c r="ET577" s="19"/>
      <c r="EU577" s="19"/>
      <c r="EV577" s="19"/>
      <c r="EW577" s="19"/>
      <c r="EX577" s="19"/>
      <c r="EY577" s="19"/>
      <c r="EZ577" s="19"/>
      <c r="FA577" s="19"/>
      <c r="FB577" s="19"/>
      <c r="FC577" s="19"/>
      <c r="FD577" s="19"/>
      <c r="FE577" s="19"/>
      <c r="FF577" s="19"/>
      <c r="FG577" s="19"/>
      <c r="FH577" s="19"/>
      <c r="FI577" s="19"/>
      <c r="FJ577" s="19"/>
      <c r="FK577" s="19"/>
      <c r="FL577" s="19"/>
      <c r="FM577" s="19"/>
      <c r="FN577" s="19"/>
    </row>
    <row r="578">
      <c r="B578" s="93"/>
      <c r="C578" s="19"/>
      <c r="D578" s="90"/>
      <c r="E578" s="5"/>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19"/>
      <c r="BZ578" s="19"/>
      <c r="CA578" s="19"/>
      <c r="CB578" s="19"/>
      <c r="CC578" s="19"/>
      <c r="CD578" s="19"/>
      <c r="CE578" s="19"/>
      <c r="CF578" s="19"/>
      <c r="CG578" s="19"/>
      <c r="CH578" s="19"/>
      <c r="CI578" s="19"/>
      <c r="CJ578" s="19"/>
      <c r="CK578" s="19"/>
      <c r="CL578" s="19"/>
      <c r="CM578" s="19"/>
      <c r="CN578" s="19"/>
      <c r="CO578" s="19"/>
      <c r="CP578" s="19"/>
      <c r="CQ578" s="19"/>
      <c r="CR578" s="19"/>
      <c r="CS578" s="19"/>
      <c r="CT578" s="19"/>
      <c r="CU578" s="19"/>
      <c r="CV578" s="19"/>
      <c r="CW578" s="19"/>
      <c r="CX578" s="19"/>
      <c r="CY578" s="19"/>
      <c r="CZ578" s="19"/>
      <c r="DA578" s="19"/>
      <c r="DB578" s="19"/>
      <c r="DC578" s="19"/>
      <c r="DD578" s="19"/>
      <c r="DE578" s="19"/>
      <c r="DF578" s="19"/>
      <c r="DG578" s="19"/>
      <c r="DH578" s="19"/>
      <c r="DI578" s="19"/>
      <c r="DJ578" s="19"/>
      <c r="DK578" s="19"/>
      <c r="DL578" s="19"/>
      <c r="DM578" s="19"/>
      <c r="DN578" s="19"/>
      <c r="DO578" s="19"/>
      <c r="DP578" s="19"/>
      <c r="DQ578" s="19"/>
      <c r="DR578" s="19"/>
      <c r="DS578" s="19"/>
      <c r="DT578" s="19"/>
      <c r="DU578" s="19"/>
      <c r="DV578" s="19"/>
      <c r="DW578" s="19"/>
      <c r="DX578" s="19"/>
      <c r="DY578" s="19"/>
      <c r="DZ578" s="19"/>
      <c r="EA578" s="19"/>
      <c r="EB578" s="19"/>
      <c r="EC578" s="19"/>
      <c r="ED578" s="19"/>
      <c r="EE578" s="19"/>
      <c r="EF578" s="19"/>
      <c r="EG578" s="19"/>
      <c r="EH578" s="19"/>
      <c r="EI578" s="19"/>
      <c r="EJ578" s="19"/>
      <c r="EK578" s="19"/>
      <c r="EL578" s="19"/>
      <c r="EM578" s="19"/>
      <c r="EN578" s="19"/>
      <c r="EO578" s="19"/>
      <c r="EP578" s="19"/>
      <c r="EQ578" s="19"/>
      <c r="ER578" s="19"/>
      <c r="ES578" s="19"/>
      <c r="ET578" s="19"/>
      <c r="EU578" s="19"/>
      <c r="EV578" s="19"/>
      <c r="EW578" s="19"/>
      <c r="EX578" s="19"/>
      <c r="EY578" s="19"/>
      <c r="EZ578" s="19"/>
      <c r="FA578" s="19"/>
      <c r="FB578" s="19"/>
      <c r="FC578" s="19"/>
      <c r="FD578" s="19"/>
      <c r="FE578" s="19"/>
      <c r="FF578" s="19"/>
      <c r="FG578" s="19"/>
      <c r="FH578" s="19"/>
      <c r="FI578" s="19"/>
      <c r="FJ578" s="19"/>
      <c r="FK578" s="19"/>
      <c r="FL578" s="19"/>
      <c r="FM578" s="19"/>
      <c r="FN578" s="19"/>
    </row>
    <row r="579">
      <c r="B579" s="93"/>
      <c r="C579" s="19"/>
      <c r="D579" s="90"/>
      <c r="E579" s="5"/>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row>
    <row r="580">
      <c r="B580" s="93"/>
      <c r="C580" s="19"/>
      <c r="D580" s="90"/>
      <c r="E580" s="5"/>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row>
    <row r="581">
      <c r="B581" s="93"/>
      <c r="C581" s="19"/>
      <c r="D581" s="90"/>
      <c r="E581" s="5"/>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row>
    <row r="582">
      <c r="B582" s="93"/>
      <c r="C582" s="19"/>
      <c r="D582" s="90"/>
      <c r="E582" s="5"/>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row>
    <row r="583">
      <c r="B583" s="93"/>
      <c r="C583" s="19"/>
      <c r="D583" s="90"/>
      <c r="E583" s="5"/>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row>
    <row r="584">
      <c r="B584" s="93"/>
      <c r="C584" s="19"/>
      <c r="D584" s="90"/>
      <c r="E584" s="5"/>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row>
    <row r="585">
      <c r="B585" s="93"/>
      <c r="C585" s="19"/>
      <c r="D585" s="90"/>
      <c r="E585" s="5"/>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row>
    <row r="586">
      <c r="B586" s="93"/>
      <c r="C586" s="19"/>
      <c r="D586" s="90"/>
      <c r="E586" s="5"/>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row>
    <row r="587">
      <c r="B587" s="93"/>
      <c r="C587" s="19"/>
      <c r="D587" s="90"/>
      <c r="E587" s="5"/>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row>
    <row r="588">
      <c r="B588" s="93"/>
      <c r="C588" s="19"/>
      <c r="D588" s="90"/>
      <c r="E588" s="5"/>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row>
    <row r="589">
      <c r="B589" s="93"/>
      <c r="C589" s="19"/>
      <c r="D589" s="90"/>
      <c r="E589" s="5"/>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19"/>
      <c r="BZ589" s="19"/>
      <c r="CA589" s="19"/>
      <c r="CB589" s="19"/>
      <c r="CC589" s="19"/>
      <c r="CD589" s="19"/>
      <c r="CE589" s="19"/>
      <c r="CF589" s="19"/>
      <c r="CG589" s="19"/>
      <c r="CH589" s="19"/>
      <c r="CI589" s="19"/>
      <c r="CJ589" s="19"/>
      <c r="CK589" s="19"/>
      <c r="CL589" s="19"/>
      <c r="CM589" s="19"/>
      <c r="CN589" s="19"/>
      <c r="CO589" s="19"/>
      <c r="CP589" s="19"/>
      <c r="CQ589" s="19"/>
      <c r="CR589" s="19"/>
      <c r="CS589" s="19"/>
      <c r="CT589" s="19"/>
      <c r="CU589" s="19"/>
      <c r="CV589" s="19"/>
      <c r="CW589" s="19"/>
      <c r="CX589" s="19"/>
      <c r="CY589" s="19"/>
      <c r="CZ589" s="19"/>
      <c r="DA589" s="19"/>
      <c r="DB589" s="19"/>
      <c r="DC589" s="19"/>
      <c r="DD589" s="19"/>
      <c r="DE589" s="19"/>
      <c r="DF589" s="19"/>
      <c r="DG589" s="19"/>
      <c r="DH589" s="19"/>
      <c r="DI589" s="19"/>
      <c r="DJ589" s="19"/>
      <c r="DK589" s="19"/>
      <c r="DL589" s="19"/>
      <c r="DM589" s="19"/>
      <c r="DN589" s="19"/>
      <c r="DO589" s="19"/>
      <c r="DP589" s="19"/>
      <c r="DQ589" s="19"/>
      <c r="DR589" s="19"/>
      <c r="DS589" s="19"/>
      <c r="DT589" s="19"/>
      <c r="DU589" s="19"/>
      <c r="DV589" s="19"/>
      <c r="DW589" s="19"/>
      <c r="DX589" s="19"/>
      <c r="DY589" s="19"/>
      <c r="DZ589" s="19"/>
      <c r="EA589" s="19"/>
      <c r="EB589" s="19"/>
      <c r="EC589" s="19"/>
      <c r="ED589" s="19"/>
      <c r="EE589" s="19"/>
      <c r="EF589" s="19"/>
      <c r="EG589" s="19"/>
      <c r="EH589" s="19"/>
      <c r="EI589" s="19"/>
      <c r="EJ589" s="19"/>
      <c r="EK589" s="19"/>
      <c r="EL589" s="19"/>
      <c r="EM589" s="19"/>
      <c r="EN589" s="19"/>
      <c r="EO589" s="19"/>
      <c r="EP589" s="19"/>
      <c r="EQ589" s="19"/>
      <c r="ER589" s="19"/>
      <c r="ES589" s="19"/>
      <c r="ET589" s="19"/>
      <c r="EU589" s="19"/>
      <c r="EV589" s="19"/>
      <c r="EW589" s="19"/>
      <c r="EX589" s="19"/>
      <c r="EY589" s="19"/>
      <c r="EZ589" s="19"/>
      <c r="FA589" s="19"/>
      <c r="FB589" s="19"/>
      <c r="FC589" s="19"/>
      <c r="FD589" s="19"/>
      <c r="FE589" s="19"/>
      <c r="FF589" s="19"/>
      <c r="FG589" s="19"/>
      <c r="FH589" s="19"/>
      <c r="FI589" s="19"/>
      <c r="FJ589" s="19"/>
      <c r="FK589" s="19"/>
      <c r="FL589" s="19"/>
      <c r="FM589" s="19"/>
      <c r="FN589" s="19"/>
    </row>
    <row r="590">
      <c r="B590" s="93"/>
      <c r="C590" s="19"/>
      <c r="D590" s="90"/>
      <c r="E590" s="5"/>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c r="DE590" s="19"/>
      <c r="DF590" s="19"/>
      <c r="DG590" s="19"/>
      <c r="DH590" s="19"/>
      <c r="DI590" s="19"/>
      <c r="DJ590" s="19"/>
      <c r="DK590" s="19"/>
      <c r="DL590" s="19"/>
      <c r="DM590" s="19"/>
      <c r="DN590" s="19"/>
      <c r="DO590" s="19"/>
      <c r="DP590" s="19"/>
      <c r="DQ590" s="19"/>
      <c r="DR590" s="19"/>
      <c r="DS590" s="19"/>
      <c r="DT590" s="19"/>
      <c r="DU590" s="19"/>
      <c r="DV590" s="19"/>
      <c r="DW590" s="19"/>
      <c r="DX590" s="19"/>
      <c r="DY590" s="19"/>
      <c r="DZ590" s="19"/>
      <c r="EA590" s="19"/>
      <c r="EB590" s="19"/>
      <c r="EC590" s="19"/>
      <c r="ED590" s="19"/>
      <c r="EE590" s="19"/>
      <c r="EF590" s="19"/>
      <c r="EG590" s="19"/>
      <c r="EH590" s="19"/>
      <c r="EI590" s="19"/>
      <c r="EJ590" s="19"/>
      <c r="EK590" s="19"/>
      <c r="EL590" s="19"/>
      <c r="EM590" s="19"/>
      <c r="EN590" s="19"/>
      <c r="EO590" s="19"/>
      <c r="EP590" s="19"/>
      <c r="EQ590" s="19"/>
      <c r="ER590" s="19"/>
      <c r="ES590" s="19"/>
      <c r="ET590" s="19"/>
      <c r="EU590" s="19"/>
      <c r="EV590" s="19"/>
      <c r="EW590" s="19"/>
      <c r="EX590" s="19"/>
      <c r="EY590" s="19"/>
      <c r="EZ590" s="19"/>
      <c r="FA590" s="19"/>
      <c r="FB590" s="19"/>
      <c r="FC590" s="19"/>
      <c r="FD590" s="19"/>
      <c r="FE590" s="19"/>
      <c r="FF590" s="19"/>
      <c r="FG590" s="19"/>
      <c r="FH590" s="19"/>
      <c r="FI590" s="19"/>
      <c r="FJ590" s="19"/>
      <c r="FK590" s="19"/>
      <c r="FL590" s="19"/>
      <c r="FM590" s="19"/>
      <c r="FN590" s="19"/>
    </row>
    <row r="591">
      <c r="B591" s="93"/>
      <c r="C591" s="19"/>
      <c r="D591" s="90"/>
      <c r="E591" s="5"/>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19"/>
      <c r="CA591" s="19"/>
      <c r="CB591" s="19"/>
      <c r="CC591" s="19"/>
      <c r="CD591" s="19"/>
      <c r="CE591" s="19"/>
      <c r="CF591" s="19"/>
      <c r="CG591" s="19"/>
      <c r="CH591" s="19"/>
      <c r="CI591" s="19"/>
      <c r="CJ591" s="19"/>
      <c r="CK591" s="19"/>
      <c r="CL591" s="19"/>
      <c r="CM591" s="19"/>
      <c r="CN591" s="19"/>
      <c r="CO591" s="19"/>
      <c r="CP591" s="19"/>
      <c r="CQ591" s="19"/>
      <c r="CR591" s="19"/>
      <c r="CS591" s="19"/>
      <c r="CT591" s="19"/>
      <c r="CU591" s="19"/>
      <c r="CV591" s="19"/>
      <c r="CW591" s="19"/>
      <c r="CX591" s="19"/>
      <c r="CY591" s="19"/>
      <c r="CZ591" s="19"/>
      <c r="DA591" s="19"/>
      <c r="DB591" s="19"/>
      <c r="DC591" s="19"/>
      <c r="DD591" s="19"/>
      <c r="DE591" s="19"/>
      <c r="DF591" s="19"/>
      <c r="DG591" s="19"/>
      <c r="DH591" s="19"/>
      <c r="DI591" s="19"/>
      <c r="DJ591" s="19"/>
      <c r="DK591" s="19"/>
      <c r="DL591" s="19"/>
      <c r="DM591" s="19"/>
      <c r="DN591" s="19"/>
      <c r="DO591" s="19"/>
      <c r="DP591" s="19"/>
      <c r="DQ591" s="19"/>
      <c r="DR591" s="19"/>
      <c r="DS591" s="19"/>
      <c r="DT591" s="19"/>
      <c r="DU591" s="19"/>
      <c r="DV591" s="19"/>
      <c r="DW591" s="19"/>
      <c r="DX591" s="19"/>
      <c r="DY591" s="19"/>
      <c r="DZ591" s="19"/>
      <c r="EA591" s="19"/>
      <c r="EB591" s="19"/>
      <c r="EC591" s="19"/>
      <c r="ED591" s="19"/>
      <c r="EE591" s="19"/>
      <c r="EF591" s="19"/>
      <c r="EG591" s="19"/>
      <c r="EH591" s="19"/>
      <c r="EI591" s="19"/>
      <c r="EJ591" s="19"/>
      <c r="EK591" s="19"/>
      <c r="EL591" s="19"/>
      <c r="EM591" s="19"/>
      <c r="EN591" s="19"/>
      <c r="EO591" s="19"/>
      <c r="EP591" s="19"/>
      <c r="EQ591" s="19"/>
      <c r="ER591" s="19"/>
      <c r="ES591" s="19"/>
      <c r="ET591" s="19"/>
      <c r="EU591" s="19"/>
      <c r="EV591" s="19"/>
      <c r="EW591" s="19"/>
      <c r="EX591" s="19"/>
      <c r="EY591" s="19"/>
      <c r="EZ591" s="19"/>
      <c r="FA591" s="19"/>
      <c r="FB591" s="19"/>
      <c r="FC591" s="19"/>
      <c r="FD591" s="19"/>
      <c r="FE591" s="19"/>
      <c r="FF591" s="19"/>
      <c r="FG591" s="19"/>
      <c r="FH591" s="19"/>
      <c r="FI591" s="19"/>
      <c r="FJ591" s="19"/>
      <c r="FK591" s="19"/>
      <c r="FL591" s="19"/>
      <c r="FM591" s="19"/>
      <c r="FN591" s="19"/>
    </row>
    <row r="592">
      <c r="B592" s="93"/>
      <c r="C592" s="19"/>
      <c r="D592" s="90"/>
      <c r="E592" s="5"/>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c r="DE592" s="19"/>
      <c r="DF592" s="19"/>
      <c r="DG592" s="19"/>
      <c r="DH592" s="19"/>
      <c r="DI592" s="19"/>
      <c r="DJ592" s="19"/>
      <c r="DK592" s="19"/>
      <c r="DL592" s="19"/>
      <c r="DM592" s="19"/>
      <c r="DN592" s="19"/>
      <c r="DO592" s="19"/>
      <c r="DP592" s="19"/>
      <c r="DQ592" s="19"/>
      <c r="DR592" s="19"/>
      <c r="DS592" s="19"/>
      <c r="DT592" s="19"/>
      <c r="DU592" s="19"/>
      <c r="DV592" s="19"/>
      <c r="DW592" s="19"/>
      <c r="DX592" s="19"/>
      <c r="DY592" s="19"/>
      <c r="DZ592" s="19"/>
      <c r="EA592" s="19"/>
      <c r="EB592" s="19"/>
      <c r="EC592" s="19"/>
      <c r="ED592" s="19"/>
      <c r="EE592" s="19"/>
      <c r="EF592" s="19"/>
      <c r="EG592" s="19"/>
      <c r="EH592" s="19"/>
      <c r="EI592" s="19"/>
      <c r="EJ592" s="19"/>
      <c r="EK592" s="19"/>
      <c r="EL592" s="19"/>
      <c r="EM592" s="19"/>
      <c r="EN592" s="19"/>
      <c r="EO592" s="19"/>
      <c r="EP592" s="19"/>
      <c r="EQ592" s="19"/>
      <c r="ER592" s="19"/>
      <c r="ES592" s="19"/>
      <c r="ET592" s="19"/>
      <c r="EU592" s="19"/>
      <c r="EV592" s="19"/>
      <c r="EW592" s="19"/>
      <c r="EX592" s="19"/>
      <c r="EY592" s="19"/>
      <c r="EZ592" s="19"/>
      <c r="FA592" s="19"/>
      <c r="FB592" s="19"/>
      <c r="FC592" s="19"/>
      <c r="FD592" s="19"/>
      <c r="FE592" s="19"/>
      <c r="FF592" s="19"/>
      <c r="FG592" s="19"/>
      <c r="FH592" s="19"/>
      <c r="FI592" s="19"/>
      <c r="FJ592" s="19"/>
      <c r="FK592" s="19"/>
      <c r="FL592" s="19"/>
      <c r="FM592" s="19"/>
      <c r="FN592" s="19"/>
    </row>
    <row r="593">
      <c r="B593" s="93"/>
      <c r="C593" s="19"/>
      <c r="D593" s="90"/>
      <c r="E593" s="5"/>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19"/>
      <c r="CA593" s="19"/>
      <c r="CB593" s="19"/>
      <c r="CC593" s="19"/>
      <c r="CD593" s="19"/>
      <c r="CE593" s="19"/>
      <c r="CF593" s="19"/>
      <c r="CG593" s="19"/>
      <c r="CH593" s="19"/>
      <c r="CI593" s="19"/>
      <c r="CJ593" s="19"/>
      <c r="CK593" s="19"/>
      <c r="CL593" s="19"/>
      <c r="CM593" s="19"/>
      <c r="CN593" s="19"/>
      <c r="CO593" s="19"/>
      <c r="CP593" s="19"/>
      <c r="CQ593" s="19"/>
      <c r="CR593" s="19"/>
      <c r="CS593" s="19"/>
      <c r="CT593" s="19"/>
      <c r="CU593" s="19"/>
      <c r="CV593" s="19"/>
      <c r="CW593" s="19"/>
      <c r="CX593" s="19"/>
      <c r="CY593" s="19"/>
      <c r="CZ593" s="19"/>
      <c r="DA593" s="19"/>
      <c r="DB593" s="19"/>
      <c r="DC593" s="19"/>
      <c r="DD593" s="19"/>
      <c r="DE593" s="19"/>
      <c r="DF593" s="19"/>
      <c r="DG593" s="19"/>
      <c r="DH593" s="19"/>
      <c r="DI593" s="19"/>
      <c r="DJ593" s="19"/>
      <c r="DK593" s="19"/>
      <c r="DL593" s="19"/>
      <c r="DM593" s="19"/>
      <c r="DN593" s="19"/>
      <c r="DO593" s="19"/>
      <c r="DP593" s="19"/>
      <c r="DQ593" s="19"/>
      <c r="DR593" s="19"/>
      <c r="DS593" s="19"/>
      <c r="DT593" s="19"/>
      <c r="DU593" s="19"/>
      <c r="DV593" s="19"/>
      <c r="DW593" s="19"/>
      <c r="DX593" s="19"/>
      <c r="DY593" s="19"/>
      <c r="DZ593" s="19"/>
      <c r="EA593" s="19"/>
      <c r="EB593" s="19"/>
      <c r="EC593" s="19"/>
      <c r="ED593" s="19"/>
      <c r="EE593" s="19"/>
      <c r="EF593" s="19"/>
      <c r="EG593" s="19"/>
      <c r="EH593" s="19"/>
      <c r="EI593" s="19"/>
      <c r="EJ593" s="19"/>
      <c r="EK593" s="19"/>
      <c r="EL593" s="19"/>
      <c r="EM593" s="19"/>
      <c r="EN593" s="19"/>
      <c r="EO593" s="19"/>
      <c r="EP593" s="19"/>
      <c r="EQ593" s="19"/>
      <c r="ER593" s="19"/>
      <c r="ES593" s="19"/>
      <c r="ET593" s="19"/>
      <c r="EU593" s="19"/>
      <c r="EV593" s="19"/>
      <c r="EW593" s="19"/>
      <c r="EX593" s="19"/>
      <c r="EY593" s="19"/>
      <c r="EZ593" s="19"/>
      <c r="FA593" s="19"/>
      <c r="FB593" s="19"/>
      <c r="FC593" s="19"/>
      <c r="FD593" s="19"/>
      <c r="FE593" s="19"/>
      <c r="FF593" s="19"/>
      <c r="FG593" s="19"/>
      <c r="FH593" s="19"/>
      <c r="FI593" s="19"/>
      <c r="FJ593" s="19"/>
      <c r="FK593" s="19"/>
      <c r="FL593" s="19"/>
      <c r="FM593" s="19"/>
      <c r="FN593" s="19"/>
    </row>
    <row r="594">
      <c r="B594" s="93"/>
      <c r="C594" s="19"/>
      <c r="D594" s="90"/>
      <c r="E594" s="5"/>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19"/>
      <c r="CC594" s="19"/>
      <c r="CD594" s="19"/>
      <c r="CE594" s="19"/>
      <c r="CF594" s="19"/>
      <c r="CG594" s="19"/>
      <c r="CH594" s="19"/>
      <c r="CI594" s="19"/>
      <c r="CJ594" s="19"/>
      <c r="CK594" s="19"/>
      <c r="CL594" s="19"/>
      <c r="CM594" s="19"/>
      <c r="CN594" s="19"/>
      <c r="CO594" s="19"/>
      <c r="CP594" s="19"/>
      <c r="CQ594" s="19"/>
      <c r="CR594" s="19"/>
      <c r="CS594" s="19"/>
      <c r="CT594" s="19"/>
      <c r="CU594" s="19"/>
      <c r="CV594" s="19"/>
      <c r="CW594" s="19"/>
      <c r="CX594" s="19"/>
      <c r="CY594" s="19"/>
      <c r="CZ594" s="19"/>
      <c r="DA594" s="19"/>
      <c r="DB594" s="19"/>
      <c r="DC594" s="19"/>
      <c r="DD594" s="19"/>
      <c r="DE594" s="19"/>
      <c r="DF594" s="19"/>
      <c r="DG594" s="19"/>
      <c r="DH594" s="19"/>
      <c r="DI594" s="19"/>
      <c r="DJ594" s="19"/>
      <c r="DK594" s="19"/>
      <c r="DL594" s="19"/>
      <c r="DM594" s="19"/>
      <c r="DN594" s="19"/>
      <c r="DO594" s="19"/>
      <c r="DP594" s="19"/>
      <c r="DQ594" s="19"/>
      <c r="DR594" s="19"/>
      <c r="DS594" s="19"/>
      <c r="DT594" s="19"/>
      <c r="DU594" s="19"/>
      <c r="DV594" s="19"/>
      <c r="DW594" s="19"/>
      <c r="DX594" s="19"/>
      <c r="DY594" s="19"/>
      <c r="DZ594" s="19"/>
      <c r="EA594" s="19"/>
      <c r="EB594" s="19"/>
      <c r="EC594" s="19"/>
      <c r="ED594" s="19"/>
      <c r="EE594" s="19"/>
      <c r="EF594" s="19"/>
      <c r="EG594" s="19"/>
      <c r="EH594" s="19"/>
      <c r="EI594" s="19"/>
      <c r="EJ594" s="19"/>
      <c r="EK594" s="19"/>
      <c r="EL594" s="19"/>
      <c r="EM594" s="19"/>
      <c r="EN594" s="19"/>
      <c r="EO594" s="19"/>
      <c r="EP594" s="19"/>
      <c r="EQ594" s="19"/>
      <c r="ER594" s="19"/>
      <c r="ES594" s="19"/>
      <c r="ET594" s="19"/>
      <c r="EU594" s="19"/>
      <c r="EV594" s="19"/>
      <c r="EW594" s="19"/>
      <c r="EX594" s="19"/>
      <c r="EY594" s="19"/>
      <c r="EZ594" s="19"/>
      <c r="FA594" s="19"/>
      <c r="FB594" s="19"/>
      <c r="FC594" s="19"/>
      <c r="FD594" s="19"/>
      <c r="FE594" s="19"/>
      <c r="FF594" s="19"/>
      <c r="FG594" s="19"/>
      <c r="FH594" s="19"/>
      <c r="FI594" s="19"/>
      <c r="FJ594" s="19"/>
      <c r="FK594" s="19"/>
      <c r="FL594" s="19"/>
      <c r="FM594" s="19"/>
      <c r="FN594" s="19"/>
    </row>
    <row r="595">
      <c r="B595" s="93"/>
      <c r="C595" s="19"/>
      <c r="D595" s="90"/>
      <c r="E595" s="5"/>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19"/>
      <c r="CA595" s="19"/>
      <c r="CB595" s="19"/>
      <c r="CC595" s="19"/>
      <c r="CD595" s="19"/>
      <c r="CE595" s="19"/>
      <c r="CF595" s="19"/>
      <c r="CG595" s="19"/>
      <c r="CH595" s="19"/>
      <c r="CI595" s="19"/>
      <c r="CJ595" s="19"/>
      <c r="CK595" s="19"/>
      <c r="CL595" s="19"/>
      <c r="CM595" s="19"/>
      <c r="CN595" s="19"/>
      <c r="CO595" s="19"/>
      <c r="CP595" s="19"/>
      <c r="CQ595" s="19"/>
      <c r="CR595" s="19"/>
      <c r="CS595" s="19"/>
      <c r="CT595" s="19"/>
      <c r="CU595" s="19"/>
      <c r="CV595" s="19"/>
      <c r="CW595" s="19"/>
      <c r="CX595" s="19"/>
      <c r="CY595" s="19"/>
      <c r="CZ595" s="19"/>
      <c r="DA595" s="19"/>
      <c r="DB595" s="19"/>
      <c r="DC595" s="19"/>
      <c r="DD595" s="19"/>
      <c r="DE595" s="19"/>
      <c r="DF595" s="19"/>
      <c r="DG595" s="19"/>
      <c r="DH595" s="19"/>
      <c r="DI595" s="19"/>
      <c r="DJ595" s="19"/>
      <c r="DK595" s="19"/>
      <c r="DL595" s="19"/>
      <c r="DM595" s="19"/>
      <c r="DN595" s="19"/>
      <c r="DO595" s="19"/>
      <c r="DP595" s="19"/>
      <c r="DQ595" s="19"/>
      <c r="DR595" s="19"/>
      <c r="DS595" s="19"/>
      <c r="DT595" s="19"/>
      <c r="DU595" s="19"/>
      <c r="DV595" s="19"/>
      <c r="DW595" s="19"/>
      <c r="DX595" s="19"/>
      <c r="DY595" s="19"/>
      <c r="DZ595" s="19"/>
      <c r="EA595" s="19"/>
      <c r="EB595" s="19"/>
      <c r="EC595" s="19"/>
      <c r="ED595" s="19"/>
      <c r="EE595" s="19"/>
      <c r="EF595" s="19"/>
      <c r="EG595" s="19"/>
      <c r="EH595" s="19"/>
      <c r="EI595" s="19"/>
      <c r="EJ595" s="19"/>
      <c r="EK595" s="19"/>
      <c r="EL595" s="19"/>
      <c r="EM595" s="19"/>
      <c r="EN595" s="19"/>
      <c r="EO595" s="19"/>
      <c r="EP595" s="19"/>
      <c r="EQ595" s="19"/>
      <c r="ER595" s="19"/>
      <c r="ES595" s="19"/>
      <c r="ET595" s="19"/>
      <c r="EU595" s="19"/>
      <c r="EV595" s="19"/>
      <c r="EW595" s="19"/>
      <c r="EX595" s="19"/>
      <c r="EY595" s="19"/>
      <c r="EZ595" s="19"/>
      <c r="FA595" s="19"/>
      <c r="FB595" s="19"/>
      <c r="FC595" s="19"/>
      <c r="FD595" s="19"/>
      <c r="FE595" s="19"/>
      <c r="FF595" s="19"/>
      <c r="FG595" s="19"/>
      <c r="FH595" s="19"/>
      <c r="FI595" s="19"/>
      <c r="FJ595" s="19"/>
      <c r="FK595" s="19"/>
      <c r="FL595" s="19"/>
      <c r="FM595" s="19"/>
      <c r="FN595" s="19"/>
    </row>
    <row r="596">
      <c r="B596" s="93"/>
      <c r="C596" s="19"/>
      <c r="D596" s="90"/>
      <c r="E596" s="5"/>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19"/>
      <c r="BZ596" s="19"/>
      <c r="CA596" s="19"/>
      <c r="CB596" s="19"/>
      <c r="CC596" s="19"/>
      <c r="CD596" s="19"/>
      <c r="CE596" s="19"/>
      <c r="CF596" s="19"/>
      <c r="CG596" s="19"/>
      <c r="CH596" s="19"/>
      <c r="CI596" s="19"/>
      <c r="CJ596" s="19"/>
      <c r="CK596" s="19"/>
      <c r="CL596" s="19"/>
      <c r="CM596" s="19"/>
      <c r="CN596" s="19"/>
      <c r="CO596" s="19"/>
      <c r="CP596" s="19"/>
      <c r="CQ596" s="19"/>
      <c r="CR596" s="19"/>
      <c r="CS596" s="19"/>
      <c r="CT596" s="19"/>
      <c r="CU596" s="19"/>
      <c r="CV596" s="19"/>
      <c r="CW596" s="19"/>
      <c r="CX596" s="19"/>
      <c r="CY596" s="19"/>
      <c r="CZ596" s="19"/>
      <c r="DA596" s="19"/>
      <c r="DB596" s="19"/>
      <c r="DC596" s="19"/>
      <c r="DD596" s="19"/>
      <c r="DE596" s="19"/>
      <c r="DF596" s="19"/>
      <c r="DG596" s="19"/>
      <c r="DH596" s="19"/>
      <c r="DI596" s="19"/>
      <c r="DJ596" s="19"/>
      <c r="DK596" s="19"/>
      <c r="DL596" s="19"/>
      <c r="DM596" s="19"/>
      <c r="DN596" s="19"/>
      <c r="DO596" s="19"/>
      <c r="DP596" s="19"/>
      <c r="DQ596" s="19"/>
      <c r="DR596" s="19"/>
      <c r="DS596" s="19"/>
      <c r="DT596" s="19"/>
      <c r="DU596" s="19"/>
      <c r="DV596" s="19"/>
      <c r="DW596" s="19"/>
      <c r="DX596" s="19"/>
      <c r="DY596" s="19"/>
      <c r="DZ596" s="19"/>
      <c r="EA596" s="19"/>
      <c r="EB596" s="19"/>
      <c r="EC596" s="19"/>
      <c r="ED596" s="19"/>
      <c r="EE596" s="19"/>
      <c r="EF596" s="19"/>
      <c r="EG596" s="19"/>
      <c r="EH596" s="19"/>
      <c r="EI596" s="19"/>
      <c r="EJ596" s="19"/>
      <c r="EK596" s="19"/>
      <c r="EL596" s="19"/>
      <c r="EM596" s="19"/>
      <c r="EN596" s="19"/>
      <c r="EO596" s="19"/>
      <c r="EP596" s="19"/>
      <c r="EQ596" s="19"/>
      <c r="ER596" s="19"/>
      <c r="ES596" s="19"/>
      <c r="ET596" s="19"/>
      <c r="EU596" s="19"/>
      <c r="EV596" s="19"/>
      <c r="EW596" s="19"/>
      <c r="EX596" s="19"/>
      <c r="EY596" s="19"/>
      <c r="EZ596" s="19"/>
      <c r="FA596" s="19"/>
      <c r="FB596" s="19"/>
      <c r="FC596" s="19"/>
      <c r="FD596" s="19"/>
      <c r="FE596" s="19"/>
      <c r="FF596" s="19"/>
      <c r="FG596" s="19"/>
      <c r="FH596" s="19"/>
      <c r="FI596" s="19"/>
      <c r="FJ596" s="19"/>
      <c r="FK596" s="19"/>
      <c r="FL596" s="19"/>
      <c r="FM596" s="19"/>
      <c r="FN596" s="19"/>
    </row>
    <row r="597">
      <c r="B597" s="93"/>
      <c r="C597" s="19"/>
      <c r="D597" s="90"/>
      <c r="E597" s="5"/>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19"/>
      <c r="CM597" s="19"/>
      <c r="CN597" s="19"/>
      <c r="CO597" s="19"/>
      <c r="CP597" s="19"/>
      <c r="CQ597" s="19"/>
      <c r="CR597" s="19"/>
      <c r="CS597" s="19"/>
      <c r="CT597" s="19"/>
      <c r="CU597" s="19"/>
      <c r="CV597" s="19"/>
      <c r="CW597" s="19"/>
      <c r="CX597" s="19"/>
      <c r="CY597" s="19"/>
      <c r="CZ597" s="19"/>
      <c r="DA597" s="19"/>
      <c r="DB597" s="19"/>
      <c r="DC597" s="19"/>
      <c r="DD597" s="19"/>
      <c r="DE597" s="19"/>
      <c r="DF597" s="19"/>
      <c r="DG597" s="19"/>
      <c r="DH597" s="19"/>
      <c r="DI597" s="19"/>
      <c r="DJ597" s="19"/>
      <c r="DK597" s="19"/>
      <c r="DL597" s="19"/>
      <c r="DM597" s="19"/>
      <c r="DN597" s="19"/>
      <c r="DO597" s="19"/>
      <c r="DP597" s="19"/>
      <c r="DQ597" s="19"/>
      <c r="DR597" s="19"/>
      <c r="DS597" s="19"/>
      <c r="DT597" s="19"/>
      <c r="DU597" s="19"/>
      <c r="DV597" s="19"/>
      <c r="DW597" s="19"/>
      <c r="DX597" s="19"/>
      <c r="DY597" s="19"/>
      <c r="DZ597" s="19"/>
      <c r="EA597" s="19"/>
      <c r="EB597" s="19"/>
      <c r="EC597" s="19"/>
      <c r="ED597" s="19"/>
      <c r="EE597" s="19"/>
      <c r="EF597" s="19"/>
      <c r="EG597" s="19"/>
      <c r="EH597" s="19"/>
      <c r="EI597" s="19"/>
      <c r="EJ597" s="19"/>
      <c r="EK597" s="19"/>
      <c r="EL597" s="19"/>
      <c r="EM597" s="19"/>
      <c r="EN597" s="19"/>
      <c r="EO597" s="19"/>
      <c r="EP597" s="19"/>
      <c r="EQ597" s="19"/>
      <c r="ER597" s="19"/>
      <c r="ES597" s="19"/>
      <c r="ET597" s="19"/>
      <c r="EU597" s="19"/>
      <c r="EV597" s="19"/>
      <c r="EW597" s="19"/>
      <c r="EX597" s="19"/>
      <c r="EY597" s="19"/>
      <c r="EZ597" s="19"/>
      <c r="FA597" s="19"/>
      <c r="FB597" s="19"/>
      <c r="FC597" s="19"/>
      <c r="FD597" s="19"/>
      <c r="FE597" s="19"/>
      <c r="FF597" s="19"/>
      <c r="FG597" s="19"/>
      <c r="FH597" s="19"/>
      <c r="FI597" s="19"/>
      <c r="FJ597" s="19"/>
      <c r="FK597" s="19"/>
      <c r="FL597" s="19"/>
      <c r="FM597" s="19"/>
      <c r="FN597" s="19"/>
    </row>
    <row r="598">
      <c r="B598" s="93"/>
      <c r="C598" s="19"/>
      <c r="D598" s="90"/>
      <c r="E598" s="5"/>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c r="DP598" s="19"/>
      <c r="DQ598" s="19"/>
      <c r="DR598" s="19"/>
      <c r="DS598" s="19"/>
      <c r="DT598" s="19"/>
      <c r="DU598" s="19"/>
      <c r="DV598" s="19"/>
      <c r="DW598" s="19"/>
      <c r="DX598" s="19"/>
      <c r="DY598" s="19"/>
      <c r="DZ598" s="19"/>
      <c r="EA598" s="19"/>
      <c r="EB598" s="19"/>
      <c r="EC598" s="19"/>
      <c r="ED598" s="19"/>
      <c r="EE598" s="19"/>
      <c r="EF598" s="19"/>
      <c r="EG598" s="19"/>
      <c r="EH598" s="19"/>
      <c r="EI598" s="19"/>
      <c r="EJ598" s="19"/>
      <c r="EK598" s="19"/>
      <c r="EL598" s="19"/>
      <c r="EM598" s="19"/>
      <c r="EN598" s="19"/>
      <c r="EO598" s="19"/>
      <c r="EP598" s="19"/>
      <c r="EQ598" s="19"/>
      <c r="ER598" s="19"/>
      <c r="ES598" s="19"/>
      <c r="ET598" s="19"/>
      <c r="EU598" s="19"/>
      <c r="EV598" s="19"/>
      <c r="EW598" s="19"/>
      <c r="EX598" s="19"/>
      <c r="EY598" s="19"/>
      <c r="EZ598" s="19"/>
      <c r="FA598" s="19"/>
      <c r="FB598" s="19"/>
      <c r="FC598" s="19"/>
      <c r="FD598" s="19"/>
      <c r="FE598" s="19"/>
      <c r="FF598" s="19"/>
      <c r="FG598" s="19"/>
      <c r="FH598" s="19"/>
      <c r="FI598" s="19"/>
      <c r="FJ598" s="19"/>
      <c r="FK598" s="19"/>
      <c r="FL598" s="19"/>
      <c r="FM598" s="19"/>
      <c r="FN598" s="19"/>
    </row>
    <row r="599">
      <c r="B599" s="93"/>
      <c r="C599" s="19"/>
      <c r="D599" s="90"/>
      <c r="E599" s="5"/>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19"/>
      <c r="CC599" s="19"/>
      <c r="CD599" s="19"/>
      <c r="CE599" s="19"/>
      <c r="CF599" s="19"/>
      <c r="CG599" s="19"/>
      <c r="CH599" s="19"/>
      <c r="CI599" s="19"/>
      <c r="CJ599" s="19"/>
      <c r="CK599" s="19"/>
      <c r="CL599" s="19"/>
      <c r="CM599" s="19"/>
      <c r="CN599" s="19"/>
      <c r="CO599" s="19"/>
      <c r="CP599" s="19"/>
      <c r="CQ599" s="19"/>
      <c r="CR599" s="19"/>
      <c r="CS599" s="19"/>
      <c r="CT599" s="19"/>
      <c r="CU599" s="19"/>
      <c r="CV599" s="19"/>
      <c r="CW599" s="19"/>
      <c r="CX599" s="19"/>
      <c r="CY599" s="19"/>
      <c r="CZ599" s="19"/>
      <c r="DA599" s="19"/>
      <c r="DB599" s="19"/>
      <c r="DC599" s="19"/>
      <c r="DD599" s="19"/>
      <c r="DE599" s="19"/>
      <c r="DF599" s="19"/>
      <c r="DG599" s="19"/>
      <c r="DH599" s="19"/>
      <c r="DI599" s="19"/>
      <c r="DJ599" s="19"/>
      <c r="DK599" s="19"/>
      <c r="DL599" s="19"/>
      <c r="DM599" s="19"/>
      <c r="DN599" s="19"/>
      <c r="DO599" s="19"/>
      <c r="DP599" s="19"/>
      <c r="DQ599" s="19"/>
      <c r="DR599" s="19"/>
      <c r="DS599" s="19"/>
      <c r="DT599" s="19"/>
      <c r="DU599" s="19"/>
      <c r="DV599" s="19"/>
      <c r="DW599" s="19"/>
      <c r="DX599" s="19"/>
      <c r="DY599" s="19"/>
      <c r="DZ599" s="19"/>
      <c r="EA599" s="19"/>
      <c r="EB599" s="19"/>
      <c r="EC599" s="19"/>
      <c r="ED599" s="19"/>
      <c r="EE599" s="19"/>
      <c r="EF599" s="19"/>
      <c r="EG599" s="19"/>
      <c r="EH599" s="19"/>
      <c r="EI599" s="19"/>
      <c r="EJ599" s="19"/>
      <c r="EK599" s="19"/>
      <c r="EL599" s="19"/>
      <c r="EM599" s="19"/>
      <c r="EN599" s="19"/>
      <c r="EO599" s="19"/>
      <c r="EP599" s="19"/>
      <c r="EQ599" s="19"/>
      <c r="ER599" s="19"/>
      <c r="ES599" s="19"/>
      <c r="ET599" s="19"/>
      <c r="EU599" s="19"/>
      <c r="EV599" s="19"/>
      <c r="EW599" s="19"/>
      <c r="EX599" s="19"/>
      <c r="EY599" s="19"/>
      <c r="EZ599" s="19"/>
      <c r="FA599" s="19"/>
      <c r="FB599" s="19"/>
      <c r="FC599" s="19"/>
      <c r="FD599" s="19"/>
      <c r="FE599" s="19"/>
      <c r="FF599" s="19"/>
      <c r="FG599" s="19"/>
      <c r="FH599" s="19"/>
      <c r="FI599" s="19"/>
      <c r="FJ599" s="19"/>
      <c r="FK599" s="19"/>
      <c r="FL599" s="19"/>
      <c r="FM599" s="19"/>
      <c r="FN599" s="19"/>
    </row>
    <row r="600">
      <c r="B600" s="93"/>
      <c r="C600" s="19"/>
      <c r="D600" s="90"/>
      <c r="E600" s="5"/>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19"/>
      <c r="CA600" s="19"/>
      <c r="CB600" s="19"/>
      <c r="CC600" s="19"/>
      <c r="CD600" s="19"/>
      <c r="CE600" s="19"/>
      <c r="CF600" s="19"/>
      <c r="CG600" s="19"/>
      <c r="CH600" s="19"/>
      <c r="CI600" s="19"/>
      <c r="CJ600" s="19"/>
      <c r="CK600" s="19"/>
      <c r="CL600" s="19"/>
      <c r="CM600" s="19"/>
      <c r="CN600" s="19"/>
      <c r="CO600" s="19"/>
      <c r="CP600" s="19"/>
      <c r="CQ600" s="19"/>
      <c r="CR600" s="19"/>
      <c r="CS600" s="19"/>
      <c r="CT600" s="19"/>
      <c r="CU600" s="19"/>
      <c r="CV600" s="19"/>
      <c r="CW600" s="19"/>
      <c r="CX600" s="19"/>
      <c r="CY600" s="19"/>
      <c r="CZ600" s="19"/>
      <c r="DA600" s="19"/>
      <c r="DB600" s="19"/>
      <c r="DC600" s="19"/>
      <c r="DD600" s="19"/>
      <c r="DE600" s="19"/>
      <c r="DF600" s="19"/>
      <c r="DG600" s="19"/>
      <c r="DH600" s="19"/>
      <c r="DI600" s="19"/>
      <c r="DJ600" s="19"/>
      <c r="DK600" s="19"/>
      <c r="DL600" s="19"/>
      <c r="DM600" s="19"/>
      <c r="DN600" s="19"/>
      <c r="DO600" s="19"/>
      <c r="DP600" s="19"/>
      <c r="DQ600" s="19"/>
      <c r="DR600" s="19"/>
      <c r="DS600" s="19"/>
      <c r="DT600" s="19"/>
      <c r="DU600" s="19"/>
      <c r="DV600" s="19"/>
      <c r="DW600" s="19"/>
      <c r="DX600" s="19"/>
      <c r="DY600" s="19"/>
      <c r="DZ600" s="19"/>
      <c r="EA600" s="19"/>
      <c r="EB600" s="19"/>
      <c r="EC600" s="19"/>
      <c r="ED600" s="19"/>
      <c r="EE600" s="19"/>
      <c r="EF600" s="19"/>
      <c r="EG600" s="19"/>
      <c r="EH600" s="19"/>
      <c r="EI600" s="19"/>
      <c r="EJ600" s="19"/>
      <c r="EK600" s="19"/>
      <c r="EL600" s="19"/>
      <c r="EM600" s="19"/>
      <c r="EN600" s="19"/>
      <c r="EO600" s="19"/>
      <c r="EP600" s="19"/>
      <c r="EQ600" s="19"/>
      <c r="ER600" s="19"/>
      <c r="ES600" s="19"/>
      <c r="ET600" s="19"/>
      <c r="EU600" s="19"/>
      <c r="EV600" s="19"/>
      <c r="EW600" s="19"/>
      <c r="EX600" s="19"/>
      <c r="EY600" s="19"/>
      <c r="EZ600" s="19"/>
      <c r="FA600" s="19"/>
      <c r="FB600" s="19"/>
      <c r="FC600" s="19"/>
      <c r="FD600" s="19"/>
      <c r="FE600" s="19"/>
      <c r="FF600" s="19"/>
      <c r="FG600" s="19"/>
      <c r="FH600" s="19"/>
      <c r="FI600" s="19"/>
      <c r="FJ600" s="19"/>
      <c r="FK600" s="19"/>
      <c r="FL600" s="19"/>
      <c r="FM600" s="19"/>
      <c r="FN600" s="19"/>
    </row>
    <row r="601">
      <c r="B601" s="93"/>
      <c r="C601" s="19"/>
      <c r="D601" s="90"/>
      <c r="E601" s="5"/>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19"/>
      <c r="BZ601" s="19"/>
      <c r="CA601" s="19"/>
      <c r="CB601" s="19"/>
      <c r="CC601" s="19"/>
      <c r="CD601" s="19"/>
      <c r="CE601" s="19"/>
      <c r="CF601" s="19"/>
      <c r="CG601" s="19"/>
      <c r="CH601" s="19"/>
      <c r="CI601" s="19"/>
      <c r="CJ601" s="19"/>
      <c r="CK601" s="19"/>
      <c r="CL601" s="19"/>
      <c r="CM601" s="19"/>
      <c r="CN601" s="19"/>
      <c r="CO601" s="19"/>
      <c r="CP601" s="19"/>
      <c r="CQ601" s="19"/>
      <c r="CR601" s="19"/>
      <c r="CS601" s="19"/>
      <c r="CT601" s="19"/>
      <c r="CU601" s="19"/>
      <c r="CV601" s="19"/>
      <c r="CW601" s="19"/>
      <c r="CX601" s="19"/>
      <c r="CY601" s="19"/>
      <c r="CZ601" s="19"/>
      <c r="DA601" s="19"/>
      <c r="DB601" s="19"/>
      <c r="DC601" s="19"/>
      <c r="DD601" s="19"/>
      <c r="DE601" s="19"/>
      <c r="DF601" s="19"/>
      <c r="DG601" s="19"/>
      <c r="DH601" s="19"/>
      <c r="DI601" s="19"/>
      <c r="DJ601" s="19"/>
      <c r="DK601" s="19"/>
      <c r="DL601" s="19"/>
      <c r="DM601" s="19"/>
      <c r="DN601" s="19"/>
      <c r="DO601" s="19"/>
      <c r="DP601" s="19"/>
      <c r="DQ601" s="19"/>
      <c r="DR601" s="19"/>
      <c r="DS601" s="19"/>
      <c r="DT601" s="19"/>
      <c r="DU601" s="19"/>
      <c r="DV601" s="19"/>
      <c r="DW601" s="19"/>
      <c r="DX601" s="19"/>
      <c r="DY601" s="19"/>
      <c r="DZ601" s="19"/>
      <c r="EA601" s="19"/>
      <c r="EB601" s="19"/>
      <c r="EC601" s="19"/>
      <c r="ED601" s="19"/>
      <c r="EE601" s="19"/>
      <c r="EF601" s="19"/>
      <c r="EG601" s="19"/>
      <c r="EH601" s="19"/>
      <c r="EI601" s="19"/>
      <c r="EJ601" s="19"/>
      <c r="EK601" s="19"/>
      <c r="EL601" s="19"/>
      <c r="EM601" s="19"/>
      <c r="EN601" s="19"/>
      <c r="EO601" s="19"/>
      <c r="EP601" s="19"/>
      <c r="EQ601" s="19"/>
      <c r="ER601" s="19"/>
      <c r="ES601" s="19"/>
      <c r="ET601" s="19"/>
      <c r="EU601" s="19"/>
      <c r="EV601" s="19"/>
      <c r="EW601" s="19"/>
      <c r="EX601" s="19"/>
      <c r="EY601" s="19"/>
      <c r="EZ601" s="19"/>
      <c r="FA601" s="19"/>
      <c r="FB601" s="19"/>
      <c r="FC601" s="19"/>
      <c r="FD601" s="19"/>
      <c r="FE601" s="19"/>
      <c r="FF601" s="19"/>
      <c r="FG601" s="19"/>
      <c r="FH601" s="19"/>
      <c r="FI601" s="19"/>
      <c r="FJ601" s="19"/>
      <c r="FK601" s="19"/>
      <c r="FL601" s="19"/>
      <c r="FM601" s="19"/>
      <c r="FN601" s="19"/>
    </row>
    <row r="602">
      <c r="B602" s="93"/>
      <c r="C602" s="19"/>
      <c r="D602" s="90"/>
      <c r="E602" s="5"/>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19"/>
      <c r="CC602" s="19"/>
      <c r="CD602" s="19"/>
      <c r="CE602" s="19"/>
      <c r="CF602" s="19"/>
      <c r="CG602" s="19"/>
      <c r="CH602" s="19"/>
      <c r="CI602" s="19"/>
      <c r="CJ602" s="19"/>
      <c r="CK602" s="19"/>
      <c r="CL602" s="19"/>
      <c r="CM602" s="19"/>
      <c r="CN602" s="19"/>
      <c r="CO602" s="19"/>
      <c r="CP602" s="19"/>
      <c r="CQ602" s="19"/>
      <c r="CR602" s="19"/>
      <c r="CS602" s="19"/>
      <c r="CT602" s="19"/>
      <c r="CU602" s="19"/>
      <c r="CV602" s="19"/>
      <c r="CW602" s="19"/>
      <c r="CX602" s="19"/>
      <c r="CY602" s="19"/>
      <c r="CZ602" s="19"/>
      <c r="DA602" s="19"/>
      <c r="DB602" s="19"/>
      <c r="DC602" s="19"/>
      <c r="DD602" s="19"/>
      <c r="DE602" s="19"/>
      <c r="DF602" s="19"/>
      <c r="DG602" s="19"/>
      <c r="DH602" s="19"/>
      <c r="DI602" s="19"/>
      <c r="DJ602" s="19"/>
      <c r="DK602" s="19"/>
      <c r="DL602" s="19"/>
      <c r="DM602" s="19"/>
      <c r="DN602" s="19"/>
      <c r="DO602" s="19"/>
      <c r="DP602" s="19"/>
      <c r="DQ602" s="19"/>
      <c r="DR602" s="19"/>
      <c r="DS602" s="19"/>
      <c r="DT602" s="19"/>
      <c r="DU602" s="19"/>
      <c r="DV602" s="19"/>
      <c r="DW602" s="19"/>
      <c r="DX602" s="19"/>
      <c r="DY602" s="19"/>
      <c r="DZ602" s="19"/>
      <c r="EA602" s="19"/>
      <c r="EB602" s="19"/>
      <c r="EC602" s="19"/>
      <c r="ED602" s="19"/>
      <c r="EE602" s="19"/>
      <c r="EF602" s="19"/>
      <c r="EG602" s="19"/>
      <c r="EH602" s="19"/>
      <c r="EI602" s="19"/>
      <c r="EJ602" s="19"/>
      <c r="EK602" s="19"/>
      <c r="EL602" s="19"/>
      <c r="EM602" s="19"/>
      <c r="EN602" s="19"/>
      <c r="EO602" s="19"/>
      <c r="EP602" s="19"/>
      <c r="EQ602" s="19"/>
      <c r="ER602" s="19"/>
      <c r="ES602" s="19"/>
      <c r="ET602" s="19"/>
      <c r="EU602" s="19"/>
      <c r="EV602" s="19"/>
      <c r="EW602" s="19"/>
      <c r="EX602" s="19"/>
      <c r="EY602" s="19"/>
      <c r="EZ602" s="19"/>
      <c r="FA602" s="19"/>
      <c r="FB602" s="19"/>
      <c r="FC602" s="19"/>
      <c r="FD602" s="19"/>
      <c r="FE602" s="19"/>
      <c r="FF602" s="19"/>
      <c r="FG602" s="19"/>
      <c r="FH602" s="19"/>
      <c r="FI602" s="19"/>
      <c r="FJ602" s="19"/>
      <c r="FK602" s="19"/>
      <c r="FL602" s="19"/>
      <c r="FM602" s="19"/>
      <c r="FN602" s="19"/>
    </row>
    <row r="603">
      <c r="B603" s="93"/>
      <c r="C603" s="19"/>
      <c r="D603" s="90"/>
      <c r="E603" s="5"/>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19"/>
      <c r="CA603" s="19"/>
      <c r="CB603" s="19"/>
      <c r="CC603" s="19"/>
      <c r="CD603" s="19"/>
      <c r="CE603" s="19"/>
      <c r="CF603" s="19"/>
      <c r="CG603" s="19"/>
      <c r="CH603" s="19"/>
      <c r="CI603" s="19"/>
      <c r="CJ603" s="19"/>
      <c r="CK603" s="19"/>
      <c r="CL603" s="19"/>
      <c r="CM603" s="19"/>
      <c r="CN603" s="19"/>
      <c r="CO603" s="19"/>
      <c r="CP603" s="19"/>
      <c r="CQ603" s="19"/>
      <c r="CR603" s="19"/>
      <c r="CS603" s="19"/>
      <c r="CT603" s="19"/>
      <c r="CU603" s="19"/>
      <c r="CV603" s="19"/>
      <c r="CW603" s="19"/>
      <c r="CX603" s="19"/>
      <c r="CY603" s="19"/>
      <c r="CZ603" s="19"/>
      <c r="DA603" s="19"/>
      <c r="DB603" s="19"/>
      <c r="DC603" s="19"/>
      <c r="DD603" s="19"/>
      <c r="DE603" s="19"/>
      <c r="DF603" s="19"/>
      <c r="DG603" s="19"/>
      <c r="DH603" s="19"/>
      <c r="DI603" s="19"/>
      <c r="DJ603" s="19"/>
      <c r="DK603" s="19"/>
      <c r="DL603" s="19"/>
      <c r="DM603" s="19"/>
      <c r="DN603" s="19"/>
      <c r="DO603" s="19"/>
      <c r="DP603" s="19"/>
      <c r="DQ603" s="19"/>
      <c r="DR603" s="19"/>
      <c r="DS603" s="19"/>
      <c r="DT603" s="19"/>
      <c r="DU603" s="19"/>
      <c r="DV603" s="19"/>
      <c r="DW603" s="19"/>
      <c r="DX603" s="19"/>
      <c r="DY603" s="19"/>
      <c r="DZ603" s="19"/>
      <c r="EA603" s="19"/>
      <c r="EB603" s="19"/>
      <c r="EC603" s="19"/>
      <c r="ED603" s="19"/>
      <c r="EE603" s="19"/>
      <c r="EF603" s="19"/>
      <c r="EG603" s="19"/>
      <c r="EH603" s="19"/>
      <c r="EI603" s="19"/>
      <c r="EJ603" s="19"/>
      <c r="EK603" s="19"/>
      <c r="EL603" s="19"/>
      <c r="EM603" s="19"/>
      <c r="EN603" s="19"/>
      <c r="EO603" s="19"/>
      <c r="EP603" s="19"/>
      <c r="EQ603" s="19"/>
      <c r="ER603" s="19"/>
      <c r="ES603" s="19"/>
      <c r="ET603" s="19"/>
      <c r="EU603" s="19"/>
      <c r="EV603" s="19"/>
      <c r="EW603" s="19"/>
      <c r="EX603" s="19"/>
      <c r="EY603" s="19"/>
      <c r="EZ603" s="19"/>
      <c r="FA603" s="19"/>
      <c r="FB603" s="19"/>
      <c r="FC603" s="19"/>
      <c r="FD603" s="19"/>
      <c r="FE603" s="19"/>
      <c r="FF603" s="19"/>
      <c r="FG603" s="19"/>
      <c r="FH603" s="19"/>
      <c r="FI603" s="19"/>
      <c r="FJ603" s="19"/>
      <c r="FK603" s="19"/>
      <c r="FL603" s="19"/>
      <c r="FM603" s="19"/>
      <c r="FN603" s="19"/>
    </row>
    <row r="604">
      <c r="B604" s="93"/>
      <c r="C604" s="19"/>
      <c r="D604" s="90"/>
      <c r="E604" s="5"/>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row>
    <row r="605">
      <c r="B605" s="93"/>
      <c r="C605" s="19"/>
      <c r="D605" s="90"/>
      <c r="E605" s="5"/>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row>
    <row r="606">
      <c r="B606" s="93"/>
      <c r="C606" s="19"/>
      <c r="D606" s="90"/>
      <c r="E606" s="5"/>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row>
    <row r="607">
      <c r="B607" s="93"/>
      <c r="C607" s="19"/>
      <c r="D607" s="90"/>
      <c r="E607" s="5"/>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row>
    <row r="608">
      <c r="B608" s="93"/>
      <c r="C608" s="19"/>
      <c r="D608" s="90"/>
      <c r="E608" s="5"/>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row>
    <row r="609">
      <c r="B609" s="93"/>
      <c r="C609" s="19"/>
      <c r="D609" s="90"/>
      <c r="E609" s="5"/>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row>
    <row r="610">
      <c r="B610" s="93"/>
      <c r="C610" s="19"/>
      <c r="D610" s="90"/>
      <c r="E610" s="5"/>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row>
    <row r="611">
      <c r="B611" s="93"/>
      <c r="C611" s="19"/>
      <c r="D611" s="90"/>
      <c r="E611" s="5"/>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row>
    <row r="612">
      <c r="B612" s="93"/>
      <c r="C612" s="19"/>
      <c r="D612" s="90"/>
      <c r="E612" s="5"/>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row>
    <row r="613">
      <c r="B613" s="93"/>
      <c r="C613" s="19"/>
      <c r="D613" s="90"/>
      <c r="E613" s="5"/>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row>
    <row r="614">
      <c r="B614" s="93"/>
      <c r="C614" s="19"/>
      <c r="D614" s="90"/>
      <c r="E614" s="5"/>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19"/>
      <c r="CC614" s="19"/>
      <c r="CD614" s="19"/>
      <c r="CE614" s="19"/>
      <c r="CF614" s="19"/>
      <c r="CG614" s="19"/>
      <c r="CH614" s="19"/>
      <c r="CI614" s="19"/>
      <c r="CJ614" s="19"/>
      <c r="CK614" s="19"/>
      <c r="CL614" s="19"/>
      <c r="CM614" s="19"/>
      <c r="CN614" s="19"/>
      <c r="CO614" s="19"/>
      <c r="CP614" s="19"/>
      <c r="CQ614" s="19"/>
      <c r="CR614" s="19"/>
      <c r="CS614" s="19"/>
      <c r="CT614" s="19"/>
      <c r="CU614" s="19"/>
      <c r="CV614" s="19"/>
      <c r="CW614" s="19"/>
      <c r="CX614" s="19"/>
      <c r="CY614" s="19"/>
      <c r="CZ614" s="19"/>
      <c r="DA614" s="19"/>
      <c r="DB614" s="19"/>
      <c r="DC614" s="19"/>
      <c r="DD614" s="19"/>
      <c r="DE614" s="19"/>
      <c r="DF614" s="19"/>
      <c r="DG614" s="19"/>
      <c r="DH614" s="19"/>
      <c r="DI614" s="19"/>
      <c r="DJ614" s="19"/>
      <c r="DK614" s="19"/>
      <c r="DL614" s="19"/>
      <c r="DM614" s="19"/>
      <c r="DN614" s="19"/>
      <c r="DO614" s="19"/>
      <c r="DP614" s="19"/>
      <c r="DQ614" s="19"/>
      <c r="DR614" s="19"/>
      <c r="DS614" s="19"/>
      <c r="DT614" s="19"/>
      <c r="DU614" s="19"/>
      <c r="DV614" s="19"/>
      <c r="DW614" s="19"/>
      <c r="DX614" s="19"/>
      <c r="DY614" s="19"/>
      <c r="DZ614" s="19"/>
      <c r="EA614" s="19"/>
      <c r="EB614" s="19"/>
      <c r="EC614" s="19"/>
      <c r="ED614" s="19"/>
      <c r="EE614" s="19"/>
      <c r="EF614" s="19"/>
      <c r="EG614" s="19"/>
      <c r="EH614" s="19"/>
      <c r="EI614" s="19"/>
      <c r="EJ614" s="19"/>
      <c r="EK614" s="19"/>
      <c r="EL614" s="19"/>
      <c r="EM614" s="19"/>
      <c r="EN614" s="19"/>
      <c r="EO614" s="19"/>
      <c r="EP614" s="19"/>
      <c r="EQ614" s="19"/>
      <c r="ER614" s="19"/>
      <c r="ES614" s="19"/>
      <c r="ET614" s="19"/>
      <c r="EU614" s="19"/>
      <c r="EV614" s="19"/>
      <c r="EW614" s="19"/>
      <c r="EX614" s="19"/>
      <c r="EY614" s="19"/>
      <c r="EZ614" s="19"/>
      <c r="FA614" s="19"/>
      <c r="FB614" s="19"/>
      <c r="FC614" s="19"/>
      <c r="FD614" s="19"/>
      <c r="FE614" s="19"/>
      <c r="FF614" s="19"/>
      <c r="FG614" s="19"/>
      <c r="FH614" s="19"/>
      <c r="FI614" s="19"/>
      <c r="FJ614" s="19"/>
      <c r="FK614" s="19"/>
      <c r="FL614" s="19"/>
      <c r="FM614" s="19"/>
      <c r="FN614" s="19"/>
    </row>
    <row r="615">
      <c r="B615" s="93"/>
      <c r="C615" s="19"/>
      <c r="D615" s="90"/>
      <c r="E615" s="5"/>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19"/>
      <c r="BZ615" s="19"/>
      <c r="CA615" s="19"/>
      <c r="CB615" s="19"/>
      <c r="CC615" s="19"/>
      <c r="CD615" s="19"/>
      <c r="CE615" s="19"/>
      <c r="CF615" s="19"/>
      <c r="CG615" s="19"/>
      <c r="CH615" s="19"/>
      <c r="CI615" s="19"/>
      <c r="CJ615" s="19"/>
      <c r="CK615" s="19"/>
      <c r="CL615" s="19"/>
      <c r="CM615" s="19"/>
      <c r="CN615" s="19"/>
      <c r="CO615" s="19"/>
      <c r="CP615" s="19"/>
      <c r="CQ615" s="19"/>
      <c r="CR615" s="19"/>
      <c r="CS615" s="19"/>
      <c r="CT615" s="19"/>
      <c r="CU615" s="19"/>
      <c r="CV615" s="19"/>
      <c r="CW615" s="19"/>
      <c r="CX615" s="19"/>
      <c r="CY615" s="19"/>
      <c r="CZ615" s="19"/>
      <c r="DA615" s="19"/>
      <c r="DB615" s="19"/>
      <c r="DC615" s="19"/>
      <c r="DD615" s="19"/>
      <c r="DE615" s="19"/>
      <c r="DF615" s="19"/>
      <c r="DG615" s="19"/>
      <c r="DH615" s="19"/>
      <c r="DI615" s="19"/>
      <c r="DJ615" s="19"/>
      <c r="DK615" s="19"/>
      <c r="DL615" s="19"/>
      <c r="DM615" s="19"/>
      <c r="DN615" s="19"/>
      <c r="DO615" s="19"/>
      <c r="DP615" s="19"/>
      <c r="DQ615" s="19"/>
      <c r="DR615" s="19"/>
      <c r="DS615" s="19"/>
      <c r="DT615" s="19"/>
      <c r="DU615" s="19"/>
      <c r="DV615" s="19"/>
      <c r="DW615" s="19"/>
      <c r="DX615" s="19"/>
      <c r="DY615" s="19"/>
      <c r="DZ615" s="19"/>
      <c r="EA615" s="19"/>
      <c r="EB615" s="19"/>
      <c r="EC615" s="19"/>
      <c r="ED615" s="19"/>
      <c r="EE615" s="19"/>
      <c r="EF615" s="19"/>
      <c r="EG615" s="19"/>
      <c r="EH615" s="19"/>
      <c r="EI615" s="19"/>
      <c r="EJ615" s="19"/>
      <c r="EK615" s="19"/>
      <c r="EL615" s="19"/>
      <c r="EM615" s="19"/>
      <c r="EN615" s="19"/>
      <c r="EO615" s="19"/>
      <c r="EP615" s="19"/>
      <c r="EQ615" s="19"/>
      <c r="ER615" s="19"/>
      <c r="ES615" s="19"/>
      <c r="ET615" s="19"/>
      <c r="EU615" s="19"/>
      <c r="EV615" s="19"/>
      <c r="EW615" s="19"/>
      <c r="EX615" s="19"/>
      <c r="EY615" s="19"/>
      <c r="EZ615" s="19"/>
      <c r="FA615" s="19"/>
      <c r="FB615" s="19"/>
      <c r="FC615" s="19"/>
      <c r="FD615" s="19"/>
      <c r="FE615" s="19"/>
      <c r="FF615" s="19"/>
      <c r="FG615" s="19"/>
      <c r="FH615" s="19"/>
      <c r="FI615" s="19"/>
      <c r="FJ615" s="19"/>
      <c r="FK615" s="19"/>
      <c r="FL615" s="19"/>
      <c r="FM615" s="19"/>
      <c r="FN615" s="19"/>
    </row>
    <row r="616">
      <c r="B616" s="93"/>
      <c r="C616" s="19"/>
      <c r="D616" s="90"/>
      <c r="E616" s="5"/>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19"/>
      <c r="BZ616" s="19"/>
      <c r="CA616" s="19"/>
      <c r="CB616" s="19"/>
      <c r="CC616" s="19"/>
      <c r="CD616" s="19"/>
      <c r="CE616" s="19"/>
      <c r="CF616" s="19"/>
      <c r="CG616" s="19"/>
      <c r="CH616" s="19"/>
      <c r="CI616" s="19"/>
      <c r="CJ616" s="19"/>
      <c r="CK616" s="19"/>
      <c r="CL616" s="19"/>
      <c r="CM616" s="19"/>
      <c r="CN616" s="19"/>
      <c r="CO616" s="19"/>
      <c r="CP616" s="19"/>
      <c r="CQ616" s="19"/>
      <c r="CR616" s="19"/>
      <c r="CS616" s="19"/>
      <c r="CT616" s="19"/>
      <c r="CU616" s="19"/>
      <c r="CV616" s="19"/>
      <c r="CW616" s="19"/>
      <c r="CX616" s="19"/>
      <c r="CY616" s="19"/>
      <c r="CZ616" s="19"/>
      <c r="DA616" s="19"/>
      <c r="DB616" s="19"/>
      <c r="DC616" s="19"/>
      <c r="DD616" s="19"/>
      <c r="DE616" s="19"/>
      <c r="DF616" s="19"/>
      <c r="DG616" s="19"/>
      <c r="DH616" s="19"/>
      <c r="DI616" s="19"/>
      <c r="DJ616" s="19"/>
      <c r="DK616" s="19"/>
      <c r="DL616" s="19"/>
      <c r="DM616" s="19"/>
      <c r="DN616" s="19"/>
      <c r="DO616" s="19"/>
      <c r="DP616" s="19"/>
      <c r="DQ616" s="19"/>
      <c r="DR616" s="19"/>
      <c r="DS616" s="19"/>
      <c r="DT616" s="19"/>
      <c r="DU616" s="19"/>
      <c r="DV616" s="19"/>
      <c r="DW616" s="19"/>
      <c r="DX616" s="19"/>
      <c r="DY616" s="19"/>
      <c r="DZ616" s="19"/>
      <c r="EA616" s="19"/>
      <c r="EB616" s="19"/>
      <c r="EC616" s="19"/>
      <c r="ED616" s="19"/>
      <c r="EE616" s="19"/>
      <c r="EF616" s="19"/>
      <c r="EG616" s="19"/>
      <c r="EH616" s="19"/>
      <c r="EI616" s="19"/>
      <c r="EJ616" s="19"/>
      <c r="EK616" s="19"/>
      <c r="EL616" s="19"/>
      <c r="EM616" s="19"/>
      <c r="EN616" s="19"/>
      <c r="EO616" s="19"/>
      <c r="EP616" s="19"/>
      <c r="EQ616" s="19"/>
      <c r="ER616" s="19"/>
      <c r="ES616" s="19"/>
      <c r="ET616" s="19"/>
      <c r="EU616" s="19"/>
      <c r="EV616" s="19"/>
      <c r="EW616" s="19"/>
      <c r="EX616" s="19"/>
      <c r="EY616" s="19"/>
      <c r="EZ616" s="19"/>
      <c r="FA616" s="19"/>
      <c r="FB616" s="19"/>
      <c r="FC616" s="19"/>
      <c r="FD616" s="19"/>
      <c r="FE616" s="19"/>
      <c r="FF616" s="19"/>
      <c r="FG616" s="19"/>
      <c r="FH616" s="19"/>
      <c r="FI616" s="19"/>
      <c r="FJ616" s="19"/>
      <c r="FK616" s="19"/>
      <c r="FL616" s="19"/>
      <c r="FM616" s="19"/>
      <c r="FN616" s="19"/>
    </row>
    <row r="617">
      <c r="B617" s="93"/>
      <c r="C617" s="19"/>
      <c r="D617" s="90"/>
      <c r="E617" s="5"/>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19"/>
      <c r="BZ617" s="19"/>
      <c r="CA617" s="19"/>
      <c r="CB617" s="19"/>
      <c r="CC617" s="19"/>
      <c r="CD617" s="19"/>
      <c r="CE617" s="19"/>
      <c r="CF617" s="19"/>
      <c r="CG617" s="19"/>
      <c r="CH617" s="19"/>
      <c r="CI617" s="19"/>
      <c r="CJ617" s="19"/>
      <c r="CK617" s="19"/>
      <c r="CL617" s="19"/>
      <c r="CM617" s="19"/>
      <c r="CN617" s="19"/>
      <c r="CO617" s="19"/>
      <c r="CP617" s="19"/>
      <c r="CQ617" s="19"/>
      <c r="CR617" s="19"/>
      <c r="CS617" s="19"/>
      <c r="CT617" s="19"/>
      <c r="CU617" s="19"/>
      <c r="CV617" s="19"/>
      <c r="CW617" s="19"/>
      <c r="CX617" s="19"/>
      <c r="CY617" s="19"/>
      <c r="CZ617" s="19"/>
      <c r="DA617" s="19"/>
      <c r="DB617" s="19"/>
      <c r="DC617" s="19"/>
      <c r="DD617" s="19"/>
      <c r="DE617" s="19"/>
      <c r="DF617" s="19"/>
      <c r="DG617" s="19"/>
      <c r="DH617" s="19"/>
      <c r="DI617" s="19"/>
      <c r="DJ617" s="19"/>
      <c r="DK617" s="19"/>
      <c r="DL617" s="19"/>
      <c r="DM617" s="19"/>
      <c r="DN617" s="19"/>
      <c r="DO617" s="19"/>
      <c r="DP617" s="19"/>
      <c r="DQ617" s="19"/>
      <c r="DR617" s="19"/>
      <c r="DS617" s="19"/>
      <c r="DT617" s="19"/>
      <c r="DU617" s="19"/>
      <c r="DV617" s="19"/>
      <c r="DW617" s="19"/>
      <c r="DX617" s="19"/>
      <c r="DY617" s="19"/>
      <c r="DZ617" s="19"/>
      <c r="EA617" s="19"/>
      <c r="EB617" s="19"/>
      <c r="EC617" s="19"/>
      <c r="ED617" s="19"/>
      <c r="EE617" s="19"/>
      <c r="EF617" s="19"/>
      <c r="EG617" s="19"/>
      <c r="EH617" s="19"/>
      <c r="EI617" s="19"/>
      <c r="EJ617" s="19"/>
      <c r="EK617" s="19"/>
      <c r="EL617" s="19"/>
      <c r="EM617" s="19"/>
      <c r="EN617" s="19"/>
      <c r="EO617" s="19"/>
      <c r="EP617" s="19"/>
      <c r="EQ617" s="19"/>
      <c r="ER617" s="19"/>
      <c r="ES617" s="19"/>
      <c r="ET617" s="19"/>
      <c r="EU617" s="19"/>
      <c r="EV617" s="19"/>
      <c r="EW617" s="19"/>
      <c r="EX617" s="19"/>
      <c r="EY617" s="19"/>
      <c r="EZ617" s="19"/>
      <c r="FA617" s="19"/>
      <c r="FB617" s="19"/>
      <c r="FC617" s="19"/>
      <c r="FD617" s="19"/>
      <c r="FE617" s="19"/>
      <c r="FF617" s="19"/>
      <c r="FG617" s="19"/>
      <c r="FH617" s="19"/>
      <c r="FI617" s="19"/>
      <c r="FJ617" s="19"/>
      <c r="FK617" s="19"/>
      <c r="FL617" s="19"/>
      <c r="FM617" s="19"/>
      <c r="FN617" s="19"/>
    </row>
    <row r="618">
      <c r="B618" s="93"/>
      <c r="C618" s="19"/>
      <c r="D618" s="90"/>
      <c r="E618" s="5"/>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19"/>
      <c r="BZ618" s="19"/>
      <c r="CA618" s="19"/>
      <c r="CB618" s="19"/>
      <c r="CC618" s="19"/>
      <c r="CD618" s="19"/>
      <c r="CE618" s="19"/>
      <c r="CF618" s="19"/>
      <c r="CG618" s="19"/>
      <c r="CH618" s="19"/>
      <c r="CI618" s="19"/>
      <c r="CJ618" s="19"/>
      <c r="CK618" s="19"/>
      <c r="CL618" s="19"/>
      <c r="CM618" s="19"/>
      <c r="CN618" s="19"/>
      <c r="CO618" s="19"/>
      <c r="CP618" s="19"/>
      <c r="CQ618" s="19"/>
      <c r="CR618" s="19"/>
      <c r="CS618" s="19"/>
      <c r="CT618" s="19"/>
      <c r="CU618" s="19"/>
      <c r="CV618" s="19"/>
      <c r="CW618" s="19"/>
      <c r="CX618" s="19"/>
      <c r="CY618" s="19"/>
      <c r="CZ618" s="19"/>
      <c r="DA618" s="19"/>
      <c r="DB618" s="19"/>
      <c r="DC618" s="19"/>
      <c r="DD618" s="19"/>
      <c r="DE618" s="19"/>
      <c r="DF618" s="19"/>
      <c r="DG618" s="19"/>
      <c r="DH618" s="19"/>
      <c r="DI618" s="19"/>
      <c r="DJ618" s="19"/>
      <c r="DK618" s="19"/>
      <c r="DL618" s="19"/>
      <c r="DM618" s="19"/>
      <c r="DN618" s="19"/>
      <c r="DO618" s="19"/>
      <c r="DP618" s="19"/>
      <c r="DQ618" s="19"/>
      <c r="DR618" s="19"/>
      <c r="DS618" s="19"/>
      <c r="DT618" s="19"/>
      <c r="DU618" s="19"/>
      <c r="DV618" s="19"/>
      <c r="DW618" s="19"/>
      <c r="DX618" s="19"/>
      <c r="DY618" s="19"/>
      <c r="DZ618" s="19"/>
      <c r="EA618" s="19"/>
      <c r="EB618" s="19"/>
      <c r="EC618" s="19"/>
      <c r="ED618" s="19"/>
      <c r="EE618" s="19"/>
      <c r="EF618" s="19"/>
      <c r="EG618" s="19"/>
      <c r="EH618" s="19"/>
      <c r="EI618" s="19"/>
      <c r="EJ618" s="19"/>
      <c r="EK618" s="19"/>
      <c r="EL618" s="19"/>
      <c r="EM618" s="19"/>
      <c r="EN618" s="19"/>
      <c r="EO618" s="19"/>
      <c r="EP618" s="19"/>
      <c r="EQ618" s="19"/>
      <c r="ER618" s="19"/>
      <c r="ES618" s="19"/>
      <c r="ET618" s="19"/>
      <c r="EU618" s="19"/>
      <c r="EV618" s="19"/>
      <c r="EW618" s="19"/>
      <c r="EX618" s="19"/>
      <c r="EY618" s="19"/>
      <c r="EZ618" s="19"/>
      <c r="FA618" s="19"/>
      <c r="FB618" s="19"/>
      <c r="FC618" s="19"/>
      <c r="FD618" s="19"/>
      <c r="FE618" s="19"/>
      <c r="FF618" s="19"/>
      <c r="FG618" s="19"/>
      <c r="FH618" s="19"/>
      <c r="FI618" s="19"/>
      <c r="FJ618" s="19"/>
      <c r="FK618" s="19"/>
      <c r="FL618" s="19"/>
      <c r="FM618" s="19"/>
      <c r="FN618" s="19"/>
    </row>
    <row r="619">
      <c r="B619" s="93"/>
      <c r="C619" s="19"/>
      <c r="D619" s="90"/>
      <c r="E619" s="5"/>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19"/>
      <c r="BZ619" s="19"/>
      <c r="CA619" s="19"/>
      <c r="CB619" s="19"/>
      <c r="CC619" s="19"/>
      <c r="CD619" s="19"/>
      <c r="CE619" s="19"/>
      <c r="CF619" s="19"/>
      <c r="CG619" s="19"/>
      <c r="CH619" s="19"/>
      <c r="CI619" s="19"/>
      <c r="CJ619" s="19"/>
      <c r="CK619" s="19"/>
      <c r="CL619" s="19"/>
      <c r="CM619" s="19"/>
      <c r="CN619" s="19"/>
      <c r="CO619" s="19"/>
      <c r="CP619" s="19"/>
      <c r="CQ619" s="19"/>
      <c r="CR619" s="19"/>
      <c r="CS619" s="19"/>
      <c r="CT619" s="19"/>
      <c r="CU619" s="19"/>
      <c r="CV619" s="19"/>
      <c r="CW619" s="19"/>
      <c r="CX619" s="19"/>
      <c r="CY619" s="19"/>
      <c r="CZ619" s="19"/>
      <c r="DA619" s="19"/>
      <c r="DB619" s="19"/>
      <c r="DC619" s="19"/>
      <c r="DD619" s="19"/>
      <c r="DE619" s="19"/>
      <c r="DF619" s="19"/>
      <c r="DG619" s="19"/>
      <c r="DH619" s="19"/>
      <c r="DI619" s="19"/>
      <c r="DJ619" s="19"/>
      <c r="DK619" s="19"/>
      <c r="DL619" s="19"/>
      <c r="DM619" s="19"/>
      <c r="DN619" s="19"/>
      <c r="DO619" s="19"/>
      <c r="DP619" s="19"/>
      <c r="DQ619" s="19"/>
      <c r="DR619" s="19"/>
      <c r="DS619" s="19"/>
      <c r="DT619" s="19"/>
      <c r="DU619" s="19"/>
      <c r="DV619" s="19"/>
      <c r="DW619" s="19"/>
      <c r="DX619" s="19"/>
      <c r="DY619" s="19"/>
      <c r="DZ619" s="19"/>
      <c r="EA619" s="19"/>
      <c r="EB619" s="19"/>
      <c r="EC619" s="19"/>
      <c r="ED619" s="19"/>
      <c r="EE619" s="19"/>
      <c r="EF619" s="19"/>
      <c r="EG619" s="19"/>
      <c r="EH619" s="19"/>
      <c r="EI619" s="19"/>
      <c r="EJ619" s="19"/>
      <c r="EK619" s="19"/>
      <c r="EL619" s="19"/>
      <c r="EM619" s="19"/>
      <c r="EN619" s="19"/>
      <c r="EO619" s="19"/>
      <c r="EP619" s="19"/>
      <c r="EQ619" s="19"/>
      <c r="ER619" s="19"/>
      <c r="ES619" s="19"/>
      <c r="ET619" s="19"/>
      <c r="EU619" s="19"/>
      <c r="EV619" s="19"/>
      <c r="EW619" s="19"/>
      <c r="EX619" s="19"/>
      <c r="EY619" s="19"/>
      <c r="EZ619" s="19"/>
      <c r="FA619" s="19"/>
      <c r="FB619" s="19"/>
      <c r="FC619" s="19"/>
      <c r="FD619" s="19"/>
      <c r="FE619" s="19"/>
      <c r="FF619" s="19"/>
      <c r="FG619" s="19"/>
      <c r="FH619" s="19"/>
      <c r="FI619" s="19"/>
      <c r="FJ619" s="19"/>
      <c r="FK619" s="19"/>
      <c r="FL619" s="19"/>
      <c r="FM619" s="19"/>
      <c r="FN619" s="19"/>
    </row>
    <row r="620">
      <c r="B620" s="93"/>
      <c r="C620" s="19"/>
      <c r="D620" s="90"/>
      <c r="E620" s="5"/>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19"/>
      <c r="BZ620" s="19"/>
      <c r="CA620" s="19"/>
      <c r="CB620" s="19"/>
      <c r="CC620" s="19"/>
      <c r="CD620" s="19"/>
      <c r="CE620" s="19"/>
      <c r="CF620" s="19"/>
      <c r="CG620" s="19"/>
      <c r="CH620" s="19"/>
      <c r="CI620" s="19"/>
      <c r="CJ620" s="19"/>
      <c r="CK620" s="19"/>
      <c r="CL620" s="19"/>
      <c r="CM620" s="19"/>
      <c r="CN620" s="19"/>
      <c r="CO620" s="19"/>
      <c r="CP620" s="19"/>
      <c r="CQ620" s="19"/>
      <c r="CR620" s="19"/>
      <c r="CS620" s="19"/>
      <c r="CT620" s="19"/>
      <c r="CU620" s="19"/>
      <c r="CV620" s="19"/>
      <c r="CW620" s="19"/>
      <c r="CX620" s="19"/>
      <c r="CY620" s="19"/>
      <c r="CZ620" s="19"/>
      <c r="DA620" s="19"/>
      <c r="DB620" s="19"/>
      <c r="DC620" s="19"/>
      <c r="DD620" s="19"/>
      <c r="DE620" s="19"/>
      <c r="DF620" s="19"/>
      <c r="DG620" s="19"/>
      <c r="DH620" s="19"/>
      <c r="DI620" s="19"/>
      <c r="DJ620" s="19"/>
      <c r="DK620" s="19"/>
      <c r="DL620" s="19"/>
      <c r="DM620" s="19"/>
      <c r="DN620" s="19"/>
      <c r="DO620" s="19"/>
      <c r="DP620" s="19"/>
      <c r="DQ620" s="19"/>
      <c r="DR620" s="19"/>
      <c r="DS620" s="19"/>
      <c r="DT620" s="19"/>
      <c r="DU620" s="19"/>
      <c r="DV620" s="19"/>
      <c r="DW620" s="19"/>
      <c r="DX620" s="19"/>
      <c r="DY620" s="19"/>
      <c r="DZ620" s="19"/>
      <c r="EA620" s="19"/>
      <c r="EB620" s="19"/>
      <c r="EC620" s="19"/>
      <c r="ED620" s="19"/>
      <c r="EE620" s="19"/>
      <c r="EF620" s="19"/>
      <c r="EG620" s="19"/>
      <c r="EH620" s="19"/>
      <c r="EI620" s="19"/>
      <c r="EJ620" s="19"/>
      <c r="EK620" s="19"/>
      <c r="EL620" s="19"/>
      <c r="EM620" s="19"/>
      <c r="EN620" s="19"/>
      <c r="EO620" s="19"/>
      <c r="EP620" s="19"/>
      <c r="EQ620" s="19"/>
      <c r="ER620" s="19"/>
      <c r="ES620" s="19"/>
      <c r="ET620" s="19"/>
      <c r="EU620" s="19"/>
      <c r="EV620" s="19"/>
      <c r="EW620" s="19"/>
      <c r="EX620" s="19"/>
      <c r="EY620" s="19"/>
      <c r="EZ620" s="19"/>
      <c r="FA620" s="19"/>
      <c r="FB620" s="19"/>
      <c r="FC620" s="19"/>
      <c r="FD620" s="19"/>
      <c r="FE620" s="19"/>
      <c r="FF620" s="19"/>
      <c r="FG620" s="19"/>
      <c r="FH620" s="19"/>
      <c r="FI620" s="19"/>
      <c r="FJ620" s="19"/>
      <c r="FK620" s="19"/>
      <c r="FL620" s="19"/>
      <c r="FM620" s="19"/>
      <c r="FN620" s="19"/>
    </row>
    <row r="621">
      <c r="B621" s="93"/>
      <c r="C621" s="19"/>
      <c r="D621" s="90"/>
      <c r="E621" s="5"/>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19"/>
      <c r="BZ621" s="19"/>
      <c r="CA621" s="19"/>
      <c r="CB621" s="19"/>
      <c r="CC621" s="19"/>
      <c r="CD621" s="19"/>
      <c r="CE621" s="19"/>
      <c r="CF621" s="19"/>
      <c r="CG621" s="19"/>
      <c r="CH621" s="19"/>
      <c r="CI621" s="19"/>
      <c r="CJ621" s="19"/>
      <c r="CK621" s="19"/>
      <c r="CL621" s="19"/>
      <c r="CM621" s="19"/>
      <c r="CN621" s="19"/>
      <c r="CO621" s="19"/>
      <c r="CP621" s="19"/>
      <c r="CQ621" s="19"/>
      <c r="CR621" s="19"/>
      <c r="CS621" s="19"/>
      <c r="CT621" s="19"/>
      <c r="CU621" s="19"/>
      <c r="CV621" s="19"/>
      <c r="CW621" s="19"/>
      <c r="CX621" s="19"/>
      <c r="CY621" s="19"/>
      <c r="CZ621" s="19"/>
      <c r="DA621" s="19"/>
      <c r="DB621" s="19"/>
      <c r="DC621" s="19"/>
      <c r="DD621" s="19"/>
      <c r="DE621" s="19"/>
      <c r="DF621" s="19"/>
      <c r="DG621" s="19"/>
      <c r="DH621" s="19"/>
      <c r="DI621" s="19"/>
      <c r="DJ621" s="19"/>
      <c r="DK621" s="19"/>
      <c r="DL621" s="19"/>
      <c r="DM621" s="19"/>
      <c r="DN621" s="19"/>
      <c r="DO621" s="19"/>
      <c r="DP621" s="19"/>
      <c r="DQ621" s="19"/>
      <c r="DR621" s="19"/>
      <c r="DS621" s="19"/>
      <c r="DT621" s="19"/>
      <c r="DU621" s="19"/>
      <c r="DV621" s="19"/>
      <c r="DW621" s="19"/>
      <c r="DX621" s="19"/>
      <c r="DY621" s="19"/>
      <c r="DZ621" s="19"/>
      <c r="EA621" s="19"/>
      <c r="EB621" s="19"/>
      <c r="EC621" s="19"/>
      <c r="ED621" s="19"/>
      <c r="EE621" s="19"/>
      <c r="EF621" s="19"/>
      <c r="EG621" s="19"/>
      <c r="EH621" s="19"/>
      <c r="EI621" s="19"/>
      <c r="EJ621" s="19"/>
      <c r="EK621" s="19"/>
      <c r="EL621" s="19"/>
      <c r="EM621" s="19"/>
      <c r="EN621" s="19"/>
      <c r="EO621" s="19"/>
      <c r="EP621" s="19"/>
      <c r="EQ621" s="19"/>
      <c r="ER621" s="19"/>
      <c r="ES621" s="19"/>
      <c r="ET621" s="19"/>
      <c r="EU621" s="19"/>
      <c r="EV621" s="19"/>
      <c r="EW621" s="19"/>
      <c r="EX621" s="19"/>
      <c r="EY621" s="19"/>
      <c r="EZ621" s="19"/>
      <c r="FA621" s="19"/>
      <c r="FB621" s="19"/>
      <c r="FC621" s="19"/>
      <c r="FD621" s="19"/>
      <c r="FE621" s="19"/>
      <c r="FF621" s="19"/>
      <c r="FG621" s="19"/>
      <c r="FH621" s="19"/>
      <c r="FI621" s="19"/>
      <c r="FJ621" s="19"/>
      <c r="FK621" s="19"/>
      <c r="FL621" s="19"/>
      <c r="FM621" s="19"/>
      <c r="FN621" s="19"/>
    </row>
    <row r="622">
      <c r="B622" s="93"/>
      <c r="C622" s="19"/>
      <c r="D622" s="90"/>
      <c r="E622" s="5"/>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9"/>
      <c r="CR622" s="19"/>
      <c r="CS622" s="19"/>
      <c r="CT622" s="19"/>
      <c r="CU622" s="19"/>
      <c r="CV622" s="19"/>
      <c r="CW622" s="19"/>
      <c r="CX622" s="19"/>
      <c r="CY622" s="19"/>
      <c r="CZ622" s="19"/>
      <c r="DA622" s="19"/>
      <c r="DB622" s="19"/>
      <c r="DC622" s="19"/>
      <c r="DD622" s="19"/>
      <c r="DE622" s="19"/>
      <c r="DF622" s="19"/>
      <c r="DG622" s="19"/>
      <c r="DH622" s="19"/>
      <c r="DI622" s="19"/>
      <c r="DJ622" s="19"/>
      <c r="DK622" s="19"/>
      <c r="DL622" s="19"/>
      <c r="DM622" s="19"/>
      <c r="DN622" s="19"/>
      <c r="DO622" s="19"/>
      <c r="DP622" s="19"/>
      <c r="DQ622" s="19"/>
      <c r="DR622" s="19"/>
      <c r="DS622" s="19"/>
      <c r="DT622" s="19"/>
      <c r="DU622" s="19"/>
      <c r="DV622" s="19"/>
      <c r="DW622" s="19"/>
      <c r="DX622" s="19"/>
      <c r="DY622" s="19"/>
      <c r="DZ622" s="19"/>
      <c r="EA622" s="19"/>
      <c r="EB622" s="19"/>
      <c r="EC622" s="19"/>
      <c r="ED622" s="19"/>
      <c r="EE622" s="19"/>
      <c r="EF622" s="19"/>
      <c r="EG622" s="19"/>
      <c r="EH622" s="19"/>
      <c r="EI622" s="19"/>
      <c r="EJ622" s="19"/>
      <c r="EK622" s="19"/>
      <c r="EL622" s="19"/>
      <c r="EM622" s="19"/>
      <c r="EN622" s="19"/>
      <c r="EO622" s="19"/>
      <c r="EP622" s="19"/>
      <c r="EQ622" s="19"/>
      <c r="ER622" s="19"/>
      <c r="ES622" s="19"/>
      <c r="ET622" s="19"/>
      <c r="EU622" s="19"/>
      <c r="EV622" s="19"/>
      <c r="EW622" s="19"/>
      <c r="EX622" s="19"/>
      <c r="EY622" s="19"/>
      <c r="EZ622" s="19"/>
      <c r="FA622" s="19"/>
      <c r="FB622" s="19"/>
      <c r="FC622" s="19"/>
      <c r="FD622" s="19"/>
      <c r="FE622" s="19"/>
      <c r="FF622" s="19"/>
      <c r="FG622" s="19"/>
      <c r="FH622" s="19"/>
      <c r="FI622" s="19"/>
      <c r="FJ622" s="19"/>
      <c r="FK622" s="19"/>
      <c r="FL622" s="19"/>
      <c r="FM622" s="19"/>
      <c r="FN622" s="19"/>
    </row>
    <row r="623">
      <c r="B623" s="93"/>
      <c r="C623" s="19"/>
      <c r="D623" s="90"/>
      <c r="E623" s="5"/>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19"/>
      <c r="CA623" s="19"/>
      <c r="CB623" s="19"/>
      <c r="CC623" s="19"/>
      <c r="CD623" s="19"/>
      <c r="CE623" s="19"/>
      <c r="CF623" s="19"/>
      <c r="CG623" s="19"/>
      <c r="CH623" s="19"/>
      <c r="CI623" s="19"/>
      <c r="CJ623" s="19"/>
      <c r="CK623" s="19"/>
      <c r="CL623" s="19"/>
      <c r="CM623" s="19"/>
      <c r="CN623" s="19"/>
      <c r="CO623" s="19"/>
      <c r="CP623" s="19"/>
      <c r="CQ623" s="19"/>
      <c r="CR623" s="19"/>
      <c r="CS623" s="19"/>
      <c r="CT623" s="19"/>
      <c r="CU623" s="19"/>
      <c r="CV623" s="19"/>
      <c r="CW623" s="19"/>
      <c r="CX623" s="19"/>
      <c r="CY623" s="19"/>
      <c r="CZ623" s="19"/>
      <c r="DA623" s="19"/>
      <c r="DB623" s="19"/>
      <c r="DC623" s="19"/>
      <c r="DD623" s="19"/>
      <c r="DE623" s="19"/>
      <c r="DF623" s="19"/>
      <c r="DG623" s="19"/>
      <c r="DH623" s="19"/>
      <c r="DI623" s="19"/>
      <c r="DJ623" s="19"/>
      <c r="DK623" s="19"/>
      <c r="DL623" s="19"/>
      <c r="DM623" s="19"/>
      <c r="DN623" s="19"/>
      <c r="DO623" s="19"/>
      <c r="DP623" s="19"/>
      <c r="DQ623" s="19"/>
      <c r="DR623" s="19"/>
      <c r="DS623" s="19"/>
      <c r="DT623" s="19"/>
      <c r="DU623" s="19"/>
      <c r="DV623" s="19"/>
      <c r="DW623" s="19"/>
      <c r="DX623" s="19"/>
      <c r="DY623" s="19"/>
      <c r="DZ623" s="19"/>
      <c r="EA623" s="19"/>
      <c r="EB623" s="19"/>
      <c r="EC623" s="19"/>
      <c r="ED623" s="19"/>
      <c r="EE623" s="19"/>
      <c r="EF623" s="19"/>
      <c r="EG623" s="19"/>
      <c r="EH623" s="19"/>
      <c r="EI623" s="19"/>
      <c r="EJ623" s="19"/>
      <c r="EK623" s="19"/>
      <c r="EL623" s="19"/>
      <c r="EM623" s="19"/>
      <c r="EN623" s="19"/>
      <c r="EO623" s="19"/>
      <c r="EP623" s="19"/>
      <c r="EQ623" s="19"/>
      <c r="ER623" s="19"/>
      <c r="ES623" s="19"/>
      <c r="ET623" s="19"/>
      <c r="EU623" s="19"/>
      <c r="EV623" s="19"/>
      <c r="EW623" s="19"/>
      <c r="EX623" s="19"/>
      <c r="EY623" s="19"/>
      <c r="EZ623" s="19"/>
      <c r="FA623" s="19"/>
      <c r="FB623" s="19"/>
      <c r="FC623" s="19"/>
      <c r="FD623" s="19"/>
      <c r="FE623" s="19"/>
      <c r="FF623" s="19"/>
      <c r="FG623" s="19"/>
      <c r="FH623" s="19"/>
      <c r="FI623" s="19"/>
      <c r="FJ623" s="19"/>
      <c r="FK623" s="19"/>
      <c r="FL623" s="19"/>
      <c r="FM623" s="19"/>
      <c r="FN623" s="19"/>
    </row>
    <row r="624">
      <c r="B624" s="93"/>
      <c r="C624" s="19"/>
      <c r="D624" s="90"/>
      <c r="E624" s="5"/>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19"/>
      <c r="CA624" s="19"/>
      <c r="CB624" s="19"/>
      <c r="CC624" s="19"/>
      <c r="CD624" s="19"/>
      <c r="CE624" s="19"/>
      <c r="CF624" s="19"/>
      <c r="CG624" s="19"/>
      <c r="CH624" s="19"/>
      <c r="CI624" s="19"/>
      <c r="CJ624" s="19"/>
      <c r="CK624" s="19"/>
      <c r="CL624" s="19"/>
      <c r="CM624" s="19"/>
      <c r="CN624" s="19"/>
      <c r="CO624" s="19"/>
      <c r="CP624" s="19"/>
      <c r="CQ624" s="19"/>
      <c r="CR624" s="19"/>
      <c r="CS624" s="19"/>
      <c r="CT624" s="19"/>
      <c r="CU624" s="19"/>
      <c r="CV624" s="19"/>
      <c r="CW624" s="19"/>
      <c r="CX624" s="19"/>
      <c r="CY624" s="19"/>
      <c r="CZ624" s="19"/>
      <c r="DA624" s="19"/>
      <c r="DB624" s="19"/>
      <c r="DC624" s="19"/>
      <c r="DD624" s="19"/>
      <c r="DE624" s="19"/>
      <c r="DF624" s="19"/>
      <c r="DG624" s="19"/>
      <c r="DH624" s="19"/>
      <c r="DI624" s="19"/>
      <c r="DJ624" s="19"/>
      <c r="DK624" s="19"/>
      <c r="DL624" s="19"/>
      <c r="DM624" s="19"/>
      <c r="DN624" s="19"/>
      <c r="DO624" s="19"/>
      <c r="DP624" s="19"/>
      <c r="DQ624" s="19"/>
      <c r="DR624" s="19"/>
      <c r="DS624" s="19"/>
      <c r="DT624" s="19"/>
      <c r="DU624" s="19"/>
      <c r="DV624" s="19"/>
      <c r="DW624" s="19"/>
      <c r="DX624" s="19"/>
      <c r="DY624" s="19"/>
      <c r="DZ624" s="19"/>
      <c r="EA624" s="19"/>
      <c r="EB624" s="19"/>
      <c r="EC624" s="19"/>
      <c r="ED624" s="19"/>
      <c r="EE624" s="19"/>
      <c r="EF624" s="19"/>
      <c r="EG624" s="19"/>
      <c r="EH624" s="19"/>
      <c r="EI624" s="19"/>
      <c r="EJ624" s="19"/>
      <c r="EK624" s="19"/>
      <c r="EL624" s="19"/>
      <c r="EM624" s="19"/>
      <c r="EN624" s="19"/>
      <c r="EO624" s="19"/>
      <c r="EP624" s="19"/>
      <c r="EQ624" s="19"/>
      <c r="ER624" s="19"/>
      <c r="ES624" s="19"/>
      <c r="ET624" s="19"/>
      <c r="EU624" s="19"/>
      <c r="EV624" s="19"/>
      <c r="EW624" s="19"/>
      <c r="EX624" s="19"/>
      <c r="EY624" s="19"/>
      <c r="EZ624" s="19"/>
      <c r="FA624" s="19"/>
      <c r="FB624" s="19"/>
      <c r="FC624" s="19"/>
      <c r="FD624" s="19"/>
      <c r="FE624" s="19"/>
      <c r="FF624" s="19"/>
      <c r="FG624" s="19"/>
      <c r="FH624" s="19"/>
      <c r="FI624" s="19"/>
      <c r="FJ624" s="19"/>
      <c r="FK624" s="19"/>
      <c r="FL624" s="19"/>
      <c r="FM624" s="19"/>
      <c r="FN624" s="19"/>
    </row>
    <row r="625">
      <c r="B625" s="93"/>
      <c r="C625" s="19"/>
      <c r="D625" s="90"/>
      <c r="E625" s="5"/>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19"/>
      <c r="CA625" s="19"/>
      <c r="CB625" s="19"/>
      <c r="CC625" s="19"/>
      <c r="CD625" s="19"/>
      <c r="CE625" s="19"/>
      <c r="CF625" s="19"/>
      <c r="CG625" s="19"/>
      <c r="CH625" s="19"/>
      <c r="CI625" s="19"/>
      <c r="CJ625" s="19"/>
      <c r="CK625" s="19"/>
      <c r="CL625" s="19"/>
      <c r="CM625" s="19"/>
      <c r="CN625" s="19"/>
      <c r="CO625" s="19"/>
      <c r="CP625" s="19"/>
      <c r="CQ625" s="19"/>
      <c r="CR625" s="19"/>
      <c r="CS625" s="19"/>
      <c r="CT625" s="19"/>
      <c r="CU625" s="19"/>
      <c r="CV625" s="19"/>
      <c r="CW625" s="19"/>
      <c r="CX625" s="19"/>
      <c r="CY625" s="19"/>
      <c r="CZ625" s="19"/>
      <c r="DA625" s="19"/>
      <c r="DB625" s="19"/>
      <c r="DC625" s="19"/>
      <c r="DD625" s="19"/>
      <c r="DE625" s="19"/>
      <c r="DF625" s="19"/>
      <c r="DG625" s="19"/>
      <c r="DH625" s="19"/>
      <c r="DI625" s="19"/>
      <c r="DJ625" s="19"/>
      <c r="DK625" s="19"/>
      <c r="DL625" s="19"/>
      <c r="DM625" s="19"/>
      <c r="DN625" s="19"/>
      <c r="DO625" s="19"/>
      <c r="DP625" s="19"/>
      <c r="DQ625" s="19"/>
      <c r="DR625" s="19"/>
      <c r="DS625" s="19"/>
      <c r="DT625" s="19"/>
      <c r="DU625" s="19"/>
      <c r="DV625" s="19"/>
      <c r="DW625" s="19"/>
      <c r="DX625" s="19"/>
      <c r="DY625" s="19"/>
      <c r="DZ625" s="19"/>
      <c r="EA625" s="19"/>
      <c r="EB625" s="19"/>
      <c r="EC625" s="19"/>
      <c r="ED625" s="19"/>
      <c r="EE625" s="19"/>
      <c r="EF625" s="19"/>
      <c r="EG625" s="19"/>
      <c r="EH625" s="19"/>
      <c r="EI625" s="19"/>
      <c r="EJ625" s="19"/>
      <c r="EK625" s="19"/>
      <c r="EL625" s="19"/>
      <c r="EM625" s="19"/>
      <c r="EN625" s="19"/>
      <c r="EO625" s="19"/>
      <c r="EP625" s="19"/>
      <c r="EQ625" s="19"/>
      <c r="ER625" s="19"/>
      <c r="ES625" s="19"/>
      <c r="ET625" s="19"/>
      <c r="EU625" s="19"/>
      <c r="EV625" s="19"/>
      <c r="EW625" s="19"/>
      <c r="EX625" s="19"/>
      <c r="EY625" s="19"/>
      <c r="EZ625" s="19"/>
      <c r="FA625" s="19"/>
      <c r="FB625" s="19"/>
      <c r="FC625" s="19"/>
      <c r="FD625" s="19"/>
      <c r="FE625" s="19"/>
      <c r="FF625" s="19"/>
      <c r="FG625" s="19"/>
      <c r="FH625" s="19"/>
      <c r="FI625" s="19"/>
      <c r="FJ625" s="19"/>
      <c r="FK625" s="19"/>
      <c r="FL625" s="19"/>
      <c r="FM625" s="19"/>
      <c r="FN625" s="19"/>
    </row>
    <row r="626">
      <c r="B626" s="93"/>
      <c r="C626" s="19"/>
      <c r="D626" s="90"/>
      <c r="E626" s="5"/>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19"/>
      <c r="CA626" s="19"/>
      <c r="CB626" s="19"/>
      <c r="CC626" s="19"/>
      <c r="CD626" s="19"/>
      <c r="CE626" s="19"/>
      <c r="CF626" s="19"/>
      <c r="CG626" s="19"/>
      <c r="CH626" s="19"/>
      <c r="CI626" s="19"/>
      <c r="CJ626" s="19"/>
      <c r="CK626" s="19"/>
      <c r="CL626" s="19"/>
      <c r="CM626" s="19"/>
      <c r="CN626" s="19"/>
      <c r="CO626" s="19"/>
      <c r="CP626" s="19"/>
      <c r="CQ626" s="19"/>
      <c r="CR626" s="19"/>
      <c r="CS626" s="19"/>
      <c r="CT626" s="19"/>
      <c r="CU626" s="19"/>
      <c r="CV626" s="19"/>
      <c r="CW626" s="19"/>
      <c r="CX626" s="19"/>
      <c r="CY626" s="19"/>
      <c r="CZ626" s="19"/>
      <c r="DA626" s="19"/>
      <c r="DB626" s="19"/>
      <c r="DC626" s="19"/>
      <c r="DD626" s="19"/>
      <c r="DE626" s="19"/>
      <c r="DF626" s="19"/>
      <c r="DG626" s="19"/>
      <c r="DH626" s="19"/>
      <c r="DI626" s="19"/>
      <c r="DJ626" s="19"/>
      <c r="DK626" s="19"/>
      <c r="DL626" s="19"/>
      <c r="DM626" s="19"/>
      <c r="DN626" s="19"/>
      <c r="DO626" s="19"/>
      <c r="DP626" s="19"/>
      <c r="DQ626" s="19"/>
      <c r="DR626" s="19"/>
      <c r="DS626" s="19"/>
      <c r="DT626" s="19"/>
      <c r="DU626" s="19"/>
      <c r="DV626" s="19"/>
      <c r="DW626" s="19"/>
      <c r="DX626" s="19"/>
      <c r="DY626" s="19"/>
      <c r="DZ626" s="19"/>
      <c r="EA626" s="19"/>
      <c r="EB626" s="19"/>
      <c r="EC626" s="19"/>
      <c r="ED626" s="19"/>
      <c r="EE626" s="19"/>
      <c r="EF626" s="19"/>
      <c r="EG626" s="19"/>
      <c r="EH626" s="19"/>
      <c r="EI626" s="19"/>
      <c r="EJ626" s="19"/>
      <c r="EK626" s="19"/>
      <c r="EL626" s="19"/>
      <c r="EM626" s="19"/>
      <c r="EN626" s="19"/>
      <c r="EO626" s="19"/>
      <c r="EP626" s="19"/>
      <c r="EQ626" s="19"/>
      <c r="ER626" s="19"/>
      <c r="ES626" s="19"/>
      <c r="ET626" s="19"/>
      <c r="EU626" s="19"/>
      <c r="EV626" s="19"/>
      <c r="EW626" s="19"/>
      <c r="EX626" s="19"/>
      <c r="EY626" s="19"/>
      <c r="EZ626" s="19"/>
      <c r="FA626" s="19"/>
      <c r="FB626" s="19"/>
      <c r="FC626" s="19"/>
      <c r="FD626" s="19"/>
      <c r="FE626" s="19"/>
      <c r="FF626" s="19"/>
      <c r="FG626" s="19"/>
      <c r="FH626" s="19"/>
      <c r="FI626" s="19"/>
      <c r="FJ626" s="19"/>
      <c r="FK626" s="19"/>
      <c r="FL626" s="19"/>
      <c r="FM626" s="19"/>
      <c r="FN626" s="19"/>
    </row>
    <row r="627">
      <c r="B627" s="93"/>
      <c r="C627" s="19"/>
      <c r="D627" s="90"/>
      <c r="E627" s="5"/>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19"/>
      <c r="CA627" s="19"/>
      <c r="CB627" s="19"/>
      <c r="CC627" s="19"/>
      <c r="CD627" s="19"/>
      <c r="CE627" s="19"/>
      <c r="CF627" s="19"/>
      <c r="CG627" s="19"/>
      <c r="CH627" s="19"/>
      <c r="CI627" s="19"/>
      <c r="CJ627" s="19"/>
      <c r="CK627" s="19"/>
      <c r="CL627" s="19"/>
      <c r="CM627" s="19"/>
      <c r="CN627" s="19"/>
      <c r="CO627" s="19"/>
      <c r="CP627" s="19"/>
      <c r="CQ627" s="19"/>
      <c r="CR627" s="19"/>
      <c r="CS627" s="19"/>
      <c r="CT627" s="19"/>
      <c r="CU627" s="19"/>
      <c r="CV627" s="19"/>
      <c r="CW627" s="19"/>
      <c r="CX627" s="19"/>
      <c r="CY627" s="19"/>
      <c r="CZ627" s="19"/>
      <c r="DA627" s="19"/>
      <c r="DB627" s="19"/>
      <c r="DC627" s="19"/>
      <c r="DD627" s="19"/>
      <c r="DE627" s="19"/>
      <c r="DF627" s="19"/>
      <c r="DG627" s="19"/>
      <c r="DH627" s="19"/>
      <c r="DI627" s="19"/>
      <c r="DJ627" s="19"/>
      <c r="DK627" s="19"/>
      <c r="DL627" s="19"/>
      <c r="DM627" s="19"/>
      <c r="DN627" s="19"/>
      <c r="DO627" s="19"/>
      <c r="DP627" s="19"/>
      <c r="DQ627" s="19"/>
      <c r="DR627" s="19"/>
      <c r="DS627" s="19"/>
      <c r="DT627" s="19"/>
      <c r="DU627" s="19"/>
      <c r="DV627" s="19"/>
      <c r="DW627" s="19"/>
      <c r="DX627" s="19"/>
      <c r="DY627" s="19"/>
      <c r="DZ627" s="19"/>
      <c r="EA627" s="19"/>
      <c r="EB627" s="19"/>
      <c r="EC627" s="19"/>
      <c r="ED627" s="19"/>
      <c r="EE627" s="19"/>
      <c r="EF627" s="19"/>
      <c r="EG627" s="19"/>
      <c r="EH627" s="19"/>
      <c r="EI627" s="19"/>
      <c r="EJ627" s="19"/>
      <c r="EK627" s="19"/>
      <c r="EL627" s="19"/>
      <c r="EM627" s="19"/>
      <c r="EN627" s="19"/>
      <c r="EO627" s="19"/>
      <c r="EP627" s="19"/>
      <c r="EQ627" s="19"/>
      <c r="ER627" s="19"/>
      <c r="ES627" s="19"/>
      <c r="ET627" s="19"/>
      <c r="EU627" s="19"/>
      <c r="EV627" s="19"/>
      <c r="EW627" s="19"/>
      <c r="EX627" s="19"/>
      <c r="EY627" s="19"/>
      <c r="EZ627" s="19"/>
      <c r="FA627" s="19"/>
      <c r="FB627" s="19"/>
      <c r="FC627" s="19"/>
      <c r="FD627" s="19"/>
      <c r="FE627" s="19"/>
      <c r="FF627" s="19"/>
      <c r="FG627" s="19"/>
      <c r="FH627" s="19"/>
      <c r="FI627" s="19"/>
      <c r="FJ627" s="19"/>
      <c r="FK627" s="19"/>
      <c r="FL627" s="19"/>
      <c r="FM627" s="19"/>
      <c r="FN627" s="19"/>
    </row>
    <row r="628">
      <c r="B628" s="93"/>
      <c r="C628" s="19"/>
      <c r="D628" s="90"/>
      <c r="E628" s="5"/>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19"/>
      <c r="CA628" s="19"/>
      <c r="CB628" s="19"/>
      <c r="CC628" s="19"/>
      <c r="CD628" s="19"/>
      <c r="CE628" s="19"/>
      <c r="CF628" s="19"/>
      <c r="CG628" s="19"/>
      <c r="CH628" s="19"/>
      <c r="CI628" s="19"/>
      <c r="CJ628" s="19"/>
      <c r="CK628" s="19"/>
      <c r="CL628" s="19"/>
      <c r="CM628" s="19"/>
      <c r="CN628" s="19"/>
      <c r="CO628" s="19"/>
      <c r="CP628" s="19"/>
      <c r="CQ628" s="19"/>
      <c r="CR628" s="19"/>
      <c r="CS628" s="19"/>
      <c r="CT628" s="19"/>
      <c r="CU628" s="19"/>
      <c r="CV628" s="19"/>
      <c r="CW628" s="19"/>
      <c r="CX628" s="19"/>
      <c r="CY628" s="19"/>
      <c r="CZ628" s="19"/>
      <c r="DA628" s="19"/>
      <c r="DB628" s="19"/>
      <c r="DC628" s="19"/>
      <c r="DD628" s="19"/>
      <c r="DE628" s="19"/>
      <c r="DF628" s="19"/>
      <c r="DG628" s="19"/>
      <c r="DH628" s="19"/>
      <c r="DI628" s="19"/>
      <c r="DJ628" s="19"/>
      <c r="DK628" s="19"/>
      <c r="DL628" s="19"/>
      <c r="DM628" s="19"/>
      <c r="DN628" s="19"/>
      <c r="DO628" s="19"/>
      <c r="DP628" s="19"/>
      <c r="DQ628" s="19"/>
      <c r="DR628" s="19"/>
      <c r="DS628" s="19"/>
      <c r="DT628" s="19"/>
      <c r="DU628" s="19"/>
      <c r="DV628" s="19"/>
      <c r="DW628" s="19"/>
      <c r="DX628" s="19"/>
      <c r="DY628" s="19"/>
      <c r="DZ628" s="19"/>
      <c r="EA628" s="19"/>
      <c r="EB628" s="19"/>
      <c r="EC628" s="19"/>
      <c r="ED628" s="19"/>
      <c r="EE628" s="19"/>
      <c r="EF628" s="19"/>
      <c r="EG628" s="19"/>
      <c r="EH628" s="19"/>
      <c r="EI628" s="19"/>
      <c r="EJ628" s="19"/>
      <c r="EK628" s="19"/>
      <c r="EL628" s="19"/>
      <c r="EM628" s="19"/>
      <c r="EN628" s="19"/>
      <c r="EO628" s="19"/>
      <c r="EP628" s="19"/>
      <c r="EQ628" s="19"/>
      <c r="ER628" s="19"/>
      <c r="ES628" s="19"/>
      <c r="ET628" s="19"/>
      <c r="EU628" s="19"/>
      <c r="EV628" s="19"/>
      <c r="EW628" s="19"/>
      <c r="EX628" s="19"/>
      <c r="EY628" s="19"/>
      <c r="EZ628" s="19"/>
      <c r="FA628" s="19"/>
      <c r="FB628" s="19"/>
      <c r="FC628" s="19"/>
      <c r="FD628" s="19"/>
      <c r="FE628" s="19"/>
      <c r="FF628" s="19"/>
      <c r="FG628" s="19"/>
      <c r="FH628" s="19"/>
      <c r="FI628" s="19"/>
      <c r="FJ628" s="19"/>
      <c r="FK628" s="19"/>
      <c r="FL628" s="19"/>
      <c r="FM628" s="19"/>
      <c r="FN628" s="19"/>
    </row>
    <row r="629">
      <c r="B629" s="93"/>
      <c r="C629" s="19"/>
      <c r="D629" s="90"/>
      <c r="E629" s="5"/>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row>
    <row r="630">
      <c r="B630" s="93"/>
      <c r="C630" s="19"/>
      <c r="D630" s="90"/>
      <c r="E630" s="5"/>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row>
    <row r="631">
      <c r="B631" s="93"/>
      <c r="C631" s="19"/>
      <c r="D631" s="90"/>
      <c r="E631" s="5"/>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row>
    <row r="632">
      <c r="B632" s="93"/>
      <c r="C632" s="19"/>
      <c r="D632" s="90"/>
      <c r="E632" s="5"/>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row>
    <row r="633">
      <c r="B633" s="93"/>
      <c r="C633" s="19"/>
      <c r="D633" s="90"/>
      <c r="E633" s="5"/>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row>
    <row r="634">
      <c r="B634" s="93"/>
      <c r="C634" s="19"/>
      <c r="D634" s="90"/>
      <c r="E634" s="5"/>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row>
    <row r="635">
      <c r="B635" s="93"/>
      <c r="C635" s="19"/>
      <c r="D635" s="90"/>
      <c r="E635" s="5"/>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row>
    <row r="636">
      <c r="B636" s="93"/>
      <c r="C636" s="19"/>
      <c r="D636" s="90"/>
      <c r="E636" s="5"/>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row>
    <row r="637">
      <c r="B637" s="93"/>
      <c r="C637" s="19"/>
      <c r="D637" s="90"/>
      <c r="E637" s="5"/>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row>
    <row r="638">
      <c r="B638" s="93"/>
      <c r="C638" s="19"/>
      <c r="D638" s="90"/>
      <c r="E638" s="5"/>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row>
    <row r="639">
      <c r="B639" s="93"/>
      <c r="C639" s="19"/>
      <c r="D639" s="90"/>
      <c r="E639" s="5"/>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19"/>
      <c r="BZ639" s="19"/>
      <c r="CA639" s="19"/>
      <c r="CB639" s="19"/>
      <c r="CC639" s="19"/>
      <c r="CD639" s="19"/>
      <c r="CE639" s="19"/>
      <c r="CF639" s="19"/>
      <c r="CG639" s="19"/>
      <c r="CH639" s="19"/>
      <c r="CI639" s="19"/>
      <c r="CJ639" s="19"/>
      <c r="CK639" s="19"/>
      <c r="CL639" s="19"/>
      <c r="CM639" s="19"/>
      <c r="CN639" s="19"/>
      <c r="CO639" s="19"/>
      <c r="CP639" s="19"/>
      <c r="CQ639" s="19"/>
      <c r="CR639" s="19"/>
      <c r="CS639" s="19"/>
      <c r="CT639" s="19"/>
      <c r="CU639" s="19"/>
      <c r="CV639" s="19"/>
      <c r="CW639" s="19"/>
      <c r="CX639" s="19"/>
      <c r="CY639" s="19"/>
      <c r="CZ639" s="19"/>
      <c r="DA639" s="19"/>
      <c r="DB639" s="19"/>
      <c r="DC639" s="19"/>
      <c r="DD639" s="19"/>
      <c r="DE639" s="19"/>
      <c r="DF639" s="19"/>
      <c r="DG639" s="19"/>
      <c r="DH639" s="19"/>
      <c r="DI639" s="19"/>
      <c r="DJ639" s="19"/>
      <c r="DK639" s="19"/>
      <c r="DL639" s="19"/>
      <c r="DM639" s="19"/>
      <c r="DN639" s="19"/>
      <c r="DO639" s="19"/>
      <c r="DP639" s="19"/>
      <c r="DQ639" s="19"/>
      <c r="DR639" s="19"/>
      <c r="DS639" s="19"/>
      <c r="DT639" s="19"/>
      <c r="DU639" s="19"/>
      <c r="DV639" s="19"/>
      <c r="DW639" s="19"/>
      <c r="DX639" s="19"/>
      <c r="DY639" s="19"/>
      <c r="DZ639" s="19"/>
      <c r="EA639" s="19"/>
      <c r="EB639" s="19"/>
      <c r="EC639" s="19"/>
      <c r="ED639" s="19"/>
      <c r="EE639" s="19"/>
      <c r="EF639" s="19"/>
      <c r="EG639" s="19"/>
      <c r="EH639" s="19"/>
      <c r="EI639" s="19"/>
      <c r="EJ639" s="19"/>
      <c r="EK639" s="19"/>
      <c r="EL639" s="19"/>
      <c r="EM639" s="19"/>
      <c r="EN639" s="19"/>
      <c r="EO639" s="19"/>
      <c r="EP639" s="19"/>
      <c r="EQ639" s="19"/>
      <c r="ER639" s="19"/>
      <c r="ES639" s="19"/>
      <c r="ET639" s="19"/>
      <c r="EU639" s="19"/>
      <c r="EV639" s="19"/>
      <c r="EW639" s="19"/>
      <c r="EX639" s="19"/>
      <c r="EY639" s="19"/>
      <c r="EZ639" s="19"/>
      <c r="FA639" s="19"/>
      <c r="FB639" s="19"/>
      <c r="FC639" s="19"/>
      <c r="FD639" s="19"/>
      <c r="FE639" s="19"/>
      <c r="FF639" s="19"/>
      <c r="FG639" s="19"/>
      <c r="FH639" s="19"/>
      <c r="FI639" s="19"/>
      <c r="FJ639" s="19"/>
      <c r="FK639" s="19"/>
      <c r="FL639" s="19"/>
      <c r="FM639" s="19"/>
      <c r="FN639" s="19"/>
    </row>
    <row r="640">
      <c r="B640" s="93"/>
      <c r="C640" s="19"/>
      <c r="D640" s="90"/>
      <c r="E640" s="5"/>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19"/>
      <c r="BZ640" s="19"/>
      <c r="CA640" s="19"/>
      <c r="CB640" s="19"/>
      <c r="CC640" s="19"/>
      <c r="CD640" s="19"/>
      <c r="CE640" s="19"/>
      <c r="CF640" s="19"/>
      <c r="CG640" s="19"/>
      <c r="CH640" s="19"/>
      <c r="CI640" s="19"/>
      <c r="CJ640" s="19"/>
      <c r="CK640" s="19"/>
      <c r="CL640" s="19"/>
      <c r="CM640" s="19"/>
      <c r="CN640" s="19"/>
      <c r="CO640" s="19"/>
      <c r="CP640" s="19"/>
      <c r="CQ640" s="19"/>
      <c r="CR640" s="19"/>
      <c r="CS640" s="19"/>
      <c r="CT640" s="19"/>
      <c r="CU640" s="19"/>
      <c r="CV640" s="19"/>
      <c r="CW640" s="19"/>
      <c r="CX640" s="19"/>
      <c r="CY640" s="19"/>
      <c r="CZ640" s="19"/>
      <c r="DA640" s="19"/>
      <c r="DB640" s="19"/>
      <c r="DC640" s="19"/>
      <c r="DD640" s="19"/>
      <c r="DE640" s="19"/>
      <c r="DF640" s="19"/>
      <c r="DG640" s="19"/>
      <c r="DH640" s="19"/>
      <c r="DI640" s="19"/>
      <c r="DJ640" s="19"/>
      <c r="DK640" s="19"/>
      <c r="DL640" s="19"/>
      <c r="DM640" s="19"/>
      <c r="DN640" s="19"/>
      <c r="DO640" s="19"/>
      <c r="DP640" s="19"/>
      <c r="DQ640" s="19"/>
      <c r="DR640" s="19"/>
      <c r="DS640" s="19"/>
      <c r="DT640" s="19"/>
      <c r="DU640" s="19"/>
      <c r="DV640" s="19"/>
      <c r="DW640" s="19"/>
      <c r="DX640" s="19"/>
      <c r="DY640" s="19"/>
      <c r="DZ640" s="19"/>
      <c r="EA640" s="19"/>
      <c r="EB640" s="19"/>
      <c r="EC640" s="19"/>
      <c r="ED640" s="19"/>
      <c r="EE640" s="19"/>
      <c r="EF640" s="19"/>
      <c r="EG640" s="19"/>
      <c r="EH640" s="19"/>
      <c r="EI640" s="19"/>
      <c r="EJ640" s="19"/>
      <c r="EK640" s="19"/>
      <c r="EL640" s="19"/>
      <c r="EM640" s="19"/>
      <c r="EN640" s="19"/>
      <c r="EO640" s="19"/>
      <c r="EP640" s="19"/>
      <c r="EQ640" s="19"/>
      <c r="ER640" s="19"/>
      <c r="ES640" s="19"/>
      <c r="ET640" s="19"/>
      <c r="EU640" s="19"/>
      <c r="EV640" s="19"/>
      <c r="EW640" s="19"/>
      <c r="EX640" s="19"/>
      <c r="EY640" s="19"/>
      <c r="EZ640" s="19"/>
      <c r="FA640" s="19"/>
      <c r="FB640" s="19"/>
      <c r="FC640" s="19"/>
      <c r="FD640" s="19"/>
      <c r="FE640" s="19"/>
      <c r="FF640" s="19"/>
      <c r="FG640" s="19"/>
      <c r="FH640" s="19"/>
      <c r="FI640" s="19"/>
      <c r="FJ640" s="19"/>
      <c r="FK640" s="19"/>
      <c r="FL640" s="19"/>
      <c r="FM640" s="19"/>
      <c r="FN640" s="19"/>
    </row>
    <row r="641">
      <c r="B641" s="93"/>
      <c r="C641" s="19"/>
      <c r="D641" s="90"/>
      <c r="E641" s="5"/>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19"/>
      <c r="BZ641" s="19"/>
      <c r="CA641" s="19"/>
      <c r="CB641" s="19"/>
      <c r="CC641" s="19"/>
      <c r="CD641" s="19"/>
      <c r="CE641" s="19"/>
      <c r="CF641" s="19"/>
      <c r="CG641" s="19"/>
      <c r="CH641" s="19"/>
      <c r="CI641" s="19"/>
      <c r="CJ641" s="19"/>
      <c r="CK641" s="19"/>
      <c r="CL641" s="19"/>
      <c r="CM641" s="19"/>
      <c r="CN641" s="19"/>
      <c r="CO641" s="19"/>
      <c r="CP641" s="19"/>
      <c r="CQ641" s="19"/>
      <c r="CR641" s="19"/>
      <c r="CS641" s="19"/>
      <c r="CT641" s="19"/>
      <c r="CU641" s="19"/>
      <c r="CV641" s="19"/>
      <c r="CW641" s="19"/>
      <c r="CX641" s="19"/>
      <c r="CY641" s="19"/>
      <c r="CZ641" s="19"/>
      <c r="DA641" s="19"/>
      <c r="DB641" s="19"/>
      <c r="DC641" s="19"/>
      <c r="DD641" s="19"/>
      <c r="DE641" s="19"/>
      <c r="DF641" s="19"/>
      <c r="DG641" s="19"/>
      <c r="DH641" s="19"/>
      <c r="DI641" s="19"/>
      <c r="DJ641" s="19"/>
      <c r="DK641" s="19"/>
      <c r="DL641" s="19"/>
      <c r="DM641" s="19"/>
      <c r="DN641" s="19"/>
      <c r="DO641" s="19"/>
      <c r="DP641" s="19"/>
      <c r="DQ641" s="19"/>
      <c r="DR641" s="19"/>
      <c r="DS641" s="19"/>
      <c r="DT641" s="19"/>
      <c r="DU641" s="19"/>
      <c r="DV641" s="19"/>
      <c r="DW641" s="19"/>
      <c r="DX641" s="19"/>
      <c r="DY641" s="19"/>
      <c r="DZ641" s="19"/>
      <c r="EA641" s="19"/>
      <c r="EB641" s="19"/>
      <c r="EC641" s="19"/>
      <c r="ED641" s="19"/>
      <c r="EE641" s="19"/>
      <c r="EF641" s="19"/>
      <c r="EG641" s="19"/>
      <c r="EH641" s="19"/>
      <c r="EI641" s="19"/>
      <c r="EJ641" s="19"/>
      <c r="EK641" s="19"/>
      <c r="EL641" s="19"/>
      <c r="EM641" s="19"/>
      <c r="EN641" s="19"/>
      <c r="EO641" s="19"/>
      <c r="EP641" s="19"/>
      <c r="EQ641" s="19"/>
      <c r="ER641" s="19"/>
      <c r="ES641" s="19"/>
      <c r="ET641" s="19"/>
      <c r="EU641" s="19"/>
      <c r="EV641" s="19"/>
      <c r="EW641" s="19"/>
      <c r="EX641" s="19"/>
      <c r="EY641" s="19"/>
      <c r="EZ641" s="19"/>
      <c r="FA641" s="19"/>
      <c r="FB641" s="19"/>
      <c r="FC641" s="19"/>
      <c r="FD641" s="19"/>
      <c r="FE641" s="19"/>
      <c r="FF641" s="19"/>
      <c r="FG641" s="19"/>
      <c r="FH641" s="19"/>
      <c r="FI641" s="19"/>
      <c r="FJ641" s="19"/>
      <c r="FK641" s="19"/>
      <c r="FL641" s="19"/>
      <c r="FM641" s="19"/>
      <c r="FN641" s="19"/>
    </row>
    <row r="642">
      <c r="B642" s="93"/>
      <c r="C642" s="19"/>
      <c r="D642" s="90"/>
      <c r="E642" s="5"/>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19"/>
      <c r="BZ642" s="19"/>
      <c r="CA642" s="19"/>
      <c r="CB642" s="19"/>
      <c r="CC642" s="19"/>
      <c r="CD642" s="19"/>
      <c r="CE642" s="19"/>
      <c r="CF642" s="19"/>
      <c r="CG642" s="19"/>
      <c r="CH642" s="19"/>
      <c r="CI642" s="19"/>
      <c r="CJ642" s="19"/>
      <c r="CK642" s="19"/>
      <c r="CL642" s="19"/>
      <c r="CM642" s="19"/>
      <c r="CN642" s="19"/>
      <c r="CO642" s="19"/>
      <c r="CP642" s="19"/>
      <c r="CQ642" s="19"/>
      <c r="CR642" s="19"/>
      <c r="CS642" s="19"/>
      <c r="CT642" s="19"/>
      <c r="CU642" s="19"/>
      <c r="CV642" s="19"/>
      <c r="CW642" s="19"/>
      <c r="CX642" s="19"/>
      <c r="CY642" s="19"/>
      <c r="CZ642" s="19"/>
      <c r="DA642" s="19"/>
      <c r="DB642" s="19"/>
      <c r="DC642" s="19"/>
      <c r="DD642" s="19"/>
      <c r="DE642" s="19"/>
      <c r="DF642" s="19"/>
      <c r="DG642" s="19"/>
      <c r="DH642" s="19"/>
      <c r="DI642" s="19"/>
      <c r="DJ642" s="19"/>
      <c r="DK642" s="19"/>
      <c r="DL642" s="19"/>
      <c r="DM642" s="19"/>
      <c r="DN642" s="19"/>
      <c r="DO642" s="19"/>
      <c r="DP642" s="19"/>
      <c r="DQ642" s="19"/>
      <c r="DR642" s="19"/>
      <c r="DS642" s="19"/>
      <c r="DT642" s="19"/>
      <c r="DU642" s="19"/>
      <c r="DV642" s="19"/>
      <c r="DW642" s="19"/>
      <c r="DX642" s="19"/>
      <c r="DY642" s="19"/>
      <c r="DZ642" s="19"/>
      <c r="EA642" s="19"/>
      <c r="EB642" s="19"/>
      <c r="EC642" s="19"/>
      <c r="ED642" s="19"/>
      <c r="EE642" s="19"/>
      <c r="EF642" s="19"/>
      <c r="EG642" s="19"/>
      <c r="EH642" s="19"/>
      <c r="EI642" s="19"/>
      <c r="EJ642" s="19"/>
      <c r="EK642" s="19"/>
      <c r="EL642" s="19"/>
      <c r="EM642" s="19"/>
      <c r="EN642" s="19"/>
      <c r="EO642" s="19"/>
      <c r="EP642" s="19"/>
      <c r="EQ642" s="19"/>
      <c r="ER642" s="19"/>
      <c r="ES642" s="19"/>
      <c r="ET642" s="19"/>
      <c r="EU642" s="19"/>
      <c r="EV642" s="19"/>
      <c r="EW642" s="19"/>
      <c r="EX642" s="19"/>
      <c r="EY642" s="19"/>
      <c r="EZ642" s="19"/>
      <c r="FA642" s="19"/>
      <c r="FB642" s="19"/>
      <c r="FC642" s="19"/>
      <c r="FD642" s="19"/>
      <c r="FE642" s="19"/>
      <c r="FF642" s="19"/>
      <c r="FG642" s="19"/>
      <c r="FH642" s="19"/>
      <c r="FI642" s="19"/>
      <c r="FJ642" s="19"/>
      <c r="FK642" s="19"/>
      <c r="FL642" s="19"/>
      <c r="FM642" s="19"/>
      <c r="FN642" s="19"/>
    </row>
    <row r="643">
      <c r="B643" s="93"/>
      <c r="C643" s="19"/>
      <c r="D643" s="90"/>
      <c r="E643" s="5"/>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19"/>
      <c r="BZ643" s="19"/>
      <c r="CA643" s="19"/>
      <c r="CB643" s="19"/>
      <c r="CC643" s="19"/>
      <c r="CD643" s="19"/>
      <c r="CE643" s="19"/>
      <c r="CF643" s="19"/>
      <c r="CG643" s="19"/>
      <c r="CH643" s="19"/>
      <c r="CI643" s="19"/>
      <c r="CJ643" s="19"/>
      <c r="CK643" s="19"/>
      <c r="CL643" s="19"/>
      <c r="CM643" s="19"/>
      <c r="CN643" s="19"/>
      <c r="CO643" s="19"/>
      <c r="CP643" s="19"/>
      <c r="CQ643" s="19"/>
      <c r="CR643" s="19"/>
      <c r="CS643" s="19"/>
      <c r="CT643" s="19"/>
      <c r="CU643" s="19"/>
      <c r="CV643" s="19"/>
      <c r="CW643" s="19"/>
      <c r="CX643" s="19"/>
      <c r="CY643" s="19"/>
      <c r="CZ643" s="19"/>
      <c r="DA643" s="19"/>
      <c r="DB643" s="19"/>
      <c r="DC643" s="19"/>
      <c r="DD643" s="19"/>
      <c r="DE643" s="19"/>
      <c r="DF643" s="19"/>
      <c r="DG643" s="19"/>
      <c r="DH643" s="19"/>
      <c r="DI643" s="19"/>
      <c r="DJ643" s="19"/>
      <c r="DK643" s="19"/>
      <c r="DL643" s="19"/>
      <c r="DM643" s="19"/>
      <c r="DN643" s="19"/>
      <c r="DO643" s="19"/>
      <c r="DP643" s="19"/>
      <c r="DQ643" s="19"/>
      <c r="DR643" s="19"/>
      <c r="DS643" s="19"/>
      <c r="DT643" s="19"/>
      <c r="DU643" s="19"/>
      <c r="DV643" s="19"/>
      <c r="DW643" s="19"/>
      <c r="DX643" s="19"/>
      <c r="DY643" s="19"/>
      <c r="DZ643" s="19"/>
      <c r="EA643" s="19"/>
      <c r="EB643" s="19"/>
      <c r="EC643" s="19"/>
      <c r="ED643" s="19"/>
      <c r="EE643" s="19"/>
      <c r="EF643" s="19"/>
      <c r="EG643" s="19"/>
      <c r="EH643" s="19"/>
      <c r="EI643" s="19"/>
      <c r="EJ643" s="19"/>
      <c r="EK643" s="19"/>
      <c r="EL643" s="19"/>
      <c r="EM643" s="19"/>
      <c r="EN643" s="19"/>
      <c r="EO643" s="19"/>
      <c r="EP643" s="19"/>
      <c r="EQ643" s="19"/>
      <c r="ER643" s="19"/>
      <c r="ES643" s="19"/>
      <c r="ET643" s="19"/>
      <c r="EU643" s="19"/>
      <c r="EV643" s="19"/>
      <c r="EW643" s="19"/>
      <c r="EX643" s="19"/>
      <c r="EY643" s="19"/>
      <c r="EZ643" s="19"/>
      <c r="FA643" s="19"/>
      <c r="FB643" s="19"/>
      <c r="FC643" s="19"/>
      <c r="FD643" s="19"/>
      <c r="FE643" s="19"/>
      <c r="FF643" s="19"/>
      <c r="FG643" s="19"/>
      <c r="FH643" s="19"/>
      <c r="FI643" s="19"/>
      <c r="FJ643" s="19"/>
      <c r="FK643" s="19"/>
      <c r="FL643" s="19"/>
      <c r="FM643" s="19"/>
      <c r="FN643" s="19"/>
    </row>
    <row r="644">
      <c r="B644" s="93"/>
      <c r="C644" s="19"/>
      <c r="D644" s="90"/>
      <c r="E644" s="5"/>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19"/>
      <c r="BZ644" s="19"/>
      <c r="CA644" s="19"/>
      <c r="CB644" s="19"/>
      <c r="CC644" s="19"/>
      <c r="CD644" s="19"/>
      <c r="CE644" s="19"/>
      <c r="CF644" s="19"/>
      <c r="CG644" s="19"/>
      <c r="CH644" s="19"/>
      <c r="CI644" s="19"/>
      <c r="CJ644" s="19"/>
      <c r="CK644" s="19"/>
      <c r="CL644" s="19"/>
      <c r="CM644" s="19"/>
      <c r="CN644" s="19"/>
      <c r="CO644" s="19"/>
      <c r="CP644" s="19"/>
      <c r="CQ644" s="19"/>
      <c r="CR644" s="19"/>
      <c r="CS644" s="19"/>
      <c r="CT644" s="19"/>
      <c r="CU644" s="19"/>
      <c r="CV644" s="19"/>
      <c r="CW644" s="19"/>
      <c r="CX644" s="19"/>
      <c r="CY644" s="19"/>
      <c r="CZ644" s="19"/>
      <c r="DA644" s="19"/>
      <c r="DB644" s="19"/>
      <c r="DC644" s="19"/>
      <c r="DD644" s="19"/>
      <c r="DE644" s="19"/>
      <c r="DF644" s="19"/>
      <c r="DG644" s="19"/>
      <c r="DH644" s="19"/>
      <c r="DI644" s="19"/>
      <c r="DJ644" s="19"/>
      <c r="DK644" s="19"/>
      <c r="DL644" s="19"/>
      <c r="DM644" s="19"/>
      <c r="DN644" s="19"/>
      <c r="DO644" s="19"/>
      <c r="DP644" s="19"/>
      <c r="DQ644" s="19"/>
      <c r="DR644" s="19"/>
      <c r="DS644" s="19"/>
      <c r="DT644" s="19"/>
      <c r="DU644" s="19"/>
      <c r="DV644" s="19"/>
      <c r="DW644" s="19"/>
      <c r="DX644" s="19"/>
      <c r="DY644" s="19"/>
      <c r="DZ644" s="19"/>
      <c r="EA644" s="19"/>
      <c r="EB644" s="19"/>
      <c r="EC644" s="19"/>
      <c r="ED644" s="19"/>
      <c r="EE644" s="19"/>
      <c r="EF644" s="19"/>
      <c r="EG644" s="19"/>
      <c r="EH644" s="19"/>
      <c r="EI644" s="19"/>
      <c r="EJ644" s="19"/>
      <c r="EK644" s="19"/>
      <c r="EL644" s="19"/>
      <c r="EM644" s="19"/>
      <c r="EN644" s="19"/>
      <c r="EO644" s="19"/>
      <c r="EP644" s="19"/>
      <c r="EQ644" s="19"/>
      <c r="ER644" s="19"/>
      <c r="ES644" s="19"/>
      <c r="ET644" s="19"/>
      <c r="EU644" s="19"/>
      <c r="EV644" s="19"/>
      <c r="EW644" s="19"/>
      <c r="EX644" s="19"/>
      <c r="EY644" s="19"/>
      <c r="EZ644" s="19"/>
      <c r="FA644" s="19"/>
      <c r="FB644" s="19"/>
      <c r="FC644" s="19"/>
      <c r="FD644" s="19"/>
      <c r="FE644" s="19"/>
      <c r="FF644" s="19"/>
      <c r="FG644" s="19"/>
      <c r="FH644" s="19"/>
      <c r="FI644" s="19"/>
      <c r="FJ644" s="19"/>
      <c r="FK644" s="19"/>
      <c r="FL644" s="19"/>
      <c r="FM644" s="19"/>
      <c r="FN644" s="19"/>
    </row>
    <row r="645">
      <c r="B645" s="93"/>
      <c r="C645" s="19"/>
      <c r="D645" s="90"/>
      <c r="E645" s="5"/>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19"/>
      <c r="BZ645" s="19"/>
      <c r="CA645" s="19"/>
      <c r="CB645" s="19"/>
      <c r="CC645" s="19"/>
      <c r="CD645" s="19"/>
      <c r="CE645" s="19"/>
      <c r="CF645" s="19"/>
      <c r="CG645" s="19"/>
      <c r="CH645" s="19"/>
      <c r="CI645" s="19"/>
      <c r="CJ645" s="19"/>
      <c r="CK645" s="19"/>
      <c r="CL645" s="19"/>
      <c r="CM645" s="19"/>
      <c r="CN645" s="19"/>
      <c r="CO645" s="19"/>
      <c r="CP645" s="19"/>
      <c r="CQ645" s="19"/>
      <c r="CR645" s="19"/>
      <c r="CS645" s="19"/>
      <c r="CT645" s="19"/>
      <c r="CU645" s="19"/>
      <c r="CV645" s="19"/>
      <c r="CW645" s="19"/>
      <c r="CX645" s="19"/>
      <c r="CY645" s="19"/>
      <c r="CZ645" s="19"/>
      <c r="DA645" s="19"/>
      <c r="DB645" s="19"/>
      <c r="DC645" s="19"/>
      <c r="DD645" s="19"/>
      <c r="DE645" s="19"/>
      <c r="DF645" s="19"/>
      <c r="DG645" s="19"/>
      <c r="DH645" s="19"/>
      <c r="DI645" s="19"/>
      <c r="DJ645" s="19"/>
      <c r="DK645" s="19"/>
      <c r="DL645" s="19"/>
      <c r="DM645" s="19"/>
      <c r="DN645" s="19"/>
      <c r="DO645" s="19"/>
      <c r="DP645" s="19"/>
      <c r="DQ645" s="19"/>
      <c r="DR645" s="19"/>
      <c r="DS645" s="19"/>
      <c r="DT645" s="19"/>
      <c r="DU645" s="19"/>
      <c r="DV645" s="19"/>
      <c r="DW645" s="19"/>
      <c r="DX645" s="19"/>
      <c r="DY645" s="19"/>
      <c r="DZ645" s="19"/>
      <c r="EA645" s="19"/>
      <c r="EB645" s="19"/>
      <c r="EC645" s="19"/>
      <c r="ED645" s="19"/>
      <c r="EE645" s="19"/>
      <c r="EF645" s="19"/>
      <c r="EG645" s="19"/>
      <c r="EH645" s="19"/>
      <c r="EI645" s="19"/>
      <c r="EJ645" s="19"/>
      <c r="EK645" s="19"/>
      <c r="EL645" s="19"/>
      <c r="EM645" s="19"/>
      <c r="EN645" s="19"/>
      <c r="EO645" s="19"/>
      <c r="EP645" s="19"/>
      <c r="EQ645" s="19"/>
      <c r="ER645" s="19"/>
      <c r="ES645" s="19"/>
      <c r="ET645" s="19"/>
      <c r="EU645" s="19"/>
      <c r="EV645" s="19"/>
      <c r="EW645" s="19"/>
      <c r="EX645" s="19"/>
      <c r="EY645" s="19"/>
      <c r="EZ645" s="19"/>
      <c r="FA645" s="19"/>
      <c r="FB645" s="19"/>
      <c r="FC645" s="19"/>
      <c r="FD645" s="19"/>
      <c r="FE645" s="19"/>
      <c r="FF645" s="19"/>
      <c r="FG645" s="19"/>
      <c r="FH645" s="19"/>
      <c r="FI645" s="19"/>
      <c r="FJ645" s="19"/>
      <c r="FK645" s="19"/>
      <c r="FL645" s="19"/>
      <c r="FM645" s="19"/>
      <c r="FN645" s="19"/>
    </row>
    <row r="646">
      <c r="B646" s="93"/>
      <c r="C646" s="19"/>
      <c r="D646" s="90"/>
      <c r="E646" s="5"/>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19"/>
      <c r="CC646" s="19"/>
      <c r="CD646" s="19"/>
      <c r="CE646" s="19"/>
      <c r="CF646" s="19"/>
      <c r="CG646" s="19"/>
      <c r="CH646" s="19"/>
      <c r="CI646" s="19"/>
      <c r="CJ646" s="19"/>
      <c r="CK646" s="19"/>
      <c r="CL646" s="19"/>
      <c r="CM646" s="19"/>
      <c r="CN646" s="19"/>
      <c r="CO646" s="19"/>
      <c r="CP646" s="19"/>
      <c r="CQ646" s="19"/>
      <c r="CR646" s="19"/>
      <c r="CS646" s="19"/>
      <c r="CT646" s="19"/>
      <c r="CU646" s="19"/>
      <c r="CV646" s="19"/>
      <c r="CW646" s="19"/>
      <c r="CX646" s="19"/>
      <c r="CY646" s="19"/>
      <c r="CZ646" s="19"/>
      <c r="DA646" s="19"/>
      <c r="DB646" s="19"/>
      <c r="DC646" s="19"/>
      <c r="DD646" s="19"/>
      <c r="DE646" s="19"/>
      <c r="DF646" s="19"/>
      <c r="DG646" s="19"/>
      <c r="DH646" s="19"/>
      <c r="DI646" s="19"/>
      <c r="DJ646" s="19"/>
      <c r="DK646" s="19"/>
      <c r="DL646" s="19"/>
      <c r="DM646" s="19"/>
      <c r="DN646" s="19"/>
      <c r="DO646" s="19"/>
      <c r="DP646" s="19"/>
      <c r="DQ646" s="19"/>
      <c r="DR646" s="19"/>
      <c r="DS646" s="19"/>
      <c r="DT646" s="19"/>
      <c r="DU646" s="19"/>
      <c r="DV646" s="19"/>
      <c r="DW646" s="19"/>
      <c r="DX646" s="19"/>
      <c r="DY646" s="19"/>
      <c r="DZ646" s="19"/>
      <c r="EA646" s="19"/>
      <c r="EB646" s="19"/>
      <c r="EC646" s="19"/>
      <c r="ED646" s="19"/>
      <c r="EE646" s="19"/>
      <c r="EF646" s="19"/>
      <c r="EG646" s="19"/>
      <c r="EH646" s="19"/>
      <c r="EI646" s="19"/>
      <c r="EJ646" s="19"/>
      <c r="EK646" s="19"/>
      <c r="EL646" s="19"/>
      <c r="EM646" s="19"/>
      <c r="EN646" s="19"/>
      <c r="EO646" s="19"/>
      <c r="EP646" s="19"/>
      <c r="EQ646" s="19"/>
      <c r="ER646" s="19"/>
      <c r="ES646" s="19"/>
      <c r="ET646" s="19"/>
      <c r="EU646" s="19"/>
      <c r="EV646" s="19"/>
      <c r="EW646" s="19"/>
      <c r="EX646" s="19"/>
      <c r="EY646" s="19"/>
      <c r="EZ646" s="19"/>
      <c r="FA646" s="19"/>
      <c r="FB646" s="19"/>
      <c r="FC646" s="19"/>
      <c r="FD646" s="19"/>
      <c r="FE646" s="19"/>
      <c r="FF646" s="19"/>
      <c r="FG646" s="19"/>
      <c r="FH646" s="19"/>
      <c r="FI646" s="19"/>
      <c r="FJ646" s="19"/>
      <c r="FK646" s="19"/>
      <c r="FL646" s="19"/>
      <c r="FM646" s="19"/>
      <c r="FN646" s="19"/>
    </row>
    <row r="647">
      <c r="B647" s="93"/>
      <c r="C647" s="19"/>
      <c r="D647" s="90"/>
      <c r="E647" s="5"/>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19"/>
      <c r="BZ647" s="19"/>
      <c r="CA647" s="19"/>
      <c r="CB647" s="19"/>
      <c r="CC647" s="19"/>
      <c r="CD647" s="19"/>
      <c r="CE647" s="19"/>
      <c r="CF647" s="19"/>
      <c r="CG647" s="19"/>
      <c r="CH647" s="19"/>
      <c r="CI647" s="19"/>
      <c r="CJ647" s="19"/>
      <c r="CK647" s="19"/>
      <c r="CL647" s="19"/>
      <c r="CM647" s="19"/>
      <c r="CN647" s="19"/>
      <c r="CO647" s="19"/>
      <c r="CP647" s="19"/>
      <c r="CQ647" s="19"/>
      <c r="CR647" s="19"/>
      <c r="CS647" s="19"/>
      <c r="CT647" s="19"/>
      <c r="CU647" s="19"/>
      <c r="CV647" s="19"/>
      <c r="CW647" s="19"/>
      <c r="CX647" s="19"/>
      <c r="CY647" s="19"/>
      <c r="CZ647" s="19"/>
      <c r="DA647" s="19"/>
      <c r="DB647" s="19"/>
      <c r="DC647" s="19"/>
      <c r="DD647" s="19"/>
      <c r="DE647" s="19"/>
      <c r="DF647" s="19"/>
      <c r="DG647" s="19"/>
      <c r="DH647" s="19"/>
      <c r="DI647" s="19"/>
      <c r="DJ647" s="19"/>
      <c r="DK647" s="19"/>
      <c r="DL647" s="19"/>
      <c r="DM647" s="19"/>
      <c r="DN647" s="19"/>
      <c r="DO647" s="19"/>
      <c r="DP647" s="19"/>
      <c r="DQ647" s="19"/>
      <c r="DR647" s="19"/>
      <c r="DS647" s="19"/>
      <c r="DT647" s="19"/>
      <c r="DU647" s="19"/>
      <c r="DV647" s="19"/>
      <c r="DW647" s="19"/>
      <c r="DX647" s="19"/>
      <c r="DY647" s="19"/>
      <c r="DZ647" s="19"/>
      <c r="EA647" s="19"/>
      <c r="EB647" s="19"/>
      <c r="EC647" s="19"/>
      <c r="ED647" s="19"/>
      <c r="EE647" s="19"/>
      <c r="EF647" s="19"/>
      <c r="EG647" s="19"/>
      <c r="EH647" s="19"/>
      <c r="EI647" s="19"/>
      <c r="EJ647" s="19"/>
      <c r="EK647" s="19"/>
      <c r="EL647" s="19"/>
      <c r="EM647" s="19"/>
      <c r="EN647" s="19"/>
      <c r="EO647" s="19"/>
      <c r="EP647" s="19"/>
      <c r="EQ647" s="19"/>
      <c r="ER647" s="19"/>
      <c r="ES647" s="19"/>
      <c r="ET647" s="19"/>
      <c r="EU647" s="19"/>
      <c r="EV647" s="19"/>
      <c r="EW647" s="19"/>
      <c r="EX647" s="19"/>
      <c r="EY647" s="19"/>
      <c r="EZ647" s="19"/>
      <c r="FA647" s="19"/>
      <c r="FB647" s="19"/>
      <c r="FC647" s="19"/>
      <c r="FD647" s="19"/>
      <c r="FE647" s="19"/>
      <c r="FF647" s="19"/>
      <c r="FG647" s="19"/>
      <c r="FH647" s="19"/>
      <c r="FI647" s="19"/>
      <c r="FJ647" s="19"/>
      <c r="FK647" s="19"/>
      <c r="FL647" s="19"/>
      <c r="FM647" s="19"/>
      <c r="FN647" s="19"/>
    </row>
    <row r="648">
      <c r="B648" s="93"/>
      <c r="C648" s="19"/>
      <c r="D648" s="90"/>
      <c r="E648" s="5"/>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19"/>
      <c r="BZ648" s="19"/>
      <c r="CA648" s="19"/>
      <c r="CB648" s="19"/>
      <c r="CC648" s="19"/>
      <c r="CD648" s="19"/>
      <c r="CE648" s="19"/>
      <c r="CF648" s="19"/>
      <c r="CG648" s="19"/>
      <c r="CH648" s="19"/>
      <c r="CI648" s="19"/>
      <c r="CJ648" s="19"/>
      <c r="CK648" s="19"/>
      <c r="CL648" s="19"/>
      <c r="CM648" s="19"/>
      <c r="CN648" s="19"/>
      <c r="CO648" s="19"/>
      <c r="CP648" s="19"/>
      <c r="CQ648" s="19"/>
      <c r="CR648" s="19"/>
      <c r="CS648" s="19"/>
      <c r="CT648" s="19"/>
      <c r="CU648" s="19"/>
      <c r="CV648" s="19"/>
      <c r="CW648" s="19"/>
      <c r="CX648" s="19"/>
      <c r="CY648" s="19"/>
      <c r="CZ648" s="19"/>
      <c r="DA648" s="19"/>
      <c r="DB648" s="19"/>
      <c r="DC648" s="19"/>
      <c r="DD648" s="19"/>
      <c r="DE648" s="19"/>
      <c r="DF648" s="19"/>
      <c r="DG648" s="19"/>
      <c r="DH648" s="19"/>
      <c r="DI648" s="19"/>
      <c r="DJ648" s="19"/>
      <c r="DK648" s="19"/>
      <c r="DL648" s="19"/>
      <c r="DM648" s="19"/>
      <c r="DN648" s="19"/>
      <c r="DO648" s="19"/>
      <c r="DP648" s="19"/>
      <c r="DQ648" s="19"/>
      <c r="DR648" s="19"/>
      <c r="DS648" s="19"/>
      <c r="DT648" s="19"/>
      <c r="DU648" s="19"/>
      <c r="DV648" s="19"/>
      <c r="DW648" s="19"/>
      <c r="DX648" s="19"/>
      <c r="DY648" s="19"/>
      <c r="DZ648" s="19"/>
      <c r="EA648" s="19"/>
      <c r="EB648" s="19"/>
      <c r="EC648" s="19"/>
      <c r="ED648" s="19"/>
      <c r="EE648" s="19"/>
      <c r="EF648" s="19"/>
      <c r="EG648" s="19"/>
      <c r="EH648" s="19"/>
      <c r="EI648" s="19"/>
      <c r="EJ648" s="19"/>
      <c r="EK648" s="19"/>
      <c r="EL648" s="19"/>
      <c r="EM648" s="19"/>
      <c r="EN648" s="19"/>
      <c r="EO648" s="19"/>
      <c r="EP648" s="19"/>
      <c r="EQ648" s="19"/>
      <c r="ER648" s="19"/>
      <c r="ES648" s="19"/>
      <c r="ET648" s="19"/>
      <c r="EU648" s="19"/>
      <c r="EV648" s="19"/>
      <c r="EW648" s="19"/>
      <c r="EX648" s="19"/>
      <c r="EY648" s="19"/>
      <c r="EZ648" s="19"/>
      <c r="FA648" s="19"/>
      <c r="FB648" s="19"/>
      <c r="FC648" s="19"/>
      <c r="FD648" s="19"/>
      <c r="FE648" s="19"/>
      <c r="FF648" s="19"/>
      <c r="FG648" s="19"/>
      <c r="FH648" s="19"/>
      <c r="FI648" s="19"/>
      <c r="FJ648" s="19"/>
      <c r="FK648" s="19"/>
      <c r="FL648" s="19"/>
      <c r="FM648" s="19"/>
      <c r="FN648" s="19"/>
    </row>
    <row r="649">
      <c r="B649" s="93"/>
      <c r="C649" s="19"/>
      <c r="D649" s="90"/>
      <c r="E649" s="5"/>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19"/>
      <c r="BZ649" s="19"/>
      <c r="CA649" s="19"/>
      <c r="CB649" s="19"/>
      <c r="CC649" s="19"/>
      <c r="CD649" s="19"/>
      <c r="CE649" s="19"/>
      <c r="CF649" s="19"/>
      <c r="CG649" s="19"/>
      <c r="CH649" s="19"/>
      <c r="CI649" s="19"/>
      <c r="CJ649" s="19"/>
      <c r="CK649" s="19"/>
      <c r="CL649" s="19"/>
      <c r="CM649" s="19"/>
      <c r="CN649" s="19"/>
      <c r="CO649" s="19"/>
      <c r="CP649" s="19"/>
      <c r="CQ649" s="19"/>
      <c r="CR649" s="19"/>
      <c r="CS649" s="19"/>
      <c r="CT649" s="19"/>
      <c r="CU649" s="19"/>
      <c r="CV649" s="19"/>
      <c r="CW649" s="19"/>
      <c r="CX649" s="19"/>
      <c r="CY649" s="19"/>
      <c r="CZ649" s="19"/>
      <c r="DA649" s="19"/>
      <c r="DB649" s="19"/>
      <c r="DC649" s="19"/>
      <c r="DD649" s="19"/>
      <c r="DE649" s="19"/>
      <c r="DF649" s="19"/>
      <c r="DG649" s="19"/>
      <c r="DH649" s="19"/>
      <c r="DI649" s="19"/>
      <c r="DJ649" s="19"/>
      <c r="DK649" s="19"/>
      <c r="DL649" s="19"/>
      <c r="DM649" s="19"/>
      <c r="DN649" s="19"/>
      <c r="DO649" s="19"/>
      <c r="DP649" s="19"/>
      <c r="DQ649" s="19"/>
      <c r="DR649" s="19"/>
      <c r="DS649" s="19"/>
      <c r="DT649" s="19"/>
      <c r="DU649" s="19"/>
      <c r="DV649" s="19"/>
      <c r="DW649" s="19"/>
      <c r="DX649" s="19"/>
      <c r="DY649" s="19"/>
      <c r="DZ649" s="19"/>
      <c r="EA649" s="19"/>
      <c r="EB649" s="19"/>
      <c r="EC649" s="19"/>
      <c r="ED649" s="19"/>
      <c r="EE649" s="19"/>
      <c r="EF649" s="19"/>
      <c r="EG649" s="19"/>
      <c r="EH649" s="19"/>
      <c r="EI649" s="19"/>
      <c r="EJ649" s="19"/>
      <c r="EK649" s="19"/>
      <c r="EL649" s="19"/>
      <c r="EM649" s="19"/>
      <c r="EN649" s="19"/>
      <c r="EO649" s="19"/>
      <c r="EP649" s="19"/>
      <c r="EQ649" s="19"/>
      <c r="ER649" s="19"/>
      <c r="ES649" s="19"/>
      <c r="ET649" s="19"/>
      <c r="EU649" s="19"/>
      <c r="EV649" s="19"/>
      <c r="EW649" s="19"/>
      <c r="EX649" s="19"/>
      <c r="EY649" s="19"/>
      <c r="EZ649" s="19"/>
      <c r="FA649" s="19"/>
      <c r="FB649" s="19"/>
      <c r="FC649" s="19"/>
      <c r="FD649" s="19"/>
      <c r="FE649" s="19"/>
      <c r="FF649" s="19"/>
      <c r="FG649" s="19"/>
      <c r="FH649" s="19"/>
      <c r="FI649" s="19"/>
      <c r="FJ649" s="19"/>
      <c r="FK649" s="19"/>
      <c r="FL649" s="19"/>
      <c r="FM649" s="19"/>
      <c r="FN649" s="19"/>
    </row>
    <row r="650">
      <c r="B650" s="93"/>
      <c r="C650" s="19"/>
      <c r="D650" s="90"/>
      <c r="E650" s="5"/>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19"/>
      <c r="CA650" s="19"/>
      <c r="CB650" s="19"/>
      <c r="CC650" s="19"/>
      <c r="CD650" s="19"/>
      <c r="CE650" s="19"/>
      <c r="CF650" s="19"/>
      <c r="CG650" s="19"/>
      <c r="CH650" s="19"/>
      <c r="CI650" s="19"/>
      <c r="CJ650" s="19"/>
      <c r="CK650" s="19"/>
      <c r="CL650" s="19"/>
      <c r="CM650" s="19"/>
      <c r="CN650" s="19"/>
      <c r="CO650" s="19"/>
      <c r="CP650" s="19"/>
      <c r="CQ650" s="19"/>
      <c r="CR650" s="19"/>
      <c r="CS650" s="19"/>
      <c r="CT650" s="19"/>
      <c r="CU650" s="19"/>
      <c r="CV650" s="19"/>
      <c r="CW650" s="19"/>
      <c r="CX650" s="19"/>
      <c r="CY650" s="19"/>
      <c r="CZ650" s="19"/>
      <c r="DA650" s="19"/>
      <c r="DB650" s="19"/>
      <c r="DC650" s="19"/>
      <c r="DD650" s="19"/>
      <c r="DE650" s="19"/>
      <c r="DF650" s="19"/>
      <c r="DG650" s="19"/>
      <c r="DH650" s="19"/>
      <c r="DI650" s="19"/>
      <c r="DJ650" s="19"/>
      <c r="DK650" s="19"/>
      <c r="DL650" s="19"/>
      <c r="DM650" s="19"/>
      <c r="DN650" s="19"/>
      <c r="DO650" s="19"/>
      <c r="DP650" s="19"/>
      <c r="DQ650" s="19"/>
      <c r="DR650" s="19"/>
      <c r="DS650" s="19"/>
      <c r="DT650" s="19"/>
      <c r="DU650" s="19"/>
      <c r="DV650" s="19"/>
      <c r="DW650" s="19"/>
      <c r="DX650" s="19"/>
      <c r="DY650" s="19"/>
      <c r="DZ650" s="19"/>
      <c r="EA650" s="19"/>
      <c r="EB650" s="19"/>
      <c r="EC650" s="19"/>
      <c r="ED650" s="19"/>
      <c r="EE650" s="19"/>
      <c r="EF650" s="19"/>
      <c r="EG650" s="19"/>
      <c r="EH650" s="19"/>
      <c r="EI650" s="19"/>
      <c r="EJ650" s="19"/>
      <c r="EK650" s="19"/>
      <c r="EL650" s="19"/>
      <c r="EM650" s="19"/>
      <c r="EN650" s="19"/>
      <c r="EO650" s="19"/>
      <c r="EP650" s="19"/>
      <c r="EQ650" s="19"/>
      <c r="ER650" s="19"/>
      <c r="ES650" s="19"/>
      <c r="ET650" s="19"/>
      <c r="EU650" s="19"/>
      <c r="EV650" s="19"/>
      <c r="EW650" s="19"/>
      <c r="EX650" s="19"/>
      <c r="EY650" s="19"/>
      <c r="EZ650" s="19"/>
      <c r="FA650" s="19"/>
      <c r="FB650" s="19"/>
      <c r="FC650" s="19"/>
      <c r="FD650" s="19"/>
      <c r="FE650" s="19"/>
      <c r="FF650" s="19"/>
      <c r="FG650" s="19"/>
      <c r="FH650" s="19"/>
      <c r="FI650" s="19"/>
      <c r="FJ650" s="19"/>
      <c r="FK650" s="19"/>
      <c r="FL650" s="19"/>
      <c r="FM650" s="19"/>
      <c r="FN650" s="19"/>
    </row>
    <row r="651">
      <c r="B651" s="93"/>
      <c r="C651" s="19"/>
      <c r="D651" s="90"/>
      <c r="E651" s="5"/>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19"/>
      <c r="CA651" s="19"/>
      <c r="CB651" s="19"/>
      <c r="CC651" s="19"/>
      <c r="CD651" s="19"/>
      <c r="CE651" s="19"/>
      <c r="CF651" s="19"/>
      <c r="CG651" s="19"/>
      <c r="CH651" s="19"/>
      <c r="CI651" s="19"/>
      <c r="CJ651" s="19"/>
      <c r="CK651" s="19"/>
      <c r="CL651" s="19"/>
      <c r="CM651" s="19"/>
      <c r="CN651" s="19"/>
      <c r="CO651" s="19"/>
      <c r="CP651" s="19"/>
      <c r="CQ651" s="19"/>
      <c r="CR651" s="19"/>
      <c r="CS651" s="19"/>
      <c r="CT651" s="19"/>
      <c r="CU651" s="19"/>
      <c r="CV651" s="19"/>
      <c r="CW651" s="19"/>
      <c r="CX651" s="19"/>
      <c r="CY651" s="19"/>
      <c r="CZ651" s="19"/>
      <c r="DA651" s="19"/>
      <c r="DB651" s="19"/>
      <c r="DC651" s="19"/>
      <c r="DD651" s="19"/>
      <c r="DE651" s="19"/>
      <c r="DF651" s="19"/>
      <c r="DG651" s="19"/>
      <c r="DH651" s="19"/>
      <c r="DI651" s="19"/>
      <c r="DJ651" s="19"/>
      <c r="DK651" s="19"/>
      <c r="DL651" s="19"/>
      <c r="DM651" s="19"/>
      <c r="DN651" s="19"/>
      <c r="DO651" s="19"/>
      <c r="DP651" s="19"/>
      <c r="DQ651" s="19"/>
      <c r="DR651" s="19"/>
      <c r="DS651" s="19"/>
      <c r="DT651" s="19"/>
      <c r="DU651" s="19"/>
      <c r="DV651" s="19"/>
      <c r="DW651" s="19"/>
      <c r="DX651" s="19"/>
      <c r="DY651" s="19"/>
      <c r="DZ651" s="19"/>
      <c r="EA651" s="19"/>
      <c r="EB651" s="19"/>
      <c r="EC651" s="19"/>
      <c r="ED651" s="19"/>
      <c r="EE651" s="19"/>
      <c r="EF651" s="19"/>
      <c r="EG651" s="19"/>
      <c r="EH651" s="19"/>
      <c r="EI651" s="19"/>
      <c r="EJ651" s="19"/>
      <c r="EK651" s="19"/>
      <c r="EL651" s="19"/>
      <c r="EM651" s="19"/>
      <c r="EN651" s="19"/>
      <c r="EO651" s="19"/>
      <c r="EP651" s="19"/>
      <c r="EQ651" s="19"/>
      <c r="ER651" s="19"/>
      <c r="ES651" s="19"/>
      <c r="ET651" s="19"/>
      <c r="EU651" s="19"/>
      <c r="EV651" s="19"/>
      <c r="EW651" s="19"/>
      <c r="EX651" s="19"/>
      <c r="EY651" s="19"/>
      <c r="EZ651" s="19"/>
      <c r="FA651" s="19"/>
      <c r="FB651" s="19"/>
      <c r="FC651" s="19"/>
      <c r="FD651" s="19"/>
      <c r="FE651" s="19"/>
      <c r="FF651" s="19"/>
      <c r="FG651" s="19"/>
      <c r="FH651" s="19"/>
      <c r="FI651" s="19"/>
      <c r="FJ651" s="19"/>
      <c r="FK651" s="19"/>
      <c r="FL651" s="19"/>
      <c r="FM651" s="19"/>
      <c r="FN651" s="19"/>
    </row>
    <row r="652">
      <c r="B652" s="93"/>
      <c r="C652" s="19"/>
      <c r="D652" s="90"/>
      <c r="E652" s="5"/>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19"/>
      <c r="BZ652" s="19"/>
      <c r="CA652" s="19"/>
      <c r="CB652" s="19"/>
      <c r="CC652" s="19"/>
      <c r="CD652" s="19"/>
      <c r="CE652" s="19"/>
      <c r="CF652" s="19"/>
      <c r="CG652" s="19"/>
      <c r="CH652" s="19"/>
      <c r="CI652" s="19"/>
      <c r="CJ652" s="19"/>
      <c r="CK652" s="19"/>
      <c r="CL652" s="19"/>
      <c r="CM652" s="19"/>
      <c r="CN652" s="19"/>
      <c r="CO652" s="19"/>
      <c r="CP652" s="19"/>
      <c r="CQ652" s="19"/>
      <c r="CR652" s="19"/>
      <c r="CS652" s="19"/>
      <c r="CT652" s="19"/>
      <c r="CU652" s="19"/>
      <c r="CV652" s="19"/>
      <c r="CW652" s="19"/>
      <c r="CX652" s="19"/>
      <c r="CY652" s="19"/>
      <c r="CZ652" s="19"/>
      <c r="DA652" s="19"/>
      <c r="DB652" s="19"/>
      <c r="DC652" s="19"/>
      <c r="DD652" s="19"/>
      <c r="DE652" s="19"/>
      <c r="DF652" s="19"/>
      <c r="DG652" s="19"/>
      <c r="DH652" s="19"/>
      <c r="DI652" s="19"/>
      <c r="DJ652" s="19"/>
      <c r="DK652" s="19"/>
      <c r="DL652" s="19"/>
      <c r="DM652" s="19"/>
      <c r="DN652" s="19"/>
      <c r="DO652" s="19"/>
      <c r="DP652" s="19"/>
      <c r="DQ652" s="19"/>
      <c r="DR652" s="19"/>
      <c r="DS652" s="19"/>
      <c r="DT652" s="19"/>
      <c r="DU652" s="19"/>
      <c r="DV652" s="19"/>
      <c r="DW652" s="19"/>
      <c r="DX652" s="19"/>
      <c r="DY652" s="19"/>
      <c r="DZ652" s="19"/>
      <c r="EA652" s="19"/>
      <c r="EB652" s="19"/>
      <c r="EC652" s="19"/>
      <c r="ED652" s="19"/>
      <c r="EE652" s="19"/>
      <c r="EF652" s="19"/>
      <c r="EG652" s="19"/>
      <c r="EH652" s="19"/>
      <c r="EI652" s="19"/>
      <c r="EJ652" s="19"/>
      <c r="EK652" s="19"/>
      <c r="EL652" s="19"/>
      <c r="EM652" s="19"/>
      <c r="EN652" s="19"/>
      <c r="EO652" s="19"/>
      <c r="EP652" s="19"/>
      <c r="EQ652" s="19"/>
      <c r="ER652" s="19"/>
      <c r="ES652" s="19"/>
      <c r="ET652" s="19"/>
      <c r="EU652" s="19"/>
      <c r="EV652" s="19"/>
      <c r="EW652" s="19"/>
      <c r="EX652" s="19"/>
      <c r="EY652" s="19"/>
      <c r="EZ652" s="19"/>
      <c r="FA652" s="19"/>
      <c r="FB652" s="19"/>
      <c r="FC652" s="19"/>
      <c r="FD652" s="19"/>
      <c r="FE652" s="19"/>
      <c r="FF652" s="19"/>
      <c r="FG652" s="19"/>
      <c r="FH652" s="19"/>
      <c r="FI652" s="19"/>
      <c r="FJ652" s="19"/>
      <c r="FK652" s="19"/>
      <c r="FL652" s="19"/>
      <c r="FM652" s="19"/>
      <c r="FN652" s="19"/>
    </row>
    <row r="653">
      <c r="B653" s="93"/>
      <c r="C653" s="19"/>
      <c r="D653" s="90"/>
      <c r="E653" s="5"/>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19"/>
      <c r="CA653" s="19"/>
      <c r="CB653" s="19"/>
      <c r="CC653" s="19"/>
      <c r="CD653" s="19"/>
      <c r="CE653" s="19"/>
      <c r="CF653" s="19"/>
      <c r="CG653" s="19"/>
      <c r="CH653" s="19"/>
      <c r="CI653" s="19"/>
      <c r="CJ653" s="19"/>
      <c r="CK653" s="19"/>
      <c r="CL653" s="19"/>
      <c r="CM653" s="19"/>
      <c r="CN653" s="19"/>
      <c r="CO653" s="19"/>
      <c r="CP653" s="19"/>
      <c r="CQ653" s="19"/>
      <c r="CR653" s="19"/>
      <c r="CS653" s="19"/>
      <c r="CT653" s="19"/>
      <c r="CU653" s="19"/>
      <c r="CV653" s="19"/>
      <c r="CW653" s="19"/>
      <c r="CX653" s="19"/>
      <c r="CY653" s="19"/>
      <c r="CZ653" s="19"/>
      <c r="DA653" s="19"/>
      <c r="DB653" s="19"/>
      <c r="DC653" s="19"/>
      <c r="DD653" s="19"/>
      <c r="DE653" s="19"/>
      <c r="DF653" s="19"/>
      <c r="DG653" s="19"/>
      <c r="DH653" s="19"/>
      <c r="DI653" s="19"/>
      <c r="DJ653" s="19"/>
      <c r="DK653" s="19"/>
      <c r="DL653" s="19"/>
      <c r="DM653" s="19"/>
      <c r="DN653" s="19"/>
      <c r="DO653" s="19"/>
      <c r="DP653" s="19"/>
      <c r="DQ653" s="19"/>
      <c r="DR653" s="19"/>
      <c r="DS653" s="19"/>
      <c r="DT653" s="19"/>
      <c r="DU653" s="19"/>
      <c r="DV653" s="19"/>
      <c r="DW653" s="19"/>
      <c r="DX653" s="19"/>
      <c r="DY653" s="19"/>
      <c r="DZ653" s="19"/>
      <c r="EA653" s="19"/>
      <c r="EB653" s="19"/>
      <c r="EC653" s="19"/>
      <c r="ED653" s="19"/>
      <c r="EE653" s="19"/>
      <c r="EF653" s="19"/>
      <c r="EG653" s="19"/>
      <c r="EH653" s="19"/>
      <c r="EI653" s="19"/>
      <c r="EJ653" s="19"/>
      <c r="EK653" s="19"/>
      <c r="EL653" s="19"/>
      <c r="EM653" s="19"/>
      <c r="EN653" s="19"/>
      <c r="EO653" s="19"/>
      <c r="EP653" s="19"/>
      <c r="EQ653" s="19"/>
      <c r="ER653" s="19"/>
      <c r="ES653" s="19"/>
      <c r="ET653" s="19"/>
      <c r="EU653" s="19"/>
      <c r="EV653" s="19"/>
      <c r="EW653" s="19"/>
      <c r="EX653" s="19"/>
      <c r="EY653" s="19"/>
      <c r="EZ653" s="19"/>
      <c r="FA653" s="19"/>
      <c r="FB653" s="19"/>
      <c r="FC653" s="19"/>
      <c r="FD653" s="19"/>
      <c r="FE653" s="19"/>
      <c r="FF653" s="19"/>
      <c r="FG653" s="19"/>
      <c r="FH653" s="19"/>
      <c r="FI653" s="19"/>
      <c r="FJ653" s="19"/>
      <c r="FK653" s="19"/>
      <c r="FL653" s="19"/>
      <c r="FM653" s="19"/>
      <c r="FN653" s="19"/>
    </row>
    <row r="654">
      <c r="B654" s="93"/>
      <c r="C654" s="19"/>
      <c r="D654" s="90"/>
      <c r="E654" s="5"/>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row>
    <row r="655">
      <c r="B655" s="93"/>
      <c r="C655" s="19"/>
      <c r="D655" s="90"/>
      <c r="E655" s="5"/>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row>
    <row r="656">
      <c r="B656" s="93"/>
      <c r="C656" s="19"/>
      <c r="D656" s="90"/>
      <c r="E656" s="5"/>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row>
    <row r="657">
      <c r="B657" s="93"/>
      <c r="C657" s="19"/>
      <c r="D657" s="90"/>
      <c r="E657" s="5"/>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row>
    <row r="658">
      <c r="B658" s="93"/>
      <c r="C658" s="19"/>
      <c r="D658" s="90"/>
      <c r="E658" s="5"/>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row>
    <row r="659">
      <c r="B659" s="93"/>
      <c r="C659" s="19"/>
      <c r="D659" s="90"/>
      <c r="E659" s="5"/>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row>
    <row r="660">
      <c r="B660" s="93"/>
      <c r="C660" s="19"/>
      <c r="D660" s="90"/>
      <c r="E660" s="5"/>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row>
  </sheetData>
  <mergeCells count="1">
    <mergeCell ref="A4:C15"/>
  </mergeCells>
  <dataValidations>
    <dataValidation type="list" allowBlank="1" showErrorMessage="1" sqref="A1">
      <formula1>'Consulta Simples com Foto'!$B$1:$B$3</formula1>
    </dataValidation>
  </dataValidations>
  <hyperlinks>
    <hyperlink r:id="rId1" ref="E14"/>
    <hyperlink r:id="rId2" ref="E71"/>
    <hyperlink r:id="rId3" ref="E154"/>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38"/>
    <col customWidth="1" min="2" max="2" width="5.88"/>
    <col customWidth="1" min="3" max="3" width="25.5"/>
    <col customWidth="1" min="4" max="26" width="6.0"/>
  </cols>
  <sheetData>
    <row r="1">
      <c r="A1" s="97" t="s">
        <v>15358</v>
      </c>
      <c r="B1" s="98"/>
      <c r="C1" s="99" t="str">
        <f>IFERROR(__xludf.DUMMYFUNCTION("QUERY('bd_normalizado PJMC (769)'!A:AAD, ""select "" &amp; JOIN("", "", SPLIT(A2, "", "")))
"),"dc_upd_nome_atualizado_14082024")</f>
        <v>dc_upd_nome_atualizado_14082024</v>
      </c>
      <c r="D1" s="99" t="str">
        <f>IFERROR(__xludf.DUMMYFUNCTION("""COMPUTED_VALUE"""),"id_chv_cpf")</f>
        <v>id_chv_cpf</v>
      </c>
      <c r="E1" s="99" t="str">
        <f>IFERROR(__xludf.DUMMYFUNCTION("""COMPUTED_VALUE"""),"hist_sel_turma_dinamica")</f>
        <v>hist_sel_turma_dinamica</v>
      </c>
      <c r="F1" s="99" t="str">
        <f>IFERROR(__xludf.DUMMYFUNCTION("""COMPUTED_VALUE"""),"id_chv_cpf_master")</f>
        <v>id_chv_cpf_master</v>
      </c>
      <c r="G1" s="99"/>
      <c r="H1" s="99"/>
      <c r="I1" s="99"/>
      <c r="J1" s="99"/>
      <c r="K1" s="99"/>
      <c r="L1" s="99"/>
      <c r="M1" s="99"/>
      <c r="N1" s="99"/>
      <c r="O1" s="99"/>
      <c r="P1" s="99"/>
      <c r="Q1" s="99"/>
      <c r="R1" s="99"/>
      <c r="S1" s="99"/>
      <c r="T1" s="99"/>
      <c r="U1" s="99"/>
      <c r="V1" s="99"/>
      <c r="W1" s="99"/>
      <c r="X1" s="99"/>
      <c r="Y1" s="99"/>
      <c r="Z1" s="99"/>
    </row>
    <row r="2">
      <c r="A2" s="100" t="str">
        <f>IFERROR(__xludf.DUMMYFUNCTION("TEXTJOIN("", "", TRUE, FILTER('Organização_Categorias_Colunas_'!B:B, ISNUMBER(MATCH(TRIM('Organização_Categorias_Colunas_'!J:J), TRIM(SPLIT(A1, "","")), 0))))"),"H, I, DN, FA")</f>
        <v>H, I, DN, FA</v>
      </c>
      <c r="B2" s="101"/>
      <c r="C2" s="101" t="str">
        <f>IFERROR(__xludf.DUMMYFUNCTION("""COMPUTED_VALUE"""),"VANESSA PIRES DA SILVA MARCAL")</f>
        <v>VANESSA PIRES DA SILVA MARCAL</v>
      </c>
      <c r="D2" s="101" t="str">
        <f>IFERROR(__xludf.DUMMYFUNCTION("""COMPUTED_VALUE"""),"504.***.***-71")</f>
        <v>504.***.***-71</v>
      </c>
      <c r="E2" s="101">
        <f>IFERROR(__xludf.DUMMYFUNCTION("""COMPUTED_VALUE"""),17.0)</f>
        <v>17</v>
      </c>
      <c r="F2" s="101" t="str">
        <f>IFERROR(__xludf.DUMMYFUNCTION("""COMPUTED_VALUE"""),"504.266.978-71")</f>
        <v>504.266.978-71</v>
      </c>
      <c r="G2" s="101"/>
      <c r="H2" s="101"/>
      <c r="I2" s="101"/>
      <c r="J2" s="101"/>
      <c r="K2" s="101"/>
      <c r="L2" s="101"/>
      <c r="M2" s="101"/>
      <c r="N2" s="101"/>
      <c r="O2" s="101"/>
      <c r="P2" s="101"/>
      <c r="Q2" s="101"/>
      <c r="R2" s="101"/>
      <c r="S2" s="101"/>
      <c r="T2" s="101"/>
      <c r="U2" s="101"/>
      <c r="V2" s="101"/>
      <c r="W2" s="101"/>
      <c r="X2" s="101"/>
      <c r="Y2" s="101"/>
      <c r="Z2" s="101"/>
    </row>
    <row r="3">
      <c r="A3" s="101"/>
      <c r="B3" s="101"/>
      <c r="C3" s="101" t="str">
        <f>IFERROR(__xludf.DUMMYFUNCTION("""COMPUTED_VALUE"""),"ASHLEY NUNES GOMES DA COSTA")</f>
        <v>ASHLEY NUNES GOMES DA COSTA</v>
      </c>
      <c r="D3" s="101" t="str">
        <f>IFERROR(__xludf.DUMMYFUNCTION("""COMPUTED_VALUE"""),"110.***.***-30")</f>
        <v>110.***.***-30</v>
      </c>
      <c r="E3" s="101">
        <f>IFERROR(__xludf.DUMMYFUNCTION("""COMPUTED_VALUE"""),1.0)</f>
        <v>1</v>
      </c>
      <c r="F3" s="101" t="str">
        <f>IFERROR(__xludf.DUMMYFUNCTION("""COMPUTED_VALUE"""),"110.932.374-30")</f>
        <v>110.932.374-30</v>
      </c>
      <c r="G3" s="101"/>
      <c r="H3" s="101"/>
      <c r="I3" s="101"/>
      <c r="J3" s="101"/>
      <c r="K3" s="101"/>
      <c r="L3" s="101"/>
      <c r="M3" s="101"/>
      <c r="N3" s="101"/>
      <c r="O3" s="101"/>
      <c r="P3" s="101"/>
      <c r="Q3" s="101"/>
      <c r="R3" s="101"/>
      <c r="S3" s="101"/>
      <c r="T3" s="101"/>
      <c r="U3" s="101"/>
      <c r="V3" s="101"/>
      <c r="W3" s="101"/>
      <c r="X3" s="101"/>
      <c r="Y3" s="101"/>
      <c r="Z3" s="101"/>
    </row>
    <row r="4">
      <c r="A4" s="101"/>
      <c r="C4" s="101" t="str">
        <f>IFERROR(__xludf.DUMMYFUNCTION("""COMPUTED_VALUE"""),"JENIFER THEODORO DA SILVA")</f>
        <v>JENIFER THEODORO DA SILVA</v>
      </c>
      <c r="D4" s="101" t="str">
        <f>IFERROR(__xludf.DUMMYFUNCTION("""COMPUTED_VALUE"""),"468.***.***-01")</f>
        <v>468.***.***-01</v>
      </c>
      <c r="E4" s="101">
        <f>IFERROR(__xludf.DUMMYFUNCTION("""COMPUTED_VALUE"""),5.0)</f>
        <v>5</v>
      </c>
      <c r="F4" s="101" t="str">
        <f>IFERROR(__xludf.DUMMYFUNCTION("""COMPUTED_VALUE"""),"468.891.458-01")</f>
        <v>468.891.458-01</v>
      </c>
      <c r="G4" s="101"/>
      <c r="H4" s="101"/>
      <c r="I4" s="101"/>
      <c r="J4" s="101"/>
      <c r="K4" s="101"/>
      <c r="L4" s="101"/>
      <c r="M4" s="101"/>
      <c r="N4" s="101"/>
      <c r="O4" s="101"/>
      <c r="P4" s="101"/>
      <c r="Q4" s="101"/>
      <c r="R4" s="101"/>
      <c r="S4" s="101"/>
      <c r="T4" s="101"/>
      <c r="U4" s="101"/>
      <c r="V4" s="101"/>
      <c r="W4" s="101"/>
      <c r="X4" s="101"/>
      <c r="Y4" s="101"/>
      <c r="Z4" s="101"/>
    </row>
    <row r="5">
      <c r="A5" s="101"/>
      <c r="B5" s="101"/>
      <c r="C5" s="101" t="str">
        <f>IFERROR(__xludf.DUMMYFUNCTION("""COMPUTED_VALUE"""),"DANIELE LOPES MOTA")</f>
        <v>DANIELE LOPES MOTA</v>
      </c>
      <c r="D5" s="101" t="str">
        <f>IFERROR(__xludf.DUMMYFUNCTION("""COMPUTED_VALUE"""),"492.***.***-83")</f>
        <v>492.***.***-83</v>
      </c>
      <c r="E5" s="101">
        <f>IFERROR(__xludf.DUMMYFUNCTION("""COMPUTED_VALUE"""),3.0)</f>
        <v>3</v>
      </c>
      <c r="F5" s="101" t="str">
        <f>IFERROR(__xludf.DUMMYFUNCTION("""COMPUTED_VALUE"""),"492.983.758-83")</f>
        <v>492.983.758-83</v>
      </c>
      <c r="G5" s="101"/>
      <c r="H5" s="101"/>
      <c r="I5" s="101"/>
      <c r="J5" s="101"/>
      <c r="K5" s="101"/>
      <c r="L5" s="101"/>
      <c r="M5" s="101"/>
      <c r="N5" s="101"/>
      <c r="O5" s="101"/>
      <c r="P5" s="101"/>
      <c r="Q5" s="101"/>
      <c r="R5" s="101"/>
      <c r="S5" s="101"/>
      <c r="T5" s="101"/>
      <c r="U5" s="101"/>
      <c r="V5" s="101"/>
      <c r="W5" s="101"/>
      <c r="X5" s="101"/>
      <c r="Y5" s="101"/>
      <c r="Z5" s="101"/>
    </row>
    <row r="6">
      <c r="A6" s="101"/>
      <c r="B6" s="101"/>
      <c r="C6" s="101" t="str">
        <f>IFERROR(__xludf.DUMMYFUNCTION("""COMPUTED_VALUE"""),"NATHALLY DOS SANTOS VIEIRA")</f>
        <v>NATHALLY DOS SANTOS VIEIRA</v>
      </c>
      <c r="D6" s="101" t="str">
        <f>IFERROR(__xludf.DUMMYFUNCTION("""COMPUTED_VALUE"""),"503.***.***-60")</f>
        <v>503.***.***-60</v>
      </c>
      <c r="E6" s="101">
        <f>IFERROR(__xludf.DUMMYFUNCTION("""COMPUTED_VALUE"""),9.0)</f>
        <v>9</v>
      </c>
      <c r="F6" s="101" t="str">
        <f>IFERROR(__xludf.DUMMYFUNCTION("""COMPUTED_VALUE"""),"503.690.708-60")</f>
        <v>503.690.708-60</v>
      </c>
      <c r="G6" s="101"/>
      <c r="H6" s="101"/>
      <c r="I6" s="101"/>
      <c r="J6" s="101"/>
      <c r="K6" s="101"/>
      <c r="L6" s="101"/>
      <c r="M6" s="101"/>
      <c r="N6" s="101"/>
      <c r="O6" s="101"/>
      <c r="P6" s="101"/>
      <c r="Q6" s="101"/>
      <c r="R6" s="101"/>
      <c r="S6" s="101"/>
      <c r="T6" s="101"/>
      <c r="U6" s="101"/>
      <c r="V6" s="101"/>
      <c r="W6" s="101"/>
      <c r="X6" s="101"/>
      <c r="Y6" s="101"/>
      <c r="Z6" s="101"/>
    </row>
    <row r="7">
      <c r="A7" s="101"/>
      <c r="B7" s="101"/>
      <c r="C7" s="101" t="str">
        <f>IFERROR(__xludf.DUMMYFUNCTION("""COMPUTED_VALUE"""),"KARINA RAMOS DE JESUS")</f>
        <v>KARINA RAMOS DE JESUS</v>
      </c>
      <c r="D7" s="101" t="str">
        <f>IFERROR(__xludf.DUMMYFUNCTION("""COMPUTED_VALUE"""),"425.***.***-39")</f>
        <v>425.***.***-39</v>
      </c>
      <c r="E7" s="101">
        <f>IFERROR(__xludf.DUMMYFUNCTION("""COMPUTED_VALUE"""),6.0)</f>
        <v>6</v>
      </c>
      <c r="F7" s="101" t="str">
        <f>IFERROR(__xludf.DUMMYFUNCTION("""COMPUTED_VALUE"""),"425.627.908-39")</f>
        <v>425.627.908-39</v>
      </c>
      <c r="G7" s="101"/>
      <c r="H7" s="101"/>
      <c r="I7" s="101"/>
      <c r="J7" s="101"/>
      <c r="K7" s="101"/>
      <c r="L7" s="101"/>
      <c r="M7" s="101"/>
      <c r="N7" s="101"/>
      <c r="O7" s="101"/>
      <c r="P7" s="101"/>
      <c r="Q7" s="101"/>
      <c r="R7" s="101"/>
      <c r="S7" s="101"/>
      <c r="T7" s="101"/>
      <c r="U7" s="101"/>
      <c r="V7" s="101"/>
      <c r="W7" s="101"/>
      <c r="X7" s="101"/>
      <c r="Y7" s="101"/>
      <c r="Z7" s="101"/>
    </row>
    <row r="8">
      <c r="A8" s="101"/>
      <c r="B8" s="101"/>
      <c r="C8" s="101" t="str">
        <f>IFERROR(__xludf.DUMMYFUNCTION("""COMPUTED_VALUE"""),"ELLAINNY BARRETO DOS SANTOS")</f>
        <v>ELLAINNY BARRETO DOS SANTOS</v>
      </c>
      <c r="D8" s="101" t="str">
        <f>IFERROR(__xludf.DUMMYFUNCTION("""COMPUTED_VALUE"""),"497.***.***-66")</f>
        <v>497.***.***-66</v>
      </c>
      <c r="E8" s="101">
        <f>IFERROR(__xludf.DUMMYFUNCTION("""COMPUTED_VALUE"""),4.0)</f>
        <v>4</v>
      </c>
      <c r="F8" s="101" t="str">
        <f>IFERROR(__xludf.DUMMYFUNCTION("""COMPUTED_VALUE"""),"497.719.458-66")</f>
        <v>497.719.458-66</v>
      </c>
      <c r="G8" s="101"/>
      <c r="H8" s="101"/>
      <c r="I8" s="101"/>
      <c r="J8" s="101"/>
      <c r="K8" s="101"/>
      <c r="L8" s="101"/>
      <c r="M8" s="101"/>
      <c r="N8" s="101"/>
      <c r="O8" s="101"/>
      <c r="P8" s="101"/>
      <c r="Q8" s="101"/>
      <c r="R8" s="101"/>
      <c r="S8" s="101"/>
      <c r="T8" s="101"/>
      <c r="U8" s="101"/>
      <c r="V8" s="101"/>
      <c r="W8" s="101"/>
      <c r="X8" s="101"/>
      <c r="Y8" s="101"/>
      <c r="Z8" s="101"/>
    </row>
    <row r="9">
      <c r="A9" s="101"/>
      <c r="B9" s="101"/>
      <c r="C9" s="101" t="str">
        <f>IFERROR(__xludf.DUMMYFUNCTION("""COMPUTED_VALUE"""),"JHONES RODRIGUES DE SOUSA")</f>
        <v>JHONES RODRIGUES DE SOUSA</v>
      </c>
      <c r="D9" s="101" t="str">
        <f>IFERROR(__xludf.DUMMYFUNCTION("""COMPUTED_VALUE"""),"476.***.***-47")</f>
        <v>476.***.***-47</v>
      </c>
      <c r="E9" s="101">
        <f>IFERROR(__xludf.DUMMYFUNCTION("""COMPUTED_VALUE"""),5.0)</f>
        <v>5</v>
      </c>
      <c r="F9" s="101" t="str">
        <f>IFERROR(__xludf.DUMMYFUNCTION("""COMPUTED_VALUE"""),"476.351.738-47")</f>
        <v>476.351.738-47</v>
      </c>
      <c r="G9" s="101"/>
      <c r="H9" s="101"/>
      <c r="I9" s="101"/>
      <c r="J9" s="101"/>
      <c r="K9" s="101"/>
      <c r="L9" s="101"/>
      <c r="M9" s="101"/>
      <c r="N9" s="101"/>
      <c r="O9" s="101"/>
      <c r="P9" s="101"/>
      <c r="Q9" s="101"/>
      <c r="R9" s="101"/>
      <c r="S9" s="101"/>
      <c r="T9" s="101"/>
      <c r="U9" s="101"/>
      <c r="V9" s="101"/>
      <c r="W9" s="101"/>
      <c r="X9" s="101"/>
      <c r="Y9" s="101"/>
      <c r="Z9" s="101"/>
    </row>
    <row r="10">
      <c r="A10" s="101"/>
      <c r="B10" s="101"/>
      <c r="C10" s="101" t="str">
        <f>IFERROR(__xludf.DUMMYFUNCTION("""COMPUTED_VALUE"""),"GABRIELE SANTOS ROCHA")</f>
        <v>GABRIELE SANTOS ROCHA</v>
      </c>
      <c r="D10" s="101" t="str">
        <f>IFERROR(__xludf.DUMMYFUNCTION("""COMPUTED_VALUE"""),"487.***.***-39")</f>
        <v>487.***.***-39</v>
      </c>
      <c r="E10" s="101">
        <f>IFERROR(__xludf.DUMMYFUNCTION("""COMPUTED_VALUE"""),4.0)</f>
        <v>4</v>
      </c>
      <c r="F10" s="101" t="str">
        <f>IFERROR(__xludf.DUMMYFUNCTION("""COMPUTED_VALUE"""),"487.289.178-39")</f>
        <v>487.289.178-39</v>
      </c>
      <c r="G10" s="101"/>
      <c r="H10" s="101"/>
      <c r="I10" s="101"/>
      <c r="J10" s="101"/>
      <c r="K10" s="101"/>
      <c r="L10" s="101"/>
      <c r="M10" s="101"/>
      <c r="N10" s="101"/>
      <c r="O10" s="101"/>
      <c r="P10" s="101"/>
      <c r="Q10" s="101"/>
      <c r="R10" s="101"/>
      <c r="S10" s="101"/>
      <c r="T10" s="101"/>
      <c r="U10" s="101"/>
      <c r="V10" s="101"/>
      <c r="W10" s="101"/>
      <c r="X10" s="101"/>
      <c r="Y10" s="101"/>
      <c r="Z10" s="101"/>
    </row>
    <row r="11">
      <c r="A11" s="101"/>
      <c r="B11" s="101"/>
      <c r="C11" s="101" t="str">
        <f>IFERROR(__xludf.DUMMYFUNCTION("""COMPUTED_VALUE"""),"DEBORA SANTANA DOS SANTOS")</f>
        <v>DEBORA SANTANA DOS SANTOS</v>
      </c>
      <c r="D11" s="101" t="str">
        <f>IFERROR(__xludf.DUMMYFUNCTION("""COMPUTED_VALUE"""),"448.***.***-39")</f>
        <v>448.***.***-39</v>
      </c>
      <c r="E11" s="101">
        <f>IFERROR(__xludf.DUMMYFUNCTION("""COMPUTED_VALUE"""),3.0)</f>
        <v>3</v>
      </c>
      <c r="F11" s="101" t="str">
        <f>IFERROR(__xludf.DUMMYFUNCTION("""COMPUTED_VALUE"""),"448.124.848-39")</f>
        <v>448.124.848-39</v>
      </c>
      <c r="G11" s="101"/>
      <c r="H11" s="101"/>
      <c r="I11" s="101"/>
      <c r="J11" s="101"/>
      <c r="K11" s="101"/>
      <c r="L11" s="101"/>
      <c r="M11" s="101"/>
      <c r="N11" s="101"/>
      <c r="O11" s="101"/>
      <c r="P11" s="101"/>
      <c r="Q11" s="101"/>
      <c r="R11" s="101"/>
      <c r="S11" s="101"/>
      <c r="T11" s="101"/>
      <c r="U11" s="101"/>
      <c r="V11" s="101"/>
      <c r="W11" s="101"/>
      <c r="X11" s="101"/>
      <c r="Y11" s="101"/>
      <c r="Z11" s="101"/>
    </row>
    <row r="12">
      <c r="A12" s="101"/>
      <c r="B12" s="101"/>
      <c r="C12" s="101" t="str">
        <f>IFERROR(__xludf.DUMMYFUNCTION("""COMPUTED_VALUE"""),"FERNANDA ARRUDA KONO")</f>
        <v>FERNANDA ARRUDA KONO</v>
      </c>
      <c r="D12" s="101" t="str">
        <f>IFERROR(__xludf.DUMMYFUNCTION("""COMPUTED_VALUE"""),"459.***.***-55")</f>
        <v>459.***.***-55</v>
      </c>
      <c r="E12" s="101">
        <f>IFERROR(__xludf.DUMMYFUNCTION("""COMPUTED_VALUE"""),5.0)</f>
        <v>5</v>
      </c>
      <c r="F12" s="101" t="str">
        <f>IFERROR(__xludf.DUMMYFUNCTION("""COMPUTED_VALUE"""),"459.058.988-55")</f>
        <v>459.058.988-55</v>
      </c>
      <c r="G12" s="101"/>
      <c r="H12" s="101"/>
      <c r="I12" s="101"/>
      <c r="J12" s="101"/>
      <c r="K12" s="101"/>
      <c r="L12" s="101"/>
      <c r="M12" s="101"/>
      <c r="N12" s="101"/>
      <c r="O12" s="101"/>
      <c r="P12" s="101"/>
      <c r="Q12" s="101"/>
      <c r="R12" s="101"/>
      <c r="S12" s="101"/>
      <c r="T12" s="101"/>
      <c r="U12" s="101"/>
      <c r="V12" s="101"/>
      <c r="W12" s="101"/>
      <c r="X12" s="101"/>
      <c r="Y12" s="101"/>
      <c r="Z12" s="101"/>
    </row>
    <row r="13">
      <c r="A13" s="101"/>
      <c r="B13" s="101"/>
      <c r="C13" s="101" t="str">
        <f>IFERROR(__xludf.DUMMYFUNCTION("""COMPUTED_VALUE"""),"LETICIA CAROLINA  GALVÃO LEITE")</f>
        <v>LETICIA CAROLINA  GALVÃO LEITE</v>
      </c>
      <c r="D13" s="101" t="str">
        <f>IFERROR(__xludf.DUMMYFUNCTION("""COMPUTED_VALUE"""),"570.***.***-80")</f>
        <v>570.***.***-80</v>
      </c>
      <c r="E13" s="101">
        <f>IFERROR(__xludf.DUMMYFUNCTION("""COMPUTED_VALUE"""),10.0)</f>
        <v>10</v>
      </c>
      <c r="F13" s="101" t="str">
        <f>IFERROR(__xludf.DUMMYFUNCTION("""COMPUTED_VALUE"""),"570.696.518-80")</f>
        <v>570.696.518-80</v>
      </c>
      <c r="G13" s="101"/>
      <c r="H13" s="101"/>
      <c r="I13" s="101"/>
      <c r="J13" s="101"/>
      <c r="K13" s="101"/>
      <c r="L13" s="101"/>
      <c r="M13" s="101"/>
      <c r="N13" s="101"/>
      <c r="O13" s="101"/>
      <c r="P13" s="101"/>
      <c r="Q13" s="101"/>
      <c r="R13" s="101"/>
      <c r="S13" s="101"/>
      <c r="T13" s="101"/>
      <c r="U13" s="101"/>
      <c r="V13" s="101"/>
      <c r="W13" s="101"/>
      <c r="X13" s="101"/>
      <c r="Y13" s="101"/>
      <c r="Z13" s="101"/>
    </row>
    <row r="14">
      <c r="A14" s="101"/>
      <c r="B14" s="101"/>
      <c r="C14" s="101" t="str">
        <f>IFERROR(__xludf.DUMMYFUNCTION("""COMPUTED_VALUE"""),"FEUER MEIRELES")</f>
        <v>FEUER MEIRELES</v>
      </c>
      <c r="D14" s="101" t="str">
        <f>IFERROR(__xludf.DUMMYFUNCTION("""COMPUTED_VALUE"""),"560.***.***-76")</f>
        <v>560.***.***-76</v>
      </c>
      <c r="E14" s="101">
        <f>IFERROR(__xludf.DUMMYFUNCTION("""COMPUTED_VALUE"""),3.0)</f>
        <v>3</v>
      </c>
      <c r="F14" s="101" t="str">
        <f>IFERROR(__xludf.DUMMYFUNCTION("""COMPUTED_VALUE"""),"560.490.378-76")</f>
        <v>560.490.378-76</v>
      </c>
      <c r="G14" s="101"/>
      <c r="H14" s="101"/>
      <c r="I14" s="101"/>
      <c r="J14" s="101"/>
      <c r="K14" s="101"/>
      <c r="L14" s="101"/>
      <c r="M14" s="101"/>
      <c r="N14" s="101"/>
      <c r="O14" s="101"/>
      <c r="P14" s="101"/>
      <c r="Q14" s="101"/>
      <c r="R14" s="101"/>
      <c r="S14" s="101"/>
      <c r="T14" s="101"/>
      <c r="U14" s="101"/>
      <c r="V14" s="101"/>
      <c r="W14" s="101"/>
      <c r="X14" s="101"/>
      <c r="Y14" s="101"/>
      <c r="Z14" s="101"/>
    </row>
    <row r="15">
      <c r="A15" s="101"/>
      <c r="B15" s="101"/>
      <c r="C15" s="101" t="str">
        <f>IFERROR(__xludf.DUMMYFUNCTION("""COMPUTED_VALUE"""),"GABRIEL SOUZA BARBOSA")</f>
        <v>GABRIEL SOUZA BARBOSA</v>
      </c>
      <c r="D15" s="101" t="str">
        <f>IFERROR(__xludf.DUMMYFUNCTION("""COMPUTED_VALUE"""),"429.***.***-00")</f>
        <v>429.***.***-00</v>
      </c>
      <c r="E15" s="101">
        <f>IFERROR(__xludf.DUMMYFUNCTION("""COMPUTED_VALUE"""),4.0)</f>
        <v>4</v>
      </c>
      <c r="F15" s="101" t="str">
        <f>IFERROR(__xludf.DUMMYFUNCTION("""COMPUTED_VALUE"""),"429.601.868-00")</f>
        <v>429.601.868-00</v>
      </c>
      <c r="G15" s="101"/>
      <c r="H15" s="101"/>
      <c r="I15" s="101"/>
      <c r="J15" s="101"/>
      <c r="K15" s="101"/>
      <c r="L15" s="101"/>
      <c r="M15" s="101"/>
      <c r="N15" s="101"/>
      <c r="O15" s="101"/>
      <c r="P15" s="101"/>
      <c r="Q15" s="101"/>
      <c r="R15" s="101"/>
      <c r="S15" s="101"/>
      <c r="T15" s="101"/>
      <c r="U15" s="101"/>
      <c r="V15" s="101"/>
      <c r="W15" s="101"/>
      <c r="X15" s="101"/>
      <c r="Y15" s="101"/>
      <c r="Z15" s="101"/>
    </row>
    <row r="16">
      <c r="A16" s="101"/>
      <c r="B16" s="101"/>
      <c r="C16" s="101" t="str">
        <f>IFERROR(__xludf.DUMMYFUNCTION("""COMPUTED_VALUE"""),"LARISSA CAROLINE DOS SANTOS")</f>
        <v>LARISSA CAROLINE DOS SANTOS</v>
      </c>
      <c r="D16" s="101" t="str">
        <f>IFERROR(__xludf.DUMMYFUNCTION("""COMPUTED_VALUE"""),"354.***.***-86")</f>
        <v>354.***.***-86</v>
      </c>
      <c r="E16" s="101">
        <f>IFERROR(__xludf.DUMMYFUNCTION("""COMPUTED_VALUE"""),10.0)</f>
        <v>10</v>
      </c>
      <c r="F16" s="101" t="str">
        <f>IFERROR(__xludf.DUMMYFUNCTION("""COMPUTED_VALUE"""),"354.259.798-86")</f>
        <v>354.259.798-86</v>
      </c>
      <c r="G16" s="101"/>
      <c r="H16" s="101"/>
      <c r="I16" s="101"/>
      <c r="J16" s="101"/>
      <c r="K16" s="101"/>
      <c r="L16" s="101"/>
      <c r="M16" s="101"/>
      <c r="N16" s="101"/>
      <c r="O16" s="101"/>
      <c r="P16" s="101"/>
      <c r="Q16" s="101"/>
      <c r="R16" s="101"/>
      <c r="S16" s="101"/>
      <c r="T16" s="101"/>
      <c r="U16" s="101"/>
      <c r="V16" s="101"/>
      <c r="W16" s="101"/>
      <c r="X16" s="101"/>
      <c r="Y16" s="101"/>
      <c r="Z16" s="101"/>
    </row>
    <row r="17">
      <c r="A17" s="101"/>
      <c r="B17" s="101"/>
      <c r="C17" s="101" t="str">
        <f>IFERROR(__xludf.DUMMYFUNCTION("""COMPUTED_VALUE"""),"IGOR DA SILVA MACEDO")</f>
        <v>IGOR DA SILVA MACEDO</v>
      </c>
      <c r="D17" s="101" t="str">
        <f>IFERROR(__xludf.DUMMYFUNCTION("""COMPUTED_VALUE"""),"542.***.***-28")</f>
        <v>542.***.***-28</v>
      </c>
      <c r="E17" s="101">
        <f>IFERROR(__xludf.DUMMYFUNCTION("""COMPUTED_VALUE"""),5.0)</f>
        <v>5</v>
      </c>
      <c r="F17" s="101" t="str">
        <f>IFERROR(__xludf.DUMMYFUNCTION("""COMPUTED_VALUE"""),"542.564.928-28")</f>
        <v>542.564.928-28</v>
      </c>
      <c r="G17" s="101"/>
      <c r="H17" s="101"/>
      <c r="I17" s="101"/>
      <c r="J17" s="101"/>
      <c r="K17" s="101"/>
      <c r="L17" s="101"/>
      <c r="M17" s="101"/>
      <c r="N17" s="101"/>
      <c r="O17" s="101"/>
      <c r="P17" s="101"/>
      <c r="Q17" s="101"/>
      <c r="R17" s="101"/>
      <c r="S17" s="101"/>
      <c r="T17" s="101"/>
      <c r="U17" s="101"/>
      <c r="V17" s="101"/>
      <c r="W17" s="101"/>
      <c r="X17" s="101"/>
      <c r="Y17" s="101"/>
      <c r="Z17" s="101"/>
    </row>
    <row r="18">
      <c r="A18" s="101"/>
      <c r="B18" s="101"/>
      <c r="C18" s="101" t="str">
        <f>IFERROR(__xludf.DUMMYFUNCTION("""COMPUTED_VALUE"""),"CAILANE JESUS DA CONCEICAO")</f>
        <v>CAILANE JESUS DA CONCEICAO</v>
      </c>
      <c r="D18" s="101" t="str">
        <f>IFERROR(__xludf.DUMMYFUNCTION("""COMPUTED_VALUE"""),"527.***.***-60")</f>
        <v>527.***.***-60</v>
      </c>
      <c r="E18" s="101">
        <f>IFERROR(__xludf.DUMMYFUNCTION("""COMPUTED_VALUE"""),2.0)</f>
        <v>2</v>
      </c>
      <c r="F18" s="101" t="str">
        <f>IFERROR(__xludf.DUMMYFUNCTION("""COMPUTED_VALUE"""),"527.007.188-60")</f>
        <v>527.007.188-60</v>
      </c>
      <c r="G18" s="101"/>
      <c r="H18" s="101"/>
      <c r="I18" s="101"/>
      <c r="J18" s="101"/>
      <c r="K18" s="101"/>
      <c r="L18" s="101"/>
      <c r="M18" s="101"/>
      <c r="N18" s="101"/>
      <c r="O18" s="101"/>
      <c r="P18" s="101"/>
      <c r="Q18" s="101"/>
      <c r="R18" s="101"/>
      <c r="S18" s="101"/>
      <c r="T18" s="101"/>
      <c r="U18" s="101"/>
      <c r="V18" s="101"/>
      <c r="W18" s="101"/>
      <c r="X18" s="101"/>
      <c r="Y18" s="101"/>
      <c r="Z18" s="101"/>
    </row>
    <row r="19">
      <c r="A19" s="101"/>
      <c r="B19" s="101"/>
      <c r="C19" s="101" t="str">
        <f>IFERROR(__xludf.DUMMYFUNCTION("""COMPUTED_VALUE"""),"LEONARDO FAVERO ROCHA")</f>
        <v>LEONARDO FAVERO ROCHA</v>
      </c>
      <c r="D19" s="101" t="str">
        <f>IFERROR(__xludf.DUMMYFUNCTION("""COMPUTED_VALUE"""),"411.***.***-70")</f>
        <v>411.***.***-70</v>
      </c>
      <c r="E19" s="101">
        <f>IFERROR(__xludf.DUMMYFUNCTION("""COMPUTED_VALUE"""),7.0)</f>
        <v>7</v>
      </c>
      <c r="F19" s="101" t="str">
        <f>IFERROR(__xludf.DUMMYFUNCTION("""COMPUTED_VALUE"""),"411.281.488-70")</f>
        <v>411.281.488-70</v>
      </c>
      <c r="G19" s="101"/>
      <c r="H19" s="101"/>
      <c r="I19" s="101"/>
      <c r="J19" s="101"/>
      <c r="K19" s="101"/>
      <c r="L19" s="101"/>
      <c r="M19" s="101"/>
      <c r="N19" s="101"/>
      <c r="O19" s="101"/>
      <c r="P19" s="101"/>
      <c r="Q19" s="101"/>
      <c r="R19" s="101"/>
      <c r="S19" s="101"/>
      <c r="T19" s="101"/>
      <c r="U19" s="101"/>
      <c r="V19" s="101"/>
      <c r="W19" s="101"/>
      <c r="X19" s="101"/>
      <c r="Y19" s="101"/>
      <c r="Z19" s="101"/>
    </row>
    <row r="20">
      <c r="A20" s="101"/>
      <c r="B20" s="101"/>
      <c r="C20" s="101" t="str">
        <f>IFERROR(__xludf.DUMMYFUNCTION("""COMPUTED_VALUE"""),"THOMAS HENRIQUE ALVARENGA SANTOS")</f>
        <v>THOMAS HENRIQUE ALVARENGA SANTOS</v>
      </c>
      <c r="D20" s="101" t="str">
        <f>IFERROR(__xludf.DUMMYFUNCTION("""COMPUTED_VALUE"""),"477.***.***-64")</f>
        <v>477.***.***-64</v>
      </c>
      <c r="E20" s="101">
        <f>IFERROR(__xludf.DUMMYFUNCTION("""COMPUTED_VALUE"""),10.0)</f>
        <v>10</v>
      </c>
      <c r="F20" s="101" t="str">
        <f>IFERROR(__xludf.DUMMYFUNCTION("""COMPUTED_VALUE"""),"477.182.538-64")</f>
        <v>477.182.538-64</v>
      </c>
      <c r="G20" s="101"/>
      <c r="H20" s="101"/>
      <c r="I20" s="101"/>
      <c r="J20" s="101"/>
      <c r="K20" s="101"/>
      <c r="L20" s="101"/>
      <c r="M20" s="101"/>
      <c r="N20" s="101"/>
      <c r="O20" s="101"/>
      <c r="P20" s="101"/>
      <c r="Q20" s="101"/>
      <c r="R20" s="101"/>
      <c r="S20" s="101"/>
      <c r="T20" s="101"/>
      <c r="U20" s="101"/>
      <c r="V20" s="101"/>
      <c r="W20" s="101"/>
      <c r="X20" s="101"/>
      <c r="Y20" s="101"/>
      <c r="Z20" s="101"/>
    </row>
    <row r="21">
      <c r="A21" s="101"/>
      <c r="B21" s="101"/>
      <c r="C21" s="101" t="str">
        <f>IFERROR(__xludf.DUMMYFUNCTION("""COMPUTED_VALUE"""),"ARUAN HENRIQUE DE ALVARENGA")</f>
        <v>ARUAN HENRIQUE DE ALVARENGA</v>
      </c>
      <c r="D21" s="101" t="str">
        <f>IFERROR(__xludf.DUMMYFUNCTION("""COMPUTED_VALUE"""),"501.***.***-94")</f>
        <v>501.***.***-94</v>
      </c>
      <c r="E21" s="101">
        <f>IFERROR(__xludf.DUMMYFUNCTION("""COMPUTED_VALUE"""),2.0)</f>
        <v>2</v>
      </c>
      <c r="F21" s="101" t="str">
        <f>IFERROR(__xludf.DUMMYFUNCTION("""COMPUTED_VALUE"""),"501.297.468-94")</f>
        <v>501.297.468-94</v>
      </c>
      <c r="G21" s="101"/>
      <c r="H21" s="101"/>
      <c r="I21" s="101"/>
      <c r="J21" s="101"/>
      <c r="K21" s="101"/>
      <c r="L21" s="101"/>
      <c r="M21" s="101"/>
      <c r="N21" s="101"/>
      <c r="O21" s="101"/>
      <c r="P21" s="101"/>
      <c r="Q21" s="101"/>
      <c r="R21" s="101"/>
      <c r="S21" s="101"/>
      <c r="T21" s="101"/>
      <c r="U21" s="101"/>
      <c r="V21" s="101"/>
      <c r="W21" s="101"/>
      <c r="X21" s="101"/>
      <c r="Y21" s="101"/>
      <c r="Z21" s="101"/>
    </row>
    <row r="22">
      <c r="A22" s="101"/>
      <c r="B22" s="101"/>
      <c r="C22" s="101" t="str">
        <f>IFERROR(__xludf.DUMMYFUNCTION("""COMPUTED_VALUE"""),"BEATRIZ KAROLYNE MOREIRA DE OLIVEIRA QUEIROZ")</f>
        <v>BEATRIZ KAROLYNE MOREIRA DE OLIVEIRA QUEIROZ</v>
      </c>
      <c r="D22" s="101" t="str">
        <f>IFERROR(__xludf.DUMMYFUNCTION("""COMPUTED_VALUE"""),"502.***.***-80")</f>
        <v>502.***.***-80</v>
      </c>
      <c r="E22" s="101">
        <f>IFERROR(__xludf.DUMMYFUNCTION("""COMPUTED_VALUE"""),2.0)</f>
        <v>2</v>
      </c>
      <c r="F22" s="101" t="str">
        <f>IFERROR(__xludf.DUMMYFUNCTION("""COMPUTED_VALUE"""),"502.089.058-80")</f>
        <v>502.089.058-80</v>
      </c>
      <c r="G22" s="101"/>
      <c r="H22" s="101"/>
      <c r="I22" s="101"/>
      <c r="J22" s="101"/>
      <c r="K22" s="101"/>
      <c r="L22" s="101"/>
      <c r="M22" s="101"/>
      <c r="N22" s="101"/>
      <c r="O22" s="101"/>
      <c r="P22" s="101"/>
      <c r="Q22" s="101"/>
      <c r="R22" s="101"/>
      <c r="S22" s="101"/>
      <c r="T22" s="101"/>
      <c r="U22" s="101"/>
      <c r="V22" s="101"/>
      <c r="W22" s="101"/>
      <c r="X22" s="101"/>
      <c r="Y22" s="101"/>
      <c r="Z22" s="101"/>
    </row>
    <row r="23">
      <c r="A23" s="101"/>
      <c r="B23" s="101"/>
      <c r="C23" s="101" t="str">
        <f>IFERROR(__xludf.DUMMYFUNCTION("""COMPUTED_VALUE"""),"GIULIA NONATO PINTO")</f>
        <v>GIULIA NONATO PINTO</v>
      </c>
      <c r="D23" s="101" t="str">
        <f>IFERROR(__xludf.DUMMYFUNCTION("""COMPUTED_VALUE"""),"472.***.***-09")</f>
        <v>472.***.***-09</v>
      </c>
      <c r="E23" s="101">
        <f>IFERROR(__xludf.DUMMYFUNCTION("""COMPUTED_VALUE"""),8.0)</f>
        <v>8</v>
      </c>
      <c r="F23" s="101" t="str">
        <f>IFERROR(__xludf.DUMMYFUNCTION("""COMPUTED_VALUE"""),"472.875.238-09")</f>
        <v>472.875.238-09</v>
      </c>
      <c r="G23" s="101"/>
      <c r="H23" s="101"/>
      <c r="I23" s="101"/>
      <c r="J23" s="101"/>
      <c r="K23" s="101"/>
      <c r="L23" s="101"/>
      <c r="M23" s="101"/>
      <c r="N23" s="101"/>
      <c r="O23" s="101"/>
      <c r="P23" s="101"/>
      <c r="Q23" s="101"/>
      <c r="R23" s="101"/>
      <c r="S23" s="101"/>
      <c r="T23" s="101"/>
      <c r="U23" s="101"/>
      <c r="V23" s="101"/>
      <c r="W23" s="101"/>
      <c r="X23" s="101"/>
      <c r="Y23" s="101"/>
      <c r="Z23" s="101"/>
    </row>
    <row r="24">
      <c r="A24" s="101"/>
      <c r="B24" s="101"/>
      <c r="C24" s="101" t="str">
        <f>IFERROR(__xludf.DUMMYFUNCTION("""COMPUTED_VALUE"""),"AMANDA DOS REIS SANTOS")</f>
        <v>AMANDA DOS REIS SANTOS</v>
      </c>
      <c r="D24" s="101" t="str">
        <f>IFERROR(__xludf.DUMMYFUNCTION("""COMPUTED_VALUE"""),"451.***.***-84")</f>
        <v>451.***.***-84</v>
      </c>
      <c r="E24" s="101">
        <f>IFERROR(__xludf.DUMMYFUNCTION("""COMPUTED_VALUE"""),1.0)</f>
        <v>1</v>
      </c>
      <c r="F24" s="101" t="str">
        <f>IFERROR(__xludf.DUMMYFUNCTION("""COMPUTED_VALUE"""),"451.600.448-84")</f>
        <v>451.600.448-84</v>
      </c>
      <c r="G24" s="101"/>
      <c r="H24" s="101"/>
      <c r="I24" s="101"/>
      <c r="J24" s="101"/>
      <c r="K24" s="101"/>
      <c r="L24" s="101"/>
      <c r="M24" s="101"/>
      <c r="N24" s="101"/>
      <c r="O24" s="101"/>
      <c r="P24" s="101"/>
      <c r="Q24" s="101"/>
      <c r="R24" s="101"/>
      <c r="S24" s="101"/>
      <c r="T24" s="101"/>
      <c r="U24" s="101"/>
      <c r="V24" s="101"/>
      <c r="W24" s="101"/>
      <c r="X24" s="101"/>
      <c r="Y24" s="101"/>
      <c r="Z24" s="101"/>
    </row>
    <row r="25">
      <c r="A25" s="101"/>
      <c r="B25" s="101"/>
      <c r="C25" s="101" t="str">
        <f>IFERROR(__xludf.DUMMYFUNCTION("""COMPUTED_VALUE"""),"CARLOS FELIPE FREITAS COSTA")</f>
        <v>CARLOS FELIPE FREITAS COSTA</v>
      </c>
      <c r="D25" s="101" t="str">
        <f>IFERROR(__xludf.DUMMYFUNCTION("""COMPUTED_VALUE"""),"512.***.***-98")</f>
        <v>512.***.***-98</v>
      </c>
      <c r="E25" s="101">
        <f>IFERROR(__xludf.DUMMYFUNCTION("""COMPUTED_VALUE"""),3.0)</f>
        <v>3</v>
      </c>
      <c r="F25" s="101" t="str">
        <f>IFERROR(__xludf.DUMMYFUNCTION("""COMPUTED_VALUE"""),"512.332.778-98")</f>
        <v>512.332.778-98</v>
      </c>
      <c r="G25" s="101"/>
      <c r="H25" s="101"/>
      <c r="I25" s="101"/>
      <c r="J25" s="101"/>
      <c r="K25" s="101"/>
      <c r="L25" s="101"/>
      <c r="M25" s="101"/>
      <c r="N25" s="101"/>
      <c r="O25" s="101"/>
      <c r="P25" s="101"/>
      <c r="Q25" s="101"/>
      <c r="R25" s="101"/>
      <c r="S25" s="101"/>
      <c r="T25" s="101"/>
      <c r="U25" s="101"/>
      <c r="V25" s="101"/>
      <c r="W25" s="101"/>
      <c r="X25" s="101"/>
      <c r="Y25" s="101"/>
      <c r="Z25" s="101"/>
    </row>
    <row r="26">
      <c r="A26" s="101"/>
      <c r="B26" s="101"/>
      <c r="C26" s="101" t="str">
        <f>IFERROR(__xludf.DUMMYFUNCTION("""COMPUTED_VALUE"""),"RAILTON FERNANDES BATISTA")</f>
        <v>RAILTON FERNANDES BATISTA</v>
      </c>
      <c r="D26" s="101" t="str">
        <f>IFERROR(__xludf.DUMMYFUNCTION("""COMPUTED_VALUE"""),"130.***.***-01")</f>
        <v>130.***.***-01</v>
      </c>
      <c r="E26" s="101">
        <f>IFERROR(__xludf.DUMMYFUNCTION("""COMPUTED_VALUE"""),10.0)</f>
        <v>10</v>
      </c>
      <c r="F26" s="101" t="str">
        <f>IFERROR(__xludf.DUMMYFUNCTION("""COMPUTED_VALUE"""),"130.006.506-01")</f>
        <v>130.006.506-01</v>
      </c>
      <c r="G26" s="101"/>
      <c r="H26" s="101"/>
      <c r="I26" s="101"/>
      <c r="J26" s="101"/>
      <c r="K26" s="101"/>
      <c r="L26" s="101"/>
      <c r="M26" s="101"/>
      <c r="N26" s="101"/>
      <c r="O26" s="101"/>
      <c r="P26" s="101"/>
      <c r="Q26" s="101"/>
      <c r="R26" s="101"/>
      <c r="S26" s="101"/>
      <c r="T26" s="101"/>
      <c r="U26" s="101"/>
      <c r="V26" s="101"/>
      <c r="W26" s="101"/>
      <c r="X26" s="101"/>
      <c r="Y26" s="101"/>
      <c r="Z26" s="101"/>
    </row>
    <row r="27">
      <c r="A27" s="101"/>
      <c r="B27" s="101"/>
      <c r="C27" s="101" t="str">
        <f>IFERROR(__xludf.DUMMYFUNCTION("""COMPUTED_VALUE"""),"RAFAELA NATHALIA CAMPOS DA SILVA")</f>
        <v>RAFAELA NATHALIA CAMPOS DA SILVA</v>
      </c>
      <c r="D27" s="101" t="str">
        <f>IFERROR(__xludf.DUMMYFUNCTION("""COMPUTED_VALUE"""),"467.***.***-60")</f>
        <v>467.***.***-60</v>
      </c>
      <c r="E27" s="101">
        <f>IFERROR(__xludf.DUMMYFUNCTION("""COMPUTED_VALUE"""),9.0)</f>
        <v>9</v>
      </c>
      <c r="F27" s="101" t="str">
        <f>IFERROR(__xludf.DUMMYFUNCTION("""COMPUTED_VALUE"""),"467.372.208-60")</f>
        <v>467.372.208-60</v>
      </c>
      <c r="G27" s="101"/>
      <c r="H27" s="101"/>
      <c r="I27" s="101"/>
      <c r="J27" s="101"/>
      <c r="K27" s="101"/>
      <c r="L27" s="101"/>
      <c r="M27" s="101"/>
      <c r="N27" s="101"/>
      <c r="O27" s="101"/>
      <c r="P27" s="101"/>
      <c r="Q27" s="101"/>
      <c r="R27" s="101"/>
      <c r="S27" s="101"/>
      <c r="T27" s="101"/>
      <c r="U27" s="101"/>
      <c r="V27" s="101"/>
      <c r="W27" s="101"/>
      <c r="X27" s="101"/>
      <c r="Y27" s="101"/>
      <c r="Z27" s="101"/>
    </row>
    <row r="28">
      <c r="A28" s="101"/>
      <c r="B28" s="101"/>
      <c r="C28" s="101" t="str">
        <f>IFERROR(__xludf.DUMMYFUNCTION("""COMPUTED_VALUE"""),"LEONARDO PEREIRA DOS  SANTOS")</f>
        <v>LEONARDO PEREIRA DOS  SANTOS</v>
      </c>
      <c r="D28" s="101" t="str">
        <f>IFERROR(__xludf.DUMMYFUNCTION("""COMPUTED_VALUE"""),"239.***.***-45")</f>
        <v>239.***.***-45</v>
      </c>
      <c r="E28" s="101">
        <f>IFERROR(__xludf.DUMMYFUNCTION("""COMPUTED_VALUE"""),10.0)</f>
        <v>10</v>
      </c>
      <c r="F28" s="101" t="str">
        <f>IFERROR(__xludf.DUMMYFUNCTION("""COMPUTED_VALUE"""),"239.115.338-45")</f>
        <v>239.115.338-45</v>
      </c>
      <c r="G28" s="101"/>
      <c r="H28" s="101"/>
      <c r="I28" s="101"/>
      <c r="J28" s="101"/>
      <c r="K28" s="101"/>
      <c r="L28" s="101"/>
      <c r="M28" s="101"/>
      <c r="N28" s="101"/>
      <c r="O28" s="101"/>
      <c r="P28" s="101"/>
      <c r="Q28" s="101"/>
      <c r="R28" s="101"/>
      <c r="S28" s="101"/>
      <c r="T28" s="101"/>
      <c r="U28" s="101"/>
      <c r="V28" s="101"/>
      <c r="W28" s="101"/>
      <c r="X28" s="101"/>
      <c r="Y28" s="101"/>
      <c r="Z28" s="101"/>
    </row>
    <row r="29">
      <c r="A29" s="101"/>
      <c r="B29" s="101"/>
      <c r="C29" s="101" t="str">
        <f>IFERROR(__xludf.DUMMYFUNCTION("""COMPUTED_VALUE"""),"GREGORYA BEATRIZ CALLE CABRERA")</f>
        <v>GREGORYA BEATRIZ CALLE CABRERA</v>
      </c>
      <c r="D29" s="101" t="str">
        <f>IFERROR(__xludf.DUMMYFUNCTION("""COMPUTED_VALUE"""),"239.***.***-75")</f>
        <v>239.***.***-75</v>
      </c>
      <c r="E29" s="101">
        <f>IFERROR(__xludf.DUMMYFUNCTION("""COMPUTED_VALUE"""),6.0)</f>
        <v>6</v>
      </c>
      <c r="F29" s="101" t="str">
        <f>IFERROR(__xludf.DUMMYFUNCTION("""COMPUTED_VALUE"""),"239.858.748-75")</f>
        <v>239.858.748-75</v>
      </c>
      <c r="G29" s="101"/>
      <c r="H29" s="101"/>
      <c r="I29" s="101"/>
      <c r="J29" s="101"/>
      <c r="K29" s="101"/>
      <c r="L29" s="101"/>
      <c r="M29" s="101"/>
      <c r="N29" s="101"/>
      <c r="O29" s="101"/>
      <c r="P29" s="101"/>
      <c r="Q29" s="101"/>
      <c r="R29" s="101"/>
      <c r="S29" s="101"/>
      <c r="T29" s="101"/>
      <c r="U29" s="101"/>
      <c r="V29" s="101"/>
      <c r="W29" s="101"/>
      <c r="X29" s="101"/>
      <c r="Y29" s="101"/>
      <c r="Z29" s="101"/>
    </row>
    <row r="30">
      <c r="A30" s="101"/>
      <c r="B30" s="101"/>
      <c r="C30" s="101" t="str">
        <f>IFERROR(__xludf.DUMMYFUNCTION("""COMPUTED_VALUE"""),"KAIFY")</f>
        <v>KAIFY</v>
      </c>
      <c r="D30" s="101" t="str">
        <f>IFERROR(__xludf.DUMMYFUNCTION("""COMPUTED_VALUE"""),"538.***.***-43")</f>
        <v>538.***.***-43</v>
      </c>
      <c r="E30" s="101">
        <f>IFERROR(__xludf.DUMMYFUNCTION("""COMPUTED_VALUE"""),6.0)</f>
        <v>6</v>
      </c>
      <c r="F30" s="101" t="str">
        <f>IFERROR(__xludf.DUMMYFUNCTION("""COMPUTED_VALUE"""),"538.432.228-43")</f>
        <v>538.432.228-43</v>
      </c>
      <c r="G30" s="101"/>
      <c r="H30" s="101"/>
      <c r="I30" s="101"/>
      <c r="J30" s="101"/>
      <c r="K30" s="101"/>
      <c r="L30" s="101"/>
      <c r="M30" s="101"/>
      <c r="N30" s="101"/>
      <c r="O30" s="101"/>
      <c r="P30" s="101"/>
      <c r="Q30" s="101"/>
      <c r="R30" s="101"/>
      <c r="S30" s="101"/>
      <c r="T30" s="101"/>
      <c r="U30" s="101"/>
      <c r="V30" s="101"/>
      <c r="W30" s="101"/>
      <c r="X30" s="101"/>
      <c r="Y30" s="101"/>
      <c r="Z30" s="101"/>
    </row>
    <row r="31">
      <c r="A31" s="101"/>
      <c r="B31" s="101"/>
      <c r="C31" s="101" t="str">
        <f>IFERROR(__xludf.DUMMYFUNCTION("""COMPUTED_VALUE"""),"AMAZILIA DA SILVA FERREIRA")</f>
        <v>AMAZILIA DA SILVA FERREIRA</v>
      </c>
      <c r="D31" s="101" t="str">
        <f>IFERROR(__xludf.DUMMYFUNCTION("""COMPUTED_VALUE"""),"549.***.***-21")</f>
        <v>549.***.***-21</v>
      </c>
      <c r="E31" s="101">
        <f>IFERROR(__xludf.DUMMYFUNCTION("""COMPUTED_VALUE"""),1.0)</f>
        <v>1</v>
      </c>
      <c r="F31" s="101" t="str">
        <f>IFERROR(__xludf.DUMMYFUNCTION("""COMPUTED_VALUE"""),"549.156.128-21")</f>
        <v>549.156.128-21</v>
      </c>
      <c r="G31" s="101"/>
      <c r="H31" s="101"/>
      <c r="I31" s="101"/>
      <c r="J31" s="101"/>
      <c r="K31" s="101"/>
      <c r="L31" s="101"/>
      <c r="M31" s="101"/>
      <c r="N31" s="101"/>
      <c r="O31" s="101"/>
      <c r="P31" s="101"/>
      <c r="Q31" s="101"/>
      <c r="R31" s="101"/>
      <c r="S31" s="101"/>
      <c r="T31" s="101"/>
      <c r="U31" s="101"/>
      <c r="V31" s="101"/>
      <c r="W31" s="101"/>
      <c r="X31" s="101"/>
      <c r="Y31" s="101"/>
      <c r="Z31" s="101"/>
    </row>
    <row r="32">
      <c r="A32" s="101"/>
      <c r="B32" s="101"/>
      <c r="C32" s="101" t="str">
        <f>IFERROR(__xludf.DUMMYFUNCTION("""COMPUTED_VALUE"""),"MARIA LUIZA FROES SILVA")</f>
        <v>MARIA LUIZA FROES SILVA</v>
      </c>
      <c r="D32" s="101" t="str">
        <f>IFERROR(__xludf.DUMMYFUNCTION("""COMPUTED_VALUE"""),"390.***.***-98")</f>
        <v>390.***.***-98</v>
      </c>
      <c r="E32" s="101">
        <f>IFERROR(__xludf.DUMMYFUNCTION("""COMPUTED_VALUE"""),12.0)</f>
        <v>12</v>
      </c>
      <c r="F32" s="101" t="str">
        <f>IFERROR(__xludf.DUMMYFUNCTION("""COMPUTED_VALUE"""),"390.890.488-98")</f>
        <v>390.890.488-98</v>
      </c>
      <c r="G32" s="101"/>
      <c r="H32" s="101"/>
      <c r="I32" s="101"/>
      <c r="J32" s="101"/>
      <c r="K32" s="101"/>
      <c r="L32" s="101"/>
      <c r="M32" s="101"/>
      <c r="N32" s="101"/>
      <c r="O32" s="101"/>
      <c r="P32" s="101"/>
      <c r="Q32" s="101"/>
      <c r="R32" s="101"/>
      <c r="S32" s="101"/>
      <c r="T32" s="101"/>
      <c r="U32" s="101"/>
      <c r="V32" s="101"/>
      <c r="W32" s="101"/>
      <c r="X32" s="101"/>
      <c r="Y32" s="101"/>
      <c r="Z32" s="101"/>
    </row>
    <row r="33">
      <c r="A33" s="101"/>
      <c r="B33" s="101"/>
      <c r="C33" s="101" t="str">
        <f>IFERROR(__xludf.DUMMYFUNCTION("""COMPUTED_VALUE"""),"POLIANA CINTO")</f>
        <v>POLIANA CINTO</v>
      </c>
      <c r="D33" s="101" t="str">
        <f>IFERROR(__xludf.DUMMYFUNCTION("""COMPUTED_VALUE"""),"059.***.***-76")</f>
        <v>059.***.***-76</v>
      </c>
      <c r="E33" s="101">
        <f>IFERROR(__xludf.DUMMYFUNCTION("""COMPUTED_VALUE"""),14.0)</f>
        <v>14</v>
      </c>
      <c r="F33" s="101" t="str">
        <f>IFERROR(__xludf.DUMMYFUNCTION("""COMPUTED_VALUE"""),"059.302.831-76")</f>
        <v>059.302.831-76</v>
      </c>
      <c r="G33" s="101"/>
      <c r="H33" s="101"/>
      <c r="I33" s="101"/>
      <c r="J33" s="101"/>
      <c r="K33" s="101"/>
      <c r="L33" s="101"/>
      <c r="M33" s="101"/>
      <c r="N33" s="101"/>
      <c r="O33" s="101"/>
      <c r="P33" s="101"/>
      <c r="Q33" s="101"/>
      <c r="R33" s="101"/>
      <c r="S33" s="101"/>
      <c r="T33" s="101"/>
      <c r="U33" s="101"/>
      <c r="V33" s="101"/>
      <c r="W33" s="101"/>
      <c r="X33" s="101"/>
      <c r="Y33" s="101"/>
      <c r="Z33" s="101"/>
    </row>
    <row r="34">
      <c r="A34" s="101"/>
      <c r="B34" s="101"/>
      <c r="C34" s="101" t="str">
        <f>IFERROR(__xludf.DUMMYFUNCTION("""COMPUTED_VALUE"""),"BEATRIZ DOMINGUES GOMES DE OLIVEIRA")</f>
        <v>BEATRIZ DOMINGUES GOMES DE OLIVEIRA</v>
      </c>
      <c r="D34" s="101" t="str">
        <f>IFERROR(__xludf.DUMMYFUNCTION("""COMPUTED_VALUE"""),"452.***.***-27")</f>
        <v>452.***.***-27</v>
      </c>
      <c r="E34" s="101">
        <f>IFERROR(__xludf.DUMMYFUNCTION("""COMPUTED_VALUE"""),2.0)</f>
        <v>2</v>
      </c>
      <c r="F34" s="101" t="str">
        <f>IFERROR(__xludf.DUMMYFUNCTION("""COMPUTED_VALUE"""),"452.141.288-27")</f>
        <v>452.141.288-27</v>
      </c>
      <c r="G34" s="101"/>
      <c r="H34" s="101"/>
      <c r="I34" s="101"/>
      <c r="J34" s="101"/>
      <c r="K34" s="101"/>
      <c r="L34" s="101"/>
      <c r="M34" s="101"/>
      <c r="N34" s="101"/>
      <c r="O34" s="101"/>
      <c r="P34" s="101"/>
      <c r="Q34" s="101"/>
      <c r="R34" s="101"/>
      <c r="S34" s="101"/>
      <c r="T34" s="101"/>
      <c r="U34" s="101"/>
      <c r="V34" s="101"/>
      <c r="W34" s="101"/>
      <c r="X34" s="101"/>
      <c r="Y34" s="101"/>
      <c r="Z34" s="101"/>
    </row>
    <row r="35">
      <c r="A35" s="101"/>
      <c r="B35" s="101"/>
      <c r="C35" s="101" t="str">
        <f>IFERROR(__xludf.DUMMYFUNCTION("""COMPUTED_VALUE"""),"FERNANDA OLIVEIRA LIMA")</f>
        <v>FERNANDA OLIVEIRA LIMA</v>
      </c>
      <c r="D35" s="101" t="str">
        <f>IFERROR(__xludf.DUMMYFUNCTION("""COMPUTED_VALUE"""),"539.***.***-80")</f>
        <v>539.***.***-80</v>
      </c>
      <c r="E35" s="101">
        <f>IFERROR(__xludf.DUMMYFUNCTION("""COMPUTED_VALUE"""),3.0)</f>
        <v>3</v>
      </c>
      <c r="F35" s="101" t="str">
        <f>IFERROR(__xludf.DUMMYFUNCTION("""COMPUTED_VALUE"""),"539.382.468-80")</f>
        <v>539.382.468-80</v>
      </c>
      <c r="G35" s="101"/>
      <c r="H35" s="101"/>
      <c r="I35" s="101"/>
      <c r="J35" s="101"/>
      <c r="K35" s="101"/>
      <c r="L35" s="101"/>
      <c r="M35" s="101"/>
      <c r="N35" s="101"/>
      <c r="O35" s="101"/>
      <c r="P35" s="101"/>
      <c r="Q35" s="101"/>
      <c r="R35" s="101"/>
      <c r="S35" s="101"/>
      <c r="T35" s="101"/>
      <c r="U35" s="101"/>
      <c r="V35" s="101"/>
      <c r="W35" s="101"/>
      <c r="X35" s="101"/>
      <c r="Y35" s="101"/>
      <c r="Z35" s="101"/>
    </row>
    <row r="36">
      <c r="A36" s="101"/>
      <c r="B36" s="101"/>
      <c r="C36" s="101" t="str">
        <f>IFERROR(__xludf.DUMMYFUNCTION("""COMPUTED_VALUE"""),"KAROLINE MIRELLE CUSTODIO SILVA")</f>
        <v>KAROLINE MIRELLE CUSTODIO SILVA</v>
      </c>
      <c r="D36" s="101" t="str">
        <f>IFERROR(__xludf.DUMMYFUNCTION("""COMPUTED_VALUE"""),"446.***.***-01")</f>
        <v>446.***.***-01</v>
      </c>
      <c r="E36" s="101">
        <f>IFERROR(__xludf.DUMMYFUNCTION("""COMPUTED_VALUE"""),6.0)</f>
        <v>6</v>
      </c>
      <c r="F36" s="101" t="str">
        <f>IFERROR(__xludf.DUMMYFUNCTION("""COMPUTED_VALUE"""),"446.246.728-01")</f>
        <v>446.246.728-01</v>
      </c>
      <c r="G36" s="101"/>
      <c r="H36" s="101"/>
      <c r="I36" s="101"/>
      <c r="J36" s="101"/>
      <c r="K36" s="101"/>
      <c r="L36" s="101"/>
      <c r="M36" s="101"/>
      <c r="N36" s="101"/>
      <c r="O36" s="101"/>
      <c r="P36" s="101"/>
      <c r="Q36" s="101"/>
      <c r="R36" s="101"/>
      <c r="S36" s="101"/>
      <c r="T36" s="101"/>
      <c r="U36" s="101"/>
      <c r="V36" s="101"/>
      <c r="W36" s="101"/>
      <c r="X36" s="101"/>
      <c r="Y36" s="101"/>
      <c r="Z36" s="101"/>
    </row>
    <row r="37">
      <c r="A37" s="101"/>
      <c r="B37" s="101"/>
      <c r="C37" s="101" t="str">
        <f>IFERROR(__xludf.DUMMYFUNCTION("""COMPUTED_VALUE"""),"WESLEY BARBOSA SILVA")</f>
        <v>WESLEY BARBOSA SILVA</v>
      </c>
      <c r="D37" s="101" t="str">
        <f>IFERROR(__xludf.DUMMYFUNCTION("""COMPUTED_VALUE"""),"447.***.***-18")</f>
        <v>447.***.***-18</v>
      </c>
      <c r="E37" s="101">
        <f>IFERROR(__xludf.DUMMYFUNCTION("""COMPUTED_VALUE"""),18.0)</f>
        <v>18</v>
      </c>
      <c r="F37" s="101" t="str">
        <f>IFERROR(__xludf.DUMMYFUNCTION("""COMPUTED_VALUE"""),"447.597.768-18")</f>
        <v>447.597.768-18</v>
      </c>
      <c r="G37" s="101"/>
      <c r="H37" s="101"/>
      <c r="I37" s="101"/>
      <c r="J37" s="101"/>
      <c r="K37" s="101"/>
      <c r="L37" s="101"/>
      <c r="M37" s="101"/>
      <c r="N37" s="101"/>
      <c r="O37" s="101"/>
      <c r="P37" s="101"/>
      <c r="Q37" s="101"/>
      <c r="R37" s="101"/>
      <c r="S37" s="101"/>
      <c r="T37" s="101"/>
      <c r="U37" s="101"/>
      <c r="V37" s="101"/>
      <c r="W37" s="101"/>
      <c r="X37" s="101"/>
      <c r="Y37" s="101"/>
      <c r="Z37" s="101"/>
    </row>
    <row r="38">
      <c r="A38" s="101"/>
      <c r="B38" s="101"/>
      <c r="C38" s="101" t="str">
        <f>IFERROR(__xludf.DUMMYFUNCTION("""COMPUTED_VALUE"""),"SAM ALEHA VIEIRA DE OLIVEIRA")</f>
        <v>SAM ALEHA VIEIRA DE OLIVEIRA</v>
      </c>
      <c r="D38" s="101" t="str">
        <f>IFERROR(__xludf.DUMMYFUNCTION("""COMPUTED_VALUE"""),"549.***.***-70")</f>
        <v>549.***.***-70</v>
      </c>
      <c r="E38" s="101">
        <f>IFERROR(__xludf.DUMMYFUNCTION("""COMPUTED_VALUE"""),11.0)</f>
        <v>11</v>
      </c>
      <c r="F38" s="101" t="str">
        <f>IFERROR(__xludf.DUMMYFUNCTION("""COMPUTED_VALUE"""),"549.712.118-70")</f>
        <v>549.712.118-70</v>
      </c>
      <c r="G38" s="101"/>
      <c r="H38" s="101"/>
      <c r="I38" s="101"/>
      <c r="J38" s="101"/>
      <c r="K38" s="101"/>
      <c r="L38" s="101"/>
      <c r="M38" s="101"/>
      <c r="N38" s="101"/>
      <c r="O38" s="101"/>
      <c r="P38" s="101"/>
      <c r="Q38" s="101"/>
      <c r="R38" s="101"/>
      <c r="S38" s="101"/>
      <c r="T38" s="101"/>
      <c r="U38" s="101"/>
      <c r="V38" s="101"/>
      <c r="W38" s="101"/>
      <c r="X38" s="101"/>
      <c r="Y38" s="101"/>
      <c r="Z38" s="101"/>
    </row>
    <row r="39">
      <c r="A39" s="101"/>
      <c r="B39" s="101"/>
      <c r="C39" s="101" t="str">
        <f>IFERROR(__xludf.DUMMYFUNCTION("""COMPUTED_VALUE"""),"RONALD NASCIMENTO GOMES")</f>
        <v>RONALD NASCIMENTO GOMES</v>
      </c>
      <c r="D39" s="101" t="str">
        <f>IFERROR(__xludf.DUMMYFUNCTION("""COMPUTED_VALUE"""),"574.***.***-45")</f>
        <v>574.***.***-45</v>
      </c>
      <c r="E39" s="101">
        <f>IFERROR(__xludf.DUMMYFUNCTION("""COMPUTED_VALUE"""),11.0)</f>
        <v>11</v>
      </c>
      <c r="F39" s="101" t="str">
        <f>IFERROR(__xludf.DUMMYFUNCTION("""COMPUTED_VALUE"""),"574.195.348-45")</f>
        <v>574.195.348-45</v>
      </c>
      <c r="G39" s="101"/>
      <c r="H39" s="101"/>
      <c r="I39" s="101"/>
      <c r="J39" s="101"/>
      <c r="K39" s="101"/>
      <c r="L39" s="101"/>
      <c r="M39" s="101"/>
      <c r="N39" s="101"/>
      <c r="O39" s="101"/>
      <c r="P39" s="101"/>
      <c r="Q39" s="101"/>
      <c r="R39" s="101"/>
      <c r="S39" s="101"/>
      <c r="T39" s="101"/>
      <c r="U39" s="101"/>
      <c r="V39" s="101"/>
      <c r="W39" s="101"/>
      <c r="X39" s="101"/>
      <c r="Y39" s="101"/>
      <c r="Z39" s="101"/>
    </row>
    <row r="40">
      <c r="A40" s="101"/>
      <c r="B40" s="101"/>
      <c r="C40" s="101" t="str">
        <f>IFERROR(__xludf.DUMMYFUNCTION("""COMPUTED_VALUE"""),"CASSIO JOSE GONCALVES ARAUJO")</f>
        <v>CASSIO JOSE GONCALVES ARAUJO</v>
      </c>
      <c r="D40" s="101" t="str">
        <f>IFERROR(__xludf.DUMMYFUNCTION("""COMPUTED_VALUE"""),"475.***.***-30")</f>
        <v>475.***.***-30</v>
      </c>
      <c r="E40" s="101">
        <f>IFERROR(__xludf.DUMMYFUNCTION("""COMPUTED_VALUE"""),2.0)</f>
        <v>2</v>
      </c>
      <c r="F40" s="101" t="str">
        <f>IFERROR(__xludf.DUMMYFUNCTION("""COMPUTED_VALUE"""),"475.442.538-30")</f>
        <v>475.442.538-30</v>
      </c>
      <c r="G40" s="101"/>
      <c r="H40" s="101"/>
      <c r="I40" s="101"/>
      <c r="J40" s="101"/>
      <c r="K40" s="101"/>
      <c r="L40" s="101"/>
      <c r="M40" s="101"/>
      <c r="N40" s="101"/>
      <c r="O40" s="101"/>
      <c r="P40" s="101"/>
      <c r="Q40" s="101"/>
      <c r="R40" s="101"/>
      <c r="S40" s="101"/>
      <c r="T40" s="101"/>
      <c r="U40" s="101"/>
      <c r="V40" s="101"/>
      <c r="W40" s="101"/>
      <c r="X40" s="101"/>
      <c r="Y40" s="101"/>
      <c r="Z40" s="101"/>
    </row>
    <row r="41">
      <c r="A41" s="101"/>
      <c r="B41" s="101"/>
      <c r="C41" s="101" t="str">
        <f>IFERROR(__xludf.DUMMYFUNCTION("""COMPUTED_VALUE"""),"NAIURY SILVA SANTOS DE ARAUJO")</f>
        <v>NAIURY SILVA SANTOS DE ARAUJO</v>
      </c>
      <c r="D41" s="101" t="str">
        <f>IFERROR(__xludf.DUMMYFUNCTION("""COMPUTED_VALUE"""),"443.***.***-05")</f>
        <v>443.***.***-05</v>
      </c>
      <c r="E41" s="101">
        <f>IFERROR(__xludf.DUMMYFUNCTION("""COMPUTED_VALUE"""),8.0)</f>
        <v>8</v>
      </c>
      <c r="F41" s="101" t="str">
        <f>IFERROR(__xludf.DUMMYFUNCTION("""COMPUTED_VALUE"""),"443.067.518-05")</f>
        <v>443.067.518-05</v>
      </c>
      <c r="G41" s="101"/>
      <c r="H41" s="101"/>
      <c r="I41" s="101"/>
      <c r="J41" s="101"/>
      <c r="K41" s="101"/>
      <c r="L41" s="101"/>
      <c r="M41" s="101"/>
      <c r="N41" s="101"/>
      <c r="O41" s="101"/>
      <c r="P41" s="101"/>
      <c r="Q41" s="101"/>
      <c r="R41" s="101"/>
      <c r="S41" s="101"/>
      <c r="T41" s="101"/>
      <c r="U41" s="101"/>
      <c r="V41" s="101"/>
      <c r="W41" s="101"/>
      <c r="X41" s="101"/>
      <c r="Y41" s="101"/>
      <c r="Z41" s="101"/>
    </row>
    <row r="42">
      <c r="A42" s="101"/>
      <c r="B42" s="101"/>
      <c r="C42" s="101" t="str">
        <f>IFERROR(__xludf.DUMMYFUNCTION("""COMPUTED_VALUE"""),"KALINE SANTOS DA  SILVA")</f>
        <v>KALINE SANTOS DA  SILVA</v>
      </c>
      <c r="D42" s="101" t="str">
        <f>IFERROR(__xludf.DUMMYFUNCTION("""COMPUTED_VALUE"""),"480.***.***-75")</f>
        <v>480.***.***-75</v>
      </c>
      <c r="E42" s="101">
        <f>IFERROR(__xludf.DUMMYFUNCTION("""COMPUTED_VALUE"""),9.0)</f>
        <v>9</v>
      </c>
      <c r="F42" s="101" t="str">
        <f>IFERROR(__xludf.DUMMYFUNCTION("""COMPUTED_VALUE"""),"480.868.578-75")</f>
        <v>480.868.578-75</v>
      </c>
      <c r="G42" s="101"/>
      <c r="H42" s="101"/>
      <c r="I42" s="101"/>
      <c r="J42" s="101"/>
      <c r="K42" s="101"/>
      <c r="L42" s="101"/>
      <c r="M42" s="101"/>
      <c r="N42" s="101"/>
      <c r="O42" s="101"/>
      <c r="P42" s="101"/>
      <c r="Q42" s="101"/>
      <c r="R42" s="101"/>
      <c r="S42" s="101"/>
      <c r="T42" s="101"/>
      <c r="U42" s="101"/>
      <c r="V42" s="101"/>
      <c r="W42" s="101"/>
      <c r="X42" s="101"/>
      <c r="Y42" s="101"/>
      <c r="Z42" s="101"/>
    </row>
    <row r="43">
      <c r="A43" s="101"/>
      <c r="B43" s="101"/>
      <c r="C43" s="101" t="str">
        <f>IFERROR(__xludf.DUMMYFUNCTION("""COMPUTED_VALUE"""),"ALINE CRISTINA SILVA ANTONIO")</f>
        <v>ALINE CRISTINA SILVA ANTONIO</v>
      </c>
      <c r="D43" s="101" t="str">
        <f>IFERROR(__xludf.DUMMYFUNCTION("""COMPUTED_VALUE"""),"515.***.***-03")</f>
        <v>515.***.***-03</v>
      </c>
      <c r="E43" s="101">
        <f>IFERROR(__xludf.DUMMYFUNCTION("""COMPUTED_VALUE"""),1.0)</f>
        <v>1</v>
      </c>
      <c r="F43" s="101" t="str">
        <f>IFERROR(__xludf.DUMMYFUNCTION("""COMPUTED_VALUE"""),"515.435.818-03")</f>
        <v>515.435.818-03</v>
      </c>
      <c r="G43" s="101"/>
      <c r="H43" s="101"/>
      <c r="I43" s="101"/>
      <c r="J43" s="101"/>
      <c r="K43" s="101"/>
      <c r="L43" s="101"/>
      <c r="M43" s="101"/>
      <c r="N43" s="101"/>
      <c r="O43" s="101"/>
      <c r="P43" s="101"/>
      <c r="Q43" s="101"/>
      <c r="R43" s="101"/>
      <c r="S43" s="101"/>
      <c r="T43" s="101"/>
      <c r="U43" s="101"/>
      <c r="V43" s="101"/>
      <c r="W43" s="101"/>
      <c r="X43" s="101"/>
      <c r="Y43" s="101"/>
      <c r="Z43" s="101"/>
    </row>
    <row r="44">
      <c r="A44" s="101"/>
      <c r="B44" s="101"/>
      <c r="C44" s="101" t="str">
        <f>IFERROR(__xludf.DUMMYFUNCTION("""COMPUTED_VALUE"""),"RENAN FERREIRA LIMA DOS SANTOS")</f>
        <v>RENAN FERREIRA LIMA DOS SANTOS</v>
      </c>
      <c r="D44" s="101" t="str">
        <f>IFERROR(__xludf.DUMMYFUNCTION("""COMPUTED_VALUE"""),"510.***.***-02")</f>
        <v>510.***.***-02</v>
      </c>
      <c r="E44" s="101">
        <f>IFERROR(__xludf.DUMMYFUNCTION("""COMPUTED_VALUE"""),10.0)</f>
        <v>10</v>
      </c>
      <c r="F44" s="101" t="str">
        <f>IFERROR(__xludf.DUMMYFUNCTION("""COMPUTED_VALUE"""),"510.740.328-02")</f>
        <v>510.740.328-02</v>
      </c>
      <c r="G44" s="101"/>
      <c r="H44" s="101"/>
      <c r="I44" s="101"/>
      <c r="J44" s="101"/>
      <c r="K44" s="101"/>
      <c r="L44" s="101"/>
      <c r="M44" s="101"/>
      <c r="N44" s="101"/>
      <c r="O44" s="101"/>
      <c r="P44" s="101"/>
      <c r="Q44" s="101"/>
      <c r="R44" s="101"/>
      <c r="S44" s="101"/>
      <c r="T44" s="101"/>
      <c r="U44" s="101"/>
      <c r="V44" s="101"/>
      <c r="W44" s="101"/>
      <c r="X44" s="101"/>
      <c r="Y44" s="101"/>
      <c r="Z44" s="101"/>
    </row>
    <row r="45">
      <c r="A45" s="101"/>
      <c r="B45" s="101"/>
      <c r="C45" s="101" t="str">
        <f>IFERROR(__xludf.DUMMYFUNCTION("""COMPUTED_VALUE"""),"IGOR OLIVEIRA MONTEIRO")</f>
        <v>IGOR OLIVEIRA MONTEIRO</v>
      </c>
      <c r="D45" s="101" t="str">
        <f>IFERROR(__xludf.DUMMYFUNCTION("""COMPUTED_VALUE"""),"520.***.***-32")</f>
        <v>520.***.***-32</v>
      </c>
      <c r="E45" s="101">
        <f>IFERROR(__xludf.DUMMYFUNCTION("""COMPUTED_VALUE"""),5.0)</f>
        <v>5</v>
      </c>
      <c r="F45" s="101" t="str">
        <f>IFERROR(__xludf.DUMMYFUNCTION("""COMPUTED_VALUE"""),"520.010.398-32")</f>
        <v>520.010.398-32</v>
      </c>
      <c r="G45" s="101"/>
      <c r="H45" s="101"/>
      <c r="I45" s="101"/>
      <c r="J45" s="101"/>
      <c r="K45" s="101"/>
      <c r="L45" s="101"/>
      <c r="M45" s="101"/>
      <c r="N45" s="101"/>
      <c r="O45" s="101"/>
      <c r="P45" s="101"/>
      <c r="Q45" s="101"/>
      <c r="R45" s="101"/>
      <c r="S45" s="101"/>
      <c r="T45" s="101"/>
      <c r="U45" s="101"/>
      <c r="V45" s="101"/>
      <c r="W45" s="101"/>
      <c r="X45" s="101"/>
      <c r="Y45" s="101"/>
      <c r="Z45" s="101"/>
    </row>
    <row r="46">
      <c r="A46" s="101"/>
      <c r="B46" s="101"/>
      <c r="C46" s="101" t="str">
        <f>IFERROR(__xludf.DUMMYFUNCTION("""COMPUTED_VALUE"""),"TAIPAN BITTENCOURT LIMA")</f>
        <v>TAIPAN BITTENCOURT LIMA</v>
      </c>
      <c r="D46" s="101" t="str">
        <f>IFERROR(__xludf.DUMMYFUNCTION("""COMPUTED_VALUE"""),"479.***.***-02")</f>
        <v>479.***.***-02</v>
      </c>
      <c r="E46" s="101">
        <f>IFERROR(__xludf.DUMMYFUNCTION("""COMPUTED_VALUE"""),3.0)</f>
        <v>3</v>
      </c>
      <c r="F46" s="101" t="str">
        <f>IFERROR(__xludf.DUMMYFUNCTION("""COMPUTED_VALUE"""),"479.081.968-02")</f>
        <v>479.081.968-02</v>
      </c>
      <c r="G46" s="101"/>
      <c r="H46" s="101"/>
      <c r="I46" s="101"/>
      <c r="J46" s="101"/>
      <c r="K46" s="101"/>
      <c r="L46" s="101"/>
      <c r="M46" s="101"/>
      <c r="N46" s="101"/>
      <c r="O46" s="101"/>
      <c r="P46" s="101"/>
      <c r="Q46" s="101"/>
      <c r="R46" s="101"/>
      <c r="S46" s="101"/>
      <c r="T46" s="101"/>
      <c r="U46" s="101"/>
      <c r="V46" s="101"/>
      <c r="W46" s="101"/>
      <c r="X46" s="101"/>
      <c r="Y46" s="101"/>
      <c r="Z46" s="101"/>
    </row>
    <row r="47">
      <c r="A47" s="101"/>
      <c r="B47" s="101"/>
      <c r="C47" s="101" t="str">
        <f>IFERROR(__xludf.DUMMYFUNCTION("""COMPUTED_VALUE"""),"ANA QUEIZIA SILVA COSTA DE LIMA")</f>
        <v>ANA QUEIZIA SILVA COSTA DE LIMA</v>
      </c>
      <c r="D47" s="101" t="str">
        <f>IFERROR(__xludf.DUMMYFUNCTION("""COMPUTED_VALUE"""),"402.***.***-95")</f>
        <v>402.***.***-95</v>
      </c>
      <c r="E47" s="101">
        <f>IFERROR(__xludf.DUMMYFUNCTION("""COMPUTED_VALUE"""),1.0)</f>
        <v>1</v>
      </c>
      <c r="F47" s="101" t="str">
        <f>IFERROR(__xludf.DUMMYFUNCTION("""COMPUTED_VALUE"""),"402.788.138-95")</f>
        <v>402.788.138-95</v>
      </c>
      <c r="G47" s="101"/>
      <c r="H47" s="101"/>
      <c r="I47" s="101"/>
      <c r="J47" s="101"/>
      <c r="K47" s="101"/>
      <c r="L47" s="101"/>
      <c r="M47" s="101"/>
      <c r="N47" s="101"/>
      <c r="O47" s="101"/>
      <c r="P47" s="101"/>
      <c r="Q47" s="101"/>
      <c r="R47" s="101"/>
      <c r="S47" s="101"/>
      <c r="T47" s="101"/>
      <c r="U47" s="101"/>
      <c r="V47" s="101"/>
      <c r="W47" s="101"/>
      <c r="X47" s="101"/>
      <c r="Y47" s="101"/>
      <c r="Z47" s="101"/>
    </row>
    <row r="48">
      <c r="A48" s="101"/>
      <c r="B48" s="101"/>
      <c r="C48" s="101" t="str">
        <f>IFERROR(__xludf.DUMMYFUNCTION("""COMPUTED_VALUE"""),"JONATHAN THOMAZ PERES DA SILVA")</f>
        <v>JONATHAN THOMAZ PERES DA SILVA</v>
      </c>
      <c r="D48" s="101" t="str">
        <f>IFERROR(__xludf.DUMMYFUNCTION("""COMPUTED_VALUE"""),"426.***.***-33")</f>
        <v>426.***.***-33</v>
      </c>
      <c r="E48" s="101">
        <f>IFERROR(__xludf.DUMMYFUNCTION("""COMPUTED_VALUE"""),6.0)</f>
        <v>6</v>
      </c>
      <c r="F48" s="101" t="str">
        <f>IFERROR(__xludf.DUMMYFUNCTION("""COMPUTED_VALUE"""),"426.279.568-33")</f>
        <v>426.279.568-33</v>
      </c>
      <c r="G48" s="101"/>
      <c r="H48" s="101"/>
      <c r="I48" s="101"/>
      <c r="J48" s="101"/>
      <c r="K48" s="101"/>
      <c r="L48" s="101"/>
      <c r="M48" s="101"/>
      <c r="N48" s="101"/>
      <c r="O48" s="101"/>
      <c r="P48" s="101"/>
      <c r="Q48" s="101"/>
      <c r="R48" s="101"/>
      <c r="S48" s="101"/>
      <c r="T48" s="101"/>
      <c r="U48" s="101"/>
      <c r="V48" s="101"/>
      <c r="W48" s="101"/>
      <c r="X48" s="101"/>
      <c r="Y48" s="101"/>
      <c r="Z48" s="101"/>
    </row>
    <row r="49">
      <c r="A49" s="101"/>
      <c r="B49" s="101"/>
      <c r="C49" s="101" t="str">
        <f>IFERROR(__xludf.DUMMYFUNCTION("""COMPUTED_VALUE"""),"KALEF")</f>
        <v>KALEF</v>
      </c>
      <c r="D49" s="101" t="str">
        <f>IFERROR(__xludf.DUMMYFUNCTION("""COMPUTED_VALUE"""),"050.***.***-95")</f>
        <v>050.***.***-95</v>
      </c>
      <c r="E49" s="101">
        <f>IFERROR(__xludf.DUMMYFUNCTION("""COMPUTED_VALUE"""),6.0)</f>
        <v>6</v>
      </c>
      <c r="F49" s="101" t="str">
        <f>IFERROR(__xludf.DUMMYFUNCTION("""COMPUTED_VALUE"""),"050.477.115-95")</f>
        <v>050.477.115-95</v>
      </c>
      <c r="G49" s="101"/>
      <c r="H49" s="101"/>
      <c r="I49" s="101"/>
      <c r="J49" s="101"/>
      <c r="K49" s="101"/>
      <c r="L49" s="101"/>
      <c r="M49" s="101"/>
      <c r="N49" s="101"/>
      <c r="O49" s="101"/>
      <c r="P49" s="101"/>
      <c r="Q49" s="101"/>
      <c r="R49" s="101"/>
      <c r="S49" s="101"/>
      <c r="T49" s="101"/>
      <c r="U49" s="101"/>
      <c r="V49" s="101"/>
      <c r="W49" s="101"/>
      <c r="X49" s="101"/>
      <c r="Y49" s="101"/>
      <c r="Z49" s="101"/>
    </row>
    <row r="50">
      <c r="A50" s="101"/>
      <c r="B50" s="101"/>
      <c r="C50" s="101" t="str">
        <f>IFERROR(__xludf.DUMMYFUNCTION("""COMPUTED_VALUE"""),"JULIA DE LIMA VIANA")</f>
        <v>JULIA DE LIMA VIANA</v>
      </c>
      <c r="D50" s="101" t="str">
        <f>IFERROR(__xludf.DUMMYFUNCTION("""COMPUTED_VALUE"""),"537.***.***-03")</f>
        <v>537.***.***-03</v>
      </c>
      <c r="E50" s="101">
        <f>IFERROR(__xludf.DUMMYFUNCTION("""COMPUTED_VALUE"""),6.0)</f>
        <v>6</v>
      </c>
      <c r="F50" s="101" t="str">
        <f>IFERROR(__xludf.DUMMYFUNCTION("""COMPUTED_VALUE"""),"537.130.858-03")</f>
        <v>537.130.858-03</v>
      </c>
      <c r="G50" s="101"/>
      <c r="H50" s="101"/>
      <c r="I50" s="101"/>
      <c r="J50" s="101"/>
      <c r="K50" s="101"/>
      <c r="L50" s="101"/>
      <c r="M50" s="101"/>
      <c r="N50" s="101"/>
      <c r="O50" s="101"/>
      <c r="P50" s="101"/>
      <c r="Q50" s="101"/>
      <c r="R50" s="101"/>
      <c r="S50" s="101"/>
      <c r="T50" s="101"/>
      <c r="U50" s="101"/>
      <c r="V50" s="101"/>
      <c r="W50" s="101"/>
      <c r="X50" s="101"/>
      <c r="Y50" s="101"/>
      <c r="Z50" s="101"/>
    </row>
    <row r="51">
      <c r="A51" s="101"/>
      <c r="B51" s="101"/>
      <c r="C51" s="101" t="str">
        <f>IFERROR(__xludf.DUMMYFUNCTION("""COMPUTED_VALUE"""),"NATHALIA MARTINS DOS SANTOS")</f>
        <v>NATHALIA MARTINS DOS SANTOS</v>
      </c>
      <c r="D51" s="101" t="str">
        <f>IFERROR(__xludf.DUMMYFUNCTION("""COMPUTED_VALUE"""),"599.***.***-55")</f>
        <v>599.***.***-55</v>
      </c>
      <c r="E51" s="101">
        <f>IFERROR(__xludf.DUMMYFUNCTION("""COMPUTED_VALUE"""),13.0)</f>
        <v>13</v>
      </c>
      <c r="F51" s="101" t="str">
        <f>IFERROR(__xludf.DUMMYFUNCTION("""COMPUTED_VALUE"""),"599.217.698-55")</f>
        <v>599.217.698-55</v>
      </c>
      <c r="G51" s="101"/>
      <c r="H51" s="101"/>
      <c r="I51" s="101"/>
      <c r="J51" s="101"/>
      <c r="K51" s="101"/>
      <c r="L51" s="101"/>
      <c r="M51" s="101"/>
      <c r="N51" s="101"/>
      <c r="O51" s="101"/>
      <c r="P51" s="101"/>
      <c r="Q51" s="101"/>
      <c r="R51" s="101"/>
      <c r="S51" s="101"/>
      <c r="T51" s="101"/>
      <c r="U51" s="101"/>
      <c r="V51" s="101"/>
      <c r="W51" s="101"/>
      <c r="X51" s="101"/>
      <c r="Y51" s="101"/>
      <c r="Z51" s="101"/>
    </row>
    <row r="52">
      <c r="A52" s="101"/>
      <c r="B52" s="101"/>
      <c r="C52" s="101" t="str">
        <f>IFERROR(__xludf.DUMMYFUNCTION("""COMPUTED_VALUE"""),"GABRIEL VICTOR DE NAZARETH TEIXEIRA MACEDO")</f>
        <v>GABRIEL VICTOR DE NAZARETH TEIXEIRA MACEDO</v>
      </c>
      <c r="D52" s="101" t="str">
        <f>IFERROR(__xludf.DUMMYFUNCTION("""COMPUTED_VALUE"""),"454.***.***-36")</f>
        <v>454.***.***-36</v>
      </c>
      <c r="E52" s="101">
        <f>IFERROR(__xludf.DUMMYFUNCTION("""COMPUTED_VALUE"""),5.0)</f>
        <v>5</v>
      </c>
      <c r="F52" s="101" t="str">
        <f>IFERROR(__xludf.DUMMYFUNCTION("""COMPUTED_VALUE"""),"454.805.018-36")</f>
        <v>454.805.018-36</v>
      </c>
      <c r="G52" s="101"/>
      <c r="H52" s="101"/>
      <c r="I52" s="101"/>
      <c r="J52" s="101"/>
      <c r="K52" s="101"/>
      <c r="L52" s="101"/>
      <c r="M52" s="101"/>
      <c r="N52" s="101"/>
      <c r="O52" s="101"/>
      <c r="P52" s="101"/>
      <c r="Q52" s="101"/>
      <c r="R52" s="101"/>
      <c r="S52" s="101"/>
      <c r="T52" s="101"/>
      <c r="U52" s="101"/>
      <c r="V52" s="101"/>
      <c r="W52" s="101"/>
      <c r="X52" s="101"/>
      <c r="Y52" s="101"/>
      <c r="Z52" s="101"/>
    </row>
    <row r="53">
      <c r="A53" s="101"/>
      <c r="B53" s="101"/>
      <c r="C53" s="101" t="str">
        <f>IFERROR(__xludf.DUMMYFUNCTION("""COMPUTED_VALUE"""),"MARIANA ELIAS THOME")</f>
        <v>MARIANA ELIAS THOME</v>
      </c>
      <c r="D53" s="101" t="str">
        <f>IFERROR(__xludf.DUMMYFUNCTION("""COMPUTED_VALUE"""),"511.***.***-93")</f>
        <v>511.***.***-93</v>
      </c>
      <c r="E53" s="101">
        <f>IFERROR(__xludf.DUMMYFUNCTION("""COMPUTED_VALUE"""),8.0)</f>
        <v>8</v>
      </c>
      <c r="F53" s="101" t="str">
        <f>IFERROR(__xludf.DUMMYFUNCTION("""COMPUTED_VALUE"""),"511.690.498-93")</f>
        <v>511.690.498-93</v>
      </c>
      <c r="G53" s="101"/>
      <c r="H53" s="101"/>
      <c r="I53" s="101"/>
      <c r="J53" s="101"/>
      <c r="K53" s="101"/>
      <c r="L53" s="101"/>
      <c r="M53" s="101"/>
      <c r="N53" s="101"/>
      <c r="O53" s="101"/>
      <c r="P53" s="101"/>
      <c r="Q53" s="101"/>
      <c r="R53" s="101"/>
      <c r="S53" s="101"/>
      <c r="T53" s="101"/>
      <c r="U53" s="101"/>
      <c r="V53" s="101"/>
      <c r="W53" s="101"/>
      <c r="X53" s="101"/>
      <c r="Y53" s="101"/>
      <c r="Z53" s="101"/>
    </row>
    <row r="54">
      <c r="A54" s="101"/>
      <c r="B54" s="101"/>
      <c r="C54" s="101" t="str">
        <f>IFERROR(__xludf.DUMMYFUNCTION("""COMPUTED_VALUE"""),"GUILHERME STIGLIANO HILLE")</f>
        <v>GUILHERME STIGLIANO HILLE</v>
      </c>
      <c r="D54" s="101" t="str">
        <f>IFERROR(__xludf.DUMMYFUNCTION("""COMPUTED_VALUE"""),"372.***.***-99")</f>
        <v>372.***.***-99</v>
      </c>
      <c r="E54" s="101">
        <f>IFERROR(__xludf.DUMMYFUNCTION("""COMPUTED_VALUE"""),4.0)</f>
        <v>4</v>
      </c>
      <c r="F54" s="101" t="str">
        <f>IFERROR(__xludf.DUMMYFUNCTION("""COMPUTED_VALUE"""),"372.054.178-99")</f>
        <v>372.054.178-99</v>
      </c>
      <c r="G54" s="101"/>
      <c r="H54" s="101"/>
      <c r="I54" s="101"/>
      <c r="J54" s="101"/>
      <c r="K54" s="101"/>
      <c r="L54" s="101"/>
      <c r="M54" s="101"/>
      <c r="N54" s="101"/>
      <c r="O54" s="101"/>
      <c r="P54" s="101"/>
      <c r="Q54" s="101"/>
      <c r="R54" s="101"/>
      <c r="S54" s="101"/>
      <c r="T54" s="101"/>
      <c r="U54" s="101"/>
      <c r="V54" s="101"/>
      <c r="W54" s="101"/>
      <c r="X54" s="101"/>
      <c r="Y54" s="101"/>
      <c r="Z54" s="101"/>
    </row>
    <row r="55">
      <c r="A55" s="101"/>
      <c r="B55" s="101"/>
      <c r="C55" s="101" t="str">
        <f>IFERROR(__xludf.DUMMYFUNCTION("""COMPUTED_VALUE"""),"MAGALI SARINA FERNANDEZ")</f>
        <v>MAGALI SARINA FERNANDEZ</v>
      </c>
      <c r="D55" s="101" t="str">
        <f>IFERROR(__xludf.DUMMYFUNCTION("""COMPUTED_VALUE"""),"800.***.***-33")</f>
        <v>800.***.***-33</v>
      </c>
      <c r="E55" s="101">
        <f>IFERROR(__xludf.DUMMYFUNCTION("""COMPUTED_VALUE"""),3.0)</f>
        <v>3</v>
      </c>
      <c r="F55" s="101" t="str">
        <f>IFERROR(__xludf.DUMMYFUNCTION("""COMPUTED_VALUE"""),"800.981.599-33")</f>
        <v>800.981.599-33</v>
      </c>
      <c r="G55" s="101"/>
      <c r="H55" s="101"/>
      <c r="I55" s="101"/>
      <c r="J55" s="101"/>
      <c r="K55" s="101"/>
      <c r="L55" s="101"/>
      <c r="M55" s="101"/>
      <c r="N55" s="101"/>
      <c r="O55" s="101"/>
      <c r="P55" s="101"/>
      <c r="Q55" s="101"/>
      <c r="R55" s="101"/>
      <c r="S55" s="101"/>
      <c r="T55" s="101"/>
      <c r="U55" s="101"/>
      <c r="V55" s="101"/>
      <c r="W55" s="101"/>
      <c r="X55" s="101"/>
      <c r="Y55" s="101"/>
      <c r="Z55" s="101"/>
    </row>
    <row r="56">
      <c r="A56" s="101"/>
      <c r="B56" s="101"/>
      <c r="C56" s="101" t="str">
        <f>IFERROR(__xludf.DUMMYFUNCTION("""COMPUTED_VALUE"""),"JANAINA DAMASCENO DE SA PEREIRA")</f>
        <v>JANAINA DAMASCENO DE SA PEREIRA</v>
      </c>
      <c r="D56" s="101" t="str">
        <f>IFERROR(__xludf.DUMMYFUNCTION("""COMPUTED_VALUE"""),"078.***.***-33")</f>
        <v>078.***.***-33</v>
      </c>
      <c r="E56" s="101">
        <f>IFERROR(__xludf.DUMMYFUNCTION("""COMPUTED_VALUE"""),5.0)</f>
        <v>5</v>
      </c>
      <c r="F56" s="101" t="str">
        <f>IFERROR(__xludf.DUMMYFUNCTION("""COMPUTED_VALUE"""),"078.058.433-33")</f>
        <v>078.058.433-33</v>
      </c>
      <c r="G56" s="101"/>
      <c r="H56" s="101"/>
      <c r="I56" s="101"/>
      <c r="J56" s="101"/>
      <c r="K56" s="101"/>
      <c r="L56" s="101"/>
      <c r="M56" s="101"/>
      <c r="N56" s="101"/>
      <c r="O56" s="101"/>
      <c r="P56" s="101"/>
      <c r="Q56" s="101"/>
      <c r="R56" s="101"/>
      <c r="S56" s="101"/>
      <c r="T56" s="101"/>
      <c r="U56" s="101"/>
      <c r="V56" s="101"/>
      <c r="W56" s="101"/>
      <c r="X56" s="101"/>
      <c r="Y56" s="101"/>
      <c r="Z56" s="101"/>
    </row>
    <row r="57">
      <c r="A57" s="101"/>
      <c r="B57" s="101"/>
      <c r="C57" s="101" t="str">
        <f>IFERROR(__xludf.DUMMYFUNCTION("""COMPUTED_VALUE"""),"IZIS XAVIER")</f>
        <v>IZIS XAVIER</v>
      </c>
      <c r="D57" s="101" t="str">
        <f>IFERROR(__xludf.DUMMYFUNCTION("""COMPUTED_VALUE"""),"479.***.***-02")</f>
        <v>479.***.***-02</v>
      </c>
      <c r="E57" s="101">
        <f>IFERROR(__xludf.DUMMYFUNCTION("""COMPUTED_VALUE"""),7.0)</f>
        <v>7</v>
      </c>
      <c r="F57" s="101" t="str">
        <f>IFERROR(__xludf.DUMMYFUNCTION("""COMPUTED_VALUE"""),"479.150.528-02")</f>
        <v>479.150.528-02</v>
      </c>
      <c r="G57" s="101"/>
      <c r="H57" s="101"/>
      <c r="I57" s="101"/>
      <c r="J57" s="101"/>
      <c r="K57" s="101"/>
      <c r="L57" s="101"/>
      <c r="M57" s="101"/>
      <c r="N57" s="101"/>
      <c r="O57" s="101"/>
      <c r="P57" s="101"/>
      <c r="Q57" s="101"/>
      <c r="R57" s="101"/>
      <c r="S57" s="101"/>
      <c r="T57" s="101"/>
      <c r="U57" s="101"/>
      <c r="V57" s="101"/>
      <c r="W57" s="101"/>
      <c r="X57" s="101"/>
      <c r="Y57" s="101"/>
      <c r="Z57" s="101"/>
    </row>
    <row r="58">
      <c r="A58" s="101"/>
      <c r="B58" s="101"/>
      <c r="C58" s="101" t="str">
        <f>IFERROR(__xludf.DUMMYFUNCTION("""COMPUTED_VALUE"""),"LAURA MELO CORDEIRO")</f>
        <v>LAURA MELO CORDEIRO</v>
      </c>
      <c r="D58" s="101" t="str">
        <f>IFERROR(__xludf.DUMMYFUNCTION("""COMPUTED_VALUE"""),"466.***.***-37")</f>
        <v>466.***.***-37</v>
      </c>
      <c r="E58" s="101">
        <f>IFERROR(__xludf.DUMMYFUNCTION("""COMPUTED_VALUE"""),10.0)</f>
        <v>10</v>
      </c>
      <c r="F58" s="101" t="str">
        <f>IFERROR(__xludf.DUMMYFUNCTION("""COMPUTED_VALUE"""),"466.762.158-37")</f>
        <v>466.762.158-37</v>
      </c>
      <c r="G58" s="101"/>
      <c r="H58" s="101"/>
      <c r="I58" s="101"/>
      <c r="J58" s="101"/>
      <c r="K58" s="101"/>
      <c r="L58" s="101"/>
      <c r="M58" s="101"/>
      <c r="N58" s="101"/>
      <c r="O58" s="101"/>
      <c r="P58" s="101"/>
      <c r="Q58" s="101"/>
      <c r="R58" s="101"/>
      <c r="S58" s="101"/>
      <c r="T58" s="101"/>
      <c r="U58" s="101"/>
      <c r="V58" s="101"/>
      <c r="W58" s="101"/>
      <c r="X58" s="101"/>
      <c r="Y58" s="101"/>
      <c r="Z58" s="101"/>
    </row>
    <row r="59">
      <c r="A59" s="101"/>
      <c r="B59" s="101"/>
      <c r="C59" s="101" t="str">
        <f>IFERROR(__xludf.DUMMYFUNCTION("""COMPUTED_VALUE"""),"LUCAS ANTONIO VENTURA E SILVA")</f>
        <v>LUCAS ANTONIO VENTURA E SILVA</v>
      </c>
      <c r="D59" s="101" t="str">
        <f>IFERROR(__xludf.DUMMYFUNCTION("""COMPUTED_VALUE"""),"363.***.***-09")</f>
        <v>363.***.***-09</v>
      </c>
      <c r="E59" s="101">
        <f>IFERROR(__xludf.DUMMYFUNCTION("""COMPUTED_VALUE"""),11.0)</f>
        <v>11</v>
      </c>
      <c r="F59" s="101" t="str">
        <f>IFERROR(__xludf.DUMMYFUNCTION("""COMPUTED_VALUE"""),"363.256.588-09")</f>
        <v>363.256.588-09</v>
      </c>
      <c r="G59" s="101"/>
      <c r="H59" s="101"/>
      <c r="I59" s="101"/>
      <c r="J59" s="101"/>
      <c r="K59" s="101"/>
      <c r="L59" s="101"/>
      <c r="M59" s="101"/>
      <c r="N59" s="101"/>
      <c r="O59" s="101"/>
      <c r="P59" s="101"/>
      <c r="Q59" s="101"/>
      <c r="R59" s="101"/>
      <c r="S59" s="101"/>
      <c r="T59" s="101"/>
      <c r="U59" s="101"/>
      <c r="V59" s="101"/>
      <c r="W59" s="101"/>
      <c r="X59" s="101"/>
      <c r="Y59" s="101"/>
      <c r="Z59" s="101"/>
    </row>
    <row r="60">
      <c r="A60" s="101"/>
      <c r="B60" s="101"/>
      <c r="C60" s="101" t="str">
        <f>IFERROR(__xludf.DUMMYFUNCTION("""COMPUTED_VALUE"""),"GABRIELA QUEIROZ DE OLIVEIRA")</f>
        <v>GABRIELA QUEIROZ DE OLIVEIRA</v>
      </c>
      <c r="D60" s="101" t="str">
        <f>IFERROR(__xludf.DUMMYFUNCTION("""COMPUTED_VALUE"""),"499.***.***-97")</f>
        <v>499.***.***-97</v>
      </c>
      <c r="E60" s="101">
        <f>IFERROR(__xludf.DUMMYFUNCTION("""COMPUTED_VALUE"""),2.0)</f>
        <v>2</v>
      </c>
      <c r="F60" s="101" t="str">
        <f>IFERROR(__xludf.DUMMYFUNCTION("""COMPUTED_VALUE"""),"499.625.168-97")</f>
        <v>499.625.168-97</v>
      </c>
      <c r="G60" s="101"/>
      <c r="H60" s="101"/>
      <c r="I60" s="101"/>
      <c r="J60" s="101"/>
      <c r="K60" s="101"/>
      <c r="L60" s="101"/>
      <c r="M60" s="101"/>
      <c r="N60" s="101"/>
      <c r="O60" s="101"/>
      <c r="P60" s="101"/>
      <c r="Q60" s="101"/>
      <c r="R60" s="101"/>
      <c r="S60" s="101"/>
      <c r="T60" s="101"/>
      <c r="U60" s="101"/>
      <c r="V60" s="101"/>
      <c r="W60" s="101"/>
      <c r="X60" s="101"/>
      <c r="Y60" s="101"/>
      <c r="Z60" s="101"/>
    </row>
    <row r="61">
      <c r="A61" s="101"/>
      <c r="B61" s="101"/>
      <c r="C61" s="101" t="str">
        <f>IFERROR(__xludf.DUMMYFUNCTION("""COMPUTED_VALUE"""),"RAYLA NOGUEIRA OLIVEIRA")</f>
        <v>RAYLA NOGUEIRA OLIVEIRA</v>
      </c>
      <c r="D61" s="101" t="str">
        <f>IFERROR(__xludf.DUMMYFUNCTION("""COMPUTED_VALUE"""),"500.***.***-00")</f>
        <v>500.***.***-00</v>
      </c>
      <c r="E61" s="101">
        <f>IFERROR(__xludf.DUMMYFUNCTION("""COMPUTED_VALUE"""),10.0)</f>
        <v>10</v>
      </c>
      <c r="F61" s="101" t="str">
        <f>IFERROR(__xludf.DUMMYFUNCTION("""COMPUTED_VALUE"""),"500.645.158-00")</f>
        <v>500.645.158-00</v>
      </c>
      <c r="G61" s="101"/>
      <c r="H61" s="101"/>
      <c r="I61" s="101"/>
      <c r="J61" s="101"/>
      <c r="K61" s="101"/>
      <c r="L61" s="101"/>
      <c r="M61" s="101"/>
      <c r="N61" s="101"/>
      <c r="O61" s="101"/>
      <c r="P61" s="101"/>
      <c r="Q61" s="101"/>
      <c r="R61" s="101"/>
      <c r="S61" s="101"/>
      <c r="T61" s="101"/>
      <c r="U61" s="101"/>
      <c r="V61" s="101"/>
      <c r="W61" s="101"/>
      <c r="X61" s="101"/>
      <c r="Y61" s="101"/>
      <c r="Z61" s="101"/>
    </row>
    <row r="62">
      <c r="A62" s="101"/>
      <c r="B62" s="101"/>
      <c r="C62" s="101" t="str">
        <f>IFERROR(__xludf.DUMMYFUNCTION("""COMPUTED_VALUE"""),"KELI DA  SILVA SALES")</f>
        <v>KELI DA  SILVA SALES</v>
      </c>
      <c r="D62" s="101" t="str">
        <f>IFERROR(__xludf.DUMMYFUNCTION("""COMPUTED_VALUE"""),"511.***.***-36")</f>
        <v>511.***.***-36</v>
      </c>
      <c r="E62" s="101">
        <f>IFERROR(__xludf.DUMMYFUNCTION("""COMPUTED_VALUE"""),9.0)</f>
        <v>9</v>
      </c>
      <c r="F62" s="101" t="str">
        <f>IFERROR(__xludf.DUMMYFUNCTION("""COMPUTED_VALUE"""),"511.252.388-36")</f>
        <v>511.252.388-36</v>
      </c>
      <c r="G62" s="101"/>
      <c r="H62" s="101"/>
      <c r="I62" s="101"/>
      <c r="J62" s="101"/>
      <c r="K62" s="101"/>
      <c r="L62" s="101"/>
      <c r="M62" s="101"/>
      <c r="N62" s="101"/>
      <c r="O62" s="101"/>
      <c r="P62" s="101"/>
      <c r="Q62" s="101"/>
      <c r="R62" s="101"/>
      <c r="S62" s="101"/>
      <c r="T62" s="101"/>
      <c r="U62" s="101"/>
      <c r="V62" s="101"/>
      <c r="W62" s="101"/>
      <c r="X62" s="101"/>
      <c r="Y62" s="101"/>
      <c r="Z62" s="101"/>
    </row>
    <row r="63">
      <c r="A63" s="101"/>
      <c r="B63" s="101"/>
      <c r="C63" s="101" t="str">
        <f>IFERROR(__xludf.DUMMYFUNCTION("""COMPUTED_VALUE"""),"RIÚW DANTAS DE ALMEIDA")</f>
        <v>RIÚW DANTAS DE ALMEIDA</v>
      </c>
      <c r="D63" s="101" t="str">
        <f>IFERROR(__xludf.DUMMYFUNCTION("""COMPUTED_VALUE"""),"463.***.***-28")</f>
        <v>463.***.***-28</v>
      </c>
      <c r="E63" s="101">
        <f>IFERROR(__xludf.DUMMYFUNCTION("""COMPUTED_VALUE"""),10.0)</f>
        <v>10</v>
      </c>
      <c r="F63" s="101" t="str">
        <f>IFERROR(__xludf.DUMMYFUNCTION("""COMPUTED_VALUE"""),"463.552.668-28")</f>
        <v>463.552.668-28</v>
      </c>
      <c r="G63" s="101"/>
      <c r="H63" s="101"/>
      <c r="I63" s="101"/>
      <c r="J63" s="101"/>
      <c r="K63" s="101"/>
      <c r="L63" s="101"/>
      <c r="M63" s="101"/>
      <c r="N63" s="101"/>
      <c r="O63" s="101"/>
      <c r="P63" s="101"/>
      <c r="Q63" s="101"/>
      <c r="R63" s="101"/>
      <c r="S63" s="101"/>
      <c r="T63" s="101"/>
      <c r="U63" s="101"/>
      <c r="V63" s="101"/>
      <c r="W63" s="101"/>
      <c r="X63" s="101"/>
      <c r="Y63" s="101"/>
      <c r="Z63" s="101"/>
    </row>
    <row r="64">
      <c r="A64" s="101"/>
      <c r="B64" s="101"/>
      <c r="C64" s="101" t="str">
        <f>IFERROR(__xludf.DUMMYFUNCTION("""COMPUTED_VALUE"""),"LEONARDO LIMA SANTOS ")</f>
        <v>LEONARDO LIMA SANTOS </v>
      </c>
      <c r="D64" s="101" t="str">
        <f>IFERROR(__xludf.DUMMYFUNCTION("""COMPUTED_VALUE"""),"458.***.***-41")</f>
        <v>458.***.***-41</v>
      </c>
      <c r="E64" s="101">
        <f>IFERROR(__xludf.DUMMYFUNCTION("""COMPUTED_VALUE"""),7.0)</f>
        <v>7</v>
      </c>
      <c r="F64" s="101" t="str">
        <f>IFERROR(__xludf.DUMMYFUNCTION("""COMPUTED_VALUE"""),"458.480.208-41")</f>
        <v>458.480.208-41</v>
      </c>
      <c r="G64" s="101"/>
      <c r="H64" s="101"/>
      <c r="I64" s="101"/>
      <c r="J64" s="101"/>
      <c r="K64" s="101"/>
      <c r="L64" s="101"/>
      <c r="M64" s="101"/>
      <c r="N64" s="101"/>
      <c r="O64" s="101"/>
      <c r="P64" s="101"/>
      <c r="Q64" s="101"/>
      <c r="R64" s="101"/>
      <c r="S64" s="101"/>
      <c r="T64" s="101"/>
      <c r="U64" s="101"/>
      <c r="V64" s="101"/>
      <c r="W64" s="101"/>
      <c r="X64" s="101"/>
      <c r="Y64" s="101"/>
      <c r="Z64" s="101"/>
    </row>
    <row r="65">
      <c r="A65" s="101"/>
      <c r="B65" s="101"/>
      <c r="C65" s="101" t="str">
        <f>IFERROR(__xludf.DUMMYFUNCTION("""COMPUTED_VALUE"""),"MARIANA CRISTINA MATUO RODRIGUES")</f>
        <v>MARIANA CRISTINA MATUO RODRIGUES</v>
      </c>
      <c r="D65" s="101" t="str">
        <f>IFERROR(__xludf.DUMMYFUNCTION("""COMPUTED_VALUE"""),"446.***.***-64")</f>
        <v>446.***.***-64</v>
      </c>
      <c r="E65" s="101">
        <f>IFERROR(__xludf.DUMMYFUNCTION("""COMPUTED_VALUE"""),3.0)</f>
        <v>3</v>
      </c>
      <c r="F65" s="101" t="str">
        <f>IFERROR(__xludf.DUMMYFUNCTION("""COMPUTED_VALUE"""),"446.863.428-64")</f>
        <v>446.863.428-64</v>
      </c>
      <c r="G65" s="101"/>
      <c r="H65" s="101"/>
      <c r="I65" s="101"/>
      <c r="J65" s="101"/>
      <c r="K65" s="101"/>
      <c r="L65" s="101"/>
      <c r="M65" s="101"/>
      <c r="N65" s="101"/>
      <c r="O65" s="101"/>
      <c r="P65" s="101"/>
      <c r="Q65" s="101"/>
      <c r="R65" s="101"/>
      <c r="S65" s="101"/>
      <c r="T65" s="101"/>
      <c r="U65" s="101"/>
      <c r="V65" s="101"/>
      <c r="W65" s="101"/>
      <c r="X65" s="101"/>
      <c r="Y65" s="101"/>
      <c r="Z65" s="101"/>
    </row>
    <row r="66">
      <c r="A66" s="101"/>
      <c r="B66" s="101"/>
      <c r="C66" s="101" t="str">
        <f>IFERROR(__xludf.DUMMYFUNCTION("""COMPUTED_VALUE"""),"KAIO HENRIQUE DE SOUZA MONTEIRO")</f>
        <v>KAIO HENRIQUE DE SOUZA MONTEIRO</v>
      </c>
      <c r="D66" s="101" t="str">
        <f>IFERROR(__xludf.DUMMYFUNCTION("""COMPUTED_VALUE"""),"552.***.***-01")</f>
        <v>552.***.***-01</v>
      </c>
      <c r="E66" s="101">
        <f>IFERROR(__xludf.DUMMYFUNCTION("""COMPUTED_VALUE"""),6.0)</f>
        <v>6</v>
      </c>
      <c r="F66" s="101" t="str">
        <f>IFERROR(__xludf.DUMMYFUNCTION("""COMPUTED_VALUE"""),"552.104.518-01")</f>
        <v>552.104.518-01</v>
      </c>
      <c r="G66" s="101"/>
      <c r="H66" s="101"/>
      <c r="I66" s="101"/>
      <c r="J66" s="101"/>
      <c r="K66" s="101"/>
      <c r="L66" s="101"/>
      <c r="M66" s="101"/>
      <c r="N66" s="101"/>
      <c r="O66" s="101"/>
      <c r="P66" s="101"/>
      <c r="Q66" s="101"/>
      <c r="R66" s="101"/>
      <c r="S66" s="101"/>
      <c r="T66" s="101"/>
      <c r="U66" s="101"/>
      <c r="V66" s="101"/>
      <c r="W66" s="101"/>
      <c r="X66" s="101"/>
      <c r="Y66" s="101"/>
      <c r="Z66" s="101"/>
    </row>
    <row r="67">
      <c r="A67" s="101"/>
      <c r="B67" s="101"/>
      <c r="C67" s="101" t="str">
        <f>IFERROR(__xludf.DUMMYFUNCTION("""COMPUTED_VALUE"""),"CASSIA NUNES DA SILVA")</f>
        <v>CASSIA NUNES DA SILVA</v>
      </c>
      <c r="D67" s="101" t="str">
        <f>IFERROR(__xludf.DUMMYFUNCTION("""COMPUTED_VALUE"""),"118.***.***-50")</f>
        <v>118.***.***-50</v>
      </c>
      <c r="E67" s="101">
        <f>IFERROR(__xludf.DUMMYFUNCTION("""COMPUTED_VALUE"""),2.0)</f>
        <v>2</v>
      </c>
      <c r="F67" s="101" t="str">
        <f>IFERROR(__xludf.DUMMYFUNCTION("""COMPUTED_VALUE"""),"118.766.146-50")</f>
        <v>118.766.146-50</v>
      </c>
      <c r="G67" s="101"/>
      <c r="H67" s="101"/>
      <c r="I67" s="101"/>
      <c r="J67" s="101"/>
      <c r="K67" s="101"/>
      <c r="L67" s="101"/>
      <c r="M67" s="101"/>
      <c r="N67" s="101"/>
      <c r="O67" s="101"/>
      <c r="P67" s="101"/>
      <c r="Q67" s="101"/>
      <c r="R67" s="101"/>
      <c r="S67" s="101"/>
      <c r="T67" s="101"/>
      <c r="U67" s="101"/>
      <c r="V67" s="101"/>
      <c r="W67" s="101"/>
      <c r="X67" s="101"/>
      <c r="Y67" s="101"/>
      <c r="Z67" s="101"/>
    </row>
    <row r="68">
      <c r="A68" s="101"/>
      <c r="B68" s="101"/>
      <c r="C68" s="101" t="str">
        <f>IFERROR(__xludf.DUMMYFUNCTION("""COMPUTED_VALUE"""),"GIULIO ARUA DE HOLANDA SANTIAGO")</f>
        <v>GIULIO ARUA DE HOLANDA SANTIAGO</v>
      </c>
      <c r="D68" s="101" t="str">
        <f>IFERROR(__xludf.DUMMYFUNCTION("""COMPUTED_VALUE"""),"089.***.***-92")</f>
        <v>089.***.***-92</v>
      </c>
      <c r="E68" s="101">
        <f>IFERROR(__xludf.DUMMYFUNCTION("""COMPUTED_VALUE"""),4.0)</f>
        <v>4</v>
      </c>
      <c r="F68" s="101" t="str">
        <f>IFERROR(__xludf.DUMMYFUNCTION("""COMPUTED_VALUE"""),"089.414.855-92")</f>
        <v>089.414.855-92</v>
      </c>
      <c r="G68" s="101"/>
      <c r="H68" s="101"/>
      <c r="I68" s="101"/>
      <c r="J68" s="101"/>
      <c r="K68" s="101"/>
      <c r="L68" s="101"/>
      <c r="M68" s="101"/>
      <c r="N68" s="101"/>
      <c r="O68" s="101"/>
      <c r="P68" s="101"/>
      <c r="Q68" s="101"/>
      <c r="R68" s="101"/>
      <c r="S68" s="101"/>
      <c r="T68" s="101"/>
      <c r="U68" s="101"/>
      <c r="V68" s="101"/>
      <c r="W68" s="101"/>
      <c r="X68" s="101"/>
      <c r="Y68" s="101"/>
      <c r="Z68" s="101"/>
    </row>
    <row r="69">
      <c r="A69" s="101"/>
      <c r="B69" s="101"/>
      <c r="C69" s="101" t="str">
        <f>IFERROR(__xludf.DUMMYFUNCTION("""COMPUTED_VALUE"""),"TACIANA OLIVEIRA IDEFONSO LOPES")</f>
        <v>TACIANA OLIVEIRA IDEFONSO LOPES</v>
      </c>
      <c r="D69" s="101" t="str">
        <f>IFERROR(__xludf.DUMMYFUNCTION("""COMPUTED_VALUE"""),"522.***.***-77")</f>
        <v>522.***.***-77</v>
      </c>
      <c r="E69" s="101">
        <f>IFERROR(__xludf.DUMMYFUNCTION("""COMPUTED_VALUE"""),16.0)</f>
        <v>16</v>
      </c>
      <c r="F69" s="101" t="str">
        <f>IFERROR(__xludf.DUMMYFUNCTION("""COMPUTED_VALUE"""),"522.045.878-77")</f>
        <v>522.045.878-77</v>
      </c>
      <c r="G69" s="101"/>
      <c r="H69" s="101"/>
      <c r="I69" s="101"/>
      <c r="J69" s="101"/>
      <c r="K69" s="101"/>
      <c r="L69" s="101"/>
      <c r="M69" s="101"/>
      <c r="N69" s="101"/>
      <c r="O69" s="101"/>
      <c r="P69" s="101"/>
      <c r="Q69" s="101"/>
      <c r="R69" s="101"/>
      <c r="S69" s="101"/>
      <c r="T69" s="101"/>
      <c r="U69" s="101"/>
      <c r="V69" s="101"/>
      <c r="W69" s="101"/>
      <c r="X69" s="101"/>
      <c r="Y69" s="101"/>
      <c r="Z69" s="101"/>
    </row>
    <row r="70">
      <c r="A70" s="101"/>
      <c r="B70" s="101"/>
      <c r="C70" s="101" t="str">
        <f>IFERROR(__xludf.DUMMYFUNCTION("""COMPUTED_VALUE"""),"MARIA LUISA DA COSTA RIBEIRO")</f>
        <v>MARIA LUISA DA COSTA RIBEIRO</v>
      </c>
      <c r="D70" s="101" t="str">
        <f>IFERROR(__xludf.DUMMYFUNCTION("""COMPUTED_VALUE"""),"439.***.***-42")</f>
        <v>439.***.***-42</v>
      </c>
      <c r="E70" s="101">
        <f>IFERROR(__xludf.DUMMYFUNCTION("""COMPUTED_VALUE"""),12.0)</f>
        <v>12</v>
      </c>
      <c r="F70" s="101" t="str">
        <f>IFERROR(__xludf.DUMMYFUNCTION("""COMPUTED_VALUE"""),"439.601.438-42")</f>
        <v>439.601.438-42</v>
      </c>
      <c r="G70" s="101"/>
      <c r="H70" s="101"/>
      <c r="I70" s="101"/>
      <c r="J70" s="101"/>
      <c r="K70" s="101"/>
      <c r="L70" s="101"/>
      <c r="M70" s="101"/>
      <c r="N70" s="101"/>
      <c r="O70" s="101"/>
      <c r="P70" s="101"/>
      <c r="Q70" s="101"/>
      <c r="R70" s="101"/>
      <c r="S70" s="101"/>
      <c r="T70" s="101"/>
      <c r="U70" s="101"/>
      <c r="V70" s="101"/>
      <c r="W70" s="101"/>
      <c r="X70" s="101"/>
      <c r="Y70" s="101"/>
      <c r="Z70" s="101"/>
    </row>
    <row r="71">
      <c r="A71" s="101"/>
      <c r="B71" s="101"/>
      <c r="C71" s="101" t="str">
        <f>IFERROR(__xludf.DUMMYFUNCTION("""COMPUTED_VALUE"""),"GIOVANNA FERREIRA ROCHA")</f>
        <v>GIOVANNA FERREIRA ROCHA</v>
      </c>
      <c r="D71" s="101" t="str">
        <f>IFERROR(__xludf.DUMMYFUNCTION("""COMPUTED_VALUE"""),"548.***.***-00")</f>
        <v>548.***.***-00</v>
      </c>
      <c r="E71" s="101">
        <f>IFERROR(__xludf.DUMMYFUNCTION("""COMPUTED_VALUE"""),4.0)</f>
        <v>4</v>
      </c>
      <c r="F71" s="101" t="str">
        <f>IFERROR(__xludf.DUMMYFUNCTION("""COMPUTED_VALUE"""),"548.455.408-00")</f>
        <v>548.455.408-00</v>
      </c>
      <c r="G71" s="101"/>
      <c r="H71" s="101"/>
      <c r="I71" s="101"/>
      <c r="J71" s="101"/>
      <c r="K71" s="101"/>
      <c r="L71" s="101"/>
      <c r="M71" s="101"/>
      <c r="N71" s="101"/>
      <c r="O71" s="101"/>
      <c r="P71" s="101"/>
      <c r="Q71" s="101"/>
      <c r="R71" s="101"/>
      <c r="S71" s="101"/>
      <c r="T71" s="101"/>
      <c r="U71" s="101"/>
      <c r="V71" s="101"/>
      <c r="W71" s="101"/>
      <c r="X71" s="101"/>
      <c r="Y71" s="101"/>
      <c r="Z71" s="101"/>
    </row>
    <row r="72">
      <c r="A72" s="101"/>
      <c r="B72" s="101"/>
      <c r="C72" s="101" t="str">
        <f>IFERROR(__xludf.DUMMYFUNCTION("""COMPUTED_VALUE"""),"LARISSA BELTRAN MARTINS")</f>
        <v>LARISSA BELTRAN MARTINS</v>
      </c>
      <c r="D72" s="101" t="str">
        <f>IFERROR(__xludf.DUMMYFUNCTION("""COMPUTED_VALUE"""),"437.***.***-83")</f>
        <v>437.***.***-83</v>
      </c>
      <c r="E72" s="101">
        <f>IFERROR(__xludf.DUMMYFUNCTION("""COMPUTED_VALUE"""),6.0)</f>
        <v>6</v>
      </c>
      <c r="F72" s="101" t="str">
        <f>IFERROR(__xludf.DUMMYFUNCTION("""COMPUTED_VALUE"""),"437.444.468-83")</f>
        <v>437.444.468-83</v>
      </c>
      <c r="G72" s="101"/>
      <c r="H72" s="101"/>
      <c r="I72" s="101"/>
      <c r="J72" s="101"/>
      <c r="K72" s="101"/>
      <c r="L72" s="101"/>
      <c r="M72" s="101"/>
      <c r="N72" s="101"/>
      <c r="O72" s="101"/>
      <c r="P72" s="101"/>
      <c r="Q72" s="101"/>
      <c r="R72" s="101"/>
      <c r="S72" s="101"/>
      <c r="T72" s="101"/>
      <c r="U72" s="101"/>
      <c r="V72" s="101"/>
      <c r="W72" s="101"/>
      <c r="X72" s="101"/>
      <c r="Y72" s="101"/>
      <c r="Z72" s="101"/>
    </row>
    <row r="73">
      <c r="A73" s="101"/>
      <c r="B73" s="101"/>
      <c r="C73" s="101" t="str">
        <f>IFERROR(__xludf.DUMMYFUNCTION("""COMPUTED_VALUE"""),"NATALIA Sousa SANTOS")</f>
        <v>NATALIA Sousa SANTOS</v>
      </c>
      <c r="D73" s="101" t="str">
        <f>IFERROR(__xludf.DUMMYFUNCTION("""COMPUTED_VALUE"""),"540.***.***-86")</f>
        <v>540.***.***-86</v>
      </c>
      <c r="E73" s="101">
        <f>IFERROR(__xludf.DUMMYFUNCTION("""COMPUTED_VALUE"""),4.0)</f>
        <v>4</v>
      </c>
      <c r="F73" s="101" t="str">
        <f>IFERROR(__xludf.DUMMYFUNCTION("""COMPUTED_VALUE"""),"540.417.578-86")</f>
        <v>540.417.578-86</v>
      </c>
      <c r="G73" s="101"/>
      <c r="H73" s="101"/>
      <c r="I73" s="101"/>
      <c r="J73" s="101"/>
      <c r="K73" s="101"/>
      <c r="L73" s="101"/>
      <c r="M73" s="101"/>
      <c r="N73" s="101"/>
      <c r="O73" s="101"/>
      <c r="P73" s="101"/>
      <c r="Q73" s="101"/>
      <c r="R73" s="101"/>
      <c r="S73" s="101"/>
      <c r="T73" s="101"/>
      <c r="U73" s="101"/>
      <c r="V73" s="101"/>
      <c r="W73" s="101"/>
      <c r="X73" s="101"/>
      <c r="Y73" s="101"/>
      <c r="Z73" s="101"/>
    </row>
    <row r="74">
      <c r="A74" s="101"/>
      <c r="B74" s="101"/>
      <c r="C74" s="101" t="str">
        <f>IFERROR(__xludf.DUMMYFUNCTION("""COMPUTED_VALUE"""),"HENRIQUE MATAQUEIRO DA SILVA")</f>
        <v>HENRIQUE MATAQUEIRO DA SILVA</v>
      </c>
      <c r="D74" s="101" t="str">
        <f>IFERROR(__xludf.DUMMYFUNCTION("""COMPUTED_VALUE"""),"444.***.***-30")</f>
        <v>444.***.***-30</v>
      </c>
      <c r="E74" s="101">
        <f>IFERROR(__xludf.DUMMYFUNCTION("""COMPUTED_VALUE"""),7.0)</f>
        <v>7</v>
      </c>
      <c r="F74" s="101" t="str">
        <f>IFERROR(__xludf.DUMMYFUNCTION("""COMPUTED_VALUE"""),"444.587.578-30")</f>
        <v>444.587.578-30</v>
      </c>
      <c r="G74" s="101"/>
      <c r="H74" s="101"/>
      <c r="I74" s="101"/>
      <c r="J74" s="101"/>
      <c r="K74" s="101"/>
      <c r="L74" s="101"/>
      <c r="M74" s="101"/>
      <c r="N74" s="101"/>
      <c r="O74" s="101"/>
      <c r="P74" s="101"/>
      <c r="Q74" s="101"/>
      <c r="R74" s="101"/>
      <c r="S74" s="101"/>
      <c r="T74" s="101"/>
      <c r="U74" s="101"/>
      <c r="V74" s="101"/>
      <c r="W74" s="101"/>
      <c r="X74" s="101"/>
      <c r="Y74" s="101"/>
      <c r="Z74" s="101"/>
    </row>
    <row r="75">
      <c r="A75" s="101"/>
      <c r="B75" s="101"/>
      <c r="C75" s="101" t="str">
        <f>IFERROR(__xludf.DUMMYFUNCTION("""COMPUTED_VALUE"""),"VENUS SOARES VITORINO")</f>
        <v>VENUS SOARES VITORINO</v>
      </c>
      <c r="D75" s="101" t="str">
        <f>IFERROR(__xludf.DUMMYFUNCTION("""COMPUTED_VALUE"""),"494.***.***-00")</f>
        <v>494.***.***-00</v>
      </c>
      <c r="E75" s="101">
        <f>IFERROR(__xludf.DUMMYFUNCTION("""COMPUTED_VALUE"""),10.0)</f>
        <v>10</v>
      </c>
      <c r="F75" s="101" t="str">
        <f>IFERROR(__xludf.DUMMYFUNCTION("""COMPUTED_VALUE"""),"494.131.968-00")</f>
        <v>494.131.968-00</v>
      </c>
      <c r="G75" s="101"/>
      <c r="H75" s="101"/>
      <c r="I75" s="101"/>
      <c r="J75" s="101"/>
      <c r="K75" s="101"/>
      <c r="L75" s="101"/>
      <c r="M75" s="101"/>
      <c r="N75" s="101"/>
      <c r="O75" s="101"/>
      <c r="P75" s="101"/>
      <c r="Q75" s="101"/>
      <c r="R75" s="101"/>
      <c r="S75" s="101"/>
      <c r="T75" s="101"/>
      <c r="U75" s="101"/>
      <c r="V75" s="101"/>
      <c r="W75" s="101"/>
      <c r="X75" s="101"/>
      <c r="Y75" s="101"/>
      <c r="Z75" s="101"/>
    </row>
    <row r="76">
      <c r="A76" s="101"/>
      <c r="B76" s="101"/>
      <c r="C76" s="101" t="str">
        <f>IFERROR(__xludf.DUMMYFUNCTION("""COMPUTED_VALUE"""),"ANDRIELLE FERNANDES DANTAS")</f>
        <v>ANDRIELLE FERNANDES DANTAS</v>
      </c>
      <c r="D76" s="101" t="str">
        <f>IFERROR(__xludf.DUMMYFUNCTION("""COMPUTED_VALUE"""),"509.***.***-65")</f>
        <v>509.***.***-65</v>
      </c>
      <c r="E76" s="101">
        <f>IFERROR(__xludf.DUMMYFUNCTION("""COMPUTED_VALUE"""),2.0)</f>
        <v>2</v>
      </c>
      <c r="F76" s="101" t="str">
        <f>IFERROR(__xludf.DUMMYFUNCTION("""COMPUTED_VALUE"""),"509.071.958-65")</f>
        <v>509.071.958-65</v>
      </c>
      <c r="G76" s="101"/>
      <c r="H76" s="101"/>
      <c r="I76" s="101"/>
      <c r="J76" s="101"/>
      <c r="K76" s="101"/>
      <c r="L76" s="101"/>
      <c r="M76" s="101"/>
      <c r="N76" s="101"/>
      <c r="O76" s="101"/>
      <c r="P76" s="101"/>
      <c r="Q76" s="101"/>
      <c r="R76" s="101"/>
      <c r="S76" s="101"/>
      <c r="T76" s="101"/>
      <c r="U76" s="101"/>
      <c r="V76" s="101"/>
      <c r="W76" s="101"/>
      <c r="X76" s="101"/>
      <c r="Y76" s="101"/>
      <c r="Z76" s="101"/>
    </row>
    <row r="77">
      <c r="A77" s="101"/>
      <c r="B77" s="101"/>
      <c r="C77" s="101" t="str">
        <f>IFERROR(__xludf.DUMMYFUNCTION("""COMPUTED_VALUE"""),"CAIQUE GONCALVES DE MATOS")</f>
        <v>CAIQUE GONCALVES DE MATOS</v>
      </c>
      <c r="D77" s="101" t="str">
        <f>IFERROR(__xludf.DUMMYFUNCTION("""COMPUTED_VALUE"""),"433.***.***-54")</f>
        <v>433.***.***-54</v>
      </c>
      <c r="E77" s="101">
        <f>IFERROR(__xludf.DUMMYFUNCTION("""COMPUTED_VALUE"""),3.0)</f>
        <v>3</v>
      </c>
      <c r="F77" s="101" t="str">
        <f>IFERROR(__xludf.DUMMYFUNCTION("""COMPUTED_VALUE"""),"433.373.788-54")</f>
        <v>433.373.788-54</v>
      </c>
      <c r="G77" s="101"/>
      <c r="H77" s="101"/>
      <c r="I77" s="101"/>
      <c r="J77" s="101"/>
      <c r="K77" s="101"/>
      <c r="L77" s="101"/>
      <c r="M77" s="101"/>
      <c r="N77" s="101"/>
      <c r="O77" s="101"/>
      <c r="P77" s="101"/>
      <c r="Q77" s="101"/>
      <c r="R77" s="101"/>
      <c r="S77" s="101"/>
      <c r="T77" s="101"/>
      <c r="U77" s="101"/>
      <c r="V77" s="101"/>
      <c r="W77" s="101"/>
      <c r="X77" s="101"/>
      <c r="Y77" s="101"/>
      <c r="Z77" s="101"/>
    </row>
    <row r="78">
      <c r="A78" s="101"/>
      <c r="B78" s="101"/>
      <c r="C78" s="101" t="str">
        <f>IFERROR(__xludf.DUMMYFUNCTION("""COMPUTED_VALUE"""),"FABIO DE SANTANA FERREIRA")</f>
        <v>FABIO DE SANTANA FERREIRA</v>
      </c>
      <c r="D78" s="101" t="str">
        <f>IFERROR(__xludf.DUMMYFUNCTION("""COMPUTED_VALUE"""),"862.***.***-64")</f>
        <v>862.***.***-64</v>
      </c>
      <c r="E78" s="101">
        <f>IFERROR(__xludf.DUMMYFUNCTION("""COMPUTED_VALUE"""),3.0)</f>
        <v>3</v>
      </c>
      <c r="F78" s="101" t="str">
        <f>IFERROR(__xludf.DUMMYFUNCTION("""COMPUTED_VALUE"""),"862.846.335-64")</f>
        <v>862.846.335-64</v>
      </c>
      <c r="G78" s="101"/>
      <c r="H78" s="101"/>
      <c r="I78" s="101"/>
      <c r="J78" s="101"/>
      <c r="K78" s="101"/>
      <c r="L78" s="101"/>
      <c r="M78" s="101"/>
      <c r="N78" s="101"/>
      <c r="O78" s="101"/>
      <c r="P78" s="101"/>
      <c r="Q78" s="101"/>
      <c r="R78" s="101"/>
      <c r="S78" s="101"/>
      <c r="T78" s="101"/>
      <c r="U78" s="101"/>
      <c r="V78" s="101"/>
      <c r="W78" s="101"/>
      <c r="X78" s="101"/>
      <c r="Y78" s="101"/>
      <c r="Z78" s="101"/>
    </row>
    <row r="79">
      <c r="A79" s="101"/>
      <c r="B79" s="101"/>
      <c r="C79" s="101" t="str">
        <f>IFERROR(__xludf.DUMMYFUNCTION("""COMPUTED_VALUE"""),"MURILLO DE OLIVEIRA CAMPOS")</f>
        <v>MURILLO DE OLIVEIRA CAMPOS</v>
      </c>
      <c r="D79" s="101" t="str">
        <f>IFERROR(__xludf.DUMMYFUNCTION("""COMPUTED_VALUE"""),"501.***.***-07")</f>
        <v>501.***.***-07</v>
      </c>
      <c r="E79" s="101">
        <f>IFERROR(__xludf.DUMMYFUNCTION("""COMPUTED_VALUE"""),13.0)</f>
        <v>13</v>
      </c>
      <c r="F79" s="101" t="str">
        <f>IFERROR(__xludf.DUMMYFUNCTION("""COMPUTED_VALUE"""),"501.980.608-07")</f>
        <v>501.980.608-07</v>
      </c>
      <c r="G79" s="101"/>
      <c r="H79" s="101"/>
      <c r="I79" s="101"/>
      <c r="J79" s="101"/>
      <c r="K79" s="101"/>
      <c r="L79" s="101"/>
      <c r="M79" s="101"/>
      <c r="N79" s="101"/>
      <c r="O79" s="101"/>
      <c r="P79" s="101"/>
      <c r="Q79" s="101"/>
      <c r="R79" s="101"/>
      <c r="S79" s="101"/>
      <c r="T79" s="101"/>
      <c r="U79" s="101"/>
      <c r="V79" s="101"/>
      <c r="W79" s="101"/>
      <c r="X79" s="101"/>
      <c r="Y79" s="101"/>
      <c r="Z79" s="101"/>
    </row>
    <row r="80">
      <c r="A80" s="101"/>
      <c r="B80" s="101"/>
      <c r="C80" s="101" t="str">
        <f>IFERROR(__xludf.DUMMYFUNCTION("""COMPUTED_VALUE"""),"YASMIM  SILVA LEITE")</f>
        <v>YASMIM  SILVA LEITE</v>
      </c>
      <c r="D80" s="101" t="str">
        <f>IFERROR(__xludf.DUMMYFUNCTION("""COMPUTED_VALUE"""),"240.***.***-82")</f>
        <v>240.***.***-82</v>
      </c>
      <c r="E80" s="101">
        <f>IFERROR(__xludf.DUMMYFUNCTION("""COMPUTED_VALUE"""),18.0)</f>
        <v>18</v>
      </c>
      <c r="F80" s="101" t="str">
        <f>IFERROR(__xludf.DUMMYFUNCTION("""COMPUTED_VALUE"""),"240.106.948-82")</f>
        <v>240.106.948-82</v>
      </c>
      <c r="G80" s="101"/>
      <c r="H80" s="101"/>
      <c r="I80" s="101"/>
      <c r="J80" s="101"/>
      <c r="K80" s="101"/>
      <c r="L80" s="101"/>
      <c r="M80" s="101"/>
      <c r="N80" s="101"/>
      <c r="O80" s="101"/>
      <c r="P80" s="101"/>
      <c r="Q80" s="101"/>
      <c r="R80" s="101"/>
      <c r="S80" s="101"/>
      <c r="T80" s="101"/>
      <c r="U80" s="101"/>
      <c r="V80" s="101"/>
      <c r="W80" s="101"/>
      <c r="X80" s="101"/>
      <c r="Y80" s="101"/>
      <c r="Z80" s="101"/>
    </row>
    <row r="81">
      <c r="A81" s="101"/>
      <c r="B81" s="101"/>
      <c r="C81" s="101" t="str">
        <f>IFERROR(__xludf.DUMMYFUNCTION("""COMPUTED_VALUE"""),"ANA GABRIELA SARZO CHIPANA")</f>
        <v>ANA GABRIELA SARZO CHIPANA</v>
      </c>
      <c r="D81" s="101" t="str">
        <f>IFERROR(__xludf.DUMMYFUNCTION("""COMPUTED_VALUE"""),"238.***.***-46")</f>
        <v>238.***.***-46</v>
      </c>
      <c r="E81" s="101">
        <f>IFERROR(__xludf.DUMMYFUNCTION("""COMPUTED_VALUE"""),1.0)</f>
        <v>1</v>
      </c>
      <c r="F81" s="101" t="str">
        <f>IFERROR(__xludf.DUMMYFUNCTION("""COMPUTED_VALUE"""),"238.408.758-46")</f>
        <v>238.408.758-46</v>
      </c>
      <c r="G81" s="101"/>
      <c r="H81" s="101"/>
      <c r="I81" s="101"/>
      <c r="J81" s="101"/>
      <c r="K81" s="101"/>
      <c r="L81" s="101"/>
      <c r="M81" s="101"/>
      <c r="N81" s="101"/>
      <c r="O81" s="101"/>
      <c r="P81" s="101"/>
      <c r="Q81" s="101"/>
      <c r="R81" s="101"/>
      <c r="S81" s="101"/>
      <c r="T81" s="101"/>
      <c r="U81" s="101"/>
      <c r="V81" s="101"/>
      <c r="W81" s="101"/>
      <c r="X81" s="101"/>
      <c r="Y81" s="101"/>
      <c r="Z81" s="101"/>
    </row>
    <row r="82">
      <c r="A82" s="101"/>
      <c r="B82" s="101"/>
      <c r="C82" s="101" t="str">
        <f>IFERROR(__xludf.DUMMYFUNCTION("""COMPUTED_VALUE"""),"PAULO HENRIQUE VICENTE BARBOSA")</f>
        <v>PAULO HENRIQUE VICENTE BARBOSA</v>
      </c>
      <c r="D82" s="101" t="str">
        <f>IFERROR(__xludf.DUMMYFUNCTION("""COMPUTED_VALUE"""),"415.***.***-30")</f>
        <v>415.***.***-30</v>
      </c>
      <c r="E82" s="101">
        <f>IFERROR(__xludf.DUMMYFUNCTION("""COMPUTED_VALUE"""),14.0)</f>
        <v>14</v>
      </c>
      <c r="F82" s="101" t="str">
        <f>IFERROR(__xludf.DUMMYFUNCTION("""COMPUTED_VALUE"""),"415.344.858-30")</f>
        <v>415.344.858-30</v>
      </c>
      <c r="G82" s="101"/>
      <c r="H82" s="101"/>
      <c r="I82" s="101"/>
      <c r="J82" s="101"/>
      <c r="K82" s="101"/>
      <c r="L82" s="101"/>
      <c r="M82" s="101"/>
      <c r="N82" s="101"/>
      <c r="O82" s="101"/>
      <c r="P82" s="101"/>
      <c r="Q82" s="101"/>
      <c r="R82" s="101"/>
      <c r="S82" s="101"/>
      <c r="T82" s="101"/>
      <c r="U82" s="101"/>
      <c r="V82" s="101"/>
      <c r="W82" s="101"/>
      <c r="X82" s="101"/>
      <c r="Y82" s="101"/>
      <c r="Z82" s="101"/>
    </row>
    <row r="83">
      <c r="A83" s="101"/>
      <c r="B83" s="101"/>
      <c r="C83" s="101" t="str">
        <f>IFERROR(__xludf.DUMMYFUNCTION("""COMPUTED_VALUE"""),"JÚLIA CAROLINA VIEIRA PEREIRA")</f>
        <v>JÚLIA CAROLINA VIEIRA PEREIRA</v>
      </c>
      <c r="D83" s="101" t="str">
        <f>IFERROR(__xludf.DUMMYFUNCTION("""COMPUTED_VALUE"""),"393.***.***-61")</f>
        <v>393.***.***-61</v>
      </c>
      <c r="E83" s="101">
        <f>IFERROR(__xludf.DUMMYFUNCTION("""COMPUTED_VALUE"""),8.0)</f>
        <v>8</v>
      </c>
      <c r="F83" s="101" t="str">
        <f>IFERROR(__xludf.DUMMYFUNCTION("""COMPUTED_VALUE"""),"393.043.348-61")</f>
        <v>393.043.348-61</v>
      </c>
      <c r="G83" s="101"/>
      <c r="H83" s="101"/>
      <c r="I83" s="101"/>
      <c r="J83" s="101"/>
      <c r="K83" s="101"/>
      <c r="L83" s="101"/>
      <c r="M83" s="101"/>
      <c r="N83" s="101"/>
      <c r="O83" s="101"/>
      <c r="P83" s="101"/>
      <c r="Q83" s="101"/>
      <c r="R83" s="101"/>
      <c r="S83" s="101"/>
      <c r="T83" s="101"/>
      <c r="U83" s="101"/>
      <c r="V83" s="101"/>
      <c r="W83" s="101"/>
      <c r="X83" s="101"/>
      <c r="Y83" s="101"/>
      <c r="Z83" s="101"/>
    </row>
    <row r="84">
      <c r="A84" s="101"/>
      <c r="B84" s="101"/>
      <c r="C84" s="101" t="str">
        <f>IFERROR(__xludf.DUMMYFUNCTION("""COMPUTED_VALUE"""),"EDUARDO ANDRE DOS SANTOS")</f>
        <v>EDUARDO ANDRE DOS SANTOS</v>
      </c>
      <c r="D84" s="101" t="str">
        <f>IFERROR(__xludf.DUMMYFUNCTION("""COMPUTED_VALUE"""),"462.***.***-08")</f>
        <v>462.***.***-08</v>
      </c>
      <c r="E84" s="101">
        <f>IFERROR(__xludf.DUMMYFUNCTION("""COMPUTED_VALUE"""),3.0)</f>
        <v>3</v>
      </c>
      <c r="F84" s="101" t="str">
        <f>IFERROR(__xludf.DUMMYFUNCTION("""COMPUTED_VALUE"""),"462.130.018-08")</f>
        <v>462.130.018-08</v>
      </c>
      <c r="G84" s="101"/>
      <c r="H84" s="101"/>
      <c r="I84" s="101"/>
      <c r="J84" s="101"/>
      <c r="K84" s="101"/>
      <c r="L84" s="101"/>
      <c r="M84" s="101"/>
      <c r="N84" s="101"/>
      <c r="O84" s="101"/>
      <c r="P84" s="101"/>
      <c r="Q84" s="101"/>
      <c r="R84" s="101"/>
      <c r="S84" s="101"/>
      <c r="T84" s="101"/>
      <c r="U84" s="101"/>
      <c r="V84" s="101"/>
      <c r="W84" s="101"/>
      <c r="X84" s="101"/>
      <c r="Y84" s="101"/>
      <c r="Z84" s="101"/>
    </row>
    <row r="85">
      <c r="A85" s="101"/>
      <c r="B85" s="101"/>
      <c r="C85" s="101" t="str">
        <f>IFERROR(__xludf.DUMMYFUNCTION("""COMPUTED_VALUE"""),"DAVI LUCAS GOMES CHAVES ALMEIDA")</f>
        <v>DAVI LUCAS GOMES CHAVES ALMEIDA</v>
      </c>
      <c r="D85" s="101" t="str">
        <f>IFERROR(__xludf.DUMMYFUNCTION("""COMPUTED_VALUE"""),"502.***.***-00")</f>
        <v>502.***.***-00</v>
      </c>
      <c r="E85" s="101">
        <f>IFERROR(__xludf.DUMMYFUNCTION("""COMPUTED_VALUE"""),4.0)</f>
        <v>4</v>
      </c>
      <c r="F85" s="101" t="str">
        <f>IFERROR(__xludf.DUMMYFUNCTION("""COMPUTED_VALUE"""),"502.982.658-00")</f>
        <v>502.982.658-00</v>
      </c>
      <c r="G85" s="101"/>
      <c r="H85" s="101"/>
      <c r="I85" s="101"/>
      <c r="J85" s="101"/>
      <c r="K85" s="101"/>
      <c r="L85" s="101"/>
      <c r="M85" s="101"/>
      <c r="N85" s="101"/>
      <c r="O85" s="101"/>
      <c r="P85" s="101"/>
      <c r="Q85" s="101"/>
      <c r="R85" s="101"/>
      <c r="S85" s="101"/>
      <c r="T85" s="101"/>
      <c r="U85" s="101"/>
      <c r="V85" s="101"/>
      <c r="W85" s="101"/>
      <c r="X85" s="101"/>
      <c r="Y85" s="101"/>
      <c r="Z85" s="101"/>
    </row>
    <row r="86">
      <c r="A86" s="101"/>
      <c r="B86" s="101"/>
      <c r="C86" s="101" t="str">
        <f>IFERROR(__xludf.DUMMYFUNCTION("""COMPUTED_VALUE"""),"LAIS ANSELMI")</f>
        <v>LAIS ANSELMI</v>
      </c>
      <c r="D86" s="101" t="str">
        <f>IFERROR(__xludf.DUMMYFUNCTION("""COMPUTED_VALUE"""),"423.***.***-31")</f>
        <v>423.***.***-31</v>
      </c>
      <c r="E86" s="101">
        <f>IFERROR(__xludf.DUMMYFUNCTION("""COMPUTED_VALUE"""),3.0)</f>
        <v>3</v>
      </c>
      <c r="F86" s="101" t="str">
        <f>IFERROR(__xludf.DUMMYFUNCTION("""COMPUTED_VALUE"""),"423.671.368-31")</f>
        <v>423.671.368-31</v>
      </c>
      <c r="G86" s="101"/>
      <c r="H86" s="101"/>
      <c r="I86" s="101"/>
      <c r="J86" s="101"/>
      <c r="K86" s="101"/>
      <c r="L86" s="101"/>
      <c r="M86" s="101"/>
      <c r="N86" s="101"/>
      <c r="O86" s="101"/>
      <c r="P86" s="101"/>
      <c r="Q86" s="101"/>
      <c r="R86" s="101"/>
      <c r="S86" s="101"/>
      <c r="T86" s="101"/>
      <c r="U86" s="101"/>
      <c r="V86" s="101"/>
      <c r="W86" s="101"/>
      <c r="X86" s="101"/>
      <c r="Y86" s="101"/>
      <c r="Z86" s="101"/>
    </row>
    <row r="87">
      <c r="A87" s="101"/>
      <c r="B87" s="101"/>
      <c r="C87" s="101" t="str">
        <f>IFERROR(__xludf.DUMMYFUNCTION("""COMPUTED_VALUE"""),"JENNIFER WENNDY DE SOUZA PAULA")</f>
        <v>JENNIFER WENNDY DE SOUZA PAULA</v>
      </c>
      <c r="D87" s="101" t="str">
        <f>IFERROR(__xludf.DUMMYFUNCTION("""COMPUTED_VALUE"""),"614.***.***-60")</f>
        <v>614.***.***-60</v>
      </c>
      <c r="E87" s="101">
        <f>IFERROR(__xludf.DUMMYFUNCTION("""COMPUTED_VALUE"""),5.0)</f>
        <v>5</v>
      </c>
      <c r="F87" s="101" t="str">
        <f>IFERROR(__xludf.DUMMYFUNCTION("""COMPUTED_VALUE"""),"614.020.743-60")</f>
        <v>614.020.743-60</v>
      </c>
      <c r="G87" s="101"/>
      <c r="H87" s="101"/>
      <c r="I87" s="101"/>
      <c r="J87" s="101"/>
      <c r="K87" s="101"/>
      <c r="L87" s="101"/>
      <c r="M87" s="101"/>
      <c r="N87" s="101"/>
      <c r="O87" s="101"/>
      <c r="P87" s="101"/>
      <c r="Q87" s="101"/>
      <c r="R87" s="101"/>
      <c r="S87" s="101"/>
      <c r="T87" s="101"/>
      <c r="U87" s="101"/>
      <c r="V87" s="101"/>
      <c r="W87" s="101"/>
      <c r="X87" s="101"/>
      <c r="Y87" s="101"/>
      <c r="Z87" s="101"/>
    </row>
    <row r="88">
      <c r="A88" s="101"/>
      <c r="B88" s="101"/>
      <c r="C88" s="101" t="str">
        <f>IFERROR(__xludf.DUMMYFUNCTION("""COMPUTED_VALUE"""),"LARISSA VITORIA APARECIDA DE AQUINO BRAZ")</f>
        <v>LARISSA VITORIA APARECIDA DE AQUINO BRAZ</v>
      </c>
      <c r="D88" s="101" t="str">
        <f>IFERROR(__xludf.DUMMYFUNCTION("""COMPUTED_VALUE"""),"526.***.***-61")</f>
        <v>526.***.***-61</v>
      </c>
      <c r="E88" s="101">
        <f>IFERROR(__xludf.DUMMYFUNCTION("""COMPUTED_VALUE"""),10.0)</f>
        <v>10</v>
      </c>
      <c r="F88" s="101" t="str">
        <f>IFERROR(__xludf.DUMMYFUNCTION("""COMPUTED_VALUE"""),"526.826.658-61")</f>
        <v>526.826.658-61</v>
      </c>
      <c r="G88" s="101"/>
      <c r="H88" s="101"/>
      <c r="I88" s="101"/>
      <c r="J88" s="101"/>
      <c r="K88" s="101"/>
      <c r="L88" s="101"/>
      <c r="M88" s="101"/>
      <c r="N88" s="101"/>
      <c r="O88" s="101"/>
      <c r="P88" s="101"/>
      <c r="Q88" s="101"/>
      <c r="R88" s="101"/>
      <c r="S88" s="101"/>
      <c r="T88" s="101"/>
      <c r="U88" s="101"/>
      <c r="V88" s="101"/>
      <c r="W88" s="101"/>
      <c r="X88" s="101"/>
      <c r="Y88" s="101"/>
      <c r="Z88" s="101"/>
    </row>
    <row r="89">
      <c r="A89" s="101"/>
      <c r="B89" s="101"/>
      <c r="C89" s="101" t="str">
        <f>IFERROR(__xludf.DUMMYFUNCTION("""COMPUTED_VALUE"""),"VITORIA NIETO PIRES")</f>
        <v>VITORIA NIETO PIRES</v>
      </c>
      <c r="D89" s="101" t="str">
        <f>IFERROR(__xludf.DUMMYFUNCTION("""COMPUTED_VALUE"""),"414.***.***-62")</f>
        <v>414.***.***-62</v>
      </c>
      <c r="E89" s="101">
        <f>IFERROR(__xludf.DUMMYFUNCTION("""COMPUTED_VALUE"""),10.0)</f>
        <v>10</v>
      </c>
      <c r="F89" s="101" t="str">
        <f>IFERROR(__xludf.DUMMYFUNCTION("""COMPUTED_VALUE"""),"414.363.258-62")</f>
        <v>414.363.258-62</v>
      </c>
      <c r="G89" s="101"/>
      <c r="H89" s="101"/>
      <c r="I89" s="101"/>
      <c r="J89" s="101"/>
      <c r="K89" s="101"/>
      <c r="L89" s="101"/>
      <c r="M89" s="101"/>
      <c r="N89" s="101"/>
      <c r="O89" s="101"/>
      <c r="P89" s="101"/>
      <c r="Q89" s="101"/>
      <c r="R89" s="101"/>
      <c r="S89" s="101"/>
      <c r="T89" s="101"/>
      <c r="U89" s="101"/>
      <c r="V89" s="101"/>
      <c r="W89" s="101"/>
      <c r="X89" s="101"/>
      <c r="Y89" s="101"/>
      <c r="Z89" s="101"/>
    </row>
    <row r="90">
      <c r="A90" s="101"/>
      <c r="B90" s="101"/>
      <c r="C90" s="101" t="str">
        <f>IFERROR(__xludf.DUMMYFUNCTION("""COMPUTED_VALUE"""),"GRAZZ SILVA SOUZA")</f>
        <v>GRAZZ SILVA SOUZA</v>
      </c>
      <c r="D90" s="101" t="str">
        <f>IFERROR(__xludf.DUMMYFUNCTION("""COMPUTED_VALUE"""),"457.***.***-29")</f>
        <v>457.***.***-29</v>
      </c>
      <c r="E90" s="101">
        <f>IFERROR(__xludf.DUMMYFUNCTION("""COMPUTED_VALUE"""),6.0)</f>
        <v>6</v>
      </c>
      <c r="F90" s="101" t="str">
        <f>IFERROR(__xludf.DUMMYFUNCTION("""COMPUTED_VALUE"""),"457.054.008-29")</f>
        <v>457.054.008-29</v>
      </c>
      <c r="G90" s="101"/>
      <c r="H90" s="101"/>
      <c r="I90" s="101"/>
      <c r="J90" s="101"/>
      <c r="K90" s="101"/>
      <c r="L90" s="101"/>
      <c r="M90" s="101"/>
      <c r="N90" s="101"/>
      <c r="O90" s="101"/>
      <c r="P90" s="101"/>
      <c r="Q90" s="101"/>
      <c r="R90" s="101"/>
      <c r="S90" s="101"/>
      <c r="T90" s="101"/>
      <c r="U90" s="101"/>
      <c r="V90" s="101"/>
      <c r="W90" s="101"/>
      <c r="X90" s="101"/>
      <c r="Y90" s="101"/>
      <c r="Z90" s="101"/>
    </row>
    <row r="91">
      <c r="A91" s="101"/>
      <c r="B91" s="101"/>
      <c r="C91" s="101" t="str">
        <f>IFERROR(__xludf.DUMMYFUNCTION("""COMPUTED_VALUE"""),"LUCAS OLIVEIRA ROMUALDO")</f>
        <v>LUCAS OLIVEIRA ROMUALDO</v>
      </c>
      <c r="D91" s="101" t="str">
        <f>IFERROR(__xludf.DUMMYFUNCTION("""COMPUTED_VALUE"""),"522.***.***-61")</f>
        <v>522.***.***-61</v>
      </c>
      <c r="E91" s="101">
        <f>IFERROR(__xludf.DUMMYFUNCTION("""COMPUTED_VALUE"""),7.0)</f>
        <v>7</v>
      </c>
      <c r="F91" s="101" t="str">
        <f>IFERROR(__xludf.DUMMYFUNCTION("""COMPUTED_VALUE"""),"522.902.368-61")</f>
        <v>522.902.368-61</v>
      </c>
      <c r="G91" s="101"/>
      <c r="H91" s="101"/>
      <c r="I91" s="101"/>
      <c r="J91" s="101"/>
      <c r="K91" s="101"/>
      <c r="L91" s="101"/>
      <c r="M91" s="101"/>
      <c r="N91" s="101"/>
      <c r="O91" s="101"/>
      <c r="P91" s="101"/>
      <c r="Q91" s="101"/>
      <c r="R91" s="101"/>
      <c r="S91" s="101"/>
      <c r="T91" s="101"/>
      <c r="U91" s="101"/>
      <c r="V91" s="101"/>
      <c r="W91" s="101"/>
      <c r="X91" s="101"/>
      <c r="Y91" s="101"/>
      <c r="Z91" s="101"/>
    </row>
    <row r="92">
      <c r="A92" s="101"/>
      <c r="B92" s="101"/>
      <c r="C92" s="101" t="str">
        <f>IFERROR(__xludf.DUMMYFUNCTION("""COMPUTED_VALUE"""),"SARAH SANTIAGO PEREIRA  SANTANA")</f>
        <v>SARAH SANTIAGO PEREIRA  SANTANA</v>
      </c>
      <c r="D92" s="101" t="str">
        <f>IFERROR(__xludf.DUMMYFUNCTION("""COMPUTED_VALUE"""),"519.***.***-98")</f>
        <v>519.***.***-98</v>
      </c>
      <c r="E92" s="101">
        <f>IFERROR(__xludf.DUMMYFUNCTION("""COMPUTED_VALUE"""),16.0)</f>
        <v>16</v>
      </c>
      <c r="F92" s="101" t="str">
        <f>IFERROR(__xludf.DUMMYFUNCTION("""COMPUTED_VALUE"""),"519.152.708-98")</f>
        <v>519.152.708-98</v>
      </c>
      <c r="G92" s="101"/>
      <c r="H92" s="101"/>
      <c r="I92" s="101"/>
      <c r="J92" s="101"/>
      <c r="K92" s="101"/>
      <c r="L92" s="101"/>
      <c r="M92" s="101"/>
      <c r="N92" s="101"/>
      <c r="O92" s="101"/>
      <c r="P92" s="101"/>
      <c r="Q92" s="101"/>
      <c r="R92" s="101"/>
      <c r="S92" s="101"/>
      <c r="T92" s="101"/>
      <c r="U92" s="101"/>
      <c r="V92" s="101"/>
      <c r="W92" s="101"/>
      <c r="X92" s="101"/>
      <c r="Y92" s="101"/>
      <c r="Z92" s="101"/>
    </row>
    <row r="93">
      <c r="A93" s="101"/>
      <c r="B93" s="101"/>
      <c r="C93" s="101" t="str">
        <f>IFERROR(__xludf.DUMMYFUNCTION("""COMPUTED_VALUE"""),"GIOVANA PRADO CONCEIÇÃO")</f>
        <v>GIOVANA PRADO CONCEIÇÃO</v>
      </c>
      <c r="D93" s="101" t="str">
        <f>IFERROR(__xludf.DUMMYFUNCTION("""COMPUTED_VALUE"""),"512.***.***-85")</f>
        <v>512.***.***-85</v>
      </c>
      <c r="E93" s="101">
        <f>IFERROR(__xludf.DUMMYFUNCTION("""COMPUTED_VALUE"""),4.0)</f>
        <v>4</v>
      </c>
      <c r="F93" s="101" t="str">
        <f>IFERROR(__xludf.DUMMYFUNCTION("""COMPUTED_VALUE"""),"512.743.848-85")</f>
        <v>512.743.848-85</v>
      </c>
      <c r="G93" s="101"/>
      <c r="H93" s="101"/>
      <c r="I93" s="101"/>
      <c r="J93" s="101"/>
      <c r="K93" s="101"/>
      <c r="L93" s="101"/>
      <c r="M93" s="101"/>
      <c r="N93" s="101"/>
      <c r="O93" s="101"/>
      <c r="P93" s="101"/>
      <c r="Q93" s="101"/>
      <c r="R93" s="101"/>
      <c r="S93" s="101"/>
      <c r="T93" s="101"/>
      <c r="U93" s="101"/>
      <c r="V93" s="101"/>
      <c r="W93" s="101"/>
      <c r="X93" s="101"/>
      <c r="Y93" s="101"/>
      <c r="Z93" s="101"/>
    </row>
    <row r="94">
      <c r="A94" s="101"/>
      <c r="B94" s="101"/>
      <c r="C94" s="101" t="str">
        <f>IFERROR(__xludf.DUMMYFUNCTION("""COMPUTED_VALUE"""),"LAILA QUEZIA OLIVEIRA SILVA")</f>
        <v>LAILA QUEZIA OLIVEIRA SILVA</v>
      </c>
      <c r="D94" s="101" t="str">
        <f>IFERROR(__xludf.DUMMYFUNCTION("""COMPUTED_VALUE"""),"499.***.***-69")</f>
        <v>499.***.***-69</v>
      </c>
      <c r="E94" s="101">
        <f>IFERROR(__xludf.DUMMYFUNCTION("""COMPUTED_VALUE"""),3.0)</f>
        <v>3</v>
      </c>
      <c r="F94" s="101" t="str">
        <f>IFERROR(__xludf.DUMMYFUNCTION("""COMPUTED_VALUE"""),"499.801.758-69")</f>
        <v>499.801.758-69</v>
      </c>
      <c r="G94" s="101"/>
      <c r="H94" s="101"/>
      <c r="I94" s="101"/>
      <c r="J94" s="101"/>
      <c r="K94" s="101"/>
      <c r="L94" s="101"/>
      <c r="M94" s="101"/>
      <c r="N94" s="101"/>
      <c r="O94" s="101"/>
      <c r="P94" s="101"/>
      <c r="Q94" s="101"/>
      <c r="R94" s="101"/>
      <c r="S94" s="101"/>
      <c r="T94" s="101"/>
      <c r="U94" s="101"/>
      <c r="V94" s="101"/>
      <c r="W94" s="101"/>
      <c r="X94" s="101"/>
      <c r="Y94" s="101"/>
      <c r="Z94" s="101"/>
    </row>
    <row r="95">
      <c r="A95" s="101"/>
      <c r="B95" s="101"/>
      <c r="C95" s="101" t="str">
        <f>IFERROR(__xludf.DUMMYFUNCTION("""COMPUTED_VALUE"""),"ADRIELE FERREIRA ELIAS")</f>
        <v>ADRIELE FERREIRA ELIAS</v>
      </c>
      <c r="D95" s="101" t="str">
        <f>IFERROR(__xludf.DUMMYFUNCTION("""COMPUTED_VALUE"""),"488.***.***-11")</f>
        <v>488.***.***-11</v>
      </c>
      <c r="E95" s="101">
        <f>IFERROR(__xludf.DUMMYFUNCTION("""COMPUTED_VALUE"""),1.0)</f>
        <v>1</v>
      </c>
      <c r="F95" s="101" t="str">
        <f>IFERROR(__xludf.DUMMYFUNCTION("""COMPUTED_VALUE"""),"488.761.388-11")</f>
        <v>488.761.388-11</v>
      </c>
      <c r="G95" s="101"/>
      <c r="H95" s="101"/>
      <c r="I95" s="101"/>
      <c r="J95" s="101"/>
      <c r="K95" s="101"/>
      <c r="L95" s="101"/>
      <c r="M95" s="101"/>
      <c r="N95" s="101"/>
      <c r="O95" s="101"/>
      <c r="P95" s="101"/>
      <c r="Q95" s="101"/>
      <c r="R95" s="101"/>
      <c r="S95" s="101"/>
      <c r="T95" s="101"/>
      <c r="U95" s="101"/>
      <c r="V95" s="101"/>
      <c r="W95" s="101"/>
      <c r="X95" s="101"/>
      <c r="Y95" s="101"/>
      <c r="Z95" s="101"/>
    </row>
    <row r="96">
      <c r="A96" s="101"/>
      <c r="B96" s="101"/>
      <c r="C96" s="101" t="str">
        <f>IFERROR(__xludf.DUMMYFUNCTION("""COMPUTED_VALUE"""),"MICHEL MORAES DE SOUZA SANTOS")</f>
        <v>MICHEL MORAES DE SOUZA SANTOS</v>
      </c>
      <c r="D96" s="101" t="str">
        <f>IFERROR(__xludf.DUMMYFUNCTION("""COMPUTED_VALUE"""),"514.***.***-54")</f>
        <v>514.***.***-54</v>
      </c>
      <c r="E96" s="101">
        <f>IFERROR(__xludf.DUMMYFUNCTION("""COMPUTED_VALUE"""),9.0)</f>
        <v>9</v>
      </c>
      <c r="F96" s="101" t="str">
        <f>IFERROR(__xludf.DUMMYFUNCTION("""COMPUTED_VALUE"""),"514.376.108-54")</f>
        <v>514.376.108-54</v>
      </c>
      <c r="G96" s="101"/>
      <c r="H96" s="101"/>
      <c r="I96" s="101"/>
      <c r="J96" s="101"/>
      <c r="K96" s="101"/>
      <c r="L96" s="101"/>
      <c r="M96" s="101"/>
      <c r="N96" s="101"/>
      <c r="O96" s="101"/>
      <c r="P96" s="101"/>
      <c r="Q96" s="101"/>
      <c r="R96" s="101"/>
      <c r="S96" s="101"/>
      <c r="T96" s="101"/>
      <c r="U96" s="101"/>
      <c r="V96" s="101"/>
      <c r="W96" s="101"/>
      <c r="X96" s="101"/>
      <c r="Y96" s="101"/>
      <c r="Z96" s="101"/>
    </row>
    <row r="97">
      <c r="A97" s="101"/>
      <c r="B97" s="101"/>
      <c r="C97" s="101" t="str">
        <f>IFERROR(__xludf.DUMMYFUNCTION("""COMPUTED_VALUE"""),"YASMIN LIMA ARAUJO")</f>
        <v>YASMIN LIMA ARAUJO</v>
      </c>
      <c r="D97" s="101" t="str">
        <f>IFERROR(__xludf.DUMMYFUNCTION("""COMPUTED_VALUE"""),"478.***.***-61")</f>
        <v>478.***.***-61</v>
      </c>
      <c r="E97" s="101">
        <f>IFERROR(__xludf.DUMMYFUNCTION("""COMPUTED_VALUE"""),12.0)</f>
        <v>12</v>
      </c>
      <c r="F97" s="101" t="str">
        <f>IFERROR(__xludf.DUMMYFUNCTION("""COMPUTED_VALUE"""),"478.625.538-61")</f>
        <v>478.625.538-61</v>
      </c>
      <c r="G97" s="101"/>
      <c r="H97" s="101"/>
      <c r="I97" s="101"/>
      <c r="J97" s="101"/>
      <c r="K97" s="101"/>
      <c r="L97" s="101"/>
      <c r="M97" s="101"/>
      <c r="N97" s="101"/>
      <c r="O97" s="101"/>
      <c r="P97" s="101"/>
      <c r="Q97" s="101"/>
      <c r="R97" s="101"/>
      <c r="S97" s="101"/>
      <c r="T97" s="101"/>
      <c r="U97" s="101"/>
      <c r="V97" s="101"/>
      <c r="W97" s="101"/>
      <c r="X97" s="101"/>
      <c r="Y97" s="101"/>
      <c r="Z97" s="101"/>
    </row>
    <row r="98">
      <c r="A98" s="101"/>
      <c r="B98" s="101"/>
      <c r="C98" s="101" t="str">
        <f>IFERROR(__xludf.DUMMYFUNCTION("""COMPUTED_VALUE"""),"SUZANA PEREIRA LEITE DA SILVA")</f>
        <v>SUZANA PEREIRA LEITE DA SILVA</v>
      </c>
      <c r="D98" s="101" t="str">
        <f>IFERROR(__xludf.DUMMYFUNCTION("""COMPUTED_VALUE"""),"458.***.***-63")</f>
        <v>458.***.***-63</v>
      </c>
      <c r="E98" s="101">
        <f>IFERROR(__xludf.DUMMYFUNCTION("""COMPUTED_VALUE"""),11.0)</f>
        <v>11</v>
      </c>
      <c r="F98" s="101" t="str">
        <f>IFERROR(__xludf.DUMMYFUNCTION("""COMPUTED_VALUE"""),"458.715.088-63")</f>
        <v>458.715.088-63</v>
      </c>
      <c r="G98" s="101"/>
      <c r="H98" s="101"/>
      <c r="I98" s="101"/>
      <c r="J98" s="101"/>
      <c r="K98" s="101"/>
      <c r="L98" s="101"/>
      <c r="M98" s="101"/>
      <c r="N98" s="101"/>
      <c r="O98" s="101"/>
      <c r="P98" s="101"/>
      <c r="Q98" s="101"/>
      <c r="R98" s="101"/>
      <c r="S98" s="101"/>
      <c r="T98" s="101"/>
      <c r="U98" s="101"/>
      <c r="V98" s="101"/>
      <c r="W98" s="101"/>
      <c r="X98" s="101"/>
      <c r="Y98" s="101"/>
      <c r="Z98" s="101"/>
    </row>
    <row r="99">
      <c r="A99" s="101"/>
      <c r="B99" s="101"/>
      <c r="C99" s="101" t="str">
        <f>IFERROR(__xludf.DUMMYFUNCTION("""COMPUTED_VALUE"""),"JHENIFER DELFINO")</f>
        <v>JHENIFER DELFINO</v>
      </c>
      <c r="D99" s="101" t="str">
        <f>IFERROR(__xludf.DUMMYFUNCTION("""COMPUTED_VALUE"""),"480.***.***-94")</f>
        <v>480.***.***-94</v>
      </c>
      <c r="E99" s="101">
        <f>IFERROR(__xludf.DUMMYFUNCTION("""COMPUTED_VALUE"""),2.0)</f>
        <v>2</v>
      </c>
      <c r="F99" s="101" t="str">
        <f>IFERROR(__xludf.DUMMYFUNCTION("""COMPUTED_VALUE"""),"480.025.138-94")</f>
        <v>480.025.138-94</v>
      </c>
      <c r="G99" s="101"/>
      <c r="H99" s="101"/>
      <c r="I99" s="101"/>
      <c r="J99" s="101"/>
      <c r="K99" s="101"/>
      <c r="L99" s="101"/>
      <c r="M99" s="101"/>
      <c r="N99" s="101"/>
      <c r="O99" s="101"/>
      <c r="P99" s="101"/>
      <c r="Q99" s="101"/>
      <c r="R99" s="101"/>
      <c r="S99" s="101"/>
      <c r="T99" s="101"/>
      <c r="U99" s="101"/>
      <c r="V99" s="101"/>
      <c r="W99" s="101"/>
      <c r="X99" s="101"/>
      <c r="Y99" s="101"/>
      <c r="Z99" s="101"/>
    </row>
    <row r="100">
      <c r="A100" s="101"/>
      <c r="B100" s="101"/>
      <c r="C100" s="101" t="str">
        <f>IFERROR(__xludf.DUMMYFUNCTION("""COMPUTED_VALUE"""),"RITA DE CASSIA BARBOSA SILVA")</f>
        <v>RITA DE CASSIA BARBOSA SILVA</v>
      </c>
      <c r="D100" s="101" t="str">
        <f>IFERROR(__xludf.DUMMYFUNCTION("""COMPUTED_VALUE"""),"454.***.***-36")</f>
        <v>454.***.***-36</v>
      </c>
      <c r="E100" s="101">
        <f>IFERROR(__xludf.DUMMYFUNCTION("""COMPUTED_VALUE"""),15.0)</f>
        <v>15</v>
      </c>
      <c r="F100" s="101" t="str">
        <f>IFERROR(__xludf.DUMMYFUNCTION("""COMPUTED_VALUE"""),"454.440.338-36")</f>
        <v>454.440.338-36</v>
      </c>
      <c r="G100" s="101"/>
      <c r="H100" s="101"/>
      <c r="I100" s="101"/>
      <c r="J100" s="101"/>
      <c r="K100" s="101"/>
      <c r="L100" s="101"/>
      <c r="M100" s="101"/>
      <c r="N100" s="101"/>
      <c r="O100" s="101"/>
      <c r="P100" s="101"/>
      <c r="Q100" s="101"/>
      <c r="R100" s="101"/>
      <c r="S100" s="101"/>
      <c r="T100" s="101"/>
      <c r="U100" s="101"/>
      <c r="V100" s="101"/>
      <c r="W100" s="101"/>
      <c r="X100" s="101"/>
      <c r="Y100" s="101"/>
      <c r="Z100" s="101"/>
    </row>
    <row r="101">
      <c r="A101" s="101"/>
      <c r="B101" s="101"/>
      <c r="C101" s="101" t="str">
        <f>IFERROR(__xludf.DUMMYFUNCTION("""COMPUTED_VALUE"""),"MOISES OLIVEIRA DA SILVA")</f>
        <v>MOISES OLIVEIRA DA SILVA</v>
      </c>
      <c r="D101" s="101" t="str">
        <f>IFERROR(__xludf.DUMMYFUNCTION("""COMPUTED_VALUE"""),"465.***.***-90")</f>
        <v>465.***.***-90</v>
      </c>
      <c r="E101" s="101">
        <f>IFERROR(__xludf.DUMMYFUNCTION("""COMPUTED_VALUE"""),13.0)</f>
        <v>13</v>
      </c>
      <c r="F101" s="101" t="str">
        <f>IFERROR(__xludf.DUMMYFUNCTION("""COMPUTED_VALUE"""),"465.347.908-90")</f>
        <v>465.347.908-90</v>
      </c>
      <c r="G101" s="101"/>
      <c r="H101" s="101"/>
      <c r="I101" s="101"/>
      <c r="J101" s="101"/>
      <c r="K101" s="101"/>
      <c r="L101" s="101"/>
      <c r="M101" s="101"/>
      <c r="N101" s="101"/>
      <c r="O101" s="101"/>
      <c r="P101" s="101"/>
      <c r="Q101" s="101"/>
      <c r="R101" s="101"/>
      <c r="S101" s="101"/>
      <c r="T101" s="101"/>
      <c r="U101" s="101"/>
      <c r="V101" s="101"/>
      <c r="W101" s="101"/>
      <c r="X101" s="101"/>
      <c r="Y101" s="101"/>
      <c r="Z101" s="101"/>
    </row>
    <row r="102">
      <c r="A102" s="101"/>
      <c r="B102" s="101"/>
      <c r="C102" s="101" t="str">
        <f>IFERROR(__xludf.DUMMYFUNCTION("""COMPUTED_VALUE"""),"ALICE DOS SANTOS")</f>
        <v>ALICE DOS SANTOS</v>
      </c>
      <c r="D102" s="101" t="str">
        <f>IFERROR(__xludf.DUMMYFUNCTION("""COMPUTED_VALUE"""),"235.***.***-35")</f>
        <v>235.***.***-35</v>
      </c>
      <c r="E102" s="101">
        <f>IFERROR(__xludf.DUMMYFUNCTION("""COMPUTED_VALUE"""),1.0)</f>
        <v>1</v>
      </c>
      <c r="F102" s="101" t="str">
        <f>IFERROR(__xludf.DUMMYFUNCTION("""COMPUTED_VALUE"""),"235.855.388-35")</f>
        <v>235.855.388-35</v>
      </c>
      <c r="G102" s="101"/>
      <c r="H102" s="101"/>
      <c r="I102" s="101"/>
      <c r="J102" s="101"/>
      <c r="K102" s="101"/>
      <c r="L102" s="101"/>
      <c r="M102" s="101"/>
      <c r="N102" s="101"/>
      <c r="O102" s="101"/>
      <c r="P102" s="101"/>
      <c r="Q102" s="101"/>
      <c r="R102" s="101"/>
      <c r="S102" s="101"/>
      <c r="T102" s="101"/>
      <c r="U102" s="101"/>
      <c r="V102" s="101"/>
      <c r="W102" s="101"/>
      <c r="X102" s="101"/>
      <c r="Y102" s="101"/>
      <c r="Z102" s="101"/>
    </row>
    <row r="103">
      <c r="A103" s="101"/>
      <c r="B103" s="101"/>
      <c r="C103" s="101" t="str">
        <f>IFERROR(__xludf.DUMMYFUNCTION("""COMPUTED_VALUE"""),"MAYARA KELLY SANTOS SIMAO")</f>
        <v>MAYARA KELLY SANTOS SIMAO</v>
      </c>
      <c r="D103" s="101" t="str">
        <f>IFERROR(__xludf.DUMMYFUNCTION("""COMPUTED_VALUE"""),"439.***.***-35")</f>
        <v>439.***.***-35</v>
      </c>
      <c r="E103" s="101">
        <f>IFERROR(__xludf.DUMMYFUNCTION("""COMPUTED_VALUE"""),9.0)</f>
        <v>9</v>
      </c>
      <c r="F103" s="101" t="str">
        <f>IFERROR(__xludf.DUMMYFUNCTION("""COMPUTED_VALUE"""),"439.017.968-35")</f>
        <v>439.017.968-35</v>
      </c>
      <c r="G103" s="101"/>
      <c r="H103" s="101"/>
      <c r="I103" s="101"/>
      <c r="J103" s="101"/>
      <c r="K103" s="101"/>
      <c r="L103" s="101"/>
      <c r="M103" s="101"/>
      <c r="N103" s="101"/>
      <c r="O103" s="101"/>
      <c r="P103" s="101"/>
      <c r="Q103" s="101"/>
      <c r="R103" s="101"/>
      <c r="S103" s="101"/>
      <c r="T103" s="101"/>
      <c r="U103" s="101"/>
      <c r="V103" s="101"/>
      <c r="W103" s="101"/>
      <c r="X103" s="101"/>
      <c r="Y103" s="101"/>
      <c r="Z103" s="101"/>
    </row>
    <row r="104">
      <c r="A104" s="101"/>
      <c r="B104" s="101"/>
      <c r="C104" s="101" t="str">
        <f>IFERROR(__xludf.DUMMYFUNCTION("""COMPUTED_VALUE"""),"ANA JULIA ANDRADE ALCALAI")</f>
        <v>ANA JULIA ANDRADE ALCALAI</v>
      </c>
      <c r="D104" s="101" t="str">
        <f>IFERROR(__xludf.DUMMYFUNCTION("""COMPUTED_VALUE"""),"509.***.***-64")</f>
        <v>509.***.***-64</v>
      </c>
      <c r="E104" s="101">
        <f>IFERROR(__xludf.DUMMYFUNCTION("""COMPUTED_VALUE"""),1.0)</f>
        <v>1</v>
      </c>
      <c r="F104" s="101" t="str">
        <f>IFERROR(__xludf.DUMMYFUNCTION("""COMPUTED_VALUE"""),"509.772.998-64")</f>
        <v>509.772.998-64</v>
      </c>
      <c r="G104" s="101"/>
      <c r="H104" s="101"/>
      <c r="I104" s="101"/>
      <c r="J104" s="101"/>
      <c r="K104" s="101"/>
      <c r="L104" s="101"/>
      <c r="M104" s="101"/>
      <c r="N104" s="101"/>
      <c r="O104" s="101"/>
      <c r="P104" s="101"/>
      <c r="Q104" s="101"/>
      <c r="R104" s="101"/>
      <c r="S104" s="101"/>
      <c r="T104" s="101"/>
      <c r="U104" s="101"/>
      <c r="V104" s="101"/>
      <c r="W104" s="101"/>
      <c r="X104" s="101"/>
      <c r="Y104" s="101"/>
      <c r="Z104" s="101"/>
    </row>
    <row r="105">
      <c r="A105" s="101"/>
      <c r="B105" s="101"/>
      <c r="C105" s="101" t="str">
        <f>IFERROR(__xludf.DUMMYFUNCTION("""COMPUTED_VALUE"""),"MARE LOPES DOS SANTOS")</f>
        <v>MARE LOPES DOS SANTOS</v>
      </c>
      <c r="D105" s="101" t="str">
        <f>IFERROR(__xludf.DUMMYFUNCTION("""COMPUTED_VALUE"""),"495.***.***-88")</f>
        <v>495.***.***-88</v>
      </c>
      <c r="E105" s="101">
        <f>IFERROR(__xludf.DUMMYFUNCTION("""COMPUTED_VALUE"""),7.0)</f>
        <v>7</v>
      </c>
      <c r="F105" s="101" t="str">
        <f>IFERROR(__xludf.DUMMYFUNCTION("""COMPUTED_VALUE"""),"495.346.478-88")</f>
        <v>495.346.478-88</v>
      </c>
      <c r="G105" s="101"/>
      <c r="H105" s="101"/>
      <c r="I105" s="101"/>
      <c r="J105" s="101"/>
      <c r="K105" s="101"/>
      <c r="L105" s="101"/>
      <c r="M105" s="101"/>
      <c r="N105" s="101"/>
      <c r="O105" s="101"/>
      <c r="P105" s="101"/>
      <c r="Q105" s="101"/>
      <c r="R105" s="101"/>
      <c r="S105" s="101"/>
      <c r="T105" s="101"/>
      <c r="U105" s="101"/>
      <c r="V105" s="101"/>
      <c r="W105" s="101"/>
      <c r="X105" s="101"/>
      <c r="Y105" s="101"/>
      <c r="Z105" s="101"/>
    </row>
    <row r="106">
      <c r="A106" s="101"/>
      <c r="B106" s="101"/>
      <c r="C106" s="101" t="str">
        <f>IFERROR(__xludf.DUMMYFUNCTION("""COMPUTED_VALUE"""),"KAROLAYNE LUCIA DA SILVA FALEIA")</f>
        <v>KAROLAYNE LUCIA DA SILVA FALEIA</v>
      </c>
      <c r="D106" s="101" t="str">
        <f>IFERROR(__xludf.DUMMYFUNCTION("""COMPUTED_VALUE"""),"505.***.***-19")</f>
        <v>505.***.***-19</v>
      </c>
      <c r="E106" s="101">
        <f>IFERROR(__xludf.DUMMYFUNCTION("""COMPUTED_VALUE"""),6.0)</f>
        <v>6</v>
      </c>
      <c r="F106" s="101" t="str">
        <f>IFERROR(__xludf.DUMMYFUNCTION("""COMPUTED_VALUE"""),"505.072.708-19")</f>
        <v>505.072.708-19</v>
      </c>
      <c r="G106" s="101"/>
      <c r="H106" s="101"/>
      <c r="I106" s="101"/>
      <c r="J106" s="101"/>
      <c r="K106" s="101"/>
      <c r="L106" s="101"/>
      <c r="M106" s="101"/>
      <c r="N106" s="101"/>
      <c r="O106" s="101"/>
      <c r="P106" s="101"/>
      <c r="Q106" s="101"/>
      <c r="R106" s="101"/>
      <c r="S106" s="101"/>
      <c r="T106" s="101"/>
      <c r="U106" s="101"/>
      <c r="V106" s="101"/>
      <c r="W106" s="101"/>
      <c r="X106" s="101"/>
      <c r="Y106" s="101"/>
      <c r="Z106" s="101"/>
    </row>
    <row r="107">
      <c r="A107" s="101"/>
      <c r="B107" s="101"/>
      <c r="C107" s="101" t="str">
        <f>IFERROR(__xludf.DUMMYFUNCTION("""COMPUTED_VALUE"""),"PAULO FERREIRA DA SILVA")</f>
        <v>PAULO FERREIRA DA SILVA</v>
      </c>
      <c r="D107" s="101" t="str">
        <f>IFERROR(__xludf.DUMMYFUNCTION("""COMPUTED_VALUE"""),"448.***.***-39")</f>
        <v>448.***.***-39</v>
      </c>
      <c r="E107" s="101">
        <f>IFERROR(__xludf.DUMMYFUNCTION("""COMPUTED_VALUE"""),8.0)</f>
        <v>8</v>
      </c>
      <c r="F107" s="101" t="str">
        <f>IFERROR(__xludf.DUMMYFUNCTION("""COMPUTED_VALUE"""),"448.005.598-39")</f>
        <v>448.005.598-39</v>
      </c>
      <c r="G107" s="101"/>
      <c r="H107" s="101"/>
      <c r="I107" s="101"/>
      <c r="J107" s="101"/>
      <c r="K107" s="101"/>
      <c r="L107" s="101"/>
      <c r="M107" s="101"/>
      <c r="N107" s="101"/>
      <c r="O107" s="101"/>
      <c r="P107" s="101"/>
      <c r="Q107" s="101"/>
      <c r="R107" s="101"/>
      <c r="S107" s="101"/>
      <c r="T107" s="101"/>
      <c r="U107" s="101"/>
      <c r="V107" s="101"/>
      <c r="W107" s="101"/>
      <c r="X107" s="101"/>
      <c r="Y107" s="101"/>
      <c r="Z107" s="101"/>
    </row>
    <row r="108">
      <c r="A108" s="101"/>
      <c r="B108" s="101"/>
      <c r="C108" s="101" t="str">
        <f>IFERROR(__xludf.DUMMYFUNCTION("""COMPUTED_VALUE"""),"BEATRIZ")</f>
        <v>BEATRIZ</v>
      </c>
      <c r="D108" s="101" t="str">
        <f>IFERROR(__xludf.DUMMYFUNCTION("""COMPUTED_VALUE"""),"461.***.***-45")</f>
        <v>461.***.***-45</v>
      </c>
      <c r="E108" s="101">
        <f>IFERROR(__xludf.DUMMYFUNCTION("""COMPUTED_VALUE"""),2.0)</f>
        <v>2</v>
      </c>
      <c r="F108" s="101" t="str">
        <f>IFERROR(__xludf.DUMMYFUNCTION("""COMPUTED_VALUE"""),"461.601.278-45")</f>
        <v>461.601.278-45</v>
      </c>
      <c r="G108" s="101"/>
      <c r="H108" s="101"/>
      <c r="I108" s="101"/>
      <c r="J108" s="101"/>
      <c r="K108" s="101"/>
      <c r="L108" s="101"/>
      <c r="M108" s="101"/>
      <c r="N108" s="101"/>
      <c r="O108" s="101"/>
      <c r="P108" s="101"/>
      <c r="Q108" s="101"/>
      <c r="R108" s="101"/>
      <c r="S108" s="101"/>
      <c r="T108" s="101"/>
      <c r="U108" s="101"/>
      <c r="V108" s="101"/>
      <c r="W108" s="101"/>
      <c r="X108" s="101"/>
      <c r="Y108" s="101"/>
      <c r="Z108" s="101"/>
    </row>
    <row r="109">
      <c r="A109" s="101"/>
      <c r="B109" s="101"/>
      <c r="C109" s="101" t="str">
        <f>IFERROR(__xludf.DUMMYFUNCTION("""COMPUTED_VALUE"""),"ANA PAULA MEDEIROS DOS SANTOS")</f>
        <v>ANA PAULA MEDEIROS DOS SANTOS</v>
      </c>
      <c r="D109" s="101" t="str">
        <f>IFERROR(__xludf.DUMMYFUNCTION("""COMPUTED_VALUE"""),"488.***.***-52")</f>
        <v>488.***.***-52</v>
      </c>
      <c r="E109" s="101">
        <f>IFERROR(__xludf.DUMMYFUNCTION("""COMPUTED_VALUE"""),1.0)</f>
        <v>1</v>
      </c>
      <c r="F109" s="101" t="str">
        <f>IFERROR(__xludf.DUMMYFUNCTION("""COMPUTED_VALUE"""),"488.333.298-52")</f>
        <v>488.333.298-52</v>
      </c>
      <c r="G109" s="101"/>
      <c r="H109" s="101"/>
      <c r="I109" s="101"/>
      <c r="J109" s="101"/>
      <c r="K109" s="101"/>
      <c r="L109" s="101"/>
      <c r="M109" s="101"/>
      <c r="N109" s="101"/>
      <c r="O109" s="101"/>
      <c r="P109" s="101"/>
      <c r="Q109" s="101"/>
      <c r="R109" s="101"/>
      <c r="S109" s="101"/>
      <c r="T109" s="101"/>
      <c r="U109" s="101"/>
      <c r="V109" s="101"/>
      <c r="W109" s="101"/>
      <c r="X109" s="101"/>
      <c r="Y109" s="101"/>
      <c r="Z109" s="101"/>
    </row>
    <row r="110">
      <c r="A110" s="101"/>
      <c r="B110" s="101"/>
      <c r="C110" s="101" t="str">
        <f>IFERROR(__xludf.DUMMYFUNCTION("""COMPUTED_VALUE"""),"HANNA MIRANDA SABINO")</f>
        <v>HANNA MIRANDA SABINO</v>
      </c>
      <c r="D110" s="101" t="str">
        <f>IFERROR(__xludf.DUMMYFUNCTION("""COMPUTED_VALUE"""),"476.***.***-46")</f>
        <v>476.***.***-46</v>
      </c>
      <c r="E110" s="101">
        <f>IFERROR(__xludf.DUMMYFUNCTION("""COMPUTED_VALUE"""),5.0)</f>
        <v>5</v>
      </c>
      <c r="F110" s="101" t="str">
        <f>IFERROR(__xludf.DUMMYFUNCTION("""COMPUTED_VALUE"""),"476.270.478-46")</f>
        <v>476.270.478-46</v>
      </c>
      <c r="G110" s="101"/>
      <c r="H110" s="101"/>
      <c r="I110" s="101"/>
      <c r="J110" s="101"/>
      <c r="K110" s="101"/>
      <c r="L110" s="101"/>
      <c r="M110" s="101"/>
      <c r="N110" s="101"/>
      <c r="O110" s="101"/>
      <c r="P110" s="101"/>
      <c r="Q110" s="101"/>
      <c r="R110" s="101"/>
      <c r="S110" s="101"/>
      <c r="T110" s="101"/>
      <c r="U110" s="101"/>
      <c r="V110" s="101"/>
      <c r="W110" s="101"/>
      <c r="X110" s="101"/>
      <c r="Y110" s="101"/>
      <c r="Z110" s="101"/>
    </row>
    <row r="111">
      <c r="A111" s="101"/>
      <c r="B111" s="101"/>
      <c r="C111" s="101" t="str">
        <f>IFERROR(__xludf.DUMMYFUNCTION("""COMPUTED_VALUE"""),"GIOVANNA RIBEIRO ALVES")</f>
        <v>GIOVANNA RIBEIRO ALVES</v>
      </c>
      <c r="D111" s="101" t="str">
        <f>IFERROR(__xludf.DUMMYFUNCTION("""COMPUTED_VALUE"""),"514.***.***-01")</f>
        <v>514.***.***-01</v>
      </c>
      <c r="E111" s="101">
        <f>IFERROR(__xludf.DUMMYFUNCTION("""COMPUTED_VALUE"""),4.0)</f>
        <v>4</v>
      </c>
      <c r="F111" s="101" t="str">
        <f>IFERROR(__xludf.DUMMYFUNCTION("""COMPUTED_VALUE"""),"514.135.878-01")</f>
        <v>514.135.878-01</v>
      </c>
      <c r="G111" s="101"/>
      <c r="H111" s="101"/>
      <c r="I111" s="101"/>
      <c r="J111" s="101"/>
      <c r="K111" s="101"/>
      <c r="L111" s="101"/>
      <c r="M111" s="101"/>
      <c r="N111" s="101"/>
      <c r="O111" s="101"/>
      <c r="P111" s="101"/>
      <c r="Q111" s="101"/>
      <c r="R111" s="101"/>
      <c r="S111" s="101"/>
      <c r="T111" s="101"/>
      <c r="U111" s="101"/>
      <c r="V111" s="101"/>
      <c r="W111" s="101"/>
      <c r="X111" s="101"/>
      <c r="Y111" s="101"/>
      <c r="Z111" s="101"/>
    </row>
    <row r="112">
      <c r="A112" s="101"/>
      <c r="B112" s="101"/>
      <c r="C112" s="101" t="str">
        <f>IFERROR(__xludf.DUMMYFUNCTION("""COMPUTED_VALUE"""),"LAYSLA DOS  SANTOS ROBERTO")</f>
        <v>LAYSLA DOS  SANTOS ROBERTO</v>
      </c>
      <c r="D112" s="101" t="str">
        <f>IFERROR(__xludf.DUMMYFUNCTION("""COMPUTED_VALUE"""),"544.***.***-01")</f>
        <v>544.***.***-01</v>
      </c>
      <c r="E112" s="101">
        <f>IFERROR(__xludf.DUMMYFUNCTION("""COMPUTED_VALUE"""),10.0)</f>
        <v>10</v>
      </c>
      <c r="F112" s="101" t="str">
        <f>IFERROR(__xludf.DUMMYFUNCTION("""COMPUTED_VALUE"""),"544.932.448-01")</f>
        <v>544.932.448-01</v>
      </c>
      <c r="G112" s="101"/>
      <c r="H112" s="101"/>
      <c r="I112" s="101"/>
      <c r="J112" s="101"/>
      <c r="K112" s="101"/>
      <c r="L112" s="101"/>
      <c r="M112" s="101"/>
      <c r="N112" s="101"/>
      <c r="O112" s="101"/>
      <c r="P112" s="101"/>
      <c r="Q112" s="101"/>
      <c r="R112" s="101"/>
      <c r="S112" s="101"/>
      <c r="T112" s="101"/>
      <c r="U112" s="101"/>
      <c r="V112" s="101"/>
      <c r="W112" s="101"/>
      <c r="X112" s="101"/>
      <c r="Y112" s="101"/>
      <c r="Z112" s="101"/>
    </row>
    <row r="113">
      <c r="A113" s="101"/>
      <c r="B113" s="101"/>
      <c r="C113" s="101" t="str">
        <f>IFERROR(__xludf.DUMMYFUNCTION("""COMPUTED_VALUE"""),"MIRELE DE JESUS FERREIRA")</f>
        <v>MIRELE DE JESUS FERREIRA</v>
      </c>
      <c r="D113" s="101" t="str">
        <f>IFERROR(__xludf.DUMMYFUNCTION("""COMPUTED_VALUE"""),"084.***.***-64")</f>
        <v>084.***.***-64</v>
      </c>
      <c r="E113" s="101">
        <f>IFERROR(__xludf.DUMMYFUNCTION("""COMPUTED_VALUE"""),13.0)</f>
        <v>13</v>
      </c>
      <c r="F113" s="101" t="str">
        <f>IFERROR(__xludf.DUMMYFUNCTION("""COMPUTED_VALUE"""),"084.333.085-64")</f>
        <v>084.333.085-64</v>
      </c>
      <c r="G113" s="101"/>
      <c r="H113" s="101"/>
      <c r="I113" s="101"/>
      <c r="J113" s="101"/>
      <c r="K113" s="101"/>
      <c r="L113" s="101"/>
      <c r="M113" s="101"/>
      <c r="N113" s="101"/>
      <c r="O113" s="101"/>
      <c r="P113" s="101"/>
      <c r="Q113" s="101"/>
      <c r="R113" s="101"/>
      <c r="S113" s="101"/>
      <c r="T113" s="101"/>
      <c r="U113" s="101"/>
      <c r="V113" s="101"/>
      <c r="W113" s="101"/>
      <c r="X113" s="101"/>
      <c r="Y113" s="101"/>
      <c r="Z113" s="101"/>
    </row>
    <row r="114">
      <c r="A114" s="101"/>
      <c r="B114" s="101"/>
      <c r="C114" s="101" t="str">
        <f>IFERROR(__xludf.DUMMYFUNCTION("""COMPUTED_VALUE"""),"FRANCIELLE DOS SANTOS PINTO")</f>
        <v>FRANCIELLE DOS SANTOS PINTO</v>
      </c>
      <c r="D114" s="101" t="str">
        <f>IFERROR(__xludf.DUMMYFUNCTION("""COMPUTED_VALUE"""),"493.***.***-60")</f>
        <v>493.***.***-60</v>
      </c>
      <c r="E114" s="101">
        <f>IFERROR(__xludf.DUMMYFUNCTION("""COMPUTED_VALUE"""),3.0)</f>
        <v>3</v>
      </c>
      <c r="F114" s="101" t="str">
        <f>IFERROR(__xludf.DUMMYFUNCTION("""COMPUTED_VALUE"""),"493.067.108-60")</f>
        <v>493.067.108-60</v>
      </c>
      <c r="G114" s="101"/>
      <c r="H114" s="101"/>
      <c r="I114" s="101"/>
      <c r="J114" s="101"/>
      <c r="K114" s="101"/>
      <c r="L114" s="101"/>
      <c r="M114" s="101"/>
      <c r="N114" s="101"/>
      <c r="O114" s="101"/>
      <c r="P114" s="101"/>
      <c r="Q114" s="101"/>
      <c r="R114" s="101"/>
      <c r="S114" s="101"/>
      <c r="T114" s="101"/>
      <c r="U114" s="101"/>
      <c r="V114" s="101"/>
      <c r="W114" s="101"/>
      <c r="X114" s="101"/>
      <c r="Y114" s="101"/>
      <c r="Z114" s="101"/>
    </row>
    <row r="115">
      <c r="A115" s="101"/>
      <c r="B115" s="101"/>
      <c r="C115" s="101" t="str">
        <f>IFERROR(__xludf.DUMMYFUNCTION("""COMPUTED_VALUE"""),"DERIK DA SILVA PIMENTA DE SOUZA")</f>
        <v>DERIK DA SILVA PIMENTA DE SOUZA</v>
      </c>
      <c r="D115" s="101" t="str">
        <f>IFERROR(__xludf.DUMMYFUNCTION("""COMPUTED_VALUE"""),"520.***.***-25")</f>
        <v>520.***.***-25</v>
      </c>
      <c r="E115" s="101">
        <f>IFERROR(__xludf.DUMMYFUNCTION("""COMPUTED_VALUE"""),4.0)</f>
        <v>4</v>
      </c>
      <c r="F115" s="101" t="str">
        <f>IFERROR(__xludf.DUMMYFUNCTION("""COMPUTED_VALUE"""),"520.876.398-25")</f>
        <v>520.876.398-25</v>
      </c>
      <c r="G115" s="101"/>
      <c r="H115" s="101"/>
      <c r="I115" s="101"/>
      <c r="J115" s="101"/>
      <c r="K115" s="101"/>
      <c r="L115" s="101"/>
      <c r="M115" s="101"/>
      <c r="N115" s="101"/>
      <c r="O115" s="101"/>
      <c r="P115" s="101"/>
      <c r="Q115" s="101"/>
      <c r="R115" s="101"/>
      <c r="S115" s="101"/>
      <c r="T115" s="101"/>
      <c r="U115" s="101"/>
      <c r="V115" s="101"/>
      <c r="W115" s="101"/>
      <c r="X115" s="101"/>
      <c r="Y115" s="101"/>
      <c r="Z115" s="101"/>
    </row>
    <row r="116">
      <c r="A116" s="101"/>
      <c r="B116" s="101"/>
      <c r="C116" s="101" t="str">
        <f>IFERROR(__xludf.DUMMYFUNCTION("""COMPUTED_VALUE"""),"LEO MESMO CARDOSO SANTOS")</f>
        <v>LEO MESMO CARDOSO SANTOS</v>
      </c>
      <c r="D116" s="101" t="str">
        <f>IFERROR(__xludf.DUMMYFUNCTION("""COMPUTED_VALUE"""),"540.***.***-07")</f>
        <v>540.***.***-07</v>
      </c>
      <c r="E116" s="101">
        <f>IFERROR(__xludf.DUMMYFUNCTION("""COMPUTED_VALUE"""),7.0)</f>
        <v>7</v>
      </c>
      <c r="F116" s="101" t="str">
        <f>IFERROR(__xludf.DUMMYFUNCTION("""COMPUTED_VALUE"""),"540.773.768-07")</f>
        <v>540.773.768-07</v>
      </c>
      <c r="G116" s="101"/>
      <c r="H116" s="101"/>
      <c r="I116" s="101"/>
      <c r="J116" s="101"/>
      <c r="K116" s="101"/>
      <c r="L116" s="101"/>
      <c r="M116" s="101"/>
      <c r="N116" s="101"/>
      <c r="O116" s="101"/>
      <c r="P116" s="101"/>
      <c r="Q116" s="101"/>
      <c r="R116" s="101"/>
      <c r="S116" s="101"/>
      <c r="T116" s="101"/>
      <c r="U116" s="101"/>
      <c r="V116" s="101"/>
      <c r="W116" s="101"/>
      <c r="X116" s="101"/>
      <c r="Y116" s="101"/>
      <c r="Z116" s="101"/>
    </row>
    <row r="117">
      <c r="A117" s="101"/>
      <c r="B117" s="101"/>
      <c r="C117" s="101" t="str">
        <f>IFERROR(__xludf.DUMMYFUNCTION("""COMPUTED_VALUE"""),"JUAN PEDRO SANTANA BORGES DOS SANTOS")</f>
        <v>JUAN PEDRO SANTANA BORGES DOS SANTOS</v>
      </c>
      <c r="D117" s="101" t="str">
        <f>IFERROR(__xludf.DUMMYFUNCTION("""COMPUTED_VALUE"""),"524.***.***-50")</f>
        <v>524.***.***-50</v>
      </c>
      <c r="E117" s="101">
        <f>IFERROR(__xludf.DUMMYFUNCTION("""COMPUTED_VALUE"""),6.0)</f>
        <v>6</v>
      </c>
      <c r="F117" s="101" t="str">
        <f>IFERROR(__xludf.DUMMYFUNCTION("""COMPUTED_VALUE"""),"524.882.118-50")</f>
        <v>524.882.118-50</v>
      </c>
      <c r="G117" s="101"/>
      <c r="H117" s="101"/>
      <c r="I117" s="101"/>
      <c r="J117" s="101"/>
      <c r="K117" s="101"/>
      <c r="L117" s="101"/>
      <c r="M117" s="101"/>
      <c r="N117" s="101"/>
      <c r="O117" s="101"/>
      <c r="P117" s="101"/>
      <c r="Q117" s="101"/>
      <c r="R117" s="101"/>
      <c r="S117" s="101"/>
      <c r="T117" s="101"/>
      <c r="U117" s="101"/>
      <c r="V117" s="101"/>
      <c r="W117" s="101"/>
      <c r="X117" s="101"/>
      <c r="Y117" s="101"/>
      <c r="Z117" s="101"/>
    </row>
    <row r="118">
      <c r="A118" s="101"/>
      <c r="B118" s="101"/>
      <c r="C118" s="101" t="str">
        <f>IFERROR(__xludf.DUMMYFUNCTION("""COMPUTED_VALUE"""),"JÔNATAS MURICY SANTOS")</f>
        <v>JÔNATAS MURICY SANTOS</v>
      </c>
      <c r="D118" s="101" t="str">
        <f>IFERROR(__xludf.DUMMYFUNCTION("""COMPUTED_VALUE"""),"462.***.***-02")</f>
        <v>462.***.***-02</v>
      </c>
      <c r="E118" s="101">
        <f>IFERROR(__xludf.DUMMYFUNCTION("""COMPUTED_VALUE"""),8.0)</f>
        <v>8</v>
      </c>
      <c r="F118" s="101" t="str">
        <f>IFERROR(__xludf.DUMMYFUNCTION("""COMPUTED_VALUE"""),"462.137.558-02")</f>
        <v>462.137.558-02</v>
      </c>
      <c r="G118" s="101"/>
      <c r="H118" s="101"/>
      <c r="I118" s="101"/>
      <c r="J118" s="101"/>
      <c r="K118" s="101"/>
      <c r="L118" s="101"/>
      <c r="M118" s="101"/>
      <c r="N118" s="101"/>
      <c r="O118" s="101"/>
      <c r="P118" s="101"/>
      <c r="Q118" s="101"/>
      <c r="R118" s="101"/>
      <c r="S118" s="101"/>
      <c r="T118" s="101"/>
      <c r="U118" s="101"/>
      <c r="V118" s="101"/>
      <c r="W118" s="101"/>
      <c r="X118" s="101"/>
      <c r="Y118" s="101"/>
      <c r="Z118" s="101"/>
    </row>
    <row r="119">
      <c r="A119" s="101"/>
      <c r="B119" s="101"/>
      <c r="C119" s="101" t="str">
        <f>IFERROR(__xludf.DUMMYFUNCTION("""COMPUTED_VALUE"""),"KAIO EDUARDO MELO COSTA")</f>
        <v>KAIO EDUARDO MELO COSTA</v>
      </c>
      <c r="D119" s="101" t="str">
        <f>IFERROR(__xludf.DUMMYFUNCTION("""COMPUTED_VALUE"""),"509.***.***-00")</f>
        <v>509.***.***-00</v>
      </c>
      <c r="E119" s="101">
        <f>IFERROR(__xludf.DUMMYFUNCTION("""COMPUTED_VALUE"""),9.0)</f>
        <v>9</v>
      </c>
      <c r="F119" s="101" t="str">
        <f>IFERROR(__xludf.DUMMYFUNCTION("""COMPUTED_VALUE"""),"509.333.118-00")</f>
        <v>509.333.118-00</v>
      </c>
      <c r="G119" s="101"/>
      <c r="H119" s="101"/>
      <c r="I119" s="101"/>
      <c r="J119" s="101"/>
      <c r="K119" s="101"/>
      <c r="L119" s="101"/>
      <c r="M119" s="101"/>
      <c r="N119" s="101"/>
      <c r="O119" s="101"/>
      <c r="P119" s="101"/>
      <c r="Q119" s="101"/>
      <c r="R119" s="101"/>
      <c r="S119" s="101"/>
      <c r="T119" s="101"/>
      <c r="U119" s="101"/>
      <c r="V119" s="101"/>
      <c r="W119" s="101"/>
      <c r="X119" s="101"/>
      <c r="Y119" s="101"/>
      <c r="Z119" s="101"/>
    </row>
    <row r="120">
      <c r="A120" s="101"/>
      <c r="B120" s="101"/>
      <c r="C120" s="101" t="str">
        <f>IFERROR(__xludf.DUMMYFUNCTION("""COMPUTED_VALUE"""),"VANIA MORELIA RIVERO VARGAS")</f>
        <v>VANIA MORELIA RIVERO VARGAS</v>
      </c>
      <c r="D120" s="101" t="str">
        <f>IFERROR(__xludf.DUMMYFUNCTION("""COMPUTED_VALUE"""),"244.***.***-14")</f>
        <v>244.***.***-14</v>
      </c>
      <c r="E120" s="101">
        <f>IFERROR(__xludf.DUMMYFUNCTION("""COMPUTED_VALUE"""),17.0)</f>
        <v>17</v>
      </c>
      <c r="F120" s="101" t="str">
        <f>IFERROR(__xludf.DUMMYFUNCTION("""COMPUTED_VALUE"""),"244.306.668-14")</f>
        <v>244.306.668-14</v>
      </c>
      <c r="G120" s="101"/>
      <c r="H120" s="101"/>
      <c r="I120" s="101"/>
      <c r="J120" s="101"/>
      <c r="K120" s="101"/>
      <c r="L120" s="101"/>
      <c r="M120" s="101"/>
      <c r="N120" s="101"/>
      <c r="O120" s="101"/>
      <c r="P120" s="101"/>
      <c r="Q120" s="101"/>
      <c r="R120" s="101"/>
      <c r="S120" s="101"/>
      <c r="T120" s="101"/>
      <c r="U120" s="101"/>
      <c r="V120" s="101"/>
      <c r="W120" s="101"/>
      <c r="X120" s="101"/>
      <c r="Y120" s="101"/>
      <c r="Z120" s="101"/>
    </row>
    <row r="121">
      <c r="A121" s="101"/>
      <c r="B121" s="101"/>
      <c r="C121" s="101" t="str">
        <f>IFERROR(__xludf.DUMMYFUNCTION("""COMPUTED_VALUE"""),"FERNANDO ROSA DOS SANTOS")</f>
        <v>FERNANDO ROSA DOS SANTOS</v>
      </c>
      <c r="D121" s="101" t="str">
        <f>IFERROR(__xludf.DUMMYFUNCTION("""COMPUTED_VALUE"""),"460.***.***-37")</f>
        <v>460.***.***-37</v>
      </c>
      <c r="E121" s="101">
        <f>IFERROR(__xludf.DUMMYFUNCTION("""COMPUTED_VALUE"""),5.0)</f>
        <v>5</v>
      </c>
      <c r="F121" s="101" t="str">
        <f>IFERROR(__xludf.DUMMYFUNCTION("""COMPUTED_VALUE"""),"460.808.008-37")</f>
        <v>460.808.008-37</v>
      </c>
      <c r="G121" s="101"/>
      <c r="H121" s="101"/>
      <c r="I121" s="101"/>
      <c r="J121" s="101"/>
      <c r="K121" s="101"/>
      <c r="L121" s="101"/>
      <c r="M121" s="101"/>
      <c r="N121" s="101"/>
      <c r="O121" s="101"/>
      <c r="P121" s="101"/>
      <c r="Q121" s="101"/>
      <c r="R121" s="101"/>
      <c r="S121" s="101"/>
      <c r="T121" s="101"/>
      <c r="U121" s="101"/>
      <c r="V121" s="101"/>
      <c r="W121" s="101"/>
      <c r="X121" s="101"/>
      <c r="Y121" s="101"/>
      <c r="Z121" s="101"/>
    </row>
    <row r="122">
      <c r="A122" s="101"/>
      <c r="B122" s="101"/>
      <c r="C122" s="101" t="str">
        <f>IFERROR(__xludf.DUMMYFUNCTION("""COMPUTED_VALUE"""),"MATHEUS VIANA DE SOUZA")</f>
        <v>MATHEUS VIANA DE SOUZA</v>
      </c>
      <c r="D122" s="101" t="str">
        <f>IFERROR(__xludf.DUMMYFUNCTION("""COMPUTED_VALUE"""),"455.***.***-62")</f>
        <v>455.***.***-62</v>
      </c>
      <c r="E122" s="101">
        <f>IFERROR(__xludf.DUMMYFUNCTION("""COMPUTED_VALUE"""),8.0)</f>
        <v>8</v>
      </c>
      <c r="F122" s="101" t="str">
        <f>IFERROR(__xludf.DUMMYFUNCTION("""COMPUTED_VALUE"""),"455.203.638-62")</f>
        <v>455.203.638-62</v>
      </c>
      <c r="G122" s="101"/>
      <c r="H122" s="101"/>
      <c r="I122" s="101"/>
      <c r="J122" s="101"/>
      <c r="K122" s="101"/>
      <c r="L122" s="101"/>
      <c r="M122" s="101"/>
      <c r="N122" s="101"/>
      <c r="O122" s="101"/>
      <c r="P122" s="101"/>
      <c r="Q122" s="101"/>
      <c r="R122" s="101"/>
      <c r="S122" s="101"/>
      <c r="T122" s="101"/>
      <c r="U122" s="101"/>
      <c r="V122" s="101"/>
      <c r="W122" s="101"/>
      <c r="X122" s="101"/>
      <c r="Y122" s="101"/>
      <c r="Z122" s="101"/>
    </row>
    <row r="123">
      <c r="A123" s="101"/>
      <c r="B123" s="101"/>
      <c r="C123" s="101" t="str">
        <f>IFERROR(__xludf.DUMMYFUNCTION("""COMPUTED_VALUE"""),"VANUZA ALVES RAMOS FERREIRA")</f>
        <v>VANUZA ALVES RAMOS FERREIRA</v>
      </c>
      <c r="D123" s="101" t="str">
        <f>IFERROR(__xludf.DUMMYFUNCTION("""COMPUTED_VALUE"""),"437.***.***-06")</f>
        <v>437.***.***-06</v>
      </c>
      <c r="E123" s="101">
        <f>IFERROR(__xludf.DUMMYFUNCTION("""COMPUTED_VALUE"""),17.0)</f>
        <v>17</v>
      </c>
      <c r="F123" s="101" t="str">
        <f>IFERROR(__xludf.DUMMYFUNCTION("""COMPUTED_VALUE"""),"437.577.438-06")</f>
        <v>437.577.438-06</v>
      </c>
      <c r="G123" s="101"/>
      <c r="H123" s="101"/>
      <c r="I123" s="101"/>
      <c r="J123" s="101"/>
      <c r="K123" s="101"/>
      <c r="L123" s="101"/>
      <c r="M123" s="101"/>
      <c r="N123" s="101"/>
      <c r="O123" s="101"/>
      <c r="P123" s="101"/>
      <c r="Q123" s="101"/>
      <c r="R123" s="101"/>
      <c r="S123" s="101"/>
      <c r="T123" s="101"/>
      <c r="U123" s="101"/>
      <c r="V123" s="101"/>
      <c r="W123" s="101"/>
      <c r="X123" s="101"/>
      <c r="Y123" s="101"/>
      <c r="Z123" s="101"/>
    </row>
    <row r="124">
      <c r="A124" s="101"/>
      <c r="B124" s="101"/>
      <c r="C124" s="101" t="str">
        <f>IFERROR(__xludf.DUMMYFUNCTION("""COMPUTED_VALUE"""),"LETICIA DEANGELO SANTOS")</f>
        <v>LETICIA DEANGELO SANTOS</v>
      </c>
      <c r="D124" s="101" t="str">
        <f>IFERROR(__xludf.DUMMYFUNCTION("""COMPUTED_VALUE"""),"070.***.***-98")</f>
        <v>070.***.***-98</v>
      </c>
      <c r="E124" s="101">
        <f>IFERROR(__xludf.DUMMYFUNCTION("""COMPUTED_VALUE"""),11.0)</f>
        <v>11</v>
      </c>
      <c r="F124" s="101" t="str">
        <f>IFERROR(__xludf.DUMMYFUNCTION("""COMPUTED_VALUE"""),"070.097.825-98")</f>
        <v>070.097.825-98</v>
      </c>
      <c r="G124" s="101"/>
      <c r="H124" s="101"/>
      <c r="I124" s="101"/>
      <c r="J124" s="101"/>
      <c r="K124" s="101"/>
      <c r="L124" s="101"/>
      <c r="M124" s="101"/>
      <c r="N124" s="101"/>
      <c r="O124" s="101"/>
      <c r="P124" s="101"/>
      <c r="Q124" s="101"/>
      <c r="R124" s="101"/>
      <c r="S124" s="101"/>
      <c r="T124" s="101"/>
      <c r="U124" s="101"/>
      <c r="V124" s="101"/>
      <c r="W124" s="101"/>
      <c r="X124" s="101"/>
      <c r="Y124" s="101"/>
      <c r="Z124" s="101"/>
    </row>
    <row r="125">
      <c r="A125" s="101"/>
      <c r="B125" s="101"/>
      <c r="C125" s="101" t="str">
        <f>IFERROR(__xludf.DUMMYFUNCTION("""COMPUTED_VALUE"""),"BEATRIZ CRISTINNI AZEVEDO DOS SANTOS")</f>
        <v>BEATRIZ CRISTINNI AZEVEDO DOS SANTOS</v>
      </c>
      <c r="D125" s="101" t="str">
        <f>IFERROR(__xludf.DUMMYFUNCTION("""COMPUTED_VALUE"""),"539.***.***-28")</f>
        <v>539.***.***-28</v>
      </c>
      <c r="E125" s="101">
        <f>IFERROR(__xludf.DUMMYFUNCTION("""COMPUTED_VALUE"""),2.0)</f>
        <v>2</v>
      </c>
      <c r="F125" s="101" t="str">
        <f>IFERROR(__xludf.DUMMYFUNCTION("""COMPUTED_VALUE"""),"539.128.098-28")</f>
        <v>539.128.098-28</v>
      </c>
      <c r="G125" s="101"/>
      <c r="H125" s="101"/>
      <c r="I125" s="101"/>
      <c r="J125" s="101"/>
      <c r="K125" s="101"/>
      <c r="L125" s="101"/>
      <c r="M125" s="101"/>
      <c r="N125" s="101"/>
      <c r="O125" s="101"/>
      <c r="P125" s="101"/>
      <c r="Q125" s="101"/>
      <c r="R125" s="101"/>
      <c r="S125" s="101"/>
      <c r="T125" s="101"/>
      <c r="U125" s="101"/>
      <c r="V125" s="101"/>
      <c r="W125" s="101"/>
      <c r="X125" s="101"/>
      <c r="Y125" s="101"/>
      <c r="Z125" s="101"/>
    </row>
    <row r="126">
      <c r="A126" s="101"/>
      <c r="B126" s="101"/>
      <c r="C126" s="101" t="str">
        <f>IFERROR(__xludf.DUMMYFUNCTION("""COMPUTED_VALUE"""),"NIKO LEÃO DE ANDRADE RODRIGUES")</f>
        <v>NIKO LEÃO DE ANDRADE RODRIGUES</v>
      </c>
      <c r="D126" s="101" t="str">
        <f>IFERROR(__xludf.DUMMYFUNCTION("""COMPUTED_VALUE"""),"495.***.***-10")</f>
        <v>495.***.***-10</v>
      </c>
      <c r="E126" s="101">
        <f>IFERROR(__xludf.DUMMYFUNCTION("""COMPUTED_VALUE"""),8.0)</f>
        <v>8</v>
      </c>
      <c r="F126" s="101" t="str">
        <f>IFERROR(__xludf.DUMMYFUNCTION("""COMPUTED_VALUE"""),"495.057.338-10")</f>
        <v>495.057.338-10</v>
      </c>
      <c r="G126" s="101"/>
      <c r="H126" s="101"/>
      <c r="I126" s="101"/>
      <c r="J126" s="101"/>
      <c r="K126" s="101"/>
      <c r="L126" s="101"/>
      <c r="M126" s="101"/>
      <c r="N126" s="101"/>
      <c r="O126" s="101"/>
      <c r="P126" s="101"/>
      <c r="Q126" s="101"/>
      <c r="R126" s="101"/>
      <c r="S126" s="101"/>
      <c r="T126" s="101"/>
      <c r="U126" s="101"/>
      <c r="V126" s="101"/>
      <c r="W126" s="101"/>
      <c r="X126" s="101"/>
      <c r="Y126" s="101"/>
      <c r="Z126" s="101"/>
    </row>
    <row r="127">
      <c r="A127" s="101"/>
      <c r="B127" s="101"/>
      <c r="C127" s="101" t="str">
        <f>IFERROR(__xludf.DUMMYFUNCTION("""COMPUTED_VALUE"""),"GUSTAVO ALVES SARTORELLI DE SOUZA")</f>
        <v>GUSTAVO ALVES SARTORELLI DE SOUZA</v>
      </c>
      <c r="D127" s="101" t="str">
        <f>IFERROR(__xludf.DUMMYFUNCTION("""COMPUTED_VALUE"""),"547.***.***-88")</f>
        <v>547.***.***-88</v>
      </c>
      <c r="E127" s="101">
        <f>IFERROR(__xludf.DUMMYFUNCTION("""COMPUTED_VALUE"""),4.0)</f>
        <v>4</v>
      </c>
      <c r="F127" s="101" t="str">
        <f>IFERROR(__xludf.DUMMYFUNCTION("""COMPUTED_VALUE"""),"547.286.918-88")</f>
        <v>547.286.918-88</v>
      </c>
      <c r="G127" s="101"/>
      <c r="H127" s="101"/>
      <c r="I127" s="101"/>
      <c r="J127" s="101"/>
      <c r="K127" s="101"/>
      <c r="L127" s="101"/>
      <c r="M127" s="101"/>
      <c r="N127" s="101"/>
      <c r="O127" s="101"/>
      <c r="P127" s="101"/>
      <c r="Q127" s="101"/>
      <c r="R127" s="101"/>
      <c r="S127" s="101"/>
      <c r="T127" s="101"/>
      <c r="U127" s="101"/>
      <c r="V127" s="101"/>
      <c r="W127" s="101"/>
      <c r="X127" s="101"/>
      <c r="Y127" s="101"/>
      <c r="Z127" s="101"/>
    </row>
    <row r="128">
      <c r="A128" s="101"/>
      <c r="B128" s="101"/>
      <c r="C128" s="101" t="str">
        <f>IFERROR(__xludf.DUMMYFUNCTION("""COMPUTED_VALUE"""),"ANA PAULA BELCHIOR")</f>
        <v>ANA PAULA BELCHIOR</v>
      </c>
      <c r="D128" s="101" t="str">
        <f>IFERROR(__xludf.DUMMYFUNCTION("""COMPUTED_VALUE"""),"355.***.***-02")</f>
        <v>355.***.***-02</v>
      </c>
      <c r="E128" s="101">
        <f>IFERROR(__xludf.DUMMYFUNCTION("""COMPUTED_VALUE"""),1.0)</f>
        <v>1</v>
      </c>
      <c r="F128" s="101" t="str">
        <f>IFERROR(__xludf.DUMMYFUNCTION("""COMPUTED_VALUE"""),"355.546.888-02")</f>
        <v>355.546.888-02</v>
      </c>
      <c r="G128" s="101"/>
      <c r="H128" s="101"/>
      <c r="I128" s="101"/>
      <c r="J128" s="101"/>
      <c r="K128" s="101"/>
      <c r="L128" s="101"/>
      <c r="M128" s="101"/>
      <c r="N128" s="101"/>
      <c r="O128" s="101"/>
      <c r="P128" s="101"/>
      <c r="Q128" s="101"/>
      <c r="R128" s="101"/>
      <c r="S128" s="101"/>
      <c r="T128" s="101"/>
      <c r="U128" s="101"/>
      <c r="V128" s="101"/>
      <c r="W128" s="101"/>
      <c r="X128" s="101"/>
      <c r="Y128" s="101"/>
      <c r="Z128" s="101"/>
    </row>
    <row r="129">
      <c r="A129" s="101"/>
      <c r="B129" s="101"/>
      <c r="C129" s="101" t="str">
        <f>IFERROR(__xludf.DUMMYFUNCTION("""COMPUTED_VALUE"""),"EVELEN KARINA CARNEIRO DE CASTRO")</f>
        <v>EVELEN KARINA CARNEIRO DE CASTRO</v>
      </c>
      <c r="D129" s="101" t="str">
        <f>IFERROR(__xludf.DUMMYFUNCTION("""COMPUTED_VALUE"""),"031.***.***-41")</f>
        <v>031.***.***-41</v>
      </c>
      <c r="E129" s="101">
        <f>IFERROR(__xludf.DUMMYFUNCTION("""COMPUTED_VALUE"""),2.0)</f>
        <v>2</v>
      </c>
      <c r="F129" s="101" t="str">
        <f>IFERROR(__xludf.DUMMYFUNCTION("""COMPUTED_VALUE"""),"031.904.182-41")</f>
        <v>031.904.182-41</v>
      </c>
      <c r="G129" s="101"/>
      <c r="H129" s="101"/>
      <c r="I129" s="101"/>
      <c r="J129" s="101"/>
      <c r="K129" s="101"/>
      <c r="L129" s="101"/>
      <c r="M129" s="101"/>
      <c r="N129" s="101"/>
      <c r="O129" s="101"/>
      <c r="P129" s="101"/>
      <c r="Q129" s="101"/>
      <c r="R129" s="101"/>
      <c r="S129" s="101"/>
      <c r="T129" s="101"/>
      <c r="U129" s="101"/>
      <c r="V129" s="101"/>
      <c r="W129" s="101"/>
      <c r="X129" s="101"/>
      <c r="Y129" s="101"/>
      <c r="Z129" s="101"/>
    </row>
    <row r="130">
      <c r="A130" s="101"/>
      <c r="B130" s="101"/>
      <c r="C130" s="101" t="str">
        <f>IFERROR(__xludf.DUMMYFUNCTION("""COMPUTED_VALUE"""),"CARLA MARIA DOS SANTOS SILVA")</f>
        <v>CARLA MARIA DOS SANTOS SILVA</v>
      </c>
      <c r="D130" s="101" t="str">
        <f>IFERROR(__xludf.DUMMYFUNCTION("""COMPUTED_VALUE"""),"459.***.***-71")</f>
        <v>459.***.***-71</v>
      </c>
      <c r="E130" s="101">
        <f>IFERROR(__xludf.DUMMYFUNCTION("""COMPUTED_VALUE"""),1.0)</f>
        <v>1</v>
      </c>
      <c r="F130" s="101" t="str">
        <f>IFERROR(__xludf.DUMMYFUNCTION("""COMPUTED_VALUE"""),"459.994.558-71")</f>
        <v>459.994.558-71</v>
      </c>
      <c r="G130" s="101"/>
      <c r="H130" s="101"/>
      <c r="I130" s="101"/>
      <c r="J130" s="101"/>
      <c r="K130" s="101"/>
      <c r="L130" s="101"/>
      <c r="M130" s="101"/>
      <c r="N130" s="101"/>
      <c r="O130" s="101"/>
      <c r="P130" s="101"/>
      <c r="Q130" s="101"/>
      <c r="R130" s="101"/>
      <c r="S130" s="101"/>
      <c r="T130" s="101"/>
      <c r="U130" s="101"/>
      <c r="V130" s="101"/>
      <c r="W130" s="101"/>
      <c r="X130" s="101"/>
      <c r="Y130" s="101"/>
      <c r="Z130" s="101"/>
    </row>
    <row r="131">
      <c r="A131" s="101"/>
      <c r="B131" s="101"/>
      <c r="C131" s="101" t="str">
        <f>IFERROR(__xludf.DUMMYFUNCTION("""COMPUTED_VALUE"""),"JAQUELINE RODRIGUES DA SILVA ANDRADE")</f>
        <v>JAQUELINE RODRIGUES DA SILVA ANDRADE</v>
      </c>
      <c r="D131" s="101" t="str">
        <f>IFERROR(__xludf.DUMMYFUNCTION("""COMPUTED_VALUE"""),"424.***.***-74")</f>
        <v>424.***.***-74</v>
      </c>
      <c r="E131" s="101">
        <f>IFERROR(__xludf.DUMMYFUNCTION("""COMPUTED_VALUE"""),5.0)</f>
        <v>5</v>
      </c>
      <c r="F131" s="101" t="str">
        <f>IFERROR(__xludf.DUMMYFUNCTION("""COMPUTED_VALUE"""),"424.448.738-74")</f>
        <v>424.448.738-74</v>
      </c>
      <c r="G131" s="101"/>
      <c r="H131" s="101"/>
      <c r="I131" s="101"/>
      <c r="J131" s="101"/>
      <c r="K131" s="101"/>
      <c r="L131" s="101"/>
      <c r="M131" s="101"/>
      <c r="N131" s="101"/>
      <c r="O131" s="101"/>
      <c r="P131" s="101"/>
      <c r="Q131" s="101"/>
      <c r="R131" s="101"/>
      <c r="S131" s="101"/>
      <c r="T131" s="101"/>
      <c r="U131" s="101"/>
      <c r="V131" s="101"/>
      <c r="W131" s="101"/>
      <c r="X131" s="101"/>
      <c r="Y131" s="101"/>
      <c r="Z131" s="101"/>
    </row>
    <row r="132">
      <c r="A132" s="101"/>
      <c r="B132" s="101"/>
      <c r="C132" s="101" t="str">
        <f>IFERROR(__xludf.DUMMYFUNCTION("""COMPUTED_VALUE"""),"LUCAS HENRIQUE DE SOUZA")</f>
        <v>LUCAS HENRIQUE DE SOUZA</v>
      </c>
      <c r="D132" s="101" t="str">
        <f>IFERROR(__xludf.DUMMYFUNCTION("""COMPUTED_VALUE"""),"428.***.***-99")</f>
        <v>428.***.***-99</v>
      </c>
      <c r="E132" s="101">
        <f>IFERROR(__xludf.DUMMYFUNCTION("""COMPUTED_VALUE"""),11.0)</f>
        <v>11</v>
      </c>
      <c r="F132" s="101" t="str">
        <f>IFERROR(__xludf.DUMMYFUNCTION("""COMPUTED_VALUE"""),"428.606.308-99")</f>
        <v>428.606.308-99</v>
      </c>
      <c r="G132" s="101"/>
      <c r="H132" s="101"/>
      <c r="I132" s="101"/>
      <c r="J132" s="101"/>
      <c r="K132" s="101"/>
      <c r="L132" s="101"/>
      <c r="M132" s="101"/>
      <c r="N132" s="101"/>
      <c r="O132" s="101"/>
      <c r="P132" s="101"/>
      <c r="Q132" s="101"/>
      <c r="R132" s="101"/>
      <c r="S132" s="101"/>
      <c r="T132" s="101"/>
      <c r="U132" s="101"/>
      <c r="V132" s="101"/>
      <c r="W132" s="101"/>
      <c r="X132" s="101"/>
      <c r="Y132" s="101"/>
      <c r="Z132" s="101"/>
    </row>
    <row r="133">
      <c r="A133" s="101"/>
      <c r="B133" s="101"/>
      <c r="C133" s="101" t="str">
        <f>IFERROR(__xludf.DUMMYFUNCTION("""COMPUTED_VALUE"""),"MARIA EDUARDA TERTO MARTINS")</f>
        <v>MARIA EDUARDA TERTO MARTINS</v>
      </c>
      <c r="D133" s="101" t="str">
        <f>IFERROR(__xludf.DUMMYFUNCTION("""COMPUTED_VALUE"""),"544.***.***-14")</f>
        <v>544.***.***-14</v>
      </c>
      <c r="E133" s="101">
        <f>IFERROR(__xludf.DUMMYFUNCTION("""COMPUTED_VALUE"""),8.0)</f>
        <v>8</v>
      </c>
      <c r="F133" s="101" t="str">
        <f>IFERROR(__xludf.DUMMYFUNCTION("""COMPUTED_VALUE"""),"544.711.908-14")</f>
        <v>544.711.908-14</v>
      </c>
      <c r="G133" s="101"/>
      <c r="H133" s="101"/>
      <c r="I133" s="101"/>
      <c r="J133" s="101"/>
      <c r="K133" s="101"/>
      <c r="L133" s="101"/>
      <c r="M133" s="101"/>
      <c r="N133" s="101"/>
      <c r="O133" s="101"/>
      <c r="P133" s="101"/>
      <c r="Q133" s="101"/>
      <c r="R133" s="101"/>
      <c r="S133" s="101"/>
      <c r="T133" s="101"/>
      <c r="U133" s="101"/>
      <c r="V133" s="101"/>
      <c r="W133" s="101"/>
      <c r="X133" s="101"/>
      <c r="Y133" s="101"/>
      <c r="Z133" s="101"/>
    </row>
    <row r="134">
      <c r="A134" s="101"/>
      <c r="B134" s="101"/>
      <c r="C134" s="101" t="str">
        <f>IFERROR(__xludf.DUMMYFUNCTION("""COMPUTED_VALUE"""),"JULIA BARBOSA DE ARAÚJO GÓES")</f>
        <v>JULIA BARBOSA DE ARAÚJO GÓES</v>
      </c>
      <c r="D134" s="101" t="str">
        <f>IFERROR(__xludf.DUMMYFUNCTION("""COMPUTED_VALUE"""),"430.***.***-96")</f>
        <v>430.***.***-96</v>
      </c>
      <c r="E134" s="101">
        <f>IFERROR(__xludf.DUMMYFUNCTION("""COMPUTED_VALUE"""),6.0)</f>
        <v>6</v>
      </c>
      <c r="F134" s="101" t="str">
        <f>IFERROR(__xludf.DUMMYFUNCTION("""COMPUTED_VALUE"""),"430.157.938-96")</f>
        <v>430.157.938-96</v>
      </c>
      <c r="G134" s="101"/>
      <c r="H134" s="101"/>
      <c r="I134" s="101"/>
      <c r="J134" s="101"/>
      <c r="K134" s="101"/>
      <c r="L134" s="101"/>
      <c r="M134" s="101"/>
      <c r="N134" s="101"/>
      <c r="O134" s="101"/>
      <c r="P134" s="101"/>
      <c r="Q134" s="101"/>
      <c r="R134" s="101"/>
      <c r="S134" s="101"/>
      <c r="T134" s="101"/>
      <c r="U134" s="101"/>
      <c r="V134" s="101"/>
      <c r="W134" s="101"/>
      <c r="X134" s="101"/>
      <c r="Y134" s="101"/>
      <c r="Z134" s="101"/>
    </row>
    <row r="135">
      <c r="A135" s="101"/>
      <c r="B135" s="101"/>
      <c r="C135" s="101" t="str">
        <f>IFERROR(__xludf.DUMMYFUNCTION("""COMPUTED_VALUE"""),"CAROLINA PAZ PROVASI")</f>
        <v>CAROLINA PAZ PROVASI</v>
      </c>
      <c r="D135" s="101" t="str">
        <f>IFERROR(__xludf.DUMMYFUNCTION("""COMPUTED_VALUE"""),"439.***.***-25")</f>
        <v>439.***.***-25</v>
      </c>
      <c r="E135" s="101">
        <f>IFERROR(__xludf.DUMMYFUNCTION("""COMPUTED_VALUE"""),2.0)</f>
        <v>2</v>
      </c>
      <c r="F135" s="101" t="str">
        <f>IFERROR(__xludf.DUMMYFUNCTION("""COMPUTED_VALUE"""),"439.207.228-25")</f>
        <v>439.207.228-25</v>
      </c>
      <c r="G135" s="101"/>
      <c r="H135" s="101"/>
      <c r="I135" s="101"/>
      <c r="J135" s="101"/>
      <c r="K135" s="101"/>
      <c r="L135" s="101"/>
      <c r="M135" s="101"/>
      <c r="N135" s="101"/>
      <c r="O135" s="101"/>
      <c r="P135" s="101"/>
      <c r="Q135" s="101"/>
      <c r="R135" s="101"/>
      <c r="S135" s="101"/>
      <c r="T135" s="101"/>
      <c r="U135" s="101"/>
      <c r="V135" s="101"/>
      <c r="W135" s="101"/>
      <c r="X135" s="101"/>
      <c r="Y135" s="101"/>
      <c r="Z135" s="101"/>
    </row>
    <row r="136">
      <c r="A136" s="101"/>
      <c r="B136" s="101"/>
      <c r="C136" s="101" t="str">
        <f>IFERROR(__xludf.DUMMYFUNCTION("""COMPUTED_VALUE"""),"ANNA KAROLINA SOUZA NASCIMENTO")</f>
        <v>ANNA KAROLINA SOUZA NASCIMENTO</v>
      </c>
      <c r="D136" s="101" t="str">
        <f>IFERROR(__xludf.DUMMYFUNCTION("""COMPUTED_VALUE"""),"436.***.***-01")</f>
        <v>436.***.***-01</v>
      </c>
      <c r="E136" s="101">
        <f>IFERROR(__xludf.DUMMYFUNCTION("""COMPUTED_VALUE"""),2.0)</f>
        <v>2</v>
      </c>
      <c r="F136" s="101" t="str">
        <f>IFERROR(__xludf.DUMMYFUNCTION("""COMPUTED_VALUE"""),"436.901.008-01")</f>
        <v>436.901.008-01</v>
      </c>
      <c r="G136" s="101"/>
      <c r="H136" s="101"/>
      <c r="I136" s="101"/>
      <c r="J136" s="101"/>
      <c r="K136" s="101"/>
      <c r="L136" s="101"/>
      <c r="M136" s="101"/>
      <c r="N136" s="101"/>
      <c r="O136" s="101"/>
      <c r="P136" s="101"/>
      <c r="Q136" s="101"/>
      <c r="R136" s="101"/>
      <c r="S136" s="101"/>
      <c r="T136" s="101"/>
      <c r="U136" s="101"/>
      <c r="V136" s="101"/>
      <c r="W136" s="101"/>
      <c r="X136" s="101"/>
      <c r="Y136" s="101"/>
      <c r="Z136" s="101"/>
    </row>
    <row r="137">
      <c r="A137" s="101"/>
      <c r="B137" s="101"/>
      <c r="C137" s="101" t="str">
        <f>IFERROR(__xludf.DUMMYFUNCTION("""COMPUTED_VALUE"""),"EMERSON DE SOUZA OLIVEIRA")</f>
        <v>EMERSON DE SOUZA OLIVEIRA</v>
      </c>
      <c r="D137" s="101" t="str">
        <f>IFERROR(__xludf.DUMMYFUNCTION("""COMPUTED_VALUE"""),"433.***.***-46")</f>
        <v>433.***.***-46</v>
      </c>
      <c r="E137" s="101">
        <f>IFERROR(__xludf.DUMMYFUNCTION("""COMPUTED_VALUE"""),3.0)</f>
        <v>3</v>
      </c>
      <c r="F137" s="101" t="str">
        <f>IFERROR(__xludf.DUMMYFUNCTION("""COMPUTED_VALUE"""),"433.430.368-46")</f>
        <v>433.430.368-46</v>
      </c>
      <c r="G137" s="101"/>
      <c r="H137" s="101"/>
      <c r="I137" s="101"/>
      <c r="J137" s="101"/>
      <c r="K137" s="101"/>
      <c r="L137" s="101"/>
      <c r="M137" s="101"/>
      <c r="N137" s="101"/>
      <c r="O137" s="101"/>
      <c r="P137" s="101"/>
      <c r="Q137" s="101"/>
      <c r="R137" s="101"/>
      <c r="S137" s="101"/>
      <c r="T137" s="101"/>
      <c r="U137" s="101"/>
      <c r="V137" s="101"/>
      <c r="W137" s="101"/>
      <c r="X137" s="101"/>
      <c r="Y137" s="101"/>
      <c r="Z137" s="101"/>
    </row>
    <row r="138">
      <c r="A138" s="101"/>
      <c r="B138" s="101"/>
      <c r="C138" s="101" t="str">
        <f>IFERROR(__xludf.DUMMYFUNCTION("""COMPUTED_VALUE"""),"LALITA MADHAVA DIASSIS OLIVEIRA")</f>
        <v>LALITA MADHAVA DIASSIS OLIVEIRA</v>
      </c>
      <c r="D138" s="101" t="str">
        <f>IFERROR(__xludf.DUMMYFUNCTION("""COMPUTED_VALUE"""),"180.***.***-81")</f>
        <v>180.***.***-81</v>
      </c>
      <c r="E138" s="101">
        <f>IFERROR(__xludf.DUMMYFUNCTION("""COMPUTED_VALUE"""),6.0)</f>
        <v>6</v>
      </c>
      <c r="F138" s="101" t="str">
        <f>IFERROR(__xludf.DUMMYFUNCTION("""COMPUTED_VALUE"""),"180.430.026-81")</f>
        <v>180.430.026-81</v>
      </c>
      <c r="G138" s="101"/>
      <c r="H138" s="101"/>
      <c r="I138" s="101"/>
      <c r="J138" s="101"/>
      <c r="K138" s="101"/>
      <c r="L138" s="101"/>
      <c r="M138" s="101"/>
      <c r="N138" s="101"/>
      <c r="O138" s="101"/>
      <c r="P138" s="101"/>
      <c r="Q138" s="101"/>
      <c r="R138" s="101"/>
      <c r="S138" s="101"/>
      <c r="T138" s="101"/>
      <c r="U138" s="101"/>
      <c r="V138" s="101"/>
      <c r="W138" s="101"/>
      <c r="X138" s="101"/>
      <c r="Y138" s="101"/>
      <c r="Z138" s="101"/>
    </row>
    <row r="139">
      <c r="A139" s="101"/>
      <c r="B139" s="101"/>
      <c r="C139" s="101" t="str">
        <f>IFERROR(__xludf.DUMMYFUNCTION("""COMPUTED_VALUE"""),"EDUARDO LIMA ARAUJO")</f>
        <v>EDUARDO LIMA ARAUJO</v>
      </c>
      <c r="D139" s="101" t="str">
        <f>IFERROR(__xludf.DUMMYFUNCTION("""COMPUTED_VALUE"""),"131.***.***-75")</f>
        <v>131.***.***-75</v>
      </c>
      <c r="E139" s="101">
        <f>IFERROR(__xludf.DUMMYFUNCTION("""COMPUTED_VALUE"""),3.0)</f>
        <v>3</v>
      </c>
      <c r="F139" s="101" t="str">
        <f>IFERROR(__xludf.DUMMYFUNCTION("""COMPUTED_VALUE"""),"131.325.854-75")</f>
        <v>131.325.854-75</v>
      </c>
      <c r="G139" s="101"/>
      <c r="H139" s="101"/>
      <c r="I139" s="101"/>
      <c r="J139" s="101"/>
      <c r="K139" s="101"/>
      <c r="L139" s="101"/>
      <c r="M139" s="101"/>
      <c r="N139" s="101"/>
      <c r="O139" s="101"/>
      <c r="P139" s="101"/>
      <c r="Q139" s="101"/>
      <c r="R139" s="101"/>
      <c r="S139" s="101"/>
      <c r="T139" s="101"/>
      <c r="U139" s="101"/>
      <c r="V139" s="101"/>
      <c r="W139" s="101"/>
      <c r="X139" s="101"/>
      <c r="Y139" s="101"/>
      <c r="Z139" s="101"/>
    </row>
    <row r="140">
      <c r="A140" s="101"/>
      <c r="B140" s="101"/>
      <c r="C140" s="101" t="str">
        <f>IFERROR(__xludf.DUMMYFUNCTION("""COMPUTED_VALUE"""),"THAINÁ TEIXEIRA SILVA CAVANI")</f>
        <v>THAINÁ TEIXEIRA SILVA CAVANI</v>
      </c>
      <c r="D140" s="101" t="str">
        <f>IFERROR(__xludf.DUMMYFUNCTION("""COMPUTED_VALUE"""),"457.***.***-25")</f>
        <v>457.***.***-25</v>
      </c>
      <c r="E140" s="101">
        <f>IFERROR(__xludf.DUMMYFUNCTION("""COMPUTED_VALUE"""),17.0)</f>
        <v>17</v>
      </c>
      <c r="F140" s="101" t="str">
        <f>IFERROR(__xludf.DUMMYFUNCTION("""COMPUTED_VALUE"""),"457.631.958-25")</f>
        <v>457.631.958-25</v>
      </c>
      <c r="G140" s="101"/>
      <c r="H140" s="101"/>
      <c r="I140" s="101"/>
      <c r="J140" s="101"/>
      <c r="K140" s="101"/>
      <c r="L140" s="101"/>
      <c r="M140" s="101"/>
      <c r="N140" s="101"/>
      <c r="O140" s="101"/>
      <c r="P140" s="101"/>
      <c r="Q140" s="101"/>
      <c r="R140" s="101"/>
      <c r="S140" s="101"/>
      <c r="T140" s="101"/>
      <c r="U140" s="101"/>
      <c r="V140" s="101"/>
      <c r="W140" s="101"/>
      <c r="X140" s="101"/>
      <c r="Y140" s="101"/>
      <c r="Z140" s="101"/>
    </row>
    <row r="141">
      <c r="A141" s="101"/>
      <c r="B141" s="101"/>
      <c r="C141" s="101" t="str">
        <f>IFERROR(__xludf.DUMMYFUNCTION("""COMPUTED_VALUE"""),"LAURA CAMPANINI VIEIRA")</f>
        <v>LAURA CAMPANINI VIEIRA</v>
      </c>
      <c r="D141" s="101" t="str">
        <f>IFERROR(__xludf.DUMMYFUNCTION("""COMPUTED_VALUE"""),"508.***.***-12")</f>
        <v>508.***.***-12</v>
      </c>
      <c r="E141" s="101">
        <f>IFERROR(__xludf.DUMMYFUNCTION("""COMPUTED_VALUE"""),10.0)</f>
        <v>10</v>
      </c>
      <c r="F141" s="101" t="str">
        <f>IFERROR(__xludf.DUMMYFUNCTION("""COMPUTED_VALUE"""),"508.657.948-12")</f>
        <v>508.657.948-12</v>
      </c>
      <c r="G141" s="101"/>
      <c r="H141" s="101"/>
      <c r="I141" s="101"/>
      <c r="J141" s="101"/>
      <c r="K141" s="101"/>
      <c r="L141" s="101"/>
      <c r="M141" s="101"/>
      <c r="N141" s="101"/>
      <c r="O141" s="101"/>
      <c r="P141" s="101"/>
      <c r="Q141" s="101"/>
      <c r="R141" s="101"/>
      <c r="S141" s="101"/>
      <c r="T141" s="101"/>
      <c r="U141" s="101"/>
      <c r="V141" s="101"/>
      <c r="W141" s="101"/>
      <c r="X141" s="101"/>
      <c r="Y141" s="101"/>
      <c r="Z141" s="101"/>
    </row>
    <row r="142">
      <c r="A142" s="101"/>
      <c r="B142" s="101"/>
      <c r="C142" s="101" t="str">
        <f>IFERROR(__xludf.DUMMYFUNCTION("""COMPUTED_VALUE"""),"CAUANE OLIVEIRA DOS SANTOS")</f>
        <v>CAUANE OLIVEIRA DOS SANTOS</v>
      </c>
      <c r="D142" s="101" t="str">
        <f>IFERROR(__xludf.DUMMYFUNCTION("""COMPUTED_VALUE"""),"489.***.***-60")</f>
        <v>489.***.***-60</v>
      </c>
      <c r="E142" s="101">
        <f>IFERROR(__xludf.DUMMYFUNCTION("""COMPUTED_VALUE"""),3.0)</f>
        <v>3</v>
      </c>
      <c r="F142" s="101" t="str">
        <f>IFERROR(__xludf.DUMMYFUNCTION("""COMPUTED_VALUE"""),"489.836.038-60")</f>
        <v>489.836.038-60</v>
      </c>
      <c r="G142" s="101"/>
      <c r="H142" s="101"/>
      <c r="I142" s="101"/>
      <c r="J142" s="101"/>
      <c r="K142" s="101"/>
      <c r="L142" s="101"/>
      <c r="M142" s="101"/>
      <c r="N142" s="101"/>
      <c r="O142" s="101"/>
      <c r="P142" s="101"/>
      <c r="Q142" s="101"/>
      <c r="R142" s="101"/>
      <c r="S142" s="101"/>
      <c r="T142" s="101"/>
      <c r="U142" s="101"/>
      <c r="V142" s="101"/>
      <c r="W142" s="101"/>
      <c r="X142" s="101"/>
      <c r="Y142" s="101"/>
      <c r="Z142" s="101"/>
    </row>
    <row r="143">
      <c r="A143" s="101"/>
      <c r="B143" s="101"/>
      <c r="C143" s="101" t="str">
        <f>IFERROR(__xludf.DUMMYFUNCTION("""COMPUTED_VALUE"""),"CLAIRE OLIVEIRA COSTA STRAJANELI")</f>
        <v>CLAIRE OLIVEIRA COSTA STRAJANELI</v>
      </c>
      <c r="D143" s="101" t="str">
        <f>IFERROR(__xludf.DUMMYFUNCTION("""COMPUTED_VALUE"""),"230.***.***-35")</f>
        <v>230.***.***-35</v>
      </c>
      <c r="E143" s="101">
        <f>IFERROR(__xludf.DUMMYFUNCTION("""COMPUTED_VALUE"""),2.0)</f>
        <v>2</v>
      </c>
      <c r="F143" s="101" t="str">
        <f>IFERROR(__xludf.DUMMYFUNCTION("""COMPUTED_VALUE"""),"230.455.098-35")</f>
        <v>230.455.098-35</v>
      </c>
      <c r="G143" s="101"/>
      <c r="H143" s="101"/>
      <c r="I143" s="101"/>
      <c r="J143" s="101"/>
      <c r="K143" s="101"/>
      <c r="L143" s="101"/>
      <c r="M143" s="101"/>
      <c r="N143" s="101"/>
      <c r="O143" s="101"/>
      <c r="P143" s="101"/>
      <c r="Q143" s="101"/>
      <c r="R143" s="101"/>
      <c r="S143" s="101"/>
      <c r="T143" s="101"/>
      <c r="U143" s="101"/>
      <c r="V143" s="101"/>
      <c r="W143" s="101"/>
      <c r="X143" s="101"/>
      <c r="Y143" s="101"/>
      <c r="Z143" s="101"/>
    </row>
    <row r="144">
      <c r="A144" s="101"/>
      <c r="B144" s="101"/>
      <c r="C144" s="101" t="str">
        <f>IFERROR(__xludf.DUMMYFUNCTION("""COMPUTED_VALUE"""),"GUSTAVO SANTOS DO NASCIMENTO")</f>
        <v>GUSTAVO SANTOS DO NASCIMENTO</v>
      </c>
      <c r="D144" s="101" t="str">
        <f>IFERROR(__xludf.DUMMYFUNCTION("""COMPUTED_VALUE"""),"544.***.***-97")</f>
        <v>544.***.***-97</v>
      </c>
      <c r="E144" s="101">
        <f>IFERROR(__xludf.DUMMYFUNCTION("""COMPUTED_VALUE"""),5.0)</f>
        <v>5</v>
      </c>
      <c r="F144" s="101" t="str">
        <f>IFERROR(__xludf.DUMMYFUNCTION("""COMPUTED_VALUE"""),"544.946.738-97")</f>
        <v>544.946.738-97</v>
      </c>
      <c r="G144" s="101"/>
      <c r="H144" s="101"/>
      <c r="I144" s="101"/>
      <c r="J144" s="101"/>
      <c r="K144" s="101"/>
      <c r="L144" s="101"/>
      <c r="M144" s="101"/>
      <c r="N144" s="101"/>
      <c r="O144" s="101"/>
      <c r="P144" s="101"/>
      <c r="Q144" s="101"/>
      <c r="R144" s="101"/>
      <c r="S144" s="101"/>
      <c r="T144" s="101"/>
      <c r="U144" s="101"/>
      <c r="V144" s="101"/>
      <c r="W144" s="101"/>
      <c r="X144" s="101"/>
      <c r="Y144" s="101"/>
      <c r="Z144" s="101"/>
    </row>
    <row r="145">
      <c r="A145" s="101"/>
      <c r="B145" s="101"/>
      <c r="C145" s="101" t="str">
        <f>IFERROR(__xludf.DUMMYFUNCTION("""COMPUTED_VALUE"""),"ASHLLEY DANDARA DA SILVA CHAWA")</f>
        <v>ASHLLEY DANDARA DA SILVA CHAWA</v>
      </c>
      <c r="D145" s="101" t="str">
        <f>IFERROR(__xludf.DUMMYFUNCTION("""COMPUTED_VALUE"""),"573.***.***-50")</f>
        <v>573.***.***-50</v>
      </c>
      <c r="E145" s="101">
        <f>IFERROR(__xludf.DUMMYFUNCTION("""COMPUTED_VALUE"""),1.0)</f>
        <v>1</v>
      </c>
      <c r="F145" s="101" t="str">
        <f>IFERROR(__xludf.DUMMYFUNCTION("""COMPUTED_VALUE"""),"573.909.198-50")</f>
        <v>573.909.198-50</v>
      </c>
      <c r="G145" s="101"/>
      <c r="H145" s="101"/>
      <c r="I145" s="101"/>
      <c r="J145" s="101"/>
      <c r="K145" s="101"/>
      <c r="L145" s="101"/>
      <c r="M145" s="101"/>
      <c r="N145" s="101"/>
      <c r="O145" s="101"/>
      <c r="P145" s="101"/>
      <c r="Q145" s="101"/>
      <c r="R145" s="101"/>
      <c r="S145" s="101"/>
      <c r="T145" s="101"/>
      <c r="U145" s="101"/>
      <c r="V145" s="101"/>
      <c r="W145" s="101"/>
      <c r="X145" s="101"/>
      <c r="Y145" s="101"/>
      <c r="Z145" s="101"/>
    </row>
    <row r="146">
      <c r="A146" s="101"/>
      <c r="B146" s="101"/>
      <c r="C146" s="101" t="str">
        <f>IFERROR(__xludf.DUMMYFUNCTION("""COMPUTED_VALUE"""),"IRA MARTINS LOPES")</f>
        <v>IRA MARTINS LOPES</v>
      </c>
      <c r="D146" s="101" t="str">
        <f>IFERROR(__xludf.DUMMYFUNCTION("""COMPUTED_VALUE"""),"453.***.***-12")</f>
        <v>453.***.***-12</v>
      </c>
      <c r="E146" s="101">
        <f>IFERROR(__xludf.DUMMYFUNCTION("""COMPUTED_VALUE"""),8.0)</f>
        <v>8</v>
      </c>
      <c r="F146" s="101" t="str">
        <f>IFERROR(__xludf.DUMMYFUNCTION("""COMPUTED_VALUE"""),"453.100.548-12")</f>
        <v>453.100.548-12</v>
      </c>
      <c r="G146" s="101"/>
      <c r="H146" s="101"/>
      <c r="I146" s="101"/>
      <c r="J146" s="101"/>
      <c r="K146" s="101"/>
      <c r="L146" s="101"/>
      <c r="M146" s="101"/>
      <c r="N146" s="101"/>
      <c r="O146" s="101"/>
      <c r="P146" s="101"/>
      <c r="Q146" s="101"/>
      <c r="R146" s="101"/>
      <c r="S146" s="101"/>
      <c r="T146" s="101"/>
      <c r="U146" s="101"/>
      <c r="V146" s="101"/>
      <c r="W146" s="101"/>
      <c r="X146" s="101"/>
      <c r="Y146" s="101"/>
      <c r="Z146" s="101"/>
    </row>
    <row r="147">
      <c r="A147" s="101"/>
      <c r="B147" s="101"/>
      <c r="C147" s="101" t="str">
        <f>IFERROR(__xludf.DUMMYFUNCTION("""COMPUTED_VALUE"""),"JULIANA ZEBELIN SILVA")</f>
        <v>JULIANA ZEBELIN SILVA</v>
      </c>
      <c r="D147" s="101" t="str">
        <f>IFERROR(__xludf.DUMMYFUNCTION("""COMPUTED_VALUE"""),"436.***.***-40")</f>
        <v>436.***.***-40</v>
      </c>
      <c r="E147" s="101">
        <f>IFERROR(__xludf.DUMMYFUNCTION("""COMPUTED_VALUE"""),9.0)</f>
        <v>9</v>
      </c>
      <c r="F147" s="101" t="str">
        <f>IFERROR(__xludf.DUMMYFUNCTION("""COMPUTED_VALUE"""),"436.022.788-40")</f>
        <v>436.022.788-40</v>
      </c>
      <c r="G147" s="101"/>
      <c r="H147" s="101"/>
      <c r="I147" s="101"/>
      <c r="J147" s="101"/>
      <c r="K147" s="101"/>
      <c r="L147" s="101"/>
      <c r="M147" s="101"/>
      <c r="N147" s="101"/>
      <c r="O147" s="101"/>
      <c r="P147" s="101"/>
      <c r="Q147" s="101"/>
      <c r="R147" s="101"/>
      <c r="S147" s="101"/>
      <c r="T147" s="101"/>
      <c r="U147" s="101"/>
      <c r="V147" s="101"/>
      <c r="W147" s="101"/>
      <c r="X147" s="101"/>
      <c r="Y147" s="101"/>
      <c r="Z147" s="101"/>
    </row>
    <row r="148">
      <c r="A148" s="101"/>
      <c r="B148" s="101"/>
      <c r="C148" s="101" t="str">
        <f>IFERROR(__xludf.DUMMYFUNCTION("""COMPUTED_VALUE"""),"LUIS GUILHERME TIBURCIO DA SILVA")</f>
        <v>LUIS GUILHERME TIBURCIO DA SILVA</v>
      </c>
      <c r="D148" s="101" t="str">
        <f>IFERROR(__xludf.DUMMYFUNCTION("""COMPUTED_VALUE"""),"331.***.***-24")</f>
        <v>331.***.***-24</v>
      </c>
      <c r="E148" s="101">
        <f>IFERROR(__xludf.DUMMYFUNCTION("""COMPUTED_VALUE"""),2.0)</f>
        <v>2</v>
      </c>
      <c r="F148" s="101" t="str">
        <f>IFERROR(__xludf.DUMMYFUNCTION("""COMPUTED_VALUE"""),"331.088.618-24")</f>
        <v>331.088.618-24</v>
      </c>
      <c r="G148" s="101"/>
      <c r="H148" s="101"/>
      <c r="I148" s="101"/>
      <c r="J148" s="101"/>
      <c r="K148" s="101"/>
      <c r="L148" s="101"/>
      <c r="M148" s="101"/>
      <c r="N148" s="101"/>
      <c r="O148" s="101"/>
      <c r="P148" s="101"/>
      <c r="Q148" s="101"/>
      <c r="R148" s="101"/>
      <c r="S148" s="101"/>
      <c r="T148" s="101"/>
      <c r="U148" s="101"/>
      <c r="V148" s="101"/>
      <c r="W148" s="101"/>
      <c r="X148" s="101"/>
      <c r="Y148" s="101"/>
      <c r="Z148" s="101"/>
    </row>
    <row r="149">
      <c r="A149" s="101"/>
      <c r="B149" s="101"/>
      <c r="C149" s="101" t="str">
        <f>IFERROR(__xludf.DUMMYFUNCTION("""COMPUTED_VALUE"""),"KAIK SA TELES RAMO")</f>
        <v>KAIK SA TELES RAMO</v>
      </c>
      <c r="D149" s="101" t="str">
        <f>IFERROR(__xludf.DUMMYFUNCTION("""COMPUTED_VALUE"""),"063.***.***-67")</f>
        <v>063.***.***-67</v>
      </c>
      <c r="E149" s="101">
        <f>IFERROR(__xludf.DUMMYFUNCTION("""COMPUTED_VALUE"""),6.0)</f>
        <v>6</v>
      </c>
      <c r="F149" s="101" t="str">
        <f>IFERROR(__xludf.DUMMYFUNCTION("""COMPUTED_VALUE"""),"063.462.415-67")</f>
        <v>063.462.415-67</v>
      </c>
      <c r="G149" s="101"/>
      <c r="H149" s="101"/>
      <c r="I149" s="101"/>
      <c r="J149" s="101"/>
      <c r="K149" s="101"/>
      <c r="L149" s="101"/>
      <c r="M149" s="101"/>
      <c r="N149" s="101"/>
      <c r="O149" s="101"/>
      <c r="P149" s="101"/>
      <c r="Q149" s="101"/>
      <c r="R149" s="101"/>
      <c r="S149" s="101"/>
      <c r="T149" s="101"/>
      <c r="U149" s="101"/>
      <c r="V149" s="101"/>
      <c r="W149" s="101"/>
      <c r="X149" s="101"/>
      <c r="Y149" s="101"/>
      <c r="Z149" s="101"/>
    </row>
    <row r="150">
      <c r="A150" s="101"/>
      <c r="B150" s="101"/>
      <c r="C150" s="101" t="str">
        <f>IFERROR(__xludf.DUMMYFUNCTION("""COMPUTED_VALUE"""),"HIAGO ALVES ELEUTERIO DE LIMA")</f>
        <v>HIAGO ALVES ELEUTERIO DE LIMA</v>
      </c>
      <c r="D150" s="101" t="str">
        <f>IFERROR(__xludf.DUMMYFUNCTION("""COMPUTED_VALUE"""),"601.***.***-67")</f>
        <v>601.***.***-67</v>
      </c>
      <c r="E150" s="101">
        <f>IFERROR(__xludf.DUMMYFUNCTION("""COMPUTED_VALUE"""),7.0)</f>
        <v>7</v>
      </c>
      <c r="F150" s="101" t="str">
        <f>IFERROR(__xludf.DUMMYFUNCTION("""COMPUTED_VALUE"""),"601.836.738-67")</f>
        <v>601.836.738-67</v>
      </c>
      <c r="G150" s="101"/>
      <c r="H150" s="101"/>
      <c r="I150" s="101"/>
      <c r="J150" s="101"/>
      <c r="K150" s="101"/>
      <c r="L150" s="101"/>
      <c r="M150" s="101"/>
      <c r="N150" s="101"/>
      <c r="O150" s="101"/>
      <c r="P150" s="101"/>
      <c r="Q150" s="101"/>
      <c r="R150" s="101"/>
      <c r="S150" s="101"/>
      <c r="T150" s="101"/>
      <c r="U150" s="101"/>
      <c r="V150" s="101"/>
      <c r="W150" s="101"/>
      <c r="X150" s="101"/>
      <c r="Y150" s="101"/>
      <c r="Z150" s="101"/>
    </row>
    <row r="151">
      <c r="A151" s="101"/>
      <c r="B151" s="101"/>
      <c r="C151" s="101" t="str">
        <f>IFERROR(__xludf.DUMMYFUNCTION("""COMPUTED_VALUE"""),"LETICIA DA SILVA BATISTA")</f>
        <v>LETICIA DA SILVA BATISTA</v>
      </c>
      <c r="D151" s="101" t="str">
        <f>IFERROR(__xludf.DUMMYFUNCTION("""COMPUTED_VALUE"""),"549.***.***-84")</f>
        <v>549.***.***-84</v>
      </c>
      <c r="E151" s="101">
        <f>IFERROR(__xludf.DUMMYFUNCTION("""COMPUTED_VALUE"""),7.0)</f>
        <v>7</v>
      </c>
      <c r="F151" s="101" t="str">
        <f>IFERROR(__xludf.DUMMYFUNCTION("""COMPUTED_VALUE"""),"549.802.618-84")</f>
        <v>549.802.618-84</v>
      </c>
      <c r="G151" s="101"/>
      <c r="H151" s="101"/>
      <c r="I151" s="101"/>
      <c r="J151" s="101"/>
      <c r="K151" s="101"/>
      <c r="L151" s="101"/>
      <c r="M151" s="101"/>
      <c r="N151" s="101"/>
      <c r="O151" s="101"/>
      <c r="P151" s="101"/>
      <c r="Q151" s="101"/>
      <c r="R151" s="101"/>
      <c r="S151" s="101"/>
      <c r="T151" s="101"/>
      <c r="U151" s="101"/>
      <c r="V151" s="101"/>
      <c r="W151" s="101"/>
      <c r="X151" s="101"/>
      <c r="Y151" s="101"/>
      <c r="Z151" s="101"/>
    </row>
    <row r="152">
      <c r="A152" s="101"/>
      <c r="B152" s="101"/>
      <c r="C152" s="101" t="str">
        <f>IFERROR(__xludf.DUMMYFUNCTION("""COMPUTED_VALUE"""),"KETLIN VITÓRIA GOMES PEREIRA")</f>
        <v>KETLIN VITÓRIA GOMES PEREIRA</v>
      </c>
      <c r="D152" s="101" t="str">
        <f>IFERROR(__xludf.DUMMYFUNCTION("""COMPUTED_VALUE"""),"514.***.***-85")</f>
        <v>514.***.***-85</v>
      </c>
      <c r="E152" s="101">
        <f>IFERROR(__xludf.DUMMYFUNCTION("""COMPUTED_VALUE"""),7.0)</f>
        <v>7</v>
      </c>
      <c r="F152" s="101" t="str">
        <f>IFERROR(__xludf.DUMMYFUNCTION("""COMPUTED_VALUE"""),"514.922.928-85")</f>
        <v>514.922.928-85</v>
      </c>
      <c r="G152" s="101"/>
      <c r="H152" s="101"/>
      <c r="I152" s="101"/>
      <c r="J152" s="101"/>
      <c r="K152" s="101"/>
      <c r="L152" s="101"/>
      <c r="M152" s="101"/>
      <c r="N152" s="101"/>
      <c r="O152" s="101"/>
      <c r="P152" s="101"/>
      <c r="Q152" s="101"/>
      <c r="R152" s="101"/>
      <c r="S152" s="101"/>
      <c r="T152" s="101"/>
      <c r="U152" s="101"/>
      <c r="V152" s="101"/>
      <c r="W152" s="101"/>
      <c r="X152" s="101"/>
      <c r="Y152" s="101"/>
      <c r="Z152" s="101"/>
    </row>
    <row r="153">
      <c r="A153" s="101"/>
      <c r="B153" s="101"/>
      <c r="C153" s="101" t="str">
        <f>IFERROR(__xludf.DUMMYFUNCTION("""COMPUTED_VALUE"""),"VITOR GABRIEL RAMALHO")</f>
        <v>VITOR GABRIEL RAMALHO</v>
      </c>
      <c r="D153" s="101" t="str">
        <f>IFERROR(__xludf.DUMMYFUNCTION("""COMPUTED_VALUE"""),"488.***.***-52")</f>
        <v>488.***.***-52</v>
      </c>
      <c r="E153" s="101">
        <f>IFERROR(__xludf.DUMMYFUNCTION("""COMPUTED_VALUE"""),4.0)</f>
        <v>4</v>
      </c>
      <c r="F153" s="101" t="str">
        <f>IFERROR(__xludf.DUMMYFUNCTION("""COMPUTED_VALUE"""),"488.706.078-52")</f>
        <v>488.706.078-52</v>
      </c>
      <c r="G153" s="101"/>
      <c r="H153" s="101"/>
      <c r="I153" s="101"/>
      <c r="J153" s="101"/>
      <c r="K153" s="101"/>
      <c r="L153" s="101"/>
      <c r="M153" s="101"/>
      <c r="N153" s="101"/>
      <c r="O153" s="101"/>
      <c r="P153" s="101"/>
      <c r="Q153" s="101"/>
      <c r="R153" s="101"/>
      <c r="S153" s="101"/>
      <c r="T153" s="101"/>
      <c r="U153" s="101"/>
      <c r="V153" s="101"/>
      <c r="W153" s="101"/>
      <c r="X153" s="101"/>
      <c r="Y153" s="101"/>
      <c r="Z153" s="101"/>
    </row>
    <row r="154">
      <c r="A154" s="101"/>
      <c r="B154" s="101"/>
      <c r="C154" s="101" t="str">
        <f>IFERROR(__xludf.DUMMYFUNCTION("""COMPUTED_VALUE"""),"AYANE OLIVEIRA ZACARIAS")</f>
        <v>AYANE OLIVEIRA ZACARIAS</v>
      </c>
      <c r="D154" s="101" t="str">
        <f>IFERROR(__xludf.DUMMYFUNCTION("""COMPUTED_VALUE"""),"473.***.***-50")</f>
        <v>473.***.***-50</v>
      </c>
      <c r="E154" s="101">
        <f>IFERROR(__xludf.DUMMYFUNCTION("""COMPUTED_VALUE"""),2.0)</f>
        <v>2</v>
      </c>
      <c r="F154" s="101" t="str">
        <f>IFERROR(__xludf.DUMMYFUNCTION("""COMPUTED_VALUE"""),"473.722.518-50")</f>
        <v>473.722.518-50</v>
      </c>
      <c r="G154" s="101"/>
      <c r="H154" s="101"/>
      <c r="I154" s="101"/>
      <c r="J154" s="101"/>
      <c r="K154" s="101"/>
      <c r="L154" s="101"/>
      <c r="M154" s="101"/>
      <c r="N154" s="101"/>
      <c r="O154" s="101"/>
      <c r="P154" s="101"/>
      <c r="Q154" s="101"/>
      <c r="R154" s="101"/>
      <c r="S154" s="101"/>
      <c r="T154" s="101"/>
      <c r="U154" s="101"/>
      <c r="V154" s="101"/>
      <c r="W154" s="101"/>
      <c r="X154" s="101"/>
      <c r="Y154" s="101"/>
      <c r="Z154" s="101"/>
    </row>
    <row r="155">
      <c r="A155" s="101"/>
      <c r="B155" s="101"/>
      <c r="C155" s="101" t="str">
        <f>IFERROR(__xludf.DUMMYFUNCTION("""COMPUTED_VALUE"""),"LUI CARRER")</f>
        <v>LUI CARRER</v>
      </c>
      <c r="D155" s="101" t="str">
        <f>IFERROR(__xludf.DUMMYFUNCTION("""COMPUTED_VALUE"""),"451.***.***-28")</f>
        <v>451.***.***-28</v>
      </c>
      <c r="E155" s="101">
        <f>IFERROR(__xludf.DUMMYFUNCTION("""COMPUTED_VALUE"""),3.0)</f>
        <v>3</v>
      </c>
      <c r="F155" s="101" t="str">
        <f>IFERROR(__xludf.DUMMYFUNCTION("""COMPUTED_VALUE"""),"451.775.268-28")</f>
        <v>451.775.268-28</v>
      </c>
      <c r="G155" s="101"/>
      <c r="H155" s="101"/>
      <c r="I155" s="101"/>
      <c r="J155" s="101"/>
      <c r="K155" s="101"/>
      <c r="L155" s="101"/>
      <c r="M155" s="101"/>
      <c r="N155" s="101"/>
      <c r="O155" s="101"/>
      <c r="P155" s="101"/>
      <c r="Q155" s="101"/>
      <c r="R155" s="101"/>
      <c r="S155" s="101"/>
      <c r="T155" s="101"/>
      <c r="U155" s="101"/>
      <c r="V155" s="101"/>
      <c r="W155" s="101"/>
      <c r="X155" s="101"/>
      <c r="Y155" s="101"/>
      <c r="Z155" s="101"/>
    </row>
    <row r="156">
      <c r="A156" s="101"/>
      <c r="B156" s="101"/>
      <c r="C156" s="101" t="str">
        <f>IFERROR(__xludf.DUMMYFUNCTION("""COMPUTED_VALUE"""),"ADRIANY STEPHANY FERREIRA SANTIAGO")</f>
        <v>ADRIANY STEPHANY FERREIRA SANTIAGO</v>
      </c>
      <c r="D156" s="101" t="str">
        <f>IFERROR(__xludf.DUMMYFUNCTION("""COMPUTED_VALUE"""),"475.***.***-56")</f>
        <v>475.***.***-56</v>
      </c>
      <c r="E156" s="101">
        <f>IFERROR(__xludf.DUMMYFUNCTION("""COMPUTED_VALUE"""),1.0)</f>
        <v>1</v>
      </c>
      <c r="F156" s="101" t="str">
        <f>IFERROR(__xludf.DUMMYFUNCTION("""COMPUTED_VALUE"""),"475.003.158-56")</f>
        <v>475.003.158-56</v>
      </c>
      <c r="G156" s="101"/>
      <c r="H156" s="101"/>
      <c r="I156" s="101"/>
      <c r="J156" s="101"/>
      <c r="K156" s="101"/>
      <c r="L156" s="101"/>
      <c r="M156" s="101"/>
      <c r="N156" s="101"/>
      <c r="O156" s="101"/>
      <c r="P156" s="101"/>
      <c r="Q156" s="101"/>
      <c r="R156" s="101"/>
      <c r="S156" s="101"/>
      <c r="T156" s="101"/>
      <c r="U156" s="101"/>
      <c r="V156" s="101"/>
      <c r="W156" s="101"/>
      <c r="X156" s="101"/>
      <c r="Y156" s="101"/>
      <c r="Z156" s="101"/>
    </row>
    <row r="157">
      <c r="A157" s="101"/>
      <c r="B157" s="101"/>
      <c r="C157" s="101" t="str">
        <f>IFERROR(__xludf.DUMMYFUNCTION("""COMPUTED_VALUE"""),"DANIEL HENRIQUE DA SILVA")</f>
        <v>DANIEL HENRIQUE DA SILVA</v>
      </c>
      <c r="D157" s="101" t="str">
        <f>IFERROR(__xludf.DUMMYFUNCTION("""COMPUTED_VALUE"""),"540.***.***-94")</f>
        <v>540.***.***-94</v>
      </c>
      <c r="E157" s="101">
        <f>IFERROR(__xludf.DUMMYFUNCTION("""COMPUTED_VALUE"""),3.0)</f>
        <v>3</v>
      </c>
      <c r="F157" s="101" t="str">
        <f>IFERROR(__xludf.DUMMYFUNCTION("""COMPUTED_VALUE"""),"540.605.038-94")</f>
        <v>540.605.038-94</v>
      </c>
      <c r="G157" s="101"/>
      <c r="H157" s="101"/>
      <c r="I157" s="101"/>
      <c r="J157" s="101"/>
      <c r="K157" s="101"/>
      <c r="L157" s="101"/>
      <c r="M157" s="101"/>
      <c r="N157" s="101"/>
      <c r="O157" s="101"/>
      <c r="P157" s="101"/>
      <c r="Q157" s="101"/>
      <c r="R157" s="101"/>
      <c r="S157" s="101"/>
      <c r="T157" s="101"/>
      <c r="U157" s="101"/>
      <c r="V157" s="101"/>
      <c r="W157" s="101"/>
      <c r="X157" s="101"/>
      <c r="Y157" s="101"/>
      <c r="Z157" s="101"/>
    </row>
    <row r="158">
      <c r="A158" s="101"/>
      <c r="B158" s="101"/>
      <c r="C158" s="101" t="str">
        <f>IFERROR(__xludf.DUMMYFUNCTION("""COMPUTED_VALUE"""),"VIVIAN VIEIRA DE ALMEIDA ARAUJO ROQUE")</f>
        <v>VIVIAN VIEIRA DE ALMEIDA ARAUJO ROQUE</v>
      </c>
      <c r="D158" s="101" t="str">
        <f>IFERROR(__xludf.DUMMYFUNCTION("""COMPUTED_VALUE"""),"473.***.***-83")</f>
        <v>473.***.***-83</v>
      </c>
      <c r="E158" s="101">
        <f>IFERROR(__xludf.DUMMYFUNCTION("""COMPUTED_VALUE"""),4.0)</f>
        <v>4</v>
      </c>
      <c r="F158" s="101" t="str">
        <f>IFERROR(__xludf.DUMMYFUNCTION("""COMPUTED_VALUE"""),"473.866.768-83")</f>
        <v>473.866.768-83</v>
      </c>
      <c r="G158" s="101"/>
      <c r="H158" s="101"/>
      <c r="I158" s="101"/>
      <c r="J158" s="101"/>
      <c r="K158" s="101"/>
      <c r="L158" s="101"/>
      <c r="M158" s="101"/>
      <c r="N158" s="101"/>
      <c r="O158" s="101"/>
      <c r="P158" s="101"/>
      <c r="Q158" s="101"/>
      <c r="R158" s="101"/>
      <c r="S158" s="101"/>
      <c r="T158" s="101"/>
      <c r="U158" s="101"/>
      <c r="V158" s="101"/>
      <c r="W158" s="101"/>
      <c r="X158" s="101"/>
      <c r="Y158" s="101"/>
      <c r="Z158" s="101"/>
    </row>
    <row r="159">
      <c r="A159" s="101"/>
      <c r="B159" s="101"/>
      <c r="C159" s="101" t="str">
        <f>IFERROR(__xludf.DUMMYFUNCTION("""COMPUTED_VALUE"""),"CRISTU DA SILVA")</f>
        <v>CRISTU DA SILVA</v>
      </c>
      <c r="D159" s="101" t="str">
        <f>IFERROR(__xludf.DUMMYFUNCTION("""COMPUTED_VALUE"""),"400.***.***-71")</f>
        <v>400.***.***-71</v>
      </c>
      <c r="E159" s="101">
        <f>IFERROR(__xludf.DUMMYFUNCTION("""COMPUTED_VALUE"""),1.0)</f>
        <v>1</v>
      </c>
      <c r="F159" s="101" t="str">
        <f>IFERROR(__xludf.DUMMYFUNCTION("""COMPUTED_VALUE"""),"400.697.948-71")</f>
        <v>400.697.948-71</v>
      </c>
      <c r="G159" s="101"/>
      <c r="H159" s="101"/>
      <c r="I159" s="101"/>
      <c r="J159" s="101"/>
      <c r="K159" s="101"/>
      <c r="L159" s="101"/>
      <c r="M159" s="101"/>
      <c r="N159" s="101"/>
      <c r="O159" s="101"/>
      <c r="P159" s="101"/>
      <c r="Q159" s="101"/>
      <c r="R159" s="101"/>
      <c r="S159" s="101"/>
      <c r="T159" s="101"/>
      <c r="U159" s="101"/>
      <c r="V159" s="101"/>
      <c r="W159" s="101"/>
      <c r="X159" s="101"/>
      <c r="Y159" s="101"/>
      <c r="Z159" s="101"/>
    </row>
    <row r="160">
      <c r="A160" s="101"/>
      <c r="B160" s="101"/>
      <c r="C160" s="101" t="str">
        <f>IFERROR(__xludf.DUMMYFUNCTION("""COMPUTED_VALUE"""),"SABRINA DOS SANTOS SILVA")</f>
        <v>SABRINA DOS SANTOS SILVA</v>
      </c>
      <c r="D160" s="101" t="str">
        <f>IFERROR(__xludf.DUMMYFUNCTION("""COMPUTED_VALUE"""),"516.***.***-02")</f>
        <v>516.***.***-02</v>
      </c>
      <c r="E160" s="101">
        <f>IFERROR(__xludf.DUMMYFUNCTION("""COMPUTED_VALUE"""),9.0)</f>
        <v>9</v>
      </c>
      <c r="F160" s="101" t="str">
        <f>IFERROR(__xludf.DUMMYFUNCTION("""COMPUTED_VALUE"""),"516.912.368-02")</f>
        <v>516.912.368-02</v>
      </c>
      <c r="G160" s="101"/>
      <c r="H160" s="101"/>
      <c r="I160" s="101"/>
      <c r="J160" s="101"/>
      <c r="K160" s="101"/>
      <c r="L160" s="101"/>
      <c r="M160" s="101"/>
      <c r="N160" s="101"/>
      <c r="O160" s="101"/>
      <c r="P160" s="101"/>
      <c r="Q160" s="101"/>
      <c r="R160" s="101"/>
      <c r="S160" s="101"/>
      <c r="T160" s="101"/>
      <c r="U160" s="101"/>
      <c r="V160" s="101"/>
      <c r="W160" s="101"/>
      <c r="X160" s="101"/>
      <c r="Y160" s="101"/>
      <c r="Z160" s="101"/>
    </row>
    <row r="161">
      <c r="A161" s="101"/>
      <c r="B161" s="101"/>
      <c r="C161" s="101" t="str">
        <f>IFERROR(__xludf.DUMMYFUNCTION("""COMPUTED_VALUE"""),"HERICA MAIRA DOMINGUES")</f>
        <v>HERICA MAIRA DOMINGUES</v>
      </c>
      <c r="D161" s="101" t="str">
        <f>IFERROR(__xludf.DUMMYFUNCTION("""COMPUTED_VALUE"""),"482.***.***-02")</f>
        <v>482.***.***-02</v>
      </c>
      <c r="E161" s="101">
        <f>IFERROR(__xludf.DUMMYFUNCTION("""COMPUTED_VALUE"""),5.0)</f>
        <v>5</v>
      </c>
      <c r="F161" s="101" t="str">
        <f>IFERROR(__xludf.DUMMYFUNCTION("""COMPUTED_VALUE"""),"482.293.148-02")</f>
        <v>482.293.148-02</v>
      </c>
      <c r="G161" s="101"/>
      <c r="H161" s="101"/>
      <c r="I161" s="101"/>
      <c r="J161" s="101"/>
      <c r="K161" s="101"/>
      <c r="L161" s="101"/>
      <c r="M161" s="101"/>
      <c r="N161" s="101"/>
      <c r="O161" s="101"/>
      <c r="P161" s="101"/>
      <c r="Q161" s="101"/>
      <c r="R161" s="101"/>
      <c r="S161" s="101"/>
      <c r="T161" s="101"/>
      <c r="U161" s="101"/>
      <c r="V161" s="101"/>
      <c r="W161" s="101"/>
      <c r="X161" s="101"/>
      <c r="Y161" s="101"/>
      <c r="Z161" s="101"/>
    </row>
    <row r="162">
      <c r="A162" s="101"/>
      <c r="B162" s="101"/>
      <c r="C162" s="101" t="str">
        <f>IFERROR(__xludf.DUMMYFUNCTION("""COMPUTED_VALUE"""),"WESLEY TIAGO DE OLIIVEIRA FILHO")</f>
        <v>WESLEY TIAGO DE OLIIVEIRA FILHO</v>
      </c>
      <c r="D162" s="101" t="str">
        <f>IFERROR(__xludf.DUMMYFUNCTION("""COMPUTED_VALUE"""),"515.***.***-60")</f>
        <v>515.***.***-60</v>
      </c>
      <c r="E162" s="101">
        <f>IFERROR(__xludf.DUMMYFUNCTION("""COMPUTED_VALUE"""),12.0)</f>
        <v>12</v>
      </c>
      <c r="F162" s="101" t="str">
        <f>IFERROR(__xludf.DUMMYFUNCTION("""COMPUTED_VALUE"""),"515.638.498-60")</f>
        <v>515.638.498-60</v>
      </c>
      <c r="G162" s="101"/>
      <c r="H162" s="101"/>
      <c r="I162" s="101"/>
      <c r="J162" s="101"/>
      <c r="K162" s="101"/>
      <c r="L162" s="101"/>
      <c r="M162" s="101"/>
      <c r="N162" s="101"/>
      <c r="O162" s="101"/>
      <c r="P162" s="101"/>
      <c r="Q162" s="101"/>
      <c r="R162" s="101"/>
      <c r="S162" s="101"/>
      <c r="T162" s="101"/>
      <c r="U162" s="101"/>
      <c r="V162" s="101"/>
      <c r="W162" s="101"/>
      <c r="X162" s="101"/>
      <c r="Y162" s="101"/>
      <c r="Z162" s="101"/>
    </row>
    <row r="163">
      <c r="A163" s="101"/>
      <c r="B163" s="101"/>
      <c r="C163" s="101" t="str">
        <f>IFERROR(__xludf.DUMMYFUNCTION("""COMPUTED_VALUE"""),"MIRIA GALVAO FERNANDES")</f>
        <v>MIRIA GALVAO FERNANDES</v>
      </c>
      <c r="D163" s="101" t="str">
        <f>IFERROR(__xludf.DUMMYFUNCTION("""COMPUTED_VALUE"""),"464.***.***-00")</f>
        <v>464.***.***-00</v>
      </c>
      <c r="E163" s="101">
        <f>IFERROR(__xludf.DUMMYFUNCTION("""COMPUTED_VALUE"""),8.0)</f>
        <v>8</v>
      </c>
      <c r="F163" s="101" t="str">
        <f>IFERROR(__xludf.DUMMYFUNCTION("""COMPUTED_VALUE"""),"464.513.218-00")</f>
        <v>464.513.218-00</v>
      </c>
      <c r="G163" s="101"/>
      <c r="H163" s="101"/>
      <c r="I163" s="101"/>
      <c r="J163" s="101"/>
      <c r="K163" s="101"/>
      <c r="L163" s="101"/>
      <c r="M163" s="101"/>
      <c r="N163" s="101"/>
      <c r="O163" s="101"/>
      <c r="P163" s="101"/>
      <c r="Q163" s="101"/>
      <c r="R163" s="101"/>
      <c r="S163" s="101"/>
      <c r="T163" s="101"/>
      <c r="U163" s="101"/>
      <c r="V163" s="101"/>
      <c r="W163" s="101"/>
      <c r="X163" s="101"/>
      <c r="Y163" s="101"/>
      <c r="Z163" s="101"/>
    </row>
    <row r="164">
      <c r="A164" s="101"/>
      <c r="B164" s="101"/>
      <c r="C164" s="101" t="str">
        <f>IFERROR(__xludf.DUMMYFUNCTION("""COMPUTED_VALUE"""),"KALIANE FERREIRA RODRIGUES")</f>
        <v>KALIANE FERREIRA RODRIGUES</v>
      </c>
      <c r="D164" s="101" t="str">
        <f>IFERROR(__xludf.DUMMYFUNCTION("""COMPUTED_VALUE"""),"406.***.***-58")</f>
        <v>406.***.***-58</v>
      </c>
      <c r="E164" s="101">
        <f>IFERROR(__xludf.DUMMYFUNCTION("""COMPUTED_VALUE"""),6.0)</f>
        <v>6</v>
      </c>
      <c r="F164" s="101" t="str">
        <f>IFERROR(__xludf.DUMMYFUNCTION("""COMPUTED_VALUE"""),"406.773.618-58")</f>
        <v>406.773.618-58</v>
      </c>
      <c r="G164" s="101"/>
      <c r="H164" s="101"/>
      <c r="I164" s="101"/>
      <c r="J164" s="101"/>
      <c r="K164" s="101"/>
      <c r="L164" s="101"/>
      <c r="M164" s="101"/>
      <c r="N164" s="101"/>
      <c r="O164" s="101"/>
      <c r="P164" s="101"/>
      <c r="Q164" s="101"/>
      <c r="R164" s="101"/>
      <c r="S164" s="101"/>
      <c r="T164" s="101"/>
      <c r="U164" s="101"/>
      <c r="V164" s="101"/>
      <c r="W164" s="101"/>
      <c r="X164" s="101"/>
      <c r="Y164" s="101"/>
      <c r="Z164" s="101"/>
    </row>
    <row r="165">
      <c r="A165" s="101"/>
      <c r="B165" s="101"/>
      <c r="C165" s="101" t="str">
        <f>IFERROR(__xludf.DUMMYFUNCTION("""COMPUTED_VALUE"""),"THAIS DOS REIS VIEIRA")</f>
        <v>THAIS DOS REIS VIEIRA</v>
      </c>
      <c r="D165" s="101" t="str">
        <f>IFERROR(__xludf.DUMMYFUNCTION("""COMPUTED_VALUE"""),"465.***.***-10")</f>
        <v>465.***.***-10</v>
      </c>
      <c r="E165" s="101">
        <f>IFERROR(__xludf.DUMMYFUNCTION("""COMPUTED_VALUE"""),17.0)</f>
        <v>17</v>
      </c>
      <c r="F165" s="101" t="str">
        <f>IFERROR(__xludf.DUMMYFUNCTION("""COMPUTED_VALUE"""),"465.136.648-10")</f>
        <v>465.136.648-10</v>
      </c>
      <c r="G165" s="101"/>
      <c r="H165" s="101"/>
      <c r="I165" s="101"/>
      <c r="J165" s="101"/>
      <c r="K165" s="101"/>
      <c r="L165" s="101"/>
      <c r="M165" s="101"/>
      <c r="N165" s="101"/>
      <c r="O165" s="101"/>
      <c r="P165" s="101"/>
      <c r="Q165" s="101"/>
      <c r="R165" s="101"/>
      <c r="S165" s="101"/>
      <c r="T165" s="101"/>
      <c r="U165" s="101"/>
      <c r="V165" s="101"/>
      <c r="W165" s="101"/>
      <c r="X165" s="101"/>
      <c r="Y165" s="101"/>
      <c r="Z165" s="101"/>
    </row>
    <row r="166">
      <c r="A166" s="101"/>
      <c r="B166" s="101"/>
      <c r="C166" s="101" t="str">
        <f>IFERROR(__xludf.DUMMYFUNCTION("""COMPUTED_VALUE"""),"JUAUM")</f>
        <v>JUAUM</v>
      </c>
      <c r="D166" s="101" t="str">
        <f>IFERROR(__xludf.DUMMYFUNCTION("""COMPUTED_VALUE"""),"485.***.***-19")</f>
        <v>485.***.***-19</v>
      </c>
      <c r="E166" s="101">
        <f>IFERROR(__xludf.DUMMYFUNCTION("""COMPUTED_VALUE"""),3.0)</f>
        <v>3</v>
      </c>
      <c r="F166" s="101" t="str">
        <f>IFERROR(__xludf.DUMMYFUNCTION("""COMPUTED_VALUE"""),"485.813.538-19")</f>
        <v>485.813.538-19</v>
      </c>
      <c r="G166" s="101"/>
      <c r="H166" s="101"/>
      <c r="I166" s="101"/>
      <c r="J166" s="101"/>
      <c r="K166" s="101"/>
      <c r="L166" s="101"/>
      <c r="M166" s="101"/>
      <c r="N166" s="101"/>
      <c r="O166" s="101"/>
      <c r="P166" s="101"/>
      <c r="Q166" s="101"/>
      <c r="R166" s="101"/>
      <c r="S166" s="101"/>
      <c r="T166" s="101"/>
      <c r="U166" s="101"/>
      <c r="V166" s="101"/>
      <c r="W166" s="101"/>
      <c r="X166" s="101"/>
      <c r="Y166" s="101"/>
      <c r="Z166" s="101"/>
    </row>
    <row r="167">
      <c r="A167" s="101"/>
      <c r="B167" s="101"/>
      <c r="C167" s="101" t="str">
        <f>IFERROR(__xludf.DUMMYFUNCTION("""COMPUTED_VALUE"""),"THAMIRES LOUZADO FERREIRA")</f>
        <v>THAMIRES LOUZADO FERREIRA</v>
      </c>
      <c r="D167" s="101" t="str">
        <f>IFERROR(__xludf.DUMMYFUNCTION("""COMPUTED_VALUE"""),"444.***.***-52")</f>
        <v>444.***.***-52</v>
      </c>
      <c r="E167" s="101">
        <f>IFERROR(__xludf.DUMMYFUNCTION("""COMPUTED_VALUE"""),10.0)</f>
        <v>10</v>
      </c>
      <c r="F167" s="101" t="str">
        <f>IFERROR(__xludf.DUMMYFUNCTION("""COMPUTED_VALUE"""),"444.295.668-52")</f>
        <v>444.295.668-52</v>
      </c>
      <c r="G167" s="101"/>
      <c r="H167" s="101"/>
      <c r="I167" s="101"/>
      <c r="J167" s="101"/>
      <c r="K167" s="101"/>
      <c r="L167" s="101"/>
      <c r="M167" s="101"/>
      <c r="N167" s="101"/>
      <c r="O167" s="101"/>
      <c r="P167" s="101"/>
      <c r="Q167" s="101"/>
      <c r="R167" s="101"/>
      <c r="S167" s="101"/>
      <c r="T167" s="101"/>
      <c r="U167" s="101"/>
      <c r="V167" s="101"/>
      <c r="W167" s="101"/>
      <c r="X167" s="101"/>
      <c r="Y167" s="101"/>
      <c r="Z167" s="101"/>
    </row>
    <row r="168">
      <c r="A168" s="101"/>
      <c r="B168" s="101"/>
      <c r="C168" s="101" t="str">
        <f>IFERROR(__xludf.DUMMYFUNCTION("""COMPUTED_VALUE"""),"BEATRIZ BERTOLLI PAULINI")</f>
        <v>BEATRIZ BERTOLLI PAULINI</v>
      </c>
      <c r="D168" s="101" t="str">
        <f>IFERROR(__xludf.DUMMYFUNCTION("""COMPUTED_VALUE"""),"338.***.***-58")</f>
        <v>338.***.***-58</v>
      </c>
      <c r="E168" s="101">
        <f>IFERROR(__xludf.DUMMYFUNCTION("""COMPUTED_VALUE"""),2.0)</f>
        <v>2</v>
      </c>
      <c r="F168" s="101" t="str">
        <f>IFERROR(__xludf.DUMMYFUNCTION("""COMPUTED_VALUE"""),"338.461.458-58")</f>
        <v>338.461.458-58</v>
      </c>
      <c r="G168" s="101"/>
      <c r="H168" s="101"/>
      <c r="I168" s="101"/>
      <c r="J168" s="101"/>
      <c r="K168" s="101"/>
      <c r="L168" s="101"/>
      <c r="M168" s="101"/>
      <c r="N168" s="101"/>
      <c r="O168" s="101"/>
      <c r="P168" s="101"/>
      <c r="Q168" s="101"/>
      <c r="R168" s="101"/>
      <c r="S168" s="101"/>
      <c r="T168" s="101"/>
      <c r="U168" s="101"/>
      <c r="V168" s="101"/>
      <c r="W168" s="101"/>
      <c r="X168" s="101"/>
      <c r="Y168" s="101"/>
      <c r="Z168" s="101"/>
    </row>
    <row r="169">
      <c r="A169" s="101"/>
      <c r="B169" s="101"/>
      <c r="C169" s="101" t="str">
        <f>IFERROR(__xludf.DUMMYFUNCTION("""COMPUTED_VALUE"""),"LEANDRO CESAR TASSA GARCIA")</f>
        <v>LEANDRO CESAR TASSA GARCIA</v>
      </c>
      <c r="D169" s="101" t="str">
        <f>IFERROR(__xludf.DUMMYFUNCTION("""COMPUTED_VALUE"""),"439.***.***-43")</f>
        <v>439.***.***-43</v>
      </c>
      <c r="E169" s="101">
        <f>IFERROR(__xludf.DUMMYFUNCTION("""COMPUTED_VALUE"""),3.0)</f>
        <v>3</v>
      </c>
      <c r="F169" s="101" t="str">
        <f>IFERROR(__xludf.DUMMYFUNCTION("""COMPUTED_VALUE"""),"439.980.618-43")</f>
        <v>439.980.618-43</v>
      </c>
      <c r="G169" s="101"/>
      <c r="H169" s="101"/>
      <c r="I169" s="101"/>
      <c r="J169" s="101"/>
      <c r="K169" s="101"/>
      <c r="L169" s="101"/>
      <c r="M169" s="101"/>
      <c r="N169" s="101"/>
      <c r="O169" s="101"/>
      <c r="P169" s="101"/>
      <c r="Q169" s="101"/>
      <c r="R169" s="101"/>
      <c r="S169" s="101"/>
      <c r="T169" s="101"/>
      <c r="U169" s="101"/>
      <c r="V169" s="101"/>
      <c r="W169" s="101"/>
      <c r="X169" s="101"/>
      <c r="Y169" s="101"/>
      <c r="Z169" s="101"/>
    </row>
    <row r="170">
      <c r="A170" s="101"/>
      <c r="B170" s="101"/>
      <c r="C170" s="101" t="str">
        <f>IFERROR(__xludf.DUMMYFUNCTION("""COMPUTED_VALUE"""),"DENNER PEREIRA COSTA")</f>
        <v>DENNER PEREIRA COSTA</v>
      </c>
      <c r="D170" s="101" t="str">
        <f>IFERROR(__xludf.DUMMYFUNCTION("""COMPUTED_VALUE"""),"102.***.***-54")</f>
        <v>102.***.***-54</v>
      </c>
      <c r="E170" s="101">
        <f>IFERROR(__xludf.DUMMYFUNCTION("""COMPUTED_VALUE"""),2.0)</f>
        <v>2</v>
      </c>
      <c r="F170" s="101" t="str">
        <f>IFERROR(__xludf.DUMMYFUNCTION("""COMPUTED_VALUE"""),"102.469.346-54")</f>
        <v>102.469.346-54</v>
      </c>
      <c r="G170" s="101"/>
      <c r="H170" s="101"/>
      <c r="I170" s="101"/>
      <c r="J170" s="101"/>
      <c r="K170" s="101"/>
      <c r="L170" s="101"/>
      <c r="M170" s="101"/>
      <c r="N170" s="101"/>
      <c r="O170" s="101"/>
      <c r="P170" s="101"/>
      <c r="Q170" s="101"/>
      <c r="R170" s="101"/>
      <c r="S170" s="101"/>
      <c r="T170" s="101"/>
      <c r="U170" s="101"/>
      <c r="V170" s="101"/>
      <c r="W170" s="101"/>
      <c r="X170" s="101"/>
      <c r="Y170" s="101"/>
      <c r="Z170" s="101"/>
    </row>
    <row r="171">
      <c r="A171" s="101"/>
      <c r="B171" s="101"/>
      <c r="C171" s="101" t="str">
        <f>IFERROR(__xludf.DUMMYFUNCTION("""COMPUTED_VALUE"""),"VITORIA  CORREA ")</f>
        <v>VITORIA  CORREA </v>
      </c>
      <c r="D171" s="101" t="str">
        <f>IFERROR(__xludf.DUMMYFUNCTION("""COMPUTED_VALUE"""),"572.***.***-24")</f>
        <v>572.***.***-24</v>
      </c>
      <c r="E171" s="101">
        <f>IFERROR(__xludf.DUMMYFUNCTION("""COMPUTED_VALUE"""),18.0)</f>
        <v>18</v>
      </c>
      <c r="F171" s="101" t="str">
        <f>IFERROR(__xludf.DUMMYFUNCTION("""COMPUTED_VALUE"""),"572.786.518-24")</f>
        <v>572.786.518-24</v>
      </c>
      <c r="G171" s="101"/>
      <c r="H171" s="101"/>
      <c r="I171" s="101"/>
      <c r="J171" s="101"/>
      <c r="K171" s="101"/>
      <c r="L171" s="101"/>
      <c r="M171" s="101"/>
      <c r="N171" s="101"/>
      <c r="O171" s="101"/>
      <c r="P171" s="101"/>
      <c r="Q171" s="101"/>
      <c r="R171" s="101"/>
      <c r="S171" s="101"/>
      <c r="T171" s="101"/>
      <c r="U171" s="101"/>
      <c r="V171" s="101"/>
      <c r="W171" s="101"/>
      <c r="X171" s="101"/>
      <c r="Y171" s="101"/>
      <c r="Z171" s="101"/>
    </row>
    <row r="172">
      <c r="A172" s="101"/>
      <c r="B172" s="101"/>
      <c r="C172" s="101" t="str">
        <f>IFERROR(__xludf.DUMMYFUNCTION("""COMPUTED_VALUE"""),"RAMONNA MOURA DE OLIVEIRA")</f>
        <v>RAMONNA MOURA DE OLIVEIRA</v>
      </c>
      <c r="D172" s="101" t="str">
        <f>IFERROR(__xludf.DUMMYFUNCTION("""COMPUTED_VALUE"""),"521.***.***-56")</f>
        <v>521.***.***-56</v>
      </c>
      <c r="E172" s="101">
        <f>IFERROR(__xludf.DUMMYFUNCTION("""COMPUTED_VALUE"""),10.0)</f>
        <v>10</v>
      </c>
      <c r="F172" s="101" t="str">
        <f>IFERROR(__xludf.DUMMYFUNCTION("""COMPUTED_VALUE"""),"521.585.738-56")</f>
        <v>521.585.738-56</v>
      </c>
      <c r="G172" s="101"/>
      <c r="H172" s="101"/>
      <c r="I172" s="101"/>
      <c r="J172" s="101"/>
      <c r="K172" s="101"/>
      <c r="L172" s="101"/>
      <c r="M172" s="101"/>
      <c r="N172" s="101"/>
      <c r="O172" s="101"/>
      <c r="P172" s="101"/>
      <c r="Q172" s="101"/>
      <c r="R172" s="101"/>
      <c r="S172" s="101"/>
      <c r="T172" s="101"/>
      <c r="U172" s="101"/>
      <c r="V172" s="101"/>
      <c r="W172" s="101"/>
      <c r="X172" s="101"/>
      <c r="Y172" s="101"/>
      <c r="Z172" s="101"/>
    </row>
    <row r="173">
      <c r="A173" s="101"/>
      <c r="B173" s="101"/>
      <c r="C173" s="101" t="str">
        <f>IFERROR(__xludf.DUMMYFUNCTION("""COMPUTED_VALUE"""),"MIRANDA HELENA GONÇALVES SIQUEIRA")</f>
        <v>MIRANDA HELENA GONÇALVES SIQUEIRA</v>
      </c>
      <c r="D173" s="101" t="str">
        <f>IFERROR(__xludf.DUMMYFUNCTION("""COMPUTED_VALUE"""),"439.***.***-73")</f>
        <v>439.***.***-73</v>
      </c>
      <c r="E173" s="101">
        <f>IFERROR(__xludf.DUMMYFUNCTION("""COMPUTED_VALUE"""),13.0)</f>
        <v>13</v>
      </c>
      <c r="F173" s="101" t="str">
        <f>IFERROR(__xludf.DUMMYFUNCTION("""COMPUTED_VALUE"""),"439.722.198-73")</f>
        <v>439.722.198-73</v>
      </c>
      <c r="G173" s="101"/>
      <c r="H173" s="101"/>
      <c r="I173" s="101"/>
      <c r="J173" s="101"/>
      <c r="K173" s="101"/>
      <c r="L173" s="101"/>
      <c r="M173" s="101"/>
      <c r="N173" s="101"/>
      <c r="O173" s="101"/>
      <c r="P173" s="101"/>
      <c r="Q173" s="101"/>
      <c r="R173" s="101"/>
      <c r="S173" s="101"/>
      <c r="T173" s="101"/>
      <c r="U173" s="101"/>
      <c r="V173" s="101"/>
      <c r="W173" s="101"/>
      <c r="X173" s="101"/>
      <c r="Y173" s="101"/>
      <c r="Z173" s="101"/>
    </row>
    <row r="174">
      <c r="A174" s="101"/>
      <c r="B174" s="101"/>
      <c r="C174" s="101" t="str">
        <f>IFERROR(__xludf.DUMMYFUNCTION("""COMPUTED_VALUE"""),"WESLEY FELIX CERQUEIRA DOS SANTOS")</f>
        <v>WESLEY FELIX CERQUEIRA DOS SANTOS</v>
      </c>
      <c r="D174" s="101" t="str">
        <f>IFERROR(__xludf.DUMMYFUNCTION("""COMPUTED_VALUE"""),"485.***.***-12")</f>
        <v>485.***.***-12</v>
      </c>
      <c r="E174" s="101">
        <f>IFERROR(__xludf.DUMMYFUNCTION("""COMPUTED_VALUE"""),10.0)</f>
        <v>10</v>
      </c>
      <c r="F174" s="101" t="str">
        <f>IFERROR(__xludf.DUMMYFUNCTION("""COMPUTED_VALUE"""),"485.542.058-12")</f>
        <v>485.542.058-12</v>
      </c>
      <c r="G174" s="101"/>
      <c r="H174" s="101"/>
      <c r="I174" s="101"/>
      <c r="J174" s="101"/>
      <c r="K174" s="101"/>
      <c r="L174" s="101"/>
      <c r="M174" s="101"/>
      <c r="N174" s="101"/>
      <c r="O174" s="101"/>
      <c r="P174" s="101"/>
      <c r="Q174" s="101"/>
      <c r="R174" s="101"/>
      <c r="S174" s="101"/>
      <c r="T174" s="101"/>
      <c r="U174" s="101"/>
      <c r="V174" s="101"/>
      <c r="W174" s="101"/>
      <c r="X174" s="101"/>
      <c r="Y174" s="101"/>
      <c r="Z174" s="101"/>
    </row>
    <row r="175">
      <c r="A175" s="101"/>
      <c r="B175" s="101"/>
      <c r="C175" s="101" t="str">
        <f>IFERROR(__xludf.DUMMYFUNCTION("""COMPUTED_VALUE"""),"NATALIA MACIANA GONZAGA DE JESUS")</f>
        <v>NATALIA MACIANA GONZAGA DE JESUS</v>
      </c>
      <c r="D175" s="101" t="str">
        <f>IFERROR(__xludf.DUMMYFUNCTION("""COMPUTED_VALUE"""),"360.***.***-82")</f>
        <v>360.***.***-82</v>
      </c>
      <c r="E175" s="101">
        <f>IFERROR(__xludf.DUMMYFUNCTION("""COMPUTED_VALUE"""),9.0)</f>
        <v>9</v>
      </c>
      <c r="F175" s="101" t="str">
        <f>IFERROR(__xludf.DUMMYFUNCTION("""COMPUTED_VALUE"""),"360.651.978-82")</f>
        <v>360.651.978-82</v>
      </c>
      <c r="G175" s="101"/>
      <c r="H175" s="101"/>
      <c r="I175" s="101"/>
      <c r="J175" s="101"/>
      <c r="K175" s="101"/>
      <c r="L175" s="101"/>
      <c r="M175" s="101"/>
      <c r="N175" s="101"/>
      <c r="O175" s="101"/>
      <c r="P175" s="101"/>
      <c r="Q175" s="101"/>
      <c r="R175" s="101"/>
      <c r="S175" s="101"/>
      <c r="T175" s="101"/>
      <c r="U175" s="101"/>
      <c r="V175" s="101"/>
      <c r="W175" s="101"/>
      <c r="X175" s="101"/>
      <c r="Y175" s="101"/>
      <c r="Z175" s="101"/>
    </row>
    <row r="176">
      <c r="A176" s="101"/>
      <c r="B176" s="101"/>
      <c r="C176" s="101" t="str">
        <f>IFERROR(__xludf.DUMMYFUNCTION("""COMPUTED_VALUE"""),"VILMA  LASSALLETTE DE ARAUJO")</f>
        <v>VILMA  LASSALLETTE DE ARAUJO</v>
      </c>
      <c r="D176" s="101" t="str">
        <f>IFERROR(__xludf.DUMMYFUNCTION("""COMPUTED_VALUE"""),"085.***.***-90")</f>
        <v>085.***.***-90</v>
      </c>
      <c r="E176" s="101">
        <f>IFERROR(__xludf.DUMMYFUNCTION("""COMPUTED_VALUE"""),17.0)</f>
        <v>17</v>
      </c>
      <c r="F176" s="101" t="str">
        <f>IFERROR(__xludf.DUMMYFUNCTION("""COMPUTED_VALUE"""),"085.465.151-90")</f>
        <v>085.465.151-90</v>
      </c>
      <c r="G176" s="101"/>
      <c r="H176" s="101"/>
      <c r="I176" s="101"/>
      <c r="J176" s="101"/>
      <c r="K176" s="101"/>
      <c r="L176" s="101"/>
      <c r="M176" s="101"/>
      <c r="N176" s="101"/>
      <c r="O176" s="101"/>
      <c r="P176" s="101"/>
      <c r="Q176" s="101"/>
      <c r="R176" s="101"/>
      <c r="S176" s="101"/>
      <c r="T176" s="101"/>
      <c r="U176" s="101"/>
      <c r="V176" s="101"/>
      <c r="W176" s="101"/>
      <c r="X176" s="101"/>
      <c r="Y176" s="101"/>
      <c r="Z176" s="101"/>
    </row>
    <row r="177">
      <c r="A177" s="101"/>
      <c r="B177" s="101"/>
      <c r="C177" s="101" t="str">
        <f>IFERROR(__xludf.DUMMYFUNCTION("""COMPUTED_VALUE"""),"JAHCOX")</f>
        <v>JAHCOX</v>
      </c>
      <c r="D177" s="101" t="str">
        <f>IFERROR(__xludf.DUMMYFUNCTION("""COMPUTED_VALUE"""),"515.***.***-92")</f>
        <v>515.***.***-92</v>
      </c>
      <c r="E177" s="101">
        <f>IFERROR(__xludf.DUMMYFUNCTION("""COMPUTED_VALUE"""),5.0)</f>
        <v>5</v>
      </c>
      <c r="F177" s="101" t="str">
        <f>IFERROR(__xludf.DUMMYFUNCTION("""COMPUTED_VALUE"""),"515.418.848-92")</f>
        <v>515.418.848-92</v>
      </c>
      <c r="G177" s="101"/>
      <c r="H177" s="101"/>
      <c r="I177" s="101"/>
      <c r="J177" s="101"/>
      <c r="K177" s="101"/>
      <c r="L177" s="101"/>
      <c r="M177" s="101"/>
      <c r="N177" s="101"/>
      <c r="O177" s="101"/>
      <c r="P177" s="101"/>
      <c r="Q177" s="101"/>
      <c r="R177" s="101"/>
      <c r="S177" s="101"/>
      <c r="T177" s="101"/>
      <c r="U177" s="101"/>
      <c r="V177" s="101"/>
      <c r="W177" s="101"/>
      <c r="X177" s="101"/>
      <c r="Y177" s="101"/>
      <c r="Z177" s="101"/>
    </row>
    <row r="178">
      <c r="A178" s="101"/>
      <c r="B178" s="101"/>
      <c r="C178" s="101" t="str">
        <f>IFERROR(__xludf.DUMMYFUNCTION("""COMPUTED_VALUE"""),"GABRIELA SOUZA MORAIS GUIMARAES")</f>
        <v>GABRIELA SOUZA MORAIS GUIMARAES</v>
      </c>
      <c r="D178" s="101" t="str">
        <f>IFERROR(__xludf.DUMMYFUNCTION("""COMPUTED_VALUE"""),"468.***.***-74")</f>
        <v>468.***.***-74</v>
      </c>
      <c r="E178" s="101">
        <f>IFERROR(__xludf.DUMMYFUNCTION("""COMPUTED_VALUE"""),5.0)</f>
        <v>5</v>
      </c>
      <c r="F178" s="101" t="str">
        <f>IFERROR(__xludf.DUMMYFUNCTION("""COMPUTED_VALUE"""),"468.947.098-74")</f>
        <v>468.947.098-74</v>
      </c>
      <c r="G178" s="101"/>
      <c r="H178" s="101"/>
      <c r="I178" s="101"/>
      <c r="J178" s="101"/>
      <c r="K178" s="101"/>
      <c r="L178" s="101"/>
      <c r="M178" s="101"/>
      <c r="N178" s="101"/>
      <c r="O178" s="101"/>
      <c r="P178" s="101"/>
      <c r="Q178" s="101"/>
      <c r="R178" s="101"/>
      <c r="S178" s="101"/>
      <c r="T178" s="101"/>
      <c r="U178" s="101"/>
      <c r="V178" s="101"/>
      <c r="W178" s="101"/>
      <c r="X178" s="101"/>
      <c r="Y178" s="101"/>
      <c r="Z178" s="101"/>
    </row>
    <row r="179">
      <c r="A179" s="101"/>
      <c r="B179" s="101"/>
      <c r="C179" s="101" t="str">
        <f>IFERROR(__xludf.DUMMYFUNCTION("""COMPUTED_VALUE"""),"HIGOR BARBOSA DOS SANTOS")</f>
        <v>HIGOR BARBOSA DOS SANTOS</v>
      </c>
      <c r="D179" s="101" t="str">
        <f>IFERROR(__xludf.DUMMYFUNCTION("""COMPUTED_VALUE"""),"409.***.***-90")</f>
        <v>409.***.***-90</v>
      </c>
      <c r="E179" s="101">
        <f>IFERROR(__xludf.DUMMYFUNCTION("""COMPUTED_VALUE"""),5.0)</f>
        <v>5</v>
      </c>
      <c r="F179" s="101" t="str">
        <f>IFERROR(__xludf.DUMMYFUNCTION("""COMPUTED_VALUE"""),"409.214.808-90")</f>
        <v>409.214.808-90</v>
      </c>
      <c r="G179" s="101"/>
      <c r="H179" s="101"/>
      <c r="I179" s="101"/>
      <c r="J179" s="101"/>
      <c r="K179" s="101"/>
      <c r="L179" s="101"/>
      <c r="M179" s="101"/>
      <c r="N179" s="101"/>
      <c r="O179" s="101"/>
      <c r="P179" s="101"/>
      <c r="Q179" s="101"/>
      <c r="R179" s="101"/>
      <c r="S179" s="101"/>
      <c r="T179" s="101"/>
      <c r="U179" s="101"/>
      <c r="V179" s="101"/>
      <c r="W179" s="101"/>
      <c r="X179" s="101"/>
      <c r="Y179" s="101"/>
      <c r="Z179" s="101"/>
    </row>
    <row r="180">
      <c r="A180" s="101"/>
      <c r="B180" s="101"/>
      <c r="C180" s="101" t="str">
        <f>IFERROR(__xludf.DUMMYFUNCTION("""COMPUTED_VALUE"""),"LARISSA BONFIM AZEVEDO")</f>
        <v>LARISSA BONFIM AZEVEDO</v>
      </c>
      <c r="D180" s="101" t="str">
        <f>IFERROR(__xludf.DUMMYFUNCTION("""COMPUTED_VALUE"""),"473.***.***-56")</f>
        <v>473.***.***-56</v>
      </c>
      <c r="E180" s="101">
        <f>IFERROR(__xludf.DUMMYFUNCTION("""COMPUTED_VALUE"""),6.0)</f>
        <v>6</v>
      </c>
      <c r="F180" s="101" t="str">
        <f>IFERROR(__xludf.DUMMYFUNCTION("""COMPUTED_VALUE"""),"473.294.708-56")</f>
        <v>473.294.708-56</v>
      </c>
      <c r="G180" s="101"/>
      <c r="H180" s="101"/>
      <c r="I180" s="101"/>
      <c r="J180" s="101"/>
      <c r="K180" s="101"/>
      <c r="L180" s="101"/>
      <c r="M180" s="101"/>
      <c r="N180" s="101"/>
      <c r="O180" s="101"/>
      <c r="P180" s="101"/>
      <c r="Q180" s="101"/>
      <c r="R180" s="101"/>
      <c r="S180" s="101"/>
      <c r="T180" s="101"/>
      <c r="U180" s="101"/>
      <c r="V180" s="101"/>
      <c r="W180" s="101"/>
      <c r="X180" s="101"/>
      <c r="Y180" s="101"/>
      <c r="Z180" s="101"/>
    </row>
    <row r="181">
      <c r="A181" s="101"/>
      <c r="B181" s="101"/>
      <c r="C181" s="101" t="str">
        <f>IFERROR(__xludf.DUMMYFUNCTION("""COMPUTED_VALUE"""),"RICHARD DOURADO VASCONCELOS SILVA")</f>
        <v>RICHARD DOURADO VASCONCELOS SILVA</v>
      </c>
      <c r="D181" s="101" t="str">
        <f>IFERROR(__xludf.DUMMYFUNCTION("""COMPUTED_VALUE"""),"117.***.***-11")</f>
        <v>117.***.***-11</v>
      </c>
      <c r="E181" s="101">
        <f>IFERROR(__xludf.DUMMYFUNCTION("""COMPUTED_VALUE"""),10.0)</f>
        <v>10</v>
      </c>
      <c r="F181" s="101" t="str">
        <f>IFERROR(__xludf.DUMMYFUNCTION("""COMPUTED_VALUE"""),"117.433.986-11")</f>
        <v>117.433.986-11</v>
      </c>
      <c r="G181" s="101"/>
      <c r="H181" s="101"/>
      <c r="I181" s="101"/>
      <c r="J181" s="101"/>
      <c r="K181" s="101"/>
      <c r="L181" s="101"/>
      <c r="M181" s="101"/>
      <c r="N181" s="101"/>
      <c r="O181" s="101"/>
      <c r="P181" s="101"/>
      <c r="Q181" s="101"/>
      <c r="R181" s="101"/>
      <c r="S181" s="101"/>
      <c r="T181" s="101"/>
      <c r="U181" s="101"/>
      <c r="V181" s="101"/>
      <c r="W181" s="101"/>
      <c r="X181" s="101"/>
      <c r="Y181" s="101"/>
      <c r="Z181" s="101"/>
    </row>
    <row r="182">
      <c r="A182" s="101"/>
      <c r="B182" s="101"/>
      <c r="C182" s="101" t="str">
        <f>IFERROR(__xludf.DUMMYFUNCTION("""COMPUTED_VALUE"""),"MARIA ISABELLA ELIZIO DO NASCIMENTO")</f>
        <v>MARIA ISABELLA ELIZIO DO NASCIMENTO</v>
      </c>
      <c r="D182" s="101" t="str">
        <f>IFERROR(__xludf.DUMMYFUNCTION("""COMPUTED_VALUE"""),"421.***.***-01")</f>
        <v>421.***.***-01</v>
      </c>
      <c r="E182" s="101">
        <f>IFERROR(__xludf.DUMMYFUNCTION("""COMPUTED_VALUE"""),8.0)</f>
        <v>8</v>
      </c>
      <c r="F182" s="101" t="str">
        <f>IFERROR(__xludf.DUMMYFUNCTION("""COMPUTED_VALUE"""),"421.773.378-01")</f>
        <v>421.773.378-01</v>
      </c>
      <c r="G182" s="101"/>
      <c r="H182" s="101"/>
      <c r="I182" s="101"/>
      <c r="J182" s="101"/>
      <c r="K182" s="101"/>
      <c r="L182" s="101"/>
      <c r="M182" s="101"/>
      <c r="N182" s="101"/>
      <c r="O182" s="101"/>
      <c r="P182" s="101"/>
      <c r="Q182" s="101"/>
      <c r="R182" s="101"/>
      <c r="S182" s="101"/>
      <c r="T182" s="101"/>
      <c r="U182" s="101"/>
      <c r="V182" s="101"/>
      <c r="W182" s="101"/>
      <c r="X182" s="101"/>
      <c r="Y182" s="101"/>
      <c r="Z182" s="101"/>
    </row>
    <row r="183">
      <c r="A183" s="101"/>
      <c r="B183" s="101"/>
      <c r="C183" s="101" t="str">
        <f>IFERROR(__xludf.DUMMYFUNCTION("""COMPUTED_VALUE"""),"GABRIELA SIMOES GABIRA")</f>
        <v>GABRIELA SIMOES GABIRA</v>
      </c>
      <c r="D183" s="101" t="str">
        <f>IFERROR(__xludf.DUMMYFUNCTION("""COMPUTED_VALUE"""),"372.***.***-01")</f>
        <v>372.***.***-01</v>
      </c>
      <c r="E183" s="101">
        <f>IFERROR(__xludf.DUMMYFUNCTION("""COMPUTED_VALUE"""),4.0)</f>
        <v>4</v>
      </c>
      <c r="F183" s="101" t="str">
        <f>IFERROR(__xludf.DUMMYFUNCTION("""COMPUTED_VALUE"""),"372.787.838-01")</f>
        <v>372.787.838-01</v>
      </c>
      <c r="G183" s="101"/>
      <c r="H183" s="101"/>
      <c r="I183" s="101"/>
      <c r="J183" s="101"/>
      <c r="K183" s="101"/>
      <c r="L183" s="101"/>
      <c r="M183" s="101"/>
      <c r="N183" s="101"/>
      <c r="O183" s="101"/>
      <c r="P183" s="101"/>
      <c r="Q183" s="101"/>
      <c r="R183" s="101"/>
      <c r="S183" s="101"/>
      <c r="T183" s="101"/>
      <c r="U183" s="101"/>
      <c r="V183" s="101"/>
      <c r="W183" s="101"/>
      <c r="X183" s="101"/>
      <c r="Y183" s="101"/>
      <c r="Z183" s="101"/>
    </row>
    <row r="184">
      <c r="A184" s="101"/>
      <c r="B184" s="101"/>
      <c r="C184" s="101" t="str">
        <f>IFERROR(__xludf.DUMMYFUNCTION("""COMPUTED_VALUE"""),"ANNA CAROLINA DE CARVALHO MARINO")</f>
        <v>ANNA CAROLINA DE CARVALHO MARINO</v>
      </c>
      <c r="D184" s="101" t="str">
        <f>IFERROR(__xludf.DUMMYFUNCTION("""COMPUTED_VALUE"""),"537.***.***-90")</f>
        <v>537.***.***-90</v>
      </c>
      <c r="E184" s="101">
        <f>IFERROR(__xludf.DUMMYFUNCTION("""COMPUTED_VALUE"""),1.0)</f>
        <v>1</v>
      </c>
      <c r="F184" s="101" t="str">
        <f>IFERROR(__xludf.DUMMYFUNCTION("""COMPUTED_VALUE"""),"537.949.488-90")</f>
        <v>537.949.488-90</v>
      </c>
      <c r="G184" s="101"/>
      <c r="H184" s="101"/>
      <c r="I184" s="101"/>
      <c r="J184" s="101"/>
      <c r="K184" s="101"/>
      <c r="L184" s="101"/>
      <c r="M184" s="101"/>
      <c r="N184" s="101"/>
      <c r="O184" s="101"/>
      <c r="P184" s="101"/>
      <c r="Q184" s="101"/>
      <c r="R184" s="101"/>
      <c r="S184" s="101"/>
      <c r="T184" s="101"/>
      <c r="U184" s="101"/>
      <c r="V184" s="101"/>
      <c r="W184" s="101"/>
      <c r="X184" s="101"/>
      <c r="Y184" s="101"/>
      <c r="Z184" s="101"/>
    </row>
    <row r="185">
      <c r="A185" s="101"/>
      <c r="B185" s="101"/>
      <c r="C185" s="101" t="str">
        <f>IFERROR(__xludf.DUMMYFUNCTION("""COMPUTED_VALUE"""),"ISMAILLA CARNEIRO DA SILVA")</f>
        <v>ISMAILLA CARNEIRO DA SILVA</v>
      </c>
      <c r="D185" s="101" t="str">
        <f>IFERROR(__xludf.DUMMYFUNCTION("""COMPUTED_VALUE"""),"517.***.***-93")</f>
        <v>517.***.***-93</v>
      </c>
      <c r="E185" s="101">
        <f>IFERROR(__xludf.DUMMYFUNCTION("""COMPUTED_VALUE"""),5.0)</f>
        <v>5</v>
      </c>
      <c r="F185" s="101" t="str">
        <f>IFERROR(__xludf.DUMMYFUNCTION("""COMPUTED_VALUE"""),"517.865.958-93")</f>
        <v>517.865.958-93</v>
      </c>
      <c r="G185" s="101"/>
      <c r="H185" s="101"/>
      <c r="I185" s="101"/>
      <c r="J185" s="101"/>
      <c r="K185" s="101"/>
      <c r="L185" s="101"/>
      <c r="M185" s="101"/>
      <c r="N185" s="101"/>
      <c r="O185" s="101"/>
      <c r="P185" s="101"/>
      <c r="Q185" s="101"/>
      <c r="R185" s="101"/>
      <c r="S185" s="101"/>
      <c r="T185" s="101"/>
      <c r="U185" s="101"/>
      <c r="V185" s="101"/>
      <c r="W185" s="101"/>
      <c r="X185" s="101"/>
      <c r="Y185" s="101"/>
      <c r="Z185" s="101"/>
    </row>
    <row r="186">
      <c r="A186" s="101"/>
      <c r="B186" s="101"/>
      <c r="C186" s="101" t="str">
        <f>IFERROR(__xludf.DUMMYFUNCTION("""COMPUTED_VALUE"""),"LIVIA CALEF FURLAN")</f>
        <v>LIVIA CALEF FURLAN</v>
      </c>
      <c r="D186" s="101" t="str">
        <f>IFERROR(__xludf.DUMMYFUNCTION("""COMPUTED_VALUE"""),"553.***.***-08")</f>
        <v>553.***.***-08</v>
      </c>
      <c r="E186" s="101">
        <f>IFERROR(__xludf.DUMMYFUNCTION("""COMPUTED_VALUE"""),11.0)</f>
        <v>11</v>
      </c>
      <c r="F186" s="101" t="str">
        <f>IFERROR(__xludf.DUMMYFUNCTION("""COMPUTED_VALUE"""),"553.238.768-08")</f>
        <v>553.238.768-08</v>
      </c>
      <c r="G186" s="101"/>
      <c r="H186" s="101"/>
      <c r="I186" s="101"/>
      <c r="J186" s="101"/>
      <c r="K186" s="101"/>
      <c r="L186" s="101"/>
      <c r="M186" s="101"/>
      <c r="N186" s="101"/>
      <c r="O186" s="101"/>
      <c r="P186" s="101"/>
      <c r="Q186" s="101"/>
      <c r="R186" s="101"/>
      <c r="S186" s="101"/>
      <c r="T186" s="101"/>
      <c r="U186" s="101"/>
      <c r="V186" s="101"/>
      <c r="W186" s="101"/>
      <c r="X186" s="101"/>
      <c r="Y186" s="101"/>
      <c r="Z186" s="101"/>
    </row>
    <row r="187">
      <c r="A187" s="101"/>
      <c r="B187" s="101"/>
      <c r="C187" s="101" t="str">
        <f>IFERROR(__xludf.DUMMYFUNCTION("""COMPUTED_VALUE"""),"JULIA OLIVEIRA DOS SANTOS")</f>
        <v>JULIA OLIVEIRA DOS SANTOS</v>
      </c>
      <c r="D187" s="101" t="str">
        <f>IFERROR(__xludf.DUMMYFUNCTION("""COMPUTED_VALUE"""),"528.***.***-22")</f>
        <v>528.***.***-22</v>
      </c>
      <c r="E187" s="101">
        <f>IFERROR(__xludf.DUMMYFUNCTION("""COMPUTED_VALUE"""),8.0)</f>
        <v>8</v>
      </c>
      <c r="F187" s="101" t="str">
        <f>IFERROR(__xludf.DUMMYFUNCTION("""COMPUTED_VALUE"""),"528.476.388-22")</f>
        <v>528.476.388-22</v>
      </c>
      <c r="G187" s="101"/>
      <c r="H187" s="101"/>
      <c r="I187" s="101"/>
      <c r="J187" s="101"/>
      <c r="K187" s="101"/>
      <c r="L187" s="101"/>
      <c r="M187" s="101"/>
      <c r="N187" s="101"/>
      <c r="O187" s="101"/>
      <c r="P187" s="101"/>
      <c r="Q187" s="101"/>
      <c r="R187" s="101"/>
      <c r="S187" s="101"/>
      <c r="T187" s="101"/>
      <c r="U187" s="101"/>
      <c r="V187" s="101"/>
      <c r="W187" s="101"/>
      <c r="X187" s="101"/>
      <c r="Y187" s="101"/>
      <c r="Z187" s="101"/>
    </row>
    <row r="188">
      <c r="A188" s="101"/>
      <c r="B188" s="101"/>
      <c r="C188" s="101" t="str">
        <f>IFERROR(__xludf.DUMMYFUNCTION("""COMPUTED_VALUE"""),"CAMILA REIMBERG DOS SANTOS")</f>
        <v>CAMILA REIMBERG DOS SANTOS</v>
      </c>
      <c r="D188" s="101" t="str">
        <f>IFERROR(__xludf.DUMMYFUNCTION("""COMPUTED_VALUE"""),"479.***.***-04")</f>
        <v>479.***.***-04</v>
      </c>
      <c r="E188" s="101">
        <f>IFERROR(__xludf.DUMMYFUNCTION("""COMPUTED_VALUE"""),2.0)</f>
        <v>2</v>
      </c>
      <c r="F188" s="101" t="str">
        <f>IFERROR(__xludf.DUMMYFUNCTION("""COMPUTED_VALUE"""),"479.386.068-04")</f>
        <v>479.386.068-04</v>
      </c>
      <c r="G188" s="101"/>
      <c r="H188" s="101"/>
      <c r="I188" s="101"/>
      <c r="J188" s="101"/>
      <c r="K188" s="101"/>
      <c r="L188" s="101"/>
      <c r="M188" s="101"/>
      <c r="N188" s="101"/>
      <c r="O188" s="101"/>
      <c r="P188" s="101"/>
      <c r="Q188" s="101"/>
      <c r="R188" s="101"/>
      <c r="S188" s="101"/>
      <c r="T188" s="101"/>
      <c r="U188" s="101"/>
      <c r="V188" s="101"/>
      <c r="W188" s="101"/>
      <c r="X188" s="101"/>
      <c r="Y188" s="101"/>
      <c r="Z188" s="101"/>
    </row>
    <row r="189">
      <c r="A189" s="101"/>
      <c r="B189" s="101"/>
      <c r="C189" s="101" t="str">
        <f>IFERROR(__xludf.DUMMYFUNCTION("""COMPUTED_VALUE"""),"DANIEL SOUZA DA SILVA")</f>
        <v>DANIEL SOUZA DA SILVA</v>
      </c>
      <c r="D189" s="101" t="str">
        <f>IFERROR(__xludf.DUMMYFUNCTION("""COMPUTED_VALUE"""),"469.***.***-54")</f>
        <v>469.***.***-54</v>
      </c>
      <c r="E189" s="101">
        <f>IFERROR(__xludf.DUMMYFUNCTION("""COMPUTED_VALUE"""),4.0)</f>
        <v>4</v>
      </c>
      <c r="F189" s="101" t="str">
        <f>IFERROR(__xludf.DUMMYFUNCTION("""COMPUTED_VALUE"""),"469.039.438-54")</f>
        <v>469.039.438-54</v>
      </c>
      <c r="G189" s="101"/>
      <c r="H189" s="101"/>
      <c r="I189" s="101"/>
      <c r="J189" s="101"/>
      <c r="K189" s="101"/>
      <c r="L189" s="101"/>
      <c r="M189" s="101"/>
      <c r="N189" s="101"/>
      <c r="O189" s="101"/>
      <c r="P189" s="101"/>
      <c r="Q189" s="101"/>
      <c r="R189" s="101"/>
      <c r="S189" s="101"/>
      <c r="T189" s="101"/>
      <c r="U189" s="101"/>
      <c r="V189" s="101"/>
      <c r="W189" s="101"/>
      <c r="X189" s="101"/>
      <c r="Y189" s="101"/>
      <c r="Z189" s="101"/>
    </row>
    <row r="190">
      <c r="A190" s="101"/>
      <c r="B190" s="101"/>
      <c r="C190" s="101" t="str">
        <f>IFERROR(__xludf.DUMMYFUNCTION("""COMPUTED_VALUE"""),"ARIEL SANTOS")</f>
        <v>ARIEL SANTOS</v>
      </c>
      <c r="D190" s="101" t="str">
        <f>IFERROR(__xludf.DUMMYFUNCTION("""COMPUTED_VALUE"""),"497.***.***-41")</f>
        <v>497.***.***-41</v>
      </c>
      <c r="E190" s="101">
        <f>IFERROR(__xludf.DUMMYFUNCTION("""COMPUTED_VALUE"""),1.0)</f>
        <v>1</v>
      </c>
      <c r="F190" s="101" t="str">
        <f>IFERROR(__xludf.DUMMYFUNCTION("""COMPUTED_VALUE"""),"497.351.588-41")</f>
        <v>497.351.588-41</v>
      </c>
      <c r="G190" s="101"/>
      <c r="H190" s="101"/>
      <c r="I190" s="101"/>
      <c r="J190" s="101"/>
      <c r="K190" s="101"/>
      <c r="L190" s="101"/>
      <c r="M190" s="101"/>
      <c r="N190" s="101"/>
      <c r="O190" s="101"/>
      <c r="P190" s="101"/>
      <c r="Q190" s="101"/>
      <c r="R190" s="101"/>
      <c r="S190" s="101"/>
      <c r="T190" s="101"/>
      <c r="U190" s="101"/>
      <c r="V190" s="101"/>
      <c r="W190" s="101"/>
      <c r="X190" s="101"/>
      <c r="Y190" s="101"/>
      <c r="Z190" s="101"/>
    </row>
    <row r="191">
      <c r="A191" s="101"/>
      <c r="B191" s="101"/>
      <c r="C191" s="101" t="str">
        <f>IFERROR(__xludf.DUMMYFUNCTION("""COMPUTED_VALUE"""),"PABLO DE ALMEIDA SILVA ")</f>
        <v>PABLO DE ALMEIDA SILVA </v>
      </c>
      <c r="D191" s="101" t="str">
        <f>IFERROR(__xludf.DUMMYFUNCTION("""COMPUTED_VALUE"""),"120.***.***-83")</f>
        <v>120.***.***-83</v>
      </c>
      <c r="E191" s="101">
        <f>IFERROR(__xludf.DUMMYFUNCTION("""COMPUTED_VALUE"""),7.0)</f>
        <v>7</v>
      </c>
      <c r="F191" s="101" t="str">
        <f>IFERROR(__xludf.DUMMYFUNCTION("""COMPUTED_VALUE"""),"120.406.414-83")</f>
        <v>120.406.414-83</v>
      </c>
      <c r="G191" s="101"/>
      <c r="H191" s="101"/>
      <c r="I191" s="101"/>
      <c r="J191" s="101"/>
      <c r="K191" s="101"/>
      <c r="L191" s="101"/>
      <c r="M191" s="101"/>
      <c r="N191" s="101"/>
      <c r="O191" s="101"/>
      <c r="P191" s="101"/>
      <c r="Q191" s="101"/>
      <c r="R191" s="101"/>
      <c r="S191" s="101"/>
      <c r="T191" s="101"/>
      <c r="U191" s="101"/>
      <c r="V191" s="101"/>
      <c r="W191" s="101"/>
      <c r="X191" s="101"/>
      <c r="Y191" s="101"/>
      <c r="Z191" s="101"/>
    </row>
    <row r="192">
      <c r="A192" s="101"/>
      <c r="B192" s="101"/>
      <c r="C192" s="101" t="str">
        <f>IFERROR(__xludf.DUMMYFUNCTION("""COMPUTED_VALUE"""),"BARBARA DE ALMEIDA FERREIRA")</f>
        <v>BARBARA DE ALMEIDA FERREIRA</v>
      </c>
      <c r="D192" s="101" t="str">
        <f>IFERROR(__xludf.DUMMYFUNCTION("""COMPUTED_VALUE"""),"493.***.***-39")</f>
        <v>493.***.***-39</v>
      </c>
      <c r="E192" s="101">
        <f>IFERROR(__xludf.DUMMYFUNCTION("""COMPUTED_VALUE"""),2.0)</f>
        <v>2</v>
      </c>
      <c r="F192" s="101" t="str">
        <f>IFERROR(__xludf.DUMMYFUNCTION("""COMPUTED_VALUE"""),"493.020.428-39")</f>
        <v>493.020.428-39</v>
      </c>
      <c r="G192" s="101"/>
      <c r="H192" s="101"/>
      <c r="I192" s="101"/>
      <c r="J192" s="101"/>
      <c r="K192" s="101"/>
      <c r="L192" s="101"/>
      <c r="M192" s="101"/>
      <c r="N192" s="101"/>
      <c r="O192" s="101"/>
      <c r="P192" s="101"/>
      <c r="Q192" s="101"/>
      <c r="R192" s="101"/>
      <c r="S192" s="101"/>
      <c r="T192" s="101"/>
      <c r="U192" s="101"/>
      <c r="V192" s="101"/>
      <c r="W192" s="101"/>
      <c r="X192" s="101"/>
      <c r="Y192" s="101"/>
      <c r="Z192" s="101"/>
    </row>
    <row r="193">
      <c r="A193" s="101"/>
      <c r="B193" s="101"/>
      <c r="C193" s="101" t="str">
        <f>IFERROR(__xludf.DUMMYFUNCTION("""COMPUTED_VALUE"""),"THAIS PANTALEAO DE CAMARGO")</f>
        <v>THAIS PANTALEAO DE CAMARGO</v>
      </c>
      <c r="D193" s="101" t="str">
        <f>IFERROR(__xludf.DUMMYFUNCTION("""COMPUTED_VALUE"""),"412.***.***-30")</f>
        <v>412.***.***-30</v>
      </c>
      <c r="E193" s="101">
        <f>IFERROR(__xludf.DUMMYFUNCTION("""COMPUTED_VALUE"""),17.0)</f>
        <v>17</v>
      </c>
      <c r="F193" s="101" t="str">
        <f>IFERROR(__xludf.DUMMYFUNCTION("""COMPUTED_VALUE"""),"412.825.758-30")</f>
        <v>412.825.758-30</v>
      </c>
      <c r="G193" s="101"/>
      <c r="H193" s="101"/>
      <c r="I193" s="101"/>
      <c r="J193" s="101"/>
      <c r="K193" s="101"/>
      <c r="L193" s="101"/>
      <c r="M193" s="101"/>
      <c r="N193" s="101"/>
      <c r="O193" s="101"/>
      <c r="P193" s="101"/>
      <c r="Q193" s="101"/>
      <c r="R193" s="101"/>
      <c r="S193" s="101"/>
      <c r="T193" s="101"/>
      <c r="U193" s="101"/>
      <c r="V193" s="101"/>
      <c r="W193" s="101"/>
      <c r="X193" s="101"/>
      <c r="Y193" s="101"/>
      <c r="Z193" s="101"/>
    </row>
    <row r="194">
      <c r="A194" s="101"/>
      <c r="B194" s="101"/>
      <c r="C194" s="101" t="str">
        <f>IFERROR(__xludf.DUMMYFUNCTION("""COMPUTED_VALUE"""),"JOSÉ  WANDERSON REZENDE DA  SILVA")</f>
        <v>JOSÉ  WANDERSON REZENDE DA  SILVA</v>
      </c>
      <c r="D194" s="101" t="str">
        <f>IFERROR(__xludf.DUMMYFUNCTION("""COMPUTED_VALUE"""),"511.***.***-11")</f>
        <v>511.***.***-11</v>
      </c>
      <c r="E194" s="101">
        <f>IFERROR(__xludf.DUMMYFUNCTION("""COMPUTED_VALUE"""),8.0)</f>
        <v>8</v>
      </c>
      <c r="F194" s="101" t="str">
        <f>IFERROR(__xludf.DUMMYFUNCTION("""COMPUTED_VALUE"""),"511.834.668-11")</f>
        <v>511.834.668-11</v>
      </c>
      <c r="G194" s="101"/>
      <c r="H194" s="101"/>
      <c r="I194" s="101"/>
      <c r="J194" s="101"/>
      <c r="K194" s="101"/>
      <c r="L194" s="101"/>
      <c r="M194" s="101"/>
      <c r="N194" s="101"/>
      <c r="O194" s="101"/>
      <c r="P194" s="101"/>
      <c r="Q194" s="101"/>
      <c r="R194" s="101"/>
      <c r="S194" s="101"/>
      <c r="T194" s="101"/>
      <c r="U194" s="101"/>
      <c r="V194" s="101"/>
      <c r="W194" s="101"/>
      <c r="X194" s="101"/>
      <c r="Y194" s="101"/>
      <c r="Z194" s="101"/>
    </row>
    <row r="195">
      <c r="A195" s="101"/>
      <c r="B195" s="101"/>
      <c r="C195" s="101" t="str">
        <f>IFERROR(__xludf.DUMMYFUNCTION("""COMPUTED_VALUE"""),"ROBERT SOUSA DE ALMEIDA")</f>
        <v>ROBERT SOUSA DE ALMEIDA</v>
      </c>
      <c r="D195" s="101" t="str">
        <f>IFERROR(__xludf.DUMMYFUNCTION("""COMPUTED_VALUE"""),"498.***.***-11")</f>
        <v>498.***.***-11</v>
      </c>
      <c r="E195" s="101">
        <f>IFERROR(__xludf.DUMMYFUNCTION("""COMPUTED_VALUE"""),10.0)</f>
        <v>10</v>
      </c>
      <c r="F195" s="101" t="str">
        <f>IFERROR(__xludf.DUMMYFUNCTION("""COMPUTED_VALUE"""),"498.997.198-11")</f>
        <v>498.997.198-11</v>
      </c>
      <c r="G195" s="101"/>
      <c r="H195" s="101"/>
      <c r="I195" s="101"/>
      <c r="J195" s="101"/>
      <c r="K195" s="101"/>
      <c r="L195" s="101"/>
      <c r="M195" s="101"/>
      <c r="N195" s="101"/>
      <c r="O195" s="101"/>
      <c r="P195" s="101"/>
      <c r="Q195" s="101"/>
      <c r="R195" s="101"/>
      <c r="S195" s="101"/>
      <c r="T195" s="101"/>
      <c r="U195" s="101"/>
      <c r="V195" s="101"/>
      <c r="W195" s="101"/>
      <c r="X195" s="101"/>
      <c r="Y195" s="101"/>
      <c r="Z195" s="101"/>
    </row>
    <row r="196">
      <c r="A196" s="101"/>
      <c r="B196" s="101"/>
      <c r="C196" s="101" t="str">
        <f>IFERROR(__xludf.DUMMYFUNCTION("""COMPUTED_VALUE"""),"RAPHAEL TEIXEIRA DA SILVA")</f>
        <v>RAPHAEL TEIXEIRA DA SILVA</v>
      </c>
      <c r="D196" s="101" t="str">
        <f>IFERROR(__xludf.DUMMYFUNCTION("""COMPUTED_VALUE"""),"528.***.***-81")</f>
        <v>528.***.***-81</v>
      </c>
      <c r="E196" s="101">
        <f>IFERROR(__xludf.DUMMYFUNCTION("""COMPUTED_VALUE"""),10.0)</f>
        <v>10</v>
      </c>
      <c r="F196" s="101" t="str">
        <f>IFERROR(__xludf.DUMMYFUNCTION("""COMPUTED_VALUE"""),"528.215.788-81")</f>
        <v>528.215.788-81</v>
      </c>
      <c r="G196" s="101"/>
      <c r="H196" s="101"/>
      <c r="I196" s="101"/>
      <c r="J196" s="101"/>
      <c r="K196" s="101"/>
      <c r="L196" s="101"/>
      <c r="M196" s="101"/>
      <c r="N196" s="101"/>
      <c r="O196" s="101"/>
      <c r="P196" s="101"/>
      <c r="Q196" s="101"/>
      <c r="R196" s="101"/>
      <c r="S196" s="101"/>
      <c r="T196" s="101"/>
      <c r="U196" s="101"/>
      <c r="V196" s="101"/>
      <c r="W196" s="101"/>
      <c r="X196" s="101"/>
      <c r="Y196" s="101"/>
      <c r="Z196" s="101"/>
    </row>
    <row r="197">
      <c r="A197" s="101"/>
      <c r="B197" s="101"/>
      <c r="C197" s="101" t="str">
        <f>IFERROR(__xludf.DUMMYFUNCTION("""COMPUTED_VALUE"""),"GABRIELLI ALANE SANTIAGO LOPES")</f>
        <v>GABRIELLI ALANE SANTIAGO LOPES</v>
      </c>
      <c r="D197" s="101" t="str">
        <f>IFERROR(__xludf.DUMMYFUNCTION("""COMPUTED_VALUE"""),"432.***.***-98")</f>
        <v>432.***.***-98</v>
      </c>
      <c r="E197" s="101">
        <f>IFERROR(__xludf.DUMMYFUNCTION("""COMPUTED_VALUE"""),4.0)</f>
        <v>4</v>
      </c>
      <c r="F197" s="101" t="str">
        <f>IFERROR(__xludf.DUMMYFUNCTION("""COMPUTED_VALUE"""),"432.569.488-98")</f>
        <v>432.569.488-98</v>
      </c>
      <c r="G197" s="101"/>
      <c r="H197" s="101"/>
      <c r="I197" s="101"/>
      <c r="J197" s="101"/>
      <c r="K197" s="101"/>
      <c r="L197" s="101"/>
      <c r="M197" s="101"/>
      <c r="N197" s="101"/>
      <c r="O197" s="101"/>
      <c r="P197" s="101"/>
      <c r="Q197" s="101"/>
      <c r="R197" s="101"/>
      <c r="S197" s="101"/>
      <c r="T197" s="101"/>
      <c r="U197" s="101"/>
      <c r="V197" s="101"/>
      <c r="W197" s="101"/>
      <c r="X197" s="101"/>
      <c r="Y197" s="101"/>
      <c r="Z197" s="101"/>
    </row>
    <row r="198">
      <c r="A198" s="101"/>
      <c r="B198" s="101"/>
      <c r="C198" s="101" t="str">
        <f>IFERROR(__xludf.DUMMYFUNCTION("""COMPUTED_VALUE"""),"GABRIELLA NUCCI DE OLIVEIRA")</f>
        <v>GABRIELLA NUCCI DE OLIVEIRA</v>
      </c>
      <c r="D198" s="101" t="str">
        <f>IFERROR(__xludf.DUMMYFUNCTION("""COMPUTED_VALUE"""),"434.***.***-52")</f>
        <v>434.***.***-52</v>
      </c>
      <c r="E198" s="101">
        <f>IFERROR(__xludf.DUMMYFUNCTION("""COMPUTED_VALUE"""),4.0)</f>
        <v>4</v>
      </c>
      <c r="F198" s="101" t="str">
        <f>IFERROR(__xludf.DUMMYFUNCTION("""COMPUTED_VALUE"""),"434.918.298-52")</f>
        <v>434.918.298-52</v>
      </c>
      <c r="G198" s="101"/>
      <c r="H198" s="101"/>
      <c r="I198" s="101"/>
      <c r="J198" s="101"/>
      <c r="K198" s="101"/>
      <c r="L198" s="101"/>
      <c r="M198" s="101"/>
      <c r="N198" s="101"/>
      <c r="O198" s="101"/>
      <c r="P198" s="101"/>
      <c r="Q198" s="101"/>
      <c r="R198" s="101"/>
      <c r="S198" s="101"/>
      <c r="T198" s="101"/>
      <c r="U198" s="101"/>
      <c r="V198" s="101"/>
      <c r="W198" s="101"/>
      <c r="X198" s="101"/>
      <c r="Y198" s="101"/>
      <c r="Z198" s="101"/>
    </row>
    <row r="199">
      <c r="A199" s="101"/>
      <c r="B199" s="101"/>
      <c r="C199" s="101" t="str">
        <f>IFERROR(__xludf.DUMMYFUNCTION("""COMPUTED_VALUE"""),"LAISLA BAPTISTA MARTINS")</f>
        <v>LAISLA BAPTISTA MARTINS</v>
      </c>
      <c r="D199" s="101" t="str">
        <f>IFERROR(__xludf.DUMMYFUNCTION("""COMPUTED_VALUE"""),"527.***.***-47")</f>
        <v>527.***.***-47</v>
      </c>
      <c r="E199" s="101">
        <f>IFERROR(__xludf.DUMMYFUNCTION("""COMPUTED_VALUE"""),2.0)</f>
        <v>2</v>
      </c>
      <c r="F199" s="101" t="str">
        <f>IFERROR(__xludf.DUMMYFUNCTION("""COMPUTED_VALUE"""),"527.385.898-47")</f>
        <v>527.385.898-47</v>
      </c>
      <c r="G199" s="101"/>
      <c r="H199" s="101"/>
      <c r="I199" s="101"/>
      <c r="J199" s="101"/>
      <c r="K199" s="101"/>
      <c r="L199" s="101"/>
      <c r="M199" s="101"/>
      <c r="N199" s="101"/>
      <c r="O199" s="101"/>
      <c r="P199" s="101"/>
      <c r="Q199" s="101"/>
      <c r="R199" s="101"/>
      <c r="S199" s="101"/>
      <c r="T199" s="101"/>
      <c r="U199" s="101"/>
      <c r="V199" s="101"/>
      <c r="W199" s="101"/>
      <c r="X199" s="101"/>
      <c r="Y199" s="101"/>
      <c r="Z199" s="101"/>
    </row>
    <row r="200">
      <c r="A200" s="101"/>
      <c r="B200" s="101"/>
      <c r="C200" s="101" t="str">
        <f>IFERROR(__xludf.DUMMYFUNCTION("""COMPUTED_VALUE"""),"GABRIELLY JENIFER DE SOUZA VIEIRA")</f>
        <v>GABRIELLY JENIFER DE SOUZA VIEIRA</v>
      </c>
      <c r="D200" s="101" t="str">
        <f>IFERROR(__xludf.DUMMYFUNCTION("""COMPUTED_VALUE"""),"538.***.***-80")</f>
        <v>538.***.***-80</v>
      </c>
      <c r="E200" s="101">
        <f>IFERROR(__xludf.DUMMYFUNCTION("""COMPUTED_VALUE"""),4.0)</f>
        <v>4</v>
      </c>
      <c r="F200" s="101" t="str">
        <f>IFERROR(__xludf.DUMMYFUNCTION("""COMPUTED_VALUE"""),"538.262.868-80")</f>
        <v>538.262.868-80</v>
      </c>
      <c r="G200" s="101"/>
      <c r="H200" s="101"/>
      <c r="I200" s="101"/>
      <c r="J200" s="101"/>
      <c r="K200" s="101"/>
      <c r="L200" s="101"/>
      <c r="M200" s="101"/>
      <c r="N200" s="101"/>
      <c r="O200" s="101"/>
      <c r="P200" s="101"/>
      <c r="Q200" s="101"/>
      <c r="R200" s="101"/>
      <c r="S200" s="101"/>
      <c r="T200" s="101"/>
      <c r="U200" s="101"/>
      <c r="V200" s="101"/>
      <c r="W200" s="101"/>
      <c r="X200" s="101"/>
      <c r="Y200" s="101"/>
      <c r="Z200" s="101"/>
    </row>
    <row r="201">
      <c r="A201" s="101"/>
      <c r="B201" s="101"/>
      <c r="C201" s="101" t="str">
        <f>IFERROR(__xludf.DUMMYFUNCTION("""COMPUTED_VALUE"""),"STEPHANNIE ALVES CAVALCANTE")</f>
        <v>STEPHANNIE ALVES CAVALCANTE</v>
      </c>
      <c r="D201" s="101" t="str">
        <f>IFERROR(__xludf.DUMMYFUNCTION("""COMPUTED_VALUE"""),"496.***.***-54")</f>
        <v>496.***.***-54</v>
      </c>
      <c r="E201" s="101">
        <f>IFERROR(__xludf.DUMMYFUNCTION("""COMPUTED_VALUE"""),11.0)</f>
        <v>11</v>
      </c>
      <c r="F201" s="101" t="str">
        <f>IFERROR(__xludf.DUMMYFUNCTION("""COMPUTED_VALUE"""),"496.154.188-54")</f>
        <v>496.154.188-54</v>
      </c>
      <c r="G201" s="101"/>
      <c r="H201" s="101"/>
      <c r="I201" s="101"/>
      <c r="J201" s="101"/>
      <c r="K201" s="101"/>
      <c r="L201" s="101"/>
      <c r="M201" s="101"/>
      <c r="N201" s="101"/>
      <c r="O201" s="101"/>
      <c r="P201" s="101"/>
      <c r="Q201" s="101"/>
      <c r="R201" s="101"/>
      <c r="S201" s="101"/>
      <c r="T201" s="101"/>
      <c r="U201" s="101"/>
      <c r="V201" s="101"/>
      <c r="W201" s="101"/>
      <c r="X201" s="101"/>
      <c r="Y201" s="101"/>
      <c r="Z201" s="101"/>
    </row>
    <row r="202">
      <c r="A202" s="101"/>
      <c r="B202" s="101"/>
      <c r="C202" s="101" t="str">
        <f>IFERROR(__xludf.DUMMYFUNCTION("""COMPUTED_VALUE"""),"GUSTAVO HERNANDES ANTUNES TEIXEIRA")</f>
        <v>GUSTAVO HERNANDES ANTUNES TEIXEIRA</v>
      </c>
      <c r="D202" s="101" t="str">
        <f>IFERROR(__xludf.DUMMYFUNCTION("""COMPUTED_VALUE"""),"457.***.***-09")</f>
        <v>457.***.***-09</v>
      </c>
      <c r="E202" s="101">
        <f>IFERROR(__xludf.DUMMYFUNCTION("""COMPUTED_VALUE"""),5.0)</f>
        <v>5</v>
      </c>
      <c r="F202" s="101" t="str">
        <f>IFERROR(__xludf.DUMMYFUNCTION("""COMPUTED_VALUE"""),"457.596.498-09")</f>
        <v>457.596.498-09</v>
      </c>
      <c r="G202" s="101"/>
      <c r="H202" s="101"/>
      <c r="I202" s="101"/>
      <c r="J202" s="101"/>
      <c r="K202" s="101"/>
      <c r="L202" s="101"/>
      <c r="M202" s="101"/>
      <c r="N202" s="101"/>
      <c r="O202" s="101"/>
      <c r="P202" s="101"/>
      <c r="Q202" s="101"/>
      <c r="R202" s="101"/>
      <c r="S202" s="101"/>
      <c r="T202" s="101"/>
      <c r="U202" s="101"/>
      <c r="V202" s="101"/>
      <c r="W202" s="101"/>
      <c r="X202" s="101"/>
      <c r="Y202" s="101"/>
      <c r="Z202" s="101"/>
    </row>
    <row r="203">
      <c r="A203" s="101"/>
      <c r="B203" s="101"/>
      <c r="C203" s="101" t="str">
        <f>IFERROR(__xludf.DUMMYFUNCTION("""COMPUTED_VALUE"""),"MATHEUS DE OLIVEIRA")</f>
        <v>MATHEUS DE OLIVEIRA</v>
      </c>
      <c r="D203" s="101" t="str">
        <f>IFERROR(__xludf.DUMMYFUNCTION("""COMPUTED_VALUE"""),"539.***.***-60")</f>
        <v>539.***.***-60</v>
      </c>
      <c r="E203" s="101">
        <f>IFERROR(__xludf.DUMMYFUNCTION("""COMPUTED_VALUE"""),12.0)</f>
        <v>12</v>
      </c>
      <c r="F203" s="101" t="str">
        <f>IFERROR(__xludf.DUMMYFUNCTION("""COMPUTED_VALUE"""),"539.831.858-60")</f>
        <v>539.831.858-60</v>
      </c>
      <c r="G203" s="101"/>
      <c r="H203" s="101"/>
      <c r="I203" s="101"/>
      <c r="J203" s="101"/>
      <c r="K203" s="101"/>
      <c r="L203" s="101"/>
      <c r="M203" s="101"/>
      <c r="N203" s="101"/>
      <c r="O203" s="101"/>
      <c r="P203" s="101"/>
      <c r="Q203" s="101"/>
      <c r="R203" s="101"/>
      <c r="S203" s="101"/>
      <c r="T203" s="101"/>
      <c r="U203" s="101"/>
      <c r="V203" s="101"/>
      <c r="W203" s="101"/>
      <c r="X203" s="101"/>
      <c r="Y203" s="101"/>
      <c r="Z203" s="101"/>
    </row>
    <row r="204">
      <c r="A204" s="101"/>
      <c r="B204" s="101"/>
      <c r="C204" s="101" t="str">
        <f>IFERROR(__xludf.DUMMYFUNCTION("""COMPUTED_VALUE"""),"TAYNA SOUSA PEREIRA LIMA")</f>
        <v>TAYNA SOUSA PEREIRA LIMA</v>
      </c>
      <c r="D204" s="101" t="str">
        <f>IFERROR(__xludf.DUMMYFUNCTION("""COMPUTED_VALUE"""),"502.***.***-70")</f>
        <v>502.***.***-70</v>
      </c>
      <c r="E204" s="101">
        <f>IFERROR(__xludf.DUMMYFUNCTION("""COMPUTED_VALUE"""),11.0)</f>
        <v>11</v>
      </c>
      <c r="F204" s="101" t="str">
        <f>IFERROR(__xludf.DUMMYFUNCTION("""COMPUTED_VALUE"""),"502.048.468-70")</f>
        <v>502.048.468-70</v>
      </c>
      <c r="G204" s="101"/>
      <c r="H204" s="101"/>
      <c r="I204" s="101"/>
      <c r="J204" s="101"/>
      <c r="K204" s="101"/>
      <c r="L204" s="101"/>
      <c r="M204" s="101"/>
      <c r="N204" s="101"/>
      <c r="O204" s="101"/>
      <c r="P204" s="101"/>
      <c r="Q204" s="101"/>
      <c r="R204" s="101"/>
      <c r="S204" s="101"/>
      <c r="T204" s="101"/>
      <c r="U204" s="101"/>
      <c r="V204" s="101"/>
      <c r="W204" s="101"/>
      <c r="X204" s="101"/>
      <c r="Y204" s="101"/>
      <c r="Z204" s="101"/>
    </row>
    <row r="205">
      <c r="A205" s="101"/>
      <c r="B205" s="101"/>
      <c r="C205" s="101" t="str">
        <f>IFERROR(__xludf.DUMMYFUNCTION("""COMPUTED_VALUE"""),"ISABELA TOBIAS LIMA DE MELO")</f>
        <v>ISABELA TOBIAS LIMA DE MELO</v>
      </c>
      <c r="D205" s="101" t="str">
        <f>IFERROR(__xludf.DUMMYFUNCTION("""COMPUTED_VALUE"""),"556.***.***-59")</f>
        <v>556.***.***-59</v>
      </c>
      <c r="E205" s="101">
        <f>IFERROR(__xludf.DUMMYFUNCTION("""COMPUTED_VALUE"""),5.0)</f>
        <v>5</v>
      </c>
      <c r="F205" s="101" t="str">
        <f>IFERROR(__xludf.DUMMYFUNCTION("""COMPUTED_VALUE"""),"556.320.938-59")</f>
        <v>556.320.938-59</v>
      </c>
      <c r="G205" s="101"/>
      <c r="H205" s="101"/>
      <c r="I205" s="101"/>
      <c r="J205" s="101"/>
      <c r="K205" s="101"/>
      <c r="L205" s="101"/>
      <c r="M205" s="101"/>
      <c r="N205" s="101"/>
      <c r="O205" s="101"/>
      <c r="P205" s="101"/>
      <c r="Q205" s="101"/>
      <c r="R205" s="101"/>
      <c r="S205" s="101"/>
      <c r="T205" s="101"/>
      <c r="U205" s="101"/>
      <c r="V205" s="101"/>
      <c r="W205" s="101"/>
      <c r="X205" s="101"/>
      <c r="Y205" s="101"/>
      <c r="Z205" s="101"/>
    </row>
    <row r="206">
      <c r="A206" s="101"/>
      <c r="B206" s="101"/>
      <c r="C206" s="101" t="str">
        <f>IFERROR(__xludf.DUMMYFUNCTION("""COMPUTED_VALUE"""),"LETICIA PEREIRA DA SILVA REIS")</f>
        <v>LETICIA PEREIRA DA SILVA REIS</v>
      </c>
      <c r="D206" s="101" t="str">
        <f>IFERROR(__xludf.DUMMYFUNCTION("""COMPUTED_VALUE"""),"337.***.***-84")</f>
        <v>337.***.***-84</v>
      </c>
      <c r="E206" s="101">
        <f>IFERROR(__xludf.DUMMYFUNCTION("""COMPUTED_VALUE"""),7.0)</f>
        <v>7</v>
      </c>
      <c r="F206" s="101" t="str">
        <f>IFERROR(__xludf.DUMMYFUNCTION("""COMPUTED_VALUE"""),"337.175.458-84")</f>
        <v>337.175.458-84</v>
      </c>
      <c r="G206" s="101"/>
      <c r="H206" s="101"/>
      <c r="I206" s="101"/>
      <c r="J206" s="101"/>
      <c r="K206" s="101"/>
      <c r="L206" s="101"/>
      <c r="M206" s="101"/>
      <c r="N206" s="101"/>
      <c r="O206" s="101"/>
      <c r="P206" s="101"/>
      <c r="Q206" s="101"/>
      <c r="R206" s="101"/>
      <c r="S206" s="101"/>
      <c r="T206" s="101"/>
      <c r="U206" s="101"/>
      <c r="V206" s="101"/>
      <c r="W206" s="101"/>
      <c r="X206" s="101"/>
      <c r="Y206" s="101"/>
      <c r="Z206" s="101"/>
    </row>
    <row r="207">
      <c r="A207" s="101"/>
      <c r="B207" s="101"/>
      <c r="C207" s="101" t="str">
        <f>IFERROR(__xludf.DUMMYFUNCTION("""COMPUTED_VALUE"""),"RHAYANE CONCEIÇÃO DE OLIVEIRA")</f>
        <v>RHAYANE CONCEIÇÃO DE OLIVEIRA</v>
      </c>
      <c r="D207" s="101" t="str">
        <f>IFERROR(__xludf.DUMMYFUNCTION("""COMPUTED_VALUE"""),"560.***.***-23")</f>
        <v>560.***.***-23</v>
      </c>
      <c r="E207" s="101">
        <f>IFERROR(__xludf.DUMMYFUNCTION("""COMPUTED_VALUE"""),15.0)</f>
        <v>15</v>
      </c>
      <c r="F207" s="101" t="str">
        <f>IFERROR(__xludf.DUMMYFUNCTION("""COMPUTED_VALUE"""),"560.124.948-23")</f>
        <v>560.124.948-23</v>
      </c>
      <c r="G207" s="101"/>
      <c r="H207" s="101"/>
      <c r="I207" s="101"/>
      <c r="J207" s="101"/>
      <c r="K207" s="101"/>
      <c r="L207" s="101"/>
      <c r="M207" s="101"/>
      <c r="N207" s="101"/>
      <c r="O207" s="101"/>
      <c r="P207" s="101"/>
      <c r="Q207" s="101"/>
      <c r="R207" s="101"/>
      <c r="S207" s="101"/>
      <c r="T207" s="101"/>
      <c r="U207" s="101"/>
      <c r="V207" s="101"/>
      <c r="W207" s="101"/>
      <c r="X207" s="101"/>
      <c r="Y207" s="101"/>
      <c r="Z207" s="101"/>
    </row>
    <row r="208">
      <c r="A208" s="101"/>
      <c r="B208" s="101"/>
      <c r="C208" s="101" t="str">
        <f>IFERROR(__xludf.DUMMYFUNCTION("""COMPUTED_VALUE"""),"SOPHIA MACHADO NUNES")</f>
        <v>SOPHIA MACHADO NUNES</v>
      </c>
      <c r="D208" s="101" t="str">
        <f>IFERROR(__xludf.DUMMYFUNCTION("""COMPUTED_VALUE"""),"545.***.***-60")</f>
        <v>545.***.***-60</v>
      </c>
      <c r="E208" s="101">
        <f>IFERROR(__xludf.DUMMYFUNCTION("""COMPUTED_VALUE"""),11.0)</f>
        <v>11</v>
      </c>
      <c r="F208" s="101" t="str">
        <f>IFERROR(__xludf.DUMMYFUNCTION("""COMPUTED_VALUE"""),"545.025.558-60")</f>
        <v>545.025.558-60</v>
      </c>
      <c r="G208" s="101"/>
      <c r="H208" s="101"/>
      <c r="I208" s="101"/>
      <c r="J208" s="101"/>
      <c r="K208" s="101"/>
      <c r="L208" s="101"/>
      <c r="M208" s="101"/>
      <c r="N208" s="101"/>
      <c r="O208" s="101"/>
      <c r="P208" s="101"/>
      <c r="Q208" s="101"/>
      <c r="R208" s="101"/>
      <c r="S208" s="101"/>
      <c r="T208" s="101"/>
      <c r="U208" s="101"/>
      <c r="V208" s="101"/>
      <c r="W208" s="101"/>
      <c r="X208" s="101"/>
      <c r="Y208" s="101"/>
      <c r="Z208" s="101"/>
    </row>
    <row r="209">
      <c r="A209" s="101"/>
      <c r="B209" s="101"/>
      <c r="C209" s="101" t="str">
        <f>IFERROR(__xludf.DUMMYFUNCTION("""COMPUTED_VALUE"""),"TIAGO MARCENO DE OLIVEIRA SILVA")</f>
        <v>TIAGO MARCENO DE OLIVEIRA SILVA</v>
      </c>
      <c r="D209" s="101" t="str">
        <f>IFERROR(__xludf.DUMMYFUNCTION("""COMPUTED_VALUE"""),"514.***.***-13")</f>
        <v>514.***.***-13</v>
      </c>
      <c r="E209" s="101">
        <f>IFERROR(__xludf.DUMMYFUNCTION("""COMPUTED_VALUE"""),17.0)</f>
        <v>17</v>
      </c>
      <c r="F209" s="101" t="str">
        <f>IFERROR(__xludf.DUMMYFUNCTION("""COMPUTED_VALUE"""),"514.356.718-13")</f>
        <v>514.356.718-13</v>
      </c>
      <c r="G209" s="101"/>
      <c r="H209" s="101"/>
      <c r="I209" s="101"/>
      <c r="J209" s="101"/>
      <c r="K209" s="101"/>
      <c r="L209" s="101"/>
      <c r="M209" s="101"/>
      <c r="N209" s="101"/>
      <c r="O209" s="101"/>
      <c r="P209" s="101"/>
      <c r="Q209" s="101"/>
      <c r="R209" s="101"/>
      <c r="S209" s="101"/>
      <c r="T209" s="101"/>
      <c r="U209" s="101"/>
      <c r="V209" s="101"/>
      <c r="W209" s="101"/>
      <c r="X209" s="101"/>
      <c r="Y209" s="101"/>
      <c r="Z209" s="101"/>
    </row>
    <row r="210">
      <c r="A210" s="101"/>
      <c r="B210" s="101"/>
      <c r="C210" s="101" t="str">
        <f>IFERROR(__xludf.DUMMYFUNCTION("""COMPUTED_VALUE"""),"BARBARA ABAYOMI DOS SANTOS")</f>
        <v>BARBARA ABAYOMI DOS SANTOS</v>
      </c>
      <c r="D210" s="101" t="str">
        <f>IFERROR(__xludf.DUMMYFUNCTION("""COMPUTED_VALUE"""),"395.***.***-06")</f>
        <v>395.***.***-06</v>
      </c>
      <c r="E210" s="101">
        <f>IFERROR(__xludf.DUMMYFUNCTION("""COMPUTED_VALUE"""),2.0)</f>
        <v>2</v>
      </c>
      <c r="F210" s="101" t="str">
        <f>IFERROR(__xludf.DUMMYFUNCTION("""COMPUTED_VALUE"""),"395.246.488-06")</f>
        <v>395.246.488-06</v>
      </c>
      <c r="G210" s="101"/>
      <c r="H210" s="101"/>
      <c r="I210" s="101"/>
      <c r="J210" s="101"/>
      <c r="K210" s="101"/>
      <c r="L210" s="101"/>
      <c r="M210" s="101"/>
      <c r="N210" s="101"/>
      <c r="O210" s="101"/>
      <c r="P210" s="101"/>
      <c r="Q210" s="101"/>
      <c r="R210" s="101"/>
      <c r="S210" s="101"/>
      <c r="T210" s="101"/>
      <c r="U210" s="101"/>
      <c r="V210" s="101"/>
      <c r="W210" s="101"/>
      <c r="X210" s="101"/>
      <c r="Y210" s="101"/>
      <c r="Z210" s="101"/>
    </row>
    <row r="211">
      <c r="A211" s="101"/>
      <c r="B211" s="101"/>
      <c r="C211" s="101" t="str">
        <f>IFERROR(__xludf.DUMMYFUNCTION("""COMPUTED_VALUE"""),"RAYSSA HAGATHA SOUZA SANTOS")</f>
        <v>RAYSSA HAGATHA SOUZA SANTOS</v>
      </c>
      <c r="D211" s="101" t="str">
        <f>IFERROR(__xludf.DUMMYFUNCTION("""COMPUTED_VALUE"""),"531.***.***-92")</f>
        <v>531.***.***-92</v>
      </c>
      <c r="E211" s="101">
        <f>IFERROR(__xludf.DUMMYFUNCTION("""COMPUTED_VALUE"""),15.0)</f>
        <v>15</v>
      </c>
      <c r="F211" s="101" t="str">
        <f>IFERROR(__xludf.DUMMYFUNCTION("""COMPUTED_VALUE"""),"531.657.908-92")</f>
        <v>531.657.908-92</v>
      </c>
      <c r="G211" s="101"/>
      <c r="H211" s="101"/>
      <c r="I211" s="101"/>
      <c r="J211" s="101"/>
      <c r="K211" s="101"/>
      <c r="L211" s="101"/>
      <c r="M211" s="101"/>
      <c r="N211" s="101"/>
      <c r="O211" s="101"/>
      <c r="P211" s="101"/>
      <c r="Q211" s="101"/>
      <c r="R211" s="101"/>
      <c r="S211" s="101"/>
      <c r="T211" s="101"/>
      <c r="U211" s="101"/>
      <c r="V211" s="101"/>
      <c r="W211" s="101"/>
      <c r="X211" s="101"/>
      <c r="Y211" s="101"/>
      <c r="Z211" s="101"/>
    </row>
    <row r="212">
      <c r="A212" s="101"/>
      <c r="B212" s="101"/>
      <c r="C212" s="101" t="str">
        <f>IFERROR(__xludf.DUMMYFUNCTION("""COMPUTED_VALUE"""),"KAYUA VIANA GOMES")</f>
        <v>KAYUA VIANA GOMES</v>
      </c>
      <c r="D212" s="101" t="str">
        <f>IFERROR(__xludf.DUMMYFUNCTION("""COMPUTED_VALUE"""),"503.***.***-59")</f>
        <v>503.***.***-59</v>
      </c>
      <c r="E212" s="101">
        <f>IFERROR(__xludf.DUMMYFUNCTION("""COMPUTED_VALUE"""),7.0)</f>
        <v>7</v>
      </c>
      <c r="F212" s="101" t="str">
        <f>IFERROR(__xludf.DUMMYFUNCTION("""COMPUTED_VALUE"""),"503.210.658-59")</f>
        <v>503.210.658-59</v>
      </c>
      <c r="G212" s="101"/>
      <c r="H212" s="101"/>
      <c r="I212" s="101"/>
      <c r="J212" s="101"/>
      <c r="K212" s="101"/>
      <c r="L212" s="101"/>
      <c r="M212" s="101"/>
      <c r="N212" s="101"/>
      <c r="O212" s="101"/>
      <c r="P212" s="101"/>
      <c r="Q212" s="101"/>
      <c r="R212" s="101"/>
      <c r="S212" s="101"/>
      <c r="T212" s="101"/>
      <c r="U212" s="101"/>
      <c r="V212" s="101"/>
      <c r="W212" s="101"/>
      <c r="X212" s="101"/>
      <c r="Y212" s="101"/>
      <c r="Z212" s="101"/>
    </row>
    <row r="213">
      <c r="A213" s="101"/>
      <c r="B213" s="101"/>
      <c r="C213" s="101" t="str">
        <f>IFERROR(__xludf.DUMMYFUNCTION("""COMPUTED_VALUE"""),"LUCAS FERNANDES DA SILVA")</f>
        <v>LUCAS FERNANDES DA SILVA</v>
      </c>
      <c r="D213" s="101" t="str">
        <f>IFERROR(__xludf.DUMMYFUNCTION("""COMPUTED_VALUE"""),"459.***.***-62")</f>
        <v>459.***.***-62</v>
      </c>
      <c r="E213" s="101">
        <f>IFERROR(__xludf.DUMMYFUNCTION("""COMPUTED_VALUE"""),7.0)</f>
        <v>7</v>
      </c>
      <c r="F213" s="101" t="str">
        <f>IFERROR(__xludf.DUMMYFUNCTION("""COMPUTED_VALUE"""),"459.464.258-62")</f>
        <v>459.464.258-62</v>
      </c>
      <c r="G213" s="101"/>
      <c r="H213" s="101"/>
      <c r="I213" s="101"/>
      <c r="J213" s="101"/>
      <c r="K213" s="101"/>
      <c r="L213" s="101"/>
      <c r="M213" s="101"/>
      <c r="N213" s="101"/>
      <c r="O213" s="101"/>
      <c r="P213" s="101"/>
      <c r="Q213" s="101"/>
      <c r="R213" s="101"/>
      <c r="S213" s="101"/>
      <c r="T213" s="101"/>
      <c r="U213" s="101"/>
      <c r="V213" s="101"/>
      <c r="W213" s="101"/>
      <c r="X213" s="101"/>
      <c r="Y213" s="101"/>
      <c r="Z213" s="101"/>
    </row>
    <row r="214">
      <c r="A214" s="101"/>
      <c r="B214" s="101"/>
      <c r="C214" s="101" t="str">
        <f>IFERROR(__xludf.DUMMYFUNCTION("""COMPUTED_VALUE"""),"LAURA ZANCANELLA SANTOS")</f>
        <v>LAURA ZANCANELLA SANTOS</v>
      </c>
      <c r="D214" s="101" t="str">
        <f>IFERROR(__xludf.DUMMYFUNCTION("""COMPUTED_VALUE"""),"452.***.***-04")</f>
        <v>452.***.***-04</v>
      </c>
      <c r="E214" s="101">
        <f>IFERROR(__xludf.DUMMYFUNCTION("""COMPUTED_VALUE"""),10.0)</f>
        <v>10</v>
      </c>
      <c r="F214" s="101" t="str">
        <f>IFERROR(__xludf.DUMMYFUNCTION("""COMPUTED_VALUE"""),"452.459.218-04")</f>
        <v>452.459.218-04</v>
      </c>
      <c r="G214" s="101"/>
      <c r="H214" s="101"/>
      <c r="I214" s="101"/>
      <c r="J214" s="101"/>
      <c r="K214" s="101"/>
      <c r="L214" s="101"/>
      <c r="M214" s="101"/>
      <c r="N214" s="101"/>
      <c r="O214" s="101"/>
      <c r="P214" s="101"/>
      <c r="Q214" s="101"/>
      <c r="R214" s="101"/>
      <c r="S214" s="101"/>
      <c r="T214" s="101"/>
      <c r="U214" s="101"/>
      <c r="V214" s="101"/>
      <c r="W214" s="101"/>
      <c r="X214" s="101"/>
      <c r="Y214" s="101"/>
      <c r="Z214" s="101"/>
    </row>
    <row r="215">
      <c r="A215" s="101"/>
      <c r="B215" s="101"/>
      <c r="C215" s="101" t="str">
        <f>IFERROR(__xludf.DUMMYFUNCTION("""COMPUTED_VALUE"""),"VITORIA MARIA CAMPOS DO NASCIMENTO")</f>
        <v>VITORIA MARIA CAMPOS DO NASCIMENTO</v>
      </c>
      <c r="D215" s="101" t="str">
        <f>IFERROR(__xludf.DUMMYFUNCTION("""COMPUTED_VALUE"""),"486.***.***-98")</f>
        <v>486.***.***-98</v>
      </c>
      <c r="E215" s="101">
        <f>IFERROR(__xludf.DUMMYFUNCTION("""COMPUTED_VALUE"""),12.0)</f>
        <v>12</v>
      </c>
      <c r="F215" s="101" t="str">
        <f>IFERROR(__xludf.DUMMYFUNCTION("""COMPUTED_VALUE"""),"486.412.978-98")</f>
        <v>486.412.978-98</v>
      </c>
      <c r="G215" s="101"/>
      <c r="H215" s="101"/>
      <c r="I215" s="101"/>
      <c r="J215" s="101"/>
      <c r="K215" s="101"/>
      <c r="L215" s="101"/>
      <c r="M215" s="101"/>
      <c r="N215" s="101"/>
      <c r="O215" s="101"/>
      <c r="P215" s="101"/>
      <c r="Q215" s="101"/>
      <c r="R215" s="101"/>
      <c r="S215" s="101"/>
      <c r="T215" s="101"/>
      <c r="U215" s="101"/>
      <c r="V215" s="101"/>
      <c r="W215" s="101"/>
      <c r="X215" s="101"/>
      <c r="Y215" s="101"/>
      <c r="Z215" s="101"/>
    </row>
    <row r="216">
      <c r="A216" s="101"/>
      <c r="B216" s="101"/>
      <c r="C216" s="101" t="str">
        <f>IFERROR(__xludf.DUMMYFUNCTION("""COMPUTED_VALUE"""),"RAYANE PEREIRA CANDIDO")</f>
        <v>RAYANE PEREIRA CANDIDO</v>
      </c>
      <c r="D216" s="101" t="str">
        <f>IFERROR(__xludf.DUMMYFUNCTION("""COMPUTED_VALUE"""),"453.***.***-13")</f>
        <v>453.***.***-13</v>
      </c>
      <c r="E216" s="101">
        <f>IFERROR(__xludf.DUMMYFUNCTION("""COMPUTED_VALUE"""),10.0)</f>
        <v>10</v>
      </c>
      <c r="F216" s="101" t="str">
        <f>IFERROR(__xludf.DUMMYFUNCTION("""COMPUTED_VALUE"""),"453.852.508-13")</f>
        <v>453.852.508-13</v>
      </c>
      <c r="G216" s="101"/>
      <c r="H216" s="101"/>
      <c r="I216" s="101"/>
      <c r="J216" s="101"/>
      <c r="K216" s="101"/>
      <c r="L216" s="101"/>
      <c r="M216" s="101"/>
      <c r="N216" s="101"/>
      <c r="O216" s="101"/>
      <c r="P216" s="101"/>
      <c r="Q216" s="101"/>
      <c r="R216" s="101"/>
      <c r="S216" s="101"/>
      <c r="T216" s="101"/>
      <c r="U216" s="101"/>
      <c r="V216" s="101"/>
      <c r="W216" s="101"/>
      <c r="X216" s="101"/>
      <c r="Y216" s="101"/>
      <c r="Z216" s="101"/>
    </row>
    <row r="217">
      <c r="A217" s="101"/>
      <c r="B217" s="101"/>
      <c r="C217" s="101" t="str">
        <f>IFERROR(__xludf.DUMMYFUNCTION("""COMPUTED_VALUE"""),"JULIA OLIVEIRA DA CRUZ")</f>
        <v>JULIA OLIVEIRA DA CRUZ</v>
      </c>
      <c r="D217" s="101" t="str">
        <f>IFERROR(__xludf.DUMMYFUNCTION("""COMPUTED_VALUE"""),"362.***.***-43")</f>
        <v>362.***.***-43</v>
      </c>
      <c r="E217" s="101">
        <f>IFERROR(__xludf.DUMMYFUNCTION("""COMPUTED_VALUE"""),6.0)</f>
        <v>6</v>
      </c>
      <c r="F217" s="101" t="str">
        <f>IFERROR(__xludf.DUMMYFUNCTION("""COMPUTED_VALUE"""),"362.746.578-43")</f>
        <v>362.746.578-43</v>
      </c>
      <c r="G217" s="101"/>
      <c r="H217" s="101"/>
      <c r="I217" s="101"/>
      <c r="J217" s="101"/>
      <c r="K217" s="101"/>
      <c r="L217" s="101"/>
      <c r="M217" s="101"/>
      <c r="N217" s="101"/>
      <c r="O217" s="101"/>
      <c r="P217" s="101"/>
      <c r="Q217" s="101"/>
      <c r="R217" s="101"/>
      <c r="S217" s="101"/>
      <c r="T217" s="101"/>
      <c r="U217" s="101"/>
      <c r="V217" s="101"/>
      <c r="W217" s="101"/>
      <c r="X217" s="101"/>
      <c r="Y217" s="101"/>
      <c r="Z217" s="101"/>
    </row>
    <row r="218">
      <c r="A218" s="101"/>
      <c r="B218" s="101"/>
      <c r="C218" s="101" t="str">
        <f>IFERROR(__xludf.DUMMYFUNCTION("""COMPUTED_VALUE"""),"ANA LUISA MARTINS DA SILVA")</f>
        <v>ANA LUISA MARTINS DA SILVA</v>
      </c>
      <c r="D218" s="101" t="str">
        <f>IFERROR(__xludf.DUMMYFUNCTION("""COMPUTED_VALUE"""),"473.***.***-14")</f>
        <v>473.***.***-14</v>
      </c>
      <c r="E218" s="101">
        <f>IFERROR(__xludf.DUMMYFUNCTION("""COMPUTED_VALUE"""),1.0)</f>
        <v>1</v>
      </c>
      <c r="F218" s="101" t="str">
        <f>IFERROR(__xludf.DUMMYFUNCTION("""COMPUTED_VALUE"""),"473.667.278-14")</f>
        <v>473.667.278-14</v>
      </c>
      <c r="G218" s="101"/>
      <c r="H218" s="101"/>
      <c r="I218" s="101"/>
      <c r="J218" s="101"/>
      <c r="K218" s="101"/>
      <c r="L218" s="101"/>
      <c r="M218" s="101"/>
      <c r="N218" s="101"/>
      <c r="O218" s="101"/>
      <c r="P218" s="101"/>
      <c r="Q218" s="101"/>
      <c r="R218" s="101"/>
      <c r="S218" s="101"/>
      <c r="T218" s="101"/>
      <c r="U218" s="101"/>
      <c r="V218" s="101"/>
      <c r="W218" s="101"/>
      <c r="X218" s="101"/>
      <c r="Y218" s="101"/>
      <c r="Z218" s="101"/>
    </row>
    <row r="219">
      <c r="A219" s="101"/>
      <c r="B219" s="101"/>
      <c r="C219" s="101" t="str">
        <f>IFERROR(__xludf.DUMMYFUNCTION("""COMPUTED_VALUE"""),"BIANCA TORAZAN DA SILVA")</f>
        <v>BIANCA TORAZAN DA SILVA</v>
      </c>
      <c r="D219" s="101" t="str">
        <f>IFERROR(__xludf.DUMMYFUNCTION("""COMPUTED_VALUE"""),"446.***.***-08")</f>
        <v>446.***.***-08</v>
      </c>
      <c r="E219" s="101">
        <f>IFERROR(__xludf.DUMMYFUNCTION("""COMPUTED_VALUE"""),2.0)</f>
        <v>2</v>
      </c>
      <c r="F219" s="101" t="str">
        <f>IFERROR(__xludf.DUMMYFUNCTION("""COMPUTED_VALUE"""),"446.386.528-08")</f>
        <v>446.386.528-08</v>
      </c>
      <c r="G219" s="101"/>
      <c r="H219" s="101"/>
      <c r="I219" s="101"/>
      <c r="J219" s="101"/>
      <c r="K219" s="101"/>
      <c r="L219" s="101"/>
      <c r="M219" s="101"/>
      <c r="N219" s="101"/>
      <c r="O219" s="101"/>
      <c r="P219" s="101"/>
      <c r="Q219" s="101"/>
      <c r="R219" s="101"/>
      <c r="S219" s="101"/>
      <c r="T219" s="101"/>
      <c r="U219" s="101"/>
      <c r="V219" s="101"/>
      <c r="W219" s="101"/>
      <c r="X219" s="101"/>
      <c r="Y219" s="101"/>
      <c r="Z219" s="101"/>
    </row>
    <row r="220">
      <c r="A220" s="101"/>
      <c r="B220" s="101"/>
      <c r="C220" s="101" t="str">
        <f>IFERROR(__xludf.DUMMYFUNCTION("""COMPUTED_VALUE"""),"ALINE ANDRÉ SANTOS")</f>
        <v>ALINE ANDRÉ SANTOS</v>
      </c>
      <c r="D220" s="101" t="str">
        <f>IFERROR(__xludf.DUMMYFUNCTION("""COMPUTED_VALUE"""),"498.***.***-35")</f>
        <v>498.***.***-35</v>
      </c>
      <c r="E220" s="101">
        <f>IFERROR(__xludf.DUMMYFUNCTION("""COMPUTED_VALUE"""),1.0)</f>
        <v>1</v>
      </c>
      <c r="F220" s="101" t="str">
        <f>IFERROR(__xludf.DUMMYFUNCTION("""COMPUTED_VALUE"""),"498.451.628-35")</f>
        <v>498.451.628-35</v>
      </c>
      <c r="G220" s="101"/>
      <c r="H220" s="101"/>
      <c r="I220" s="101"/>
      <c r="J220" s="101"/>
      <c r="K220" s="101"/>
      <c r="L220" s="101"/>
      <c r="M220" s="101"/>
      <c r="N220" s="101"/>
      <c r="O220" s="101"/>
      <c r="P220" s="101"/>
      <c r="Q220" s="101"/>
      <c r="R220" s="101"/>
      <c r="S220" s="101"/>
      <c r="T220" s="101"/>
      <c r="U220" s="101"/>
      <c r="V220" s="101"/>
      <c r="W220" s="101"/>
      <c r="X220" s="101"/>
      <c r="Y220" s="101"/>
      <c r="Z220" s="101"/>
    </row>
    <row r="221">
      <c r="A221" s="101"/>
      <c r="B221" s="101"/>
      <c r="C221" s="101" t="str">
        <f>IFERROR(__xludf.DUMMYFUNCTION("""COMPUTED_VALUE"""),"LARISSA BRAGA ARCANJO")</f>
        <v>LARISSA BRAGA ARCANJO</v>
      </c>
      <c r="D221" s="101" t="str">
        <f>IFERROR(__xludf.DUMMYFUNCTION("""COMPUTED_VALUE"""),"531.***.***-01")</f>
        <v>531.***.***-01</v>
      </c>
      <c r="E221" s="101">
        <f>IFERROR(__xludf.DUMMYFUNCTION("""COMPUTED_VALUE"""),7.0)</f>
        <v>7</v>
      </c>
      <c r="F221" s="101" t="str">
        <f>IFERROR(__xludf.DUMMYFUNCTION("""COMPUTED_VALUE"""),"531.472.488-01")</f>
        <v>531.472.488-01</v>
      </c>
      <c r="G221" s="101"/>
      <c r="H221" s="101"/>
      <c r="I221" s="101"/>
      <c r="J221" s="101"/>
      <c r="K221" s="101"/>
      <c r="L221" s="101"/>
      <c r="M221" s="101"/>
      <c r="N221" s="101"/>
      <c r="O221" s="101"/>
      <c r="P221" s="101"/>
      <c r="Q221" s="101"/>
      <c r="R221" s="101"/>
      <c r="S221" s="101"/>
      <c r="T221" s="101"/>
      <c r="U221" s="101"/>
      <c r="V221" s="101"/>
      <c r="W221" s="101"/>
      <c r="X221" s="101"/>
      <c r="Y221" s="101"/>
      <c r="Z221" s="101"/>
    </row>
    <row r="222">
      <c r="A222" s="101"/>
      <c r="B222" s="101"/>
      <c r="C222" s="101" t="str">
        <f>IFERROR(__xludf.DUMMYFUNCTION("""COMPUTED_VALUE"""),"AIYRA PEREIRA DE SOUZA")</f>
        <v>AIYRA PEREIRA DE SOUZA</v>
      </c>
      <c r="D222" s="101" t="str">
        <f>IFERROR(__xludf.DUMMYFUNCTION("""COMPUTED_VALUE"""),"436.***.***-74")</f>
        <v>436.***.***-74</v>
      </c>
      <c r="E222" s="101">
        <f>IFERROR(__xludf.DUMMYFUNCTION("""COMPUTED_VALUE"""),1.0)</f>
        <v>1</v>
      </c>
      <c r="F222" s="101" t="str">
        <f>IFERROR(__xludf.DUMMYFUNCTION("""COMPUTED_VALUE"""),"436.410.528-74")</f>
        <v>436.410.528-74</v>
      </c>
      <c r="G222" s="101"/>
      <c r="H222" s="101"/>
      <c r="I222" s="101"/>
      <c r="J222" s="101"/>
      <c r="K222" s="101"/>
      <c r="L222" s="101"/>
      <c r="M222" s="101"/>
      <c r="N222" s="101"/>
      <c r="O222" s="101"/>
      <c r="P222" s="101"/>
      <c r="Q222" s="101"/>
      <c r="R222" s="101"/>
      <c r="S222" s="101"/>
      <c r="T222" s="101"/>
      <c r="U222" s="101"/>
      <c r="V222" s="101"/>
      <c r="W222" s="101"/>
      <c r="X222" s="101"/>
      <c r="Y222" s="101"/>
      <c r="Z222" s="101"/>
    </row>
    <row r="223">
      <c r="A223" s="101"/>
      <c r="B223" s="101"/>
      <c r="C223" s="101" t="str">
        <f>IFERROR(__xludf.DUMMYFUNCTION("""COMPUTED_VALUE"""),"CARLA VITORIA CARDOSO DOS SANTOS")</f>
        <v>CARLA VITORIA CARDOSO DOS SANTOS</v>
      </c>
      <c r="D223" s="101" t="str">
        <f>IFERROR(__xludf.DUMMYFUNCTION("""COMPUTED_VALUE"""),"560.***.***-09")</f>
        <v>560.***.***-09</v>
      </c>
      <c r="E223" s="101">
        <f>IFERROR(__xludf.DUMMYFUNCTION("""COMPUTED_VALUE"""),2.0)</f>
        <v>2</v>
      </c>
      <c r="F223" s="101" t="str">
        <f>IFERROR(__xludf.DUMMYFUNCTION("""COMPUTED_VALUE"""),"560.887.408-09")</f>
        <v>560.887.408-09</v>
      </c>
      <c r="G223" s="101"/>
      <c r="H223" s="101"/>
      <c r="I223" s="101"/>
      <c r="J223" s="101"/>
      <c r="K223" s="101"/>
      <c r="L223" s="101"/>
      <c r="M223" s="101"/>
      <c r="N223" s="101"/>
      <c r="O223" s="101"/>
      <c r="P223" s="101"/>
      <c r="Q223" s="101"/>
      <c r="R223" s="101"/>
      <c r="S223" s="101"/>
      <c r="T223" s="101"/>
      <c r="U223" s="101"/>
      <c r="V223" s="101"/>
      <c r="W223" s="101"/>
      <c r="X223" s="101"/>
      <c r="Y223" s="101"/>
      <c r="Z223" s="101"/>
    </row>
    <row r="224">
      <c r="A224" s="101"/>
      <c r="B224" s="101"/>
      <c r="C224" s="101" t="str">
        <f>IFERROR(__xludf.DUMMYFUNCTION("""COMPUTED_VALUE"""),"ERIC SANTOS ROCHA")</f>
        <v>ERIC SANTOS ROCHA</v>
      </c>
      <c r="D224" s="101" t="str">
        <f>IFERROR(__xludf.DUMMYFUNCTION("""COMPUTED_VALUE"""),"481.***.***-35")</f>
        <v>481.***.***-35</v>
      </c>
      <c r="E224" s="101">
        <f>IFERROR(__xludf.DUMMYFUNCTION("""COMPUTED_VALUE"""),3.0)</f>
        <v>3</v>
      </c>
      <c r="F224" s="101" t="str">
        <f>IFERROR(__xludf.DUMMYFUNCTION("""COMPUTED_VALUE"""),"481.956.608-35")</f>
        <v>481.956.608-35</v>
      </c>
      <c r="G224" s="101"/>
      <c r="H224" s="101"/>
      <c r="I224" s="101"/>
      <c r="J224" s="101"/>
      <c r="K224" s="101"/>
      <c r="L224" s="101"/>
      <c r="M224" s="101"/>
      <c r="N224" s="101"/>
      <c r="O224" s="101"/>
      <c r="P224" s="101"/>
      <c r="Q224" s="101"/>
      <c r="R224" s="101"/>
      <c r="S224" s="101"/>
      <c r="T224" s="101"/>
      <c r="U224" s="101"/>
      <c r="V224" s="101"/>
      <c r="W224" s="101"/>
      <c r="X224" s="101"/>
      <c r="Y224" s="101"/>
      <c r="Z224" s="101"/>
    </row>
    <row r="225">
      <c r="A225" s="101"/>
      <c r="B225" s="101"/>
      <c r="C225" s="101" t="str">
        <f>IFERROR(__xludf.DUMMYFUNCTION("""COMPUTED_VALUE"""),"KAIQUE  APARECIDO ABRAHÃO AMBRUSTER")</f>
        <v>KAIQUE  APARECIDO ABRAHÃO AMBRUSTER</v>
      </c>
      <c r="D225" s="101" t="str">
        <f>IFERROR(__xludf.DUMMYFUNCTION("""COMPUTED_VALUE"""),"502.***.***-96")</f>
        <v>502.***.***-96</v>
      </c>
      <c r="E225" s="101">
        <f>IFERROR(__xludf.DUMMYFUNCTION("""COMPUTED_VALUE"""),9.0)</f>
        <v>9</v>
      </c>
      <c r="F225" s="101" t="str">
        <f>IFERROR(__xludf.DUMMYFUNCTION("""COMPUTED_VALUE"""),"502.455.298-96")</f>
        <v>502.455.298-96</v>
      </c>
      <c r="G225" s="101"/>
      <c r="H225" s="101"/>
      <c r="I225" s="101"/>
      <c r="J225" s="101"/>
      <c r="K225" s="101"/>
      <c r="L225" s="101"/>
      <c r="M225" s="101"/>
      <c r="N225" s="101"/>
      <c r="O225" s="101"/>
      <c r="P225" s="101"/>
      <c r="Q225" s="101"/>
      <c r="R225" s="101"/>
      <c r="S225" s="101"/>
      <c r="T225" s="101"/>
      <c r="U225" s="101"/>
      <c r="V225" s="101"/>
      <c r="W225" s="101"/>
      <c r="X225" s="101"/>
      <c r="Y225" s="101"/>
      <c r="Z225" s="101"/>
    </row>
    <row r="226">
      <c r="A226" s="101"/>
      <c r="B226" s="101"/>
      <c r="C226" s="101" t="str">
        <f>IFERROR(__xludf.DUMMYFUNCTION("""COMPUTED_VALUE"""),"LETICIA DOMENES TOMAZ")</f>
        <v>LETICIA DOMENES TOMAZ</v>
      </c>
      <c r="D226" s="101" t="str">
        <f>IFERROR(__xludf.DUMMYFUNCTION("""COMPUTED_VALUE"""),"484.***.***-71")</f>
        <v>484.***.***-71</v>
      </c>
      <c r="E226" s="101">
        <f>IFERROR(__xludf.DUMMYFUNCTION("""COMPUTED_VALUE"""),3.0)</f>
        <v>3</v>
      </c>
      <c r="F226" s="101" t="str">
        <f>IFERROR(__xludf.DUMMYFUNCTION("""COMPUTED_VALUE"""),"484.872.428-71")</f>
        <v>484.872.428-71</v>
      </c>
      <c r="G226" s="101"/>
      <c r="H226" s="101"/>
      <c r="I226" s="101"/>
      <c r="J226" s="101"/>
      <c r="K226" s="101"/>
      <c r="L226" s="101"/>
      <c r="M226" s="101"/>
      <c r="N226" s="101"/>
      <c r="O226" s="101"/>
      <c r="P226" s="101"/>
      <c r="Q226" s="101"/>
      <c r="R226" s="101"/>
      <c r="S226" s="101"/>
      <c r="T226" s="101"/>
      <c r="U226" s="101"/>
      <c r="V226" s="101"/>
      <c r="W226" s="101"/>
      <c r="X226" s="101"/>
      <c r="Y226" s="101"/>
      <c r="Z226" s="101"/>
    </row>
    <row r="227">
      <c r="A227" s="101"/>
      <c r="B227" s="101"/>
      <c r="C227" s="101" t="str">
        <f>IFERROR(__xludf.DUMMYFUNCTION("""COMPUTED_VALUE"""),"JULIA GONCALVES DA SILVA")</f>
        <v>JULIA GONCALVES DA SILVA</v>
      </c>
      <c r="D227" s="101" t="str">
        <f>IFERROR(__xludf.DUMMYFUNCTION("""COMPUTED_VALUE"""),"465.***.***-88")</f>
        <v>465.***.***-88</v>
      </c>
      <c r="E227" s="101">
        <f>IFERROR(__xludf.DUMMYFUNCTION("""COMPUTED_VALUE"""),6.0)</f>
        <v>6</v>
      </c>
      <c r="F227" s="101" t="str">
        <f>IFERROR(__xludf.DUMMYFUNCTION("""COMPUTED_VALUE"""),"465.080.178-88")</f>
        <v>465.080.178-88</v>
      </c>
      <c r="G227" s="101"/>
      <c r="H227" s="101"/>
      <c r="I227" s="101"/>
      <c r="J227" s="101"/>
      <c r="K227" s="101"/>
      <c r="L227" s="101"/>
      <c r="M227" s="101"/>
      <c r="N227" s="101"/>
      <c r="O227" s="101"/>
      <c r="P227" s="101"/>
      <c r="Q227" s="101"/>
      <c r="R227" s="101"/>
      <c r="S227" s="101"/>
      <c r="T227" s="101"/>
      <c r="U227" s="101"/>
      <c r="V227" s="101"/>
      <c r="W227" s="101"/>
      <c r="X227" s="101"/>
      <c r="Y227" s="101"/>
      <c r="Z227" s="101"/>
    </row>
    <row r="228">
      <c r="A228" s="101"/>
      <c r="B228" s="101"/>
      <c r="C228" s="101" t="str">
        <f>IFERROR(__xludf.DUMMYFUNCTION("""COMPUTED_VALUE"""),"QUESIA PIRES DE VASCONCELOS")</f>
        <v>QUESIA PIRES DE VASCONCELOS</v>
      </c>
      <c r="D228" s="101" t="str">
        <f>IFERROR(__xludf.DUMMYFUNCTION("""COMPUTED_VALUE"""),"454.***.***-00")</f>
        <v>454.***.***-00</v>
      </c>
      <c r="E228" s="101">
        <f>IFERROR(__xludf.DUMMYFUNCTION("""COMPUTED_VALUE"""),14.0)</f>
        <v>14</v>
      </c>
      <c r="F228" s="101" t="str">
        <f>IFERROR(__xludf.DUMMYFUNCTION("""COMPUTED_VALUE"""),"454.521.978-00")</f>
        <v>454.521.978-00</v>
      </c>
      <c r="G228" s="101"/>
      <c r="H228" s="101"/>
      <c r="I228" s="101"/>
      <c r="J228" s="101"/>
      <c r="K228" s="101"/>
      <c r="L228" s="101"/>
      <c r="M228" s="101"/>
      <c r="N228" s="101"/>
      <c r="O228" s="101"/>
      <c r="P228" s="101"/>
      <c r="Q228" s="101"/>
      <c r="R228" s="101"/>
      <c r="S228" s="101"/>
      <c r="T228" s="101"/>
      <c r="U228" s="101"/>
      <c r="V228" s="101"/>
      <c r="W228" s="101"/>
      <c r="X228" s="101"/>
      <c r="Y228" s="101"/>
      <c r="Z228" s="101"/>
    </row>
    <row r="229">
      <c r="A229" s="101"/>
      <c r="B229" s="101"/>
      <c r="C229" s="101" t="str">
        <f>IFERROR(__xludf.DUMMYFUNCTION("""COMPUTED_VALUE"""),"QUEBRANTXY ANTONIO PEREIRA SILVA")</f>
        <v>QUEBRANTXY ANTONIO PEREIRA SILVA</v>
      </c>
      <c r="D229" s="101" t="str">
        <f>IFERROR(__xludf.DUMMYFUNCTION("""COMPUTED_VALUE"""),"454.***.***-46")</f>
        <v>454.***.***-46</v>
      </c>
      <c r="E229" s="101">
        <f>IFERROR(__xludf.DUMMYFUNCTION("""COMPUTED_VALUE"""),10.0)</f>
        <v>10</v>
      </c>
      <c r="F229" s="101" t="str">
        <f>IFERROR(__xludf.DUMMYFUNCTION("""COMPUTED_VALUE"""),"454.027.228-46")</f>
        <v>454.027.228-46</v>
      </c>
      <c r="G229" s="101"/>
      <c r="H229" s="101"/>
      <c r="I229" s="101"/>
      <c r="J229" s="101"/>
      <c r="K229" s="101"/>
      <c r="L229" s="101"/>
      <c r="M229" s="101"/>
      <c r="N229" s="101"/>
      <c r="O229" s="101"/>
      <c r="P229" s="101"/>
      <c r="Q229" s="101"/>
      <c r="R229" s="101"/>
      <c r="S229" s="101"/>
      <c r="T229" s="101"/>
      <c r="U229" s="101"/>
      <c r="V229" s="101"/>
      <c r="W229" s="101"/>
      <c r="X229" s="101"/>
      <c r="Y229" s="101"/>
      <c r="Z229" s="101"/>
    </row>
    <row r="230">
      <c r="A230" s="101"/>
      <c r="B230" s="101"/>
      <c r="C230" s="101" t="str">
        <f>IFERROR(__xludf.DUMMYFUNCTION("""COMPUTED_VALUE"""),"THAIANY CAMPOS SOARES ROQUE")</f>
        <v>THAIANY CAMPOS SOARES ROQUE</v>
      </c>
      <c r="D230" s="101" t="str">
        <f>IFERROR(__xludf.DUMMYFUNCTION("""COMPUTED_VALUE"""),"464.***.***-27")</f>
        <v>464.***.***-27</v>
      </c>
      <c r="E230" s="101">
        <f>IFERROR(__xludf.DUMMYFUNCTION("""COMPUTED_VALUE"""),17.0)</f>
        <v>17</v>
      </c>
      <c r="F230" s="101" t="str">
        <f>IFERROR(__xludf.DUMMYFUNCTION("""COMPUTED_VALUE"""),"464.960.548-27")</f>
        <v>464.960.548-27</v>
      </c>
      <c r="G230" s="101"/>
      <c r="H230" s="101"/>
      <c r="I230" s="101"/>
      <c r="J230" s="101"/>
      <c r="K230" s="101"/>
      <c r="L230" s="101"/>
      <c r="M230" s="101"/>
      <c r="N230" s="101"/>
      <c r="O230" s="101"/>
      <c r="P230" s="101"/>
      <c r="Q230" s="101"/>
      <c r="R230" s="101"/>
      <c r="S230" s="101"/>
      <c r="T230" s="101"/>
      <c r="U230" s="101"/>
      <c r="V230" s="101"/>
      <c r="W230" s="101"/>
      <c r="X230" s="101"/>
      <c r="Y230" s="101"/>
      <c r="Z230" s="101"/>
    </row>
    <row r="231">
      <c r="A231" s="101"/>
      <c r="B231" s="101"/>
      <c r="C231" s="101" t="str">
        <f>IFERROR(__xludf.DUMMYFUNCTION("""COMPUTED_VALUE"""),"KAUÊ FERREIRA LIMA")</f>
        <v>KAUÊ FERREIRA LIMA</v>
      </c>
      <c r="D231" s="101" t="str">
        <f>IFERROR(__xludf.DUMMYFUNCTION("""COMPUTED_VALUE"""),"335.***.***-58")</f>
        <v>335.***.***-58</v>
      </c>
      <c r="E231" s="101">
        <f>IFERROR(__xludf.DUMMYFUNCTION("""COMPUTED_VALUE"""),9.0)</f>
        <v>9</v>
      </c>
      <c r="F231" s="101" t="str">
        <f>IFERROR(__xludf.DUMMYFUNCTION("""COMPUTED_VALUE"""),"335.498.768-58")</f>
        <v>335.498.768-58</v>
      </c>
      <c r="G231" s="101"/>
      <c r="H231" s="101"/>
      <c r="I231" s="101"/>
      <c r="J231" s="101"/>
      <c r="K231" s="101"/>
      <c r="L231" s="101"/>
      <c r="M231" s="101"/>
      <c r="N231" s="101"/>
      <c r="O231" s="101"/>
      <c r="P231" s="101"/>
      <c r="Q231" s="101"/>
      <c r="R231" s="101"/>
      <c r="S231" s="101"/>
      <c r="T231" s="101"/>
      <c r="U231" s="101"/>
      <c r="V231" s="101"/>
      <c r="W231" s="101"/>
      <c r="X231" s="101"/>
      <c r="Y231" s="101"/>
      <c r="Z231" s="101"/>
    </row>
    <row r="232">
      <c r="A232" s="101"/>
      <c r="B232" s="101"/>
      <c r="C232" s="101" t="str">
        <f>IFERROR(__xludf.DUMMYFUNCTION("""COMPUTED_VALUE"""),"CAÍQUE RODRIGUES SALDANHA")</f>
        <v>CAÍQUE RODRIGUES SALDANHA</v>
      </c>
      <c r="D232" s="101" t="str">
        <f>IFERROR(__xludf.DUMMYFUNCTION("""COMPUTED_VALUE"""),"490.***.***-27")</f>
        <v>490.***.***-27</v>
      </c>
      <c r="E232" s="101">
        <f>IFERROR(__xludf.DUMMYFUNCTION("""COMPUTED_VALUE"""),3.0)</f>
        <v>3</v>
      </c>
      <c r="F232" s="101" t="str">
        <f>IFERROR(__xludf.DUMMYFUNCTION("""COMPUTED_VALUE"""),"490.512.158-27")</f>
        <v>490.512.158-27</v>
      </c>
      <c r="G232" s="101"/>
      <c r="H232" s="101"/>
      <c r="I232" s="101"/>
      <c r="J232" s="101"/>
      <c r="K232" s="101"/>
      <c r="L232" s="101"/>
      <c r="M232" s="101"/>
      <c r="N232" s="101"/>
      <c r="O232" s="101"/>
      <c r="P232" s="101"/>
      <c r="Q232" s="101"/>
      <c r="R232" s="101"/>
      <c r="S232" s="101"/>
      <c r="T232" s="101"/>
      <c r="U232" s="101"/>
      <c r="V232" s="101"/>
      <c r="W232" s="101"/>
      <c r="X232" s="101"/>
      <c r="Y232" s="101"/>
      <c r="Z232" s="101"/>
    </row>
    <row r="233">
      <c r="A233" s="101"/>
      <c r="B233" s="101"/>
      <c r="C233" s="101" t="str">
        <f>IFERROR(__xludf.DUMMYFUNCTION("""COMPUTED_VALUE"""),"JENNIFER MENDES DE OLIVEIRA")</f>
        <v>JENNIFER MENDES DE OLIVEIRA</v>
      </c>
      <c r="D233" s="101" t="str">
        <f>IFERROR(__xludf.DUMMYFUNCTION("""COMPUTED_VALUE"""),"519.***.***-99")</f>
        <v>519.***.***-99</v>
      </c>
      <c r="E233" s="101">
        <f>IFERROR(__xludf.DUMMYFUNCTION("""COMPUTED_VALUE"""),8.0)</f>
        <v>8</v>
      </c>
      <c r="F233" s="101" t="str">
        <f>IFERROR(__xludf.DUMMYFUNCTION("""COMPUTED_VALUE"""),"519.921.028-99")</f>
        <v>519.921.028-99</v>
      </c>
      <c r="G233" s="101"/>
      <c r="H233" s="101"/>
      <c r="I233" s="101"/>
      <c r="J233" s="101"/>
      <c r="K233" s="101"/>
      <c r="L233" s="101"/>
      <c r="M233" s="101"/>
      <c r="N233" s="101"/>
      <c r="O233" s="101"/>
      <c r="P233" s="101"/>
      <c r="Q233" s="101"/>
      <c r="R233" s="101"/>
      <c r="S233" s="101"/>
      <c r="T233" s="101"/>
      <c r="U233" s="101"/>
      <c r="V233" s="101"/>
      <c r="W233" s="101"/>
      <c r="X233" s="101"/>
      <c r="Y233" s="101"/>
      <c r="Z233" s="101"/>
    </row>
    <row r="234">
      <c r="A234" s="101"/>
      <c r="B234" s="101"/>
      <c r="C234" s="101" t="str">
        <f>IFERROR(__xludf.DUMMYFUNCTION("""COMPUTED_VALUE"""),"VICTOR  HUGO DOS  SANTOS FIDELIS")</f>
        <v>VICTOR  HUGO DOS  SANTOS FIDELIS</v>
      </c>
      <c r="D234" s="101" t="str">
        <f>IFERROR(__xludf.DUMMYFUNCTION("""COMPUTED_VALUE"""),"385.***.***-90")</f>
        <v>385.***.***-90</v>
      </c>
      <c r="E234" s="101">
        <f>IFERROR(__xludf.DUMMYFUNCTION("""COMPUTED_VALUE"""),17.0)</f>
        <v>17</v>
      </c>
      <c r="F234" s="101" t="str">
        <f>IFERROR(__xludf.DUMMYFUNCTION("""COMPUTED_VALUE"""),"385.503.598-90")</f>
        <v>385.503.598-90</v>
      </c>
      <c r="G234" s="101"/>
      <c r="H234" s="101"/>
      <c r="I234" s="101"/>
      <c r="J234" s="101"/>
      <c r="K234" s="101"/>
      <c r="L234" s="101"/>
      <c r="M234" s="101"/>
      <c r="N234" s="101"/>
      <c r="O234" s="101"/>
      <c r="P234" s="101"/>
      <c r="Q234" s="101"/>
      <c r="R234" s="101"/>
      <c r="S234" s="101"/>
      <c r="T234" s="101"/>
      <c r="U234" s="101"/>
      <c r="V234" s="101"/>
      <c r="W234" s="101"/>
      <c r="X234" s="101"/>
      <c r="Y234" s="101"/>
      <c r="Z234" s="101"/>
    </row>
    <row r="235">
      <c r="A235" s="101"/>
      <c r="B235" s="101"/>
      <c r="C235" s="101" t="str">
        <f>IFERROR(__xludf.DUMMYFUNCTION("""COMPUTED_VALUE"""),"PABLO LUIS JESUS SILVA")</f>
        <v>PABLO LUIS JESUS SILVA</v>
      </c>
      <c r="D235" s="101" t="str">
        <f>IFERROR(__xludf.DUMMYFUNCTION("""COMPUTED_VALUE"""),"556.***.***-80")</f>
        <v>556.***.***-80</v>
      </c>
      <c r="E235" s="101">
        <f>IFERROR(__xludf.DUMMYFUNCTION("""COMPUTED_VALUE"""),14.0)</f>
        <v>14</v>
      </c>
      <c r="F235" s="101" t="str">
        <f>IFERROR(__xludf.DUMMYFUNCTION("""COMPUTED_VALUE"""),"556.084.748-80")</f>
        <v>556.084.748-80</v>
      </c>
      <c r="G235" s="101"/>
      <c r="H235" s="101"/>
      <c r="I235" s="101"/>
      <c r="J235" s="101"/>
      <c r="K235" s="101"/>
      <c r="L235" s="101"/>
      <c r="M235" s="101"/>
      <c r="N235" s="101"/>
      <c r="O235" s="101"/>
      <c r="P235" s="101"/>
      <c r="Q235" s="101"/>
      <c r="R235" s="101"/>
      <c r="S235" s="101"/>
      <c r="T235" s="101"/>
      <c r="U235" s="101"/>
      <c r="V235" s="101"/>
      <c r="W235" s="101"/>
      <c r="X235" s="101"/>
      <c r="Y235" s="101"/>
      <c r="Z235" s="101"/>
    </row>
    <row r="236">
      <c r="A236" s="101"/>
      <c r="B236" s="101"/>
      <c r="C236" s="101" t="str">
        <f>IFERROR(__xludf.DUMMYFUNCTION("""COMPUTED_VALUE"""),"LARISSA DOS SANTOS LACERDA")</f>
        <v>LARISSA DOS SANTOS LACERDA</v>
      </c>
      <c r="D236" s="101" t="str">
        <f>IFERROR(__xludf.DUMMYFUNCTION("""COMPUTED_VALUE"""),"476.***.***-95")</f>
        <v>476.***.***-95</v>
      </c>
      <c r="E236" s="101">
        <f>IFERROR(__xludf.DUMMYFUNCTION("""COMPUTED_VALUE"""),10.0)</f>
        <v>10</v>
      </c>
      <c r="F236" s="101" t="str">
        <f>IFERROR(__xludf.DUMMYFUNCTION("""COMPUTED_VALUE"""),"476.628.568-95")</f>
        <v>476.628.568-95</v>
      </c>
      <c r="G236" s="101"/>
      <c r="H236" s="101"/>
      <c r="I236" s="101"/>
      <c r="J236" s="101"/>
      <c r="K236" s="101"/>
      <c r="L236" s="101"/>
      <c r="M236" s="101"/>
      <c r="N236" s="101"/>
      <c r="O236" s="101"/>
      <c r="P236" s="101"/>
      <c r="Q236" s="101"/>
      <c r="R236" s="101"/>
      <c r="S236" s="101"/>
      <c r="T236" s="101"/>
      <c r="U236" s="101"/>
      <c r="V236" s="101"/>
      <c r="W236" s="101"/>
      <c r="X236" s="101"/>
      <c r="Y236" s="101"/>
      <c r="Z236" s="101"/>
    </row>
    <row r="237">
      <c r="A237" s="101"/>
      <c r="B237" s="101"/>
      <c r="C237" s="101" t="str">
        <f>IFERROR(__xludf.DUMMYFUNCTION("""COMPUTED_VALUE"""),"LUZ COSTA MACEDO")</f>
        <v>LUZ COSTA MACEDO</v>
      </c>
      <c r="D237" s="101" t="str">
        <f>IFERROR(__xludf.DUMMYFUNCTION("""COMPUTED_VALUE"""),"427.***.***-50")</f>
        <v>427.***.***-50</v>
      </c>
      <c r="E237" s="101">
        <f>IFERROR(__xludf.DUMMYFUNCTION("""COMPUTED_VALUE"""),8.0)</f>
        <v>8</v>
      </c>
      <c r="F237" s="101" t="str">
        <f>IFERROR(__xludf.DUMMYFUNCTION("""COMPUTED_VALUE"""),"427.090.458-50")</f>
        <v>427.090.458-50</v>
      </c>
      <c r="G237" s="101"/>
      <c r="H237" s="101"/>
      <c r="I237" s="101"/>
      <c r="J237" s="101"/>
      <c r="K237" s="101"/>
      <c r="L237" s="101"/>
      <c r="M237" s="101"/>
      <c r="N237" s="101"/>
      <c r="O237" s="101"/>
      <c r="P237" s="101"/>
      <c r="Q237" s="101"/>
      <c r="R237" s="101"/>
      <c r="S237" s="101"/>
      <c r="T237" s="101"/>
      <c r="U237" s="101"/>
      <c r="V237" s="101"/>
      <c r="W237" s="101"/>
      <c r="X237" s="101"/>
      <c r="Y237" s="101"/>
      <c r="Z237" s="101"/>
    </row>
    <row r="238">
      <c r="A238" s="101"/>
      <c r="B238" s="101"/>
      <c r="C238" s="101" t="str">
        <f>IFERROR(__xludf.DUMMYFUNCTION("""COMPUTED_VALUE"""),"BIANCA GONÇALVES FERREIRA")</f>
        <v>BIANCA GONÇALVES FERREIRA</v>
      </c>
      <c r="D238" s="101" t="str">
        <f>IFERROR(__xludf.DUMMYFUNCTION("""COMPUTED_VALUE"""),"489.***.***-09")</f>
        <v>489.***.***-09</v>
      </c>
      <c r="E238" s="101">
        <f>IFERROR(__xludf.DUMMYFUNCTION("""COMPUTED_VALUE"""),2.0)</f>
        <v>2</v>
      </c>
      <c r="F238" s="101" t="str">
        <f>IFERROR(__xludf.DUMMYFUNCTION("""COMPUTED_VALUE"""),"489.859.798-09")</f>
        <v>489.859.798-09</v>
      </c>
      <c r="G238" s="101"/>
      <c r="H238" s="101"/>
      <c r="I238" s="101"/>
      <c r="J238" s="101"/>
      <c r="K238" s="101"/>
      <c r="L238" s="101"/>
      <c r="M238" s="101"/>
      <c r="N238" s="101"/>
      <c r="O238" s="101"/>
      <c r="P238" s="101"/>
      <c r="Q238" s="101"/>
      <c r="R238" s="101"/>
      <c r="S238" s="101"/>
      <c r="T238" s="101"/>
      <c r="U238" s="101"/>
      <c r="V238" s="101"/>
      <c r="W238" s="101"/>
      <c r="X238" s="101"/>
      <c r="Y238" s="101"/>
      <c r="Z238" s="101"/>
    </row>
    <row r="239">
      <c r="A239" s="101"/>
      <c r="B239" s="101"/>
      <c r="C239" s="101" t="str">
        <f>IFERROR(__xludf.DUMMYFUNCTION("""COMPUTED_VALUE"""),"GABRIEL GUIETTE MOTA")</f>
        <v>GABRIEL GUIETTE MOTA</v>
      </c>
      <c r="D239" s="101" t="str">
        <f>IFERROR(__xludf.DUMMYFUNCTION("""COMPUTED_VALUE"""),"430.***.***-27")</f>
        <v>430.***.***-27</v>
      </c>
      <c r="E239" s="101">
        <f>IFERROR(__xludf.DUMMYFUNCTION("""COMPUTED_VALUE"""),4.0)</f>
        <v>4</v>
      </c>
      <c r="F239" s="101" t="str">
        <f>IFERROR(__xludf.DUMMYFUNCTION("""COMPUTED_VALUE"""),"430.113.788-27")</f>
        <v>430.113.788-27</v>
      </c>
      <c r="G239" s="101"/>
      <c r="H239" s="101"/>
      <c r="I239" s="101"/>
      <c r="J239" s="101"/>
      <c r="K239" s="101"/>
      <c r="L239" s="101"/>
      <c r="M239" s="101"/>
      <c r="N239" s="101"/>
      <c r="O239" s="101"/>
      <c r="P239" s="101"/>
      <c r="Q239" s="101"/>
      <c r="R239" s="101"/>
      <c r="S239" s="101"/>
      <c r="T239" s="101"/>
      <c r="U239" s="101"/>
      <c r="V239" s="101"/>
      <c r="W239" s="101"/>
      <c r="X239" s="101"/>
      <c r="Y239" s="101"/>
      <c r="Z239" s="101"/>
    </row>
    <row r="240">
      <c r="A240" s="101"/>
      <c r="B240" s="101"/>
      <c r="C240" s="101" t="str">
        <f>IFERROR(__xludf.DUMMYFUNCTION("""COMPUTED_VALUE"""),"RAIANE MENDES DOURADO")</f>
        <v>RAIANE MENDES DOURADO</v>
      </c>
      <c r="D240" s="101" t="str">
        <f>IFERROR(__xludf.DUMMYFUNCTION("""COMPUTED_VALUE"""),"506.***.***-70")</f>
        <v>506.***.***-70</v>
      </c>
      <c r="E240" s="101">
        <f>IFERROR(__xludf.DUMMYFUNCTION("""COMPUTED_VALUE"""),9.0)</f>
        <v>9</v>
      </c>
      <c r="F240" s="101" t="str">
        <f>IFERROR(__xludf.DUMMYFUNCTION("""COMPUTED_VALUE"""),"506.552.608-70")</f>
        <v>506.552.608-70</v>
      </c>
      <c r="G240" s="101"/>
      <c r="H240" s="101"/>
      <c r="I240" s="101"/>
      <c r="J240" s="101"/>
      <c r="K240" s="101"/>
      <c r="L240" s="101"/>
      <c r="M240" s="101"/>
      <c r="N240" s="101"/>
      <c r="O240" s="101"/>
      <c r="P240" s="101"/>
      <c r="Q240" s="101"/>
      <c r="R240" s="101"/>
      <c r="S240" s="101"/>
      <c r="T240" s="101"/>
      <c r="U240" s="101"/>
      <c r="V240" s="101"/>
      <c r="W240" s="101"/>
      <c r="X240" s="101"/>
      <c r="Y240" s="101"/>
      <c r="Z240" s="101"/>
    </row>
    <row r="241">
      <c r="A241" s="101"/>
      <c r="B241" s="101"/>
      <c r="C241" s="101" t="str">
        <f>IFERROR(__xludf.DUMMYFUNCTION("""COMPUTED_VALUE"""),"GABRIELLE NICOLE NASCIMENTO")</f>
        <v>GABRIELLE NICOLE NASCIMENTO</v>
      </c>
      <c r="D241" s="101" t="str">
        <f>IFERROR(__xludf.DUMMYFUNCTION("""COMPUTED_VALUE"""),"377.***.***-50")</f>
        <v>377.***.***-50</v>
      </c>
      <c r="E241" s="101">
        <f>IFERROR(__xludf.DUMMYFUNCTION("""COMPUTED_VALUE"""),10.0)</f>
        <v>10</v>
      </c>
      <c r="F241" s="101" t="str">
        <f>IFERROR(__xludf.DUMMYFUNCTION("""COMPUTED_VALUE"""),"377.641.048-50")</f>
        <v>377.641.048-50</v>
      </c>
      <c r="G241" s="101"/>
      <c r="H241" s="101"/>
      <c r="I241" s="101"/>
      <c r="J241" s="101"/>
      <c r="K241" s="101"/>
      <c r="L241" s="101"/>
      <c r="M241" s="101"/>
      <c r="N241" s="101"/>
      <c r="O241" s="101"/>
      <c r="P241" s="101"/>
      <c r="Q241" s="101"/>
      <c r="R241" s="101"/>
      <c r="S241" s="101"/>
      <c r="T241" s="101"/>
      <c r="U241" s="101"/>
      <c r="V241" s="101"/>
      <c r="W241" s="101"/>
      <c r="X241" s="101"/>
      <c r="Y241" s="101"/>
      <c r="Z241" s="101"/>
    </row>
    <row r="242">
      <c r="A242" s="101"/>
      <c r="B242" s="101"/>
      <c r="C242" s="101" t="str">
        <f>IFERROR(__xludf.DUMMYFUNCTION("""COMPUTED_VALUE"""),"GABRIEL LUCAS DOS SANTOS PACHECO")</f>
        <v>GABRIEL LUCAS DOS SANTOS PACHECO</v>
      </c>
      <c r="D242" s="101" t="str">
        <f>IFERROR(__xludf.DUMMYFUNCTION("""COMPUTED_VALUE"""),"042.***.***-10")</f>
        <v>042.***.***-10</v>
      </c>
      <c r="E242" s="101">
        <f>IFERROR(__xludf.DUMMYFUNCTION("""COMPUTED_VALUE"""),3.0)</f>
        <v>3</v>
      </c>
      <c r="F242" s="101" t="str">
        <f>IFERROR(__xludf.DUMMYFUNCTION("""COMPUTED_VALUE"""),"042.058.545-10")</f>
        <v>042.058.545-10</v>
      </c>
      <c r="G242" s="101"/>
      <c r="H242" s="101"/>
      <c r="I242" s="101"/>
      <c r="J242" s="101"/>
      <c r="K242" s="101"/>
      <c r="L242" s="101"/>
      <c r="M242" s="101"/>
      <c r="N242" s="101"/>
      <c r="O242" s="101"/>
      <c r="P242" s="101"/>
      <c r="Q242" s="101"/>
      <c r="R242" s="101"/>
      <c r="S242" s="101"/>
      <c r="T242" s="101"/>
      <c r="U242" s="101"/>
      <c r="V242" s="101"/>
      <c r="W242" s="101"/>
      <c r="X242" s="101"/>
      <c r="Y242" s="101"/>
      <c r="Z242" s="101"/>
    </row>
    <row r="243">
      <c r="A243" s="101"/>
      <c r="B243" s="101"/>
      <c r="C243" s="101" t="str">
        <f>IFERROR(__xludf.DUMMYFUNCTION("""COMPUTED_VALUE"""),"RUDÁ RAEL DA SILVA DAMASCENO")</f>
        <v>RUDÁ RAEL DA SILVA DAMASCENO</v>
      </c>
      <c r="D243" s="101" t="str">
        <f>IFERROR(__xludf.DUMMYFUNCTION("""COMPUTED_VALUE"""),"039.***.***-73")</f>
        <v>039.***.***-73</v>
      </c>
      <c r="E243" s="101">
        <f>IFERROR(__xludf.DUMMYFUNCTION("""COMPUTED_VALUE"""),9.0)</f>
        <v>9</v>
      </c>
      <c r="F243" s="101" t="str">
        <f>IFERROR(__xludf.DUMMYFUNCTION("""COMPUTED_VALUE"""),"039.516.361-73")</f>
        <v>039.516.361-73</v>
      </c>
      <c r="G243" s="101"/>
      <c r="H243" s="101"/>
      <c r="I243" s="101"/>
      <c r="J243" s="101"/>
      <c r="K243" s="101"/>
      <c r="L243" s="101"/>
      <c r="M243" s="101"/>
      <c r="N243" s="101"/>
      <c r="O243" s="101"/>
      <c r="P243" s="101"/>
      <c r="Q243" s="101"/>
      <c r="R243" s="101"/>
      <c r="S243" s="101"/>
      <c r="T243" s="101"/>
      <c r="U243" s="101"/>
      <c r="V243" s="101"/>
      <c r="W243" s="101"/>
      <c r="X243" s="101"/>
      <c r="Y243" s="101"/>
      <c r="Z243" s="101"/>
    </row>
    <row r="244">
      <c r="A244" s="101"/>
      <c r="B244" s="101"/>
      <c r="C244" s="101" t="str">
        <f>IFERROR(__xludf.DUMMYFUNCTION("""COMPUTED_VALUE"""),"IGOR GUILHERME MASCARENHAS REIS")</f>
        <v>IGOR GUILHERME MASCARENHAS REIS</v>
      </c>
      <c r="D244" s="101" t="str">
        <f>IFERROR(__xludf.DUMMYFUNCTION("""COMPUTED_VALUE"""),"471.***.***-94")</f>
        <v>471.***.***-94</v>
      </c>
      <c r="E244" s="101">
        <f>IFERROR(__xludf.DUMMYFUNCTION("""COMPUTED_VALUE"""),5.0)</f>
        <v>5</v>
      </c>
      <c r="F244" s="101" t="str">
        <f>IFERROR(__xludf.DUMMYFUNCTION("""COMPUTED_VALUE"""),"471.048.198-94")</f>
        <v>471.048.198-94</v>
      </c>
      <c r="G244" s="101"/>
      <c r="H244" s="101"/>
      <c r="I244" s="101"/>
      <c r="J244" s="101"/>
      <c r="K244" s="101"/>
      <c r="L244" s="101"/>
      <c r="M244" s="101"/>
      <c r="N244" s="101"/>
      <c r="O244" s="101"/>
      <c r="P244" s="101"/>
      <c r="Q244" s="101"/>
      <c r="R244" s="101"/>
      <c r="S244" s="101"/>
      <c r="T244" s="101"/>
      <c r="U244" s="101"/>
      <c r="V244" s="101"/>
      <c r="W244" s="101"/>
      <c r="X244" s="101"/>
      <c r="Y244" s="101"/>
      <c r="Z244" s="101"/>
    </row>
    <row r="245">
      <c r="A245" s="101"/>
      <c r="B245" s="101"/>
      <c r="C245" s="101" t="str">
        <f>IFERROR(__xludf.DUMMYFUNCTION("""COMPUTED_VALUE"""),"LUIZ HENRIQUE WEIMANN FURTADO")</f>
        <v>LUIZ HENRIQUE WEIMANN FURTADO</v>
      </c>
      <c r="D245" s="101" t="str">
        <f>IFERROR(__xludf.DUMMYFUNCTION("""COMPUTED_VALUE"""),"472.***.***-52")</f>
        <v>472.***.***-52</v>
      </c>
      <c r="E245" s="101">
        <f>IFERROR(__xludf.DUMMYFUNCTION("""COMPUTED_VALUE"""),11.0)</f>
        <v>11</v>
      </c>
      <c r="F245" s="101" t="str">
        <f>IFERROR(__xludf.DUMMYFUNCTION("""COMPUTED_VALUE"""),"472.570.228-52")</f>
        <v>472.570.228-52</v>
      </c>
      <c r="G245" s="101"/>
      <c r="H245" s="101"/>
      <c r="I245" s="101"/>
      <c r="J245" s="101"/>
      <c r="K245" s="101"/>
      <c r="L245" s="101"/>
      <c r="M245" s="101"/>
      <c r="N245" s="101"/>
      <c r="O245" s="101"/>
      <c r="P245" s="101"/>
      <c r="Q245" s="101"/>
      <c r="R245" s="101"/>
      <c r="S245" s="101"/>
      <c r="T245" s="101"/>
      <c r="U245" s="101"/>
      <c r="V245" s="101"/>
      <c r="W245" s="101"/>
      <c r="X245" s="101"/>
      <c r="Y245" s="101"/>
      <c r="Z245" s="101"/>
    </row>
    <row r="246">
      <c r="A246" s="101"/>
      <c r="B246" s="101"/>
      <c r="C246" s="101" t="str">
        <f>IFERROR(__xludf.DUMMYFUNCTION("""COMPUTED_VALUE"""),"MATHEUS NOVAIS LESSA")</f>
        <v>MATHEUS NOVAIS LESSA</v>
      </c>
      <c r="D246" s="101" t="str">
        <f>IFERROR(__xludf.DUMMYFUNCTION("""COMPUTED_VALUE"""),"240.***.***-60")</f>
        <v>240.***.***-60</v>
      </c>
      <c r="E246" s="101">
        <f>IFERROR(__xludf.DUMMYFUNCTION("""COMPUTED_VALUE"""),10.0)</f>
        <v>10</v>
      </c>
      <c r="F246" s="101" t="str">
        <f>IFERROR(__xludf.DUMMYFUNCTION("""COMPUTED_VALUE"""),"240.916.548-60")</f>
        <v>240.916.548-60</v>
      </c>
      <c r="G246" s="101"/>
      <c r="H246" s="101"/>
      <c r="I246" s="101"/>
      <c r="J246" s="101"/>
      <c r="K246" s="101"/>
      <c r="L246" s="101"/>
      <c r="M246" s="101"/>
      <c r="N246" s="101"/>
      <c r="O246" s="101"/>
      <c r="P246" s="101"/>
      <c r="Q246" s="101"/>
      <c r="R246" s="101"/>
      <c r="S246" s="101"/>
      <c r="T246" s="101"/>
      <c r="U246" s="101"/>
      <c r="V246" s="101"/>
      <c r="W246" s="101"/>
      <c r="X246" s="101"/>
      <c r="Y246" s="101"/>
      <c r="Z246" s="101"/>
    </row>
    <row r="247">
      <c r="A247" s="101"/>
      <c r="B247" s="101"/>
      <c r="C247" s="101" t="str">
        <f>IFERROR(__xludf.DUMMYFUNCTION("""COMPUTED_VALUE"""),"MALCON RICARDO PEREIRA DA SILVA")</f>
        <v>MALCON RICARDO PEREIRA DA SILVA</v>
      </c>
      <c r="D247" s="101" t="str">
        <f>IFERROR(__xludf.DUMMYFUNCTION("""COMPUTED_VALUE"""),"474.***.***-13")</f>
        <v>474.***.***-13</v>
      </c>
      <c r="E247" s="101">
        <f>IFERROR(__xludf.DUMMYFUNCTION("""COMPUTED_VALUE"""),11.0)</f>
        <v>11</v>
      </c>
      <c r="F247" s="101" t="str">
        <f>IFERROR(__xludf.DUMMYFUNCTION("""COMPUTED_VALUE"""),"474.457.578-13")</f>
        <v>474.457.578-13</v>
      </c>
      <c r="G247" s="101"/>
      <c r="H247" s="101"/>
      <c r="I247" s="101"/>
      <c r="J247" s="101"/>
      <c r="K247" s="101"/>
      <c r="L247" s="101"/>
      <c r="M247" s="101"/>
      <c r="N247" s="101"/>
      <c r="O247" s="101"/>
      <c r="P247" s="101"/>
      <c r="Q247" s="101"/>
      <c r="R247" s="101"/>
      <c r="S247" s="101"/>
      <c r="T247" s="101"/>
      <c r="U247" s="101"/>
      <c r="V247" s="101"/>
      <c r="W247" s="101"/>
      <c r="X247" s="101"/>
      <c r="Y247" s="101"/>
      <c r="Z247" s="101"/>
    </row>
    <row r="248">
      <c r="A248" s="101"/>
      <c r="B248" s="101"/>
      <c r="C248" s="101" t="str">
        <f>IFERROR(__xludf.DUMMYFUNCTION("""COMPUTED_VALUE"""),"LAÍS HELENA DO NASCIMENTO BRITO")</f>
        <v>LAÍS HELENA DO NASCIMENTO BRITO</v>
      </c>
      <c r="D248" s="101" t="str">
        <f>IFERROR(__xludf.DUMMYFUNCTION("""COMPUTED_VALUE"""),"522.***.***-42")</f>
        <v>522.***.***-42</v>
      </c>
      <c r="E248" s="101">
        <f>IFERROR(__xludf.DUMMYFUNCTION("""COMPUTED_VALUE"""),10.0)</f>
        <v>10</v>
      </c>
      <c r="F248" s="101" t="str">
        <f>IFERROR(__xludf.DUMMYFUNCTION("""COMPUTED_VALUE"""),"522.257.528-42")</f>
        <v>522.257.528-42</v>
      </c>
      <c r="G248" s="101"/>
      <c r="H248" s="101"/>
      <c r="I248" s="101"/>
      <c r="J248" s="101"/>
      <c r="K248" s="101"/>
      <c r="L248" s="101"/>
      <c r="M248" s="101"/>
      <c r="N248" s="101"/>
      <c r="O248" s="101"/>
      <c r="P248" s="101"/>
      <c r="Q248" s="101"/>
      <c r="R248" s="101"/>
      <c r="S248" s="101"/>
      <c r="T248" s="101"/>
      <c r="U248" s="101"/>
      <c r="V248" s="101"/>
      <c r="W248" s="101"/>
      <c r="X248" s="101"/>
      <c r="Y248" s="101"/>
      <c r="Z248" s="101"/>
    </row>
    <row r="249">
      <c r="A249" s="101"/>
      <c r="B249" s="101"/>
      <c r="C249" s="101" t="str">
        <f>IFERROR(__xludf.DUMMYFUNCTION("""COMPUTED_VALUE"""),"LUIZ GUSTAVO LIMA SANTOS")</f>
        <v>LUIZ GUSTAVO LIMA SANTOS</v>
      </c>
      <c r="D249" s="101" t="str">
        <f>IFERROR(__xludf.DUMMYFUNCTION("""COMPUTED_VALUE"""),"456.***.***-48")</f>
        <v>456.***.***-48</v>
      </c>
      <c r="E249" s="101">
        <f>IFERROR(__xludf.DUMMYFUNCTION("""COMPUTED_VALUE"""),8.0)</f>
        <v>8</v>
      </c>
      <c r="F249" s="101" t="str">
        <f>IFERROR(__xludf.DUMMYFUNCTION("""COMPUTED_VALUE"""),"456.955.108-48")</f>
        <v>456.955.108-48</v>
      </c>
      <c r="G249" s="101"/>
      <c r="H249" s="101"/>
      <c r="I249" s="101"/>
      <c r="J249" s="101"/>
      <c r="K249" s="101"/>
      <c r="L249" s="101"/>
      <c r="M249" s="101"/>
      <c r="N249" s="101"/>
      <c r="O249" s="101"/>
      <c r="P249" s="101"/>
      <c r="Q249" s="101"/>
      <c r="R249" s="101"/>
      <c r="S249" s="101"/>
      <c r="T249" s="101"/>
      <c r="U249" s="101"/>
      <c r="V249" s="101"/>
      <c r="W249" s="101"/>
      <c r="X249" s="101"/>
      <c r="Y249" s="101"/>
      <c r="Z249" s="101"/>
    </row>
    <row r="250">
      <c r="A250" s="101"/>
      <c r="B250" s="101"/>
      <c r="C250" s="101" t="str">
        <f>IFERROR(__xludf.DUMMYFUNCTION("""COMPUTED_VALUE"""),"JOYCE ELVIRA DE OLIVEIRA PEREIRA MACHADO")</f>
        <v>JOYCE ELVIRA DE OLIVEIRA PEREIRA MACHADO</v>
      </c>
      <c r="D250" s="101" t="str">
        <f>IFERROR(__xludf.DUMMYFUNCTION("""COMPUTED_VALUE"""),"407.***.***-74")</f>
        <v>407.***.***-74</v>
      </c>
      <c r="E250" s="101">
        <f>IFERROR(__xludf.DUMMYFUNCTION("""COMPUTED_VALUE"""),6.0)</f>
        <v>6</v>
      </c>
      <c r="F250" s="101" t="str">
        <f>IFERROR(__xludf.DUMMYFUNCTION("""COMPUTED_VALUE"""),"407.101.938-74")</f>
        <v>407.101.938-74</v>
      </c>
      <c r="G250" s="101"/>
      <c r="H250" s="101"/>
      <c r="I250" s="101"/>
      <c r="J250" s="101"/>
      <c r="K250" s="101"/>
      <c r="L250" s="101"/>
      <c r="M250" s="101"/>
      <c r="N250" s="101"/>
      <c r="O250" s="101"/>
      <c r="P250" s="101"/>
      <c r="Q250" s="101"/>
      <c r="R250" s="101"/>
      <c r="S250" s="101"/>
      <c r="T250" s="101"/>
      <c r="U250" s="101"/>
      <c r="V250" s="101"/>
      <c r="W250" s="101"/>
      <c r="X250" s="101"/>
      <c r="Y250" s="101"/>
      <c r="Z250" s="101"/>
    </row>
    <row r="251">
      <c r="A251" s="101"/>
      <c r="B251" s="101"/>
      <c r="C251" s="101" t="str">
        <f>IFERROR(__xludf.DUMMYFUNCTION("""COMPUTED_VALUE"""),"DRESSA DOURADO")</f>
        <v>DRESSA DOURADO</v>
      </c>
      <c r="D251" s="101" t="str">
        <f>IFERROR(__xludf.DUMMYFUNCTION("""COMPUTED_VALUE"""),"479.***.***-21")</f>
        <v>479.***.***-21</v>
      </c>
      <c r="E251" s="101">
        <f>IFERROR(__xludf.DUMMYFUNCTION("""COMPUTED_VALUE"""),3.0)</f>
        <v>3</v>
      </c>
      <c r="F251" s="101" t="str">
        <f>IFERROR(__xludf.DUMMYFUNCTION("""COMPUTED_VALUE"""),"479.691.178-21")</f>
        <v>479.691.178-21</v>
      </c>
      <c r="G251" s="101"/>
      <c r="H251" s="101"/>
      <c r="I251" s="101"/>
      <c r="J251" s="101"/>
      <c r="K251" s="101"/>
      <c r="L251" s="101"/>
      <c r="M251" s="101"/>
      <c r="N251" s="101"/>
      <c r="O251" s="101"/>
      <c r="P251" s="101"/>
      <c r="Q251" s="101"/>
      <c r="R251" s="101"/>
      <c r="S251" s="101"/>
      <c r="T251" s="101"/>
      <c r="U251" s="101"/>
      <c r="V251" s="101"/>
      <c r="W251" s="101"/>
      <c r="X251" s="101"/>
      <c r="Y251" s="101"/>
      <c r="Z251" s="101"/>
    </row>
    <row r="252">
      <c r="A252" s="101"/>
      <c r="B252" s="101"/>
      <c r="C252" s="101" t="str">
        <f>IFERROR(__xludf.DUMMYFUNCTION("""COMPUTED_VALUE"""),"KAUÃ DOS SANTOS PRIETO CAGGIANO")</f>
        <v>KAUÃ DOS SANTOS PRIETO CAGGIANO</v>
      </c>
      <c r="D252" s="101" t="str">
        <f>IFERROR(__xludf.DUMMYFUNCTION("""COMPUTED_VALUE"""),"523.***.***-65")</f>
        <v>523.***.***-65</v>
      </c>
      <c r="E252" s="101">
        <f>IFERROR(__xludf.DUMMYFUNCTION("""COMPUTED_VALUE"""),3.0)</f>
        <v>3</v>
      </c>
      <c r="F252" s="101" t="str">
        <f>IFERROR(__xludf.DUMMYFUNCTION("""COMPUTED_VALUE"""),"523.335.878-65")</f>
        <v>523.335.878-65</v>
      </c>
      <c r="G252" s="101"/>
      <c r="H252" s="101"/>
      <c r="I252" s="101"/>
      <c r="J252" s="101"/>
      <c r="K252" s="101"/>
      <c r="L252" s="101"/>
      <c r="M252" s="101"/>
      <c r="N252" s="101"/>
      <c r="O252" s="101"/>
      <c r="P252" s="101"/>
      <c r="Q252" s="101"/>
      <c r="R252" s="101"/>
      <c r="S252" s="101"/>
      <c r="T252" s="101"/>
      <c r="U252" s="101"/>
      <c r="V252" s="101"/>
      <c r="W252" s="101"/>
      <c r="X252" s="101"/>
      <c r="Y252" s="101"/>
      <c r="Z252" s="101"/>
    </row>
    <row r="253">
      <c r="A253" s="101"/>
      <c r="B253" s="101"/>
      <c r="C253" s="101" t="str">
        <f>IFERROR(__xludf.DUMMYFUNCTION("""COMPUTED_VALUE"""),"LARISSA COSTA DA SILVA")</f>
        <v>LARISSA COSTA DA SILVA</v>
      </c>
      <c r="D253" s="101" t="str">
        <f>IFERROR(__xludf.DUMMYFUNCTION("""COMPUTED_VALUE"""),"528.***.***-26")</f>
        <v>528.***.***-26</v>
      </c>
      <c r="E253" s="101">
        <f>IFERROR(__xludf.DUMMYFUNCTION("""COMPUTED_VALUE"""),10.0)</f>
        <v>10</v>
      </c>
      <c r="F253" s="101" t="str">
        <f>IFERROR(__xludf.DUMMYFUNCTION("""COMPUTED_VALUE"""),"528.917.078-26")</f>
        <v>528.917.078-26</v>
      </c>
      <c r="G253" s="101"/>
      <c r="H253" s="101"/>
      <c r="I253" s="101"/>
      <c r="J253" s="101"/>
      <c r="K253" s="101"/>
      <c r="L253" s="101"/>
      <c r="M253" s="101"/>
      <c r="N253" s="101"/>
      <c r="O253" s="101"/>
      <c r="P253" s="101"/>
      <c r="Q253" s="101"/>
      <c r="R253" s="101"/>
      <c r="S253" s="101"/>
      <c r="T253" s="101"/>
      <c r="U253" s="101"/>
      <c r="V253" s="101"/>
      <c r="W253" s="101"/>
      <c r="X253" s="101"/>
      <c r="Y253" s="101"/>
      <c r="Z253" s="101"/>
    </row>
    <row r="254">
      <c r="A254" s="101"/>
      <c r="B254" s="101"/>
      <c r="C254" s="101" t="str">
        <f>IFERROR(__xludf.DUMMYFUNCTION("""COMPUTED_VALUE"""),"CINTIA PEREIRA DA SILVA")</f>
        <v>CINTIA PEREIRA DA SILVA</v>
      </c>
      <c r="D254" s="101" t="str">
        <f>IFERROR(__xludf.DUMMYFUNCTION("""COMPUTED_VALUE"""),"468.***.***-35")</f>
        <v>468.***.***-35</v>
      </c>
      <c r="E254" s="101">
        <f>IFERROR(__xludf.DUMMYFUNCTION("""COMPUTED_VALUE"""),2.0)</f>
        <v>2</v>
      </c>
      <c r="F254" s="101" t="str">
        <f>IFERROR(__xludf.DUMMYFUNCTION("""COMPUTED_VALUE"""),"468.325.748-35")</f>
        <v>468.325.748-35</v>
      </c>
      <c r="G254" s="101"/>
      <c r="H254" s="101"/>
      <c r="I254" s="101"/>
      <c r="J254" s="101"/>
      <c r="K254" s="101"/>
      <c r="L254" s="101"/>
      <c r="M254" s="101"/>
      <c r="N254" s="101"/>
      <c r="O254" s="101"/>
      <c r="P254" s="101"/>
      <c r="Q254" s="101"/>
      <c r="R254" s="101"/>
      <c r="S254" s="101"/>
      <c r="T254" s="101"/>
      <c r="U254" s="101"/>
      <c r="V254" s="101"/>
      <c r="W254" s="101"/>
      <c r="X254" s="101"/>
      <c r="Y254" s="101"/>
      <c r="Z254" s="101"/>
    </row>
    <row r="255">
      <c r="A255" s="101"/>
      <c r="B255" s="101"/>
      <c r="C255" s="101" t="str">
        <f>IFERROR(__xludf.DUMMYFUNCTION("""COMPUTED_VALUE"""),"ERIC BALBINO ALVES")</f>
        <v>ERIC BALBINO ALVES</v>
      </c>
      <c r="D255" s="101" t="str">
        <f>IFERROR(__xludf.DUMMYFUNCTION("""COMPUTED_VALUE"""),"431.***.***-31")</f>
        <v>431.***.***-31</v>
      </c>
      <c r="E255" s="101">
        <f>IFERROR(__xludf.DUMMYFUNCTION("""COMPUTED_VALUE"""),3.0)</f>
        <v>3</v>
      </c>
      <c r="F255" s="101" t="str">
        <f>IFERROR(__xludf.DUMMYFUNCTION("""COMPUTED_VALUE"""),"431.537.098-31")</f>
        <v>431.537.098-31</v>
      </c>
      <c r="G255" s="101"/>
      <c r="H255" s="101"/>
      <c r="I255" s="101"/>
      <c r="J255" s="101"/>
      <c r="K255" s="101"/>
      <c r="L255" s="101"/>
      <c r="M255" s="101"/>
      <c r="N255" s="101"/>
      <c r="O255" s="101"/>
      <c r="P255" s="101"/>
      <c r="Q255" s="101"/>
      <c r="R255" s="101"/>
      <c r="S255" s="101"/>
      <c r="T255" s="101"/>
      <c r="U255" s="101"/>
      <c r="V255" s="101"/>
      <c r="W255" s="101"/>
      <c r="X255" s="101"/>
      <c r="Y255" s="101"/>
      <c r="Z255" s="101"/>
    </row>
    <row r="256">
      <c r="A256" s="101"/>
      <c r="B256" s="101"/>
      <c r="C256" s="101" t="str">
        <f>IFERROR(__xludf.DUMMYFUNCTION("""COMPUTED_VALUE"""),"KAUAN ALVES DE SOUZA")</f>
        <v>KAUAN ALVES DE SOUZA</v>
      </c>
      <c r="D256" s="101" t="str">
        <f>IFERROR(__xludf.DUMMYFUNCTION("""COMPUTED_VALUE"""),"590.***.***-10")</f>
        <v>590.***.***-10</v>
      </c>
      <c r="E256" s="101">
        <f>IFERROR(__xludf.DUMMYFUNCTION("""COMPUTED_VALUE"""),6.0)</f>
        <v>6</v>
      </c>
      <c r="F256" s="101" t="str">
        <f>IFERROR(__xludf.DUMMYFUNCTION("""COMPUTED_VALUE"""),"590.119.388-10")</f>
        <v>590.119.388-10</v>
      </c>
      <c r="G256" s="101"/>
      <c r="H256" s="101"/>
      <c r="I256" s="101"/>
      <c r="J256" s="101"/>
      <c r="K256" s="101"/>
      <c r="L256" s="101"/>
      <c r="M256" s="101"/>
      <c r="N256" s="101"/>
      <c r="O256" s="101"/>
      <c r="P256" s="101"/>
      <c r="Q256" s="101"/>
      <c r="R256" s="101"/>
      <c r="S256" s="101"/>
      <c r="T256" s="101"/>
      <c r="U256" s="101"/>
      <c r="V256" s="101"/>
      <c r="W256" s="101"/>
      <c r="X256" s="101"/>
      <c r="Y256" s="101"/>
      <c r="Z256" s="101"/>
    </row>
    <row r="257">
      <c r="A257" s="101"/>
      <c r="B257" s="101"/>
      <c r="C257" s="101" t="str">
        <f>IFERROR(__xludf.DUMMYFUNCTION("""COMPUTED_VALUE"""),"SABRINA BARBOSA SILVA")</f>
        <v>SABRINA BARBOSA SILVA</v>
      </c>
      <c r="D257" s="101" t="str">
        <f>IFERROR(__xludf.DUMMYFUNCTION("""COMPUTED_VALUE"""),"529.***.***-02")</f>
        <v>529.***.***-02</v>
      </c>
      <c r="E257" s="101">
        <f>IFERROR(__xludf.DUMMYFUNCTION("""COMPUTED_VALUE"""),11.0)</f>
        <v>11</v>
      </c>
      <c r="F257" s="101" t="str">
        <f>IFERROR(__xludf.DUMMYFUNCTION("""COMPUTED_VALUE"""),"529.636.208-02")</f>
        <v>529.636.208-02</v>
      </c>
      <c r="G257" s="101"/>
      <c r="H257" s="101"/>
      <c r="I257" s="101"/>
      <c r="J257" s="101"/>
      <c r="K257" s="101"/>
      <c r="L257" s="101"/>
      <c r="M257" s="101"/>
      <c r="N257" s="101"/>
      <c r="O257" s="101"/>
      <c r="P257" s="101"/>
      <c r="Q257" s="101"/>
      <c r="R257" s="101"/>
      <c r="S257" s="101"/>
      <c r="T257" s="101"/>
      <c r="U257" s="101"/>
      <c r="V257" s="101"/>
      <c r="W257" s="101"/>
      <c r="X257" s="101"/>
      <c r="Y257" s="101"/>
      <c r="Z257" s="101"/>
    </row>
    <row r="258">
      <c r="A258" s="101"/>
      <c r="B258" s="101"/>
      <c r="C258" s="101" t="str">
        <f>IFERROR(__xludf.DUMMYFUNCTION("""COMPUTED_VALUE"""),"JOSÉ MAXSUEL CAMPOS XAVIER")</f>
        <v>JOSÉ MAXSUEL CAMPOS XAVIER</v>
      </c>
      <c r="D258" s="101" t="str">
        <f>IFERROR(__xludf.DUMMYFUNCTION("""COMPUTED_VALUE"""),"486.***.***-60")</f>
        <v>486.***.***-60</v>
      </c>
      <c r="E258" s="101">
        <f>IFERROR(__xludf.DUMMYFUNCTION("""COMPUTED_VALUE"""),12.0)</f>
        <v>12</v>
      </c>
      <c r="F258" s="101" t="str">
        <f>IFERROR(__xludf.DUMMYFUNCTION("""COMPUTED_VALUE"""),"486.808.628-60")</f>
        <v>486.808.628-60</v>
      </c>
      <c r="G258" s="101"/>
      <c r="H258" s="101"/>
      <c r="I258" s="101"/>
      <c r="J258" s="101"/>
      <c r="K258" s="101"/>
      <c r="L258" s="101"/>
      <c r="M258" s="101"/>
      <c r="N258" s="101"/>
      <c r="O258" s="101"/>
      <c r="P258" s="101"/>
      <c r="Q258" s="101"/>
      <c r="R258" s="101"/>
      <c r="S258" s="101"/>
      <c r="T258" s="101"/>
      <c r="U258" s="101"/>
      <c r="V258" s="101"/>
      <c r="W258" s="101"/>
      <c r="X258" s="101"/>
      <c r="Y258" s="101"/>
      <c r="Z258" s="101"/>
    </row>
    <row r="259">
      <c r="A259" s="101"/>
      <c r="B259" s="101"/>
      <c r="C259" s="101" t="str">
        <f>IFERROR(__xludf.DUMMYFUNCTION("""COMPUTED_VALUE"""),"VINICIUS APOSTOLO GARCIA  MATTOS")</f>
        <v>VINICIUS APOSTOLO GARCIA  MATTOS</v>
      </c>
      <c r="D259" s="101" t="str">
        <f>IFERROR(__xludf.DUMMYFUNCTION("""COMPUTED_VALUE"""),"457.***.***-23")</f>
        <v>457.***.***-23</v>
      </c>
      <c r="E259" s="101">
        <f>IFERROR(__xludf.DUMMYFUNCTION("""COMPUTED_VALUE"""),17.0)</f>
        <v>17</v>
      </c>
      <c r="F259" s="101" t="str">
        <f>IFERROR(__xludf.DUMMYFUNCTION("""COMPUTED_VALUE"""),"457.925.828-23")</f>
        <v>457.925.828-23</v>
      </c>
      <c r="G259" s="101"/>
      <c r="H259" s="101"/>
      <c r="I259" s="101"/>
      <c r="J259" s="101"/>
      <c r="K259" s="101"/>
      <c r="L259" s="101"/>
      <c r="M259" s="101"/>
      <c r="N259" s="101"/>
      <c r="O259" s="101"/>
      <c r="P259" s="101"/>
      <c r="Q259" s="101"/>
      <c r="R259" s="101"/>
      <c r="S259" s="101"/>
      <c r="T259" s="101"/>
      <c r="U259" s="101"/>
      <c r="V259" s="101"/>
      <c r="W259" s="101"/>
      <c r="X259" s="101"/>
      <c r="Y259" s="101"/>
      <c r="Z259" s="101"/>
    </row>
    <row r="260">
      <c r="A260" s="101"/>
      <c r="B260" s="101"/>
      <c r="C260" s="101" t="str">
        <f>IFERROR(__xludf.DUMMYFUNCTION("""COMPUTED_VALUE"""),"FERNANDA AMARAL BIANCHNI DA LUZ")</f>
        <v>FERNANDA AMARAL BIANCHNI DA LUZ</v>
      </c>
      <c r="D260" s="101" t="str">
        <f>IFERROR(__xludf.DUMMYFUNCTION("""COMPUTED_VALUE"""),"513.***.***-38")</f>
        <v>513.***.***-38</v>
      </c>
      <c r="E260" s="101">
        <f>IFERROR(__xludf.DUMMYFUNCTION("""COMPUTED_VALUE"""),3.0)</f>
        <v>3</v>
      </c>
      <c r="F260" s="101" t="str">
        <f>IFERROR(__xludf.DUMMYFUNCTION("""COMPUTED_VALUE"""),"513.005.568-38")</f>
        <v>513.005.568-38</v>
      </c>
      <c r="G260" s="101"/>
      <c r="H260" s="101"/>
      <c r="I260" s="101"/>
      <c r="J260" s="101"/>
      <c r="K260" s="101"/>
      <c r="L260" s="101"/>
      <c r="M260" s="101"/>
      <c r="N260" s="101"/>
      <c r="O260" s="101"/>
      <c r="P260" s="101"/>
      <c r="Q260" s="101"/>
      <c r="R260" s="101"/>
      <c r="S260" s="101"/>
      <c r="T260" s="101"/>
      <c r="U260" s="101"/>
      <c r="V260" s="101"/>
      <c r="W260" s="101"/>
      <c r="X260" s="101"/>
      <c r="Y260" s="101"/>
      <c r="Z260" s="101"/>
    </row>
    <row r="261">
      <c r="A261" s="101"/>
      <c r="B261" s="101"/>
      <c r="C261" s="101" t="str">
        <f>IFERROR(__xludf.DUMMYFUNCTION("""COMPUTED_VALUE"""),"ELISSA GOMES OLIVEIRA DOS SANTOS")</f>
        <v>ELISSA GOMES OLIVEIRA DOS SANTOS</v>
      </c>
      <c r="D261" s="101" t="str">
        <f>IFERROR(__xludf.DUMMYFUNCTION("""COMPUTED_VALUE"""),"368.***.***-47")</f>
        <v>368.***.***-47</v>
      </c>
      <c r="E261" s="101">
        <f>IFERROR(__xludf.DUMMYFUNCTION("""COMPUTED_VALUE"""),4.0)</f>
        <v>4</v>
      </c>
      <c r="F261" s="101" t="str">
        <f>IFERROR(__xludf.DUMMYFUNCTION("""COMPUTED_VALUE"""),"368.802.368-47")</f>
        <v>368.802.368-47</v>
      </c>
      <c r="G261" s="101"/>
      <c r="H261" s="101"/>
      <c r="I261" s="101"/>
      <c r="J261" s="101"/>
      <c r="K261" s="101"/>
      <c r="L261" s="101"/>
      <c r="M261" s="101"/>
      <c r="N261" s="101"/>
      <c r="O261" s="101"/>
      <c r="P261" s="101"/>
      <c r="Q261" s="101"/>
      <c r="R261" s="101"/>
      <c r="S261" s="101"/>
      <c r="T261" s="101"/>
      <c r="U261" s="101"/>
      <c r="V261" s="101"/>
      <c r="W261" s="101"/>
      <c r="X261" s="101"/>
      <c r="Y261" s="101"/>
      <c r="Z261" s="101"/>
    </row>
    <row r="262">
      <c r="A262" s="101"/>
      <c r="B262" s="101"/>
      <c r="C262" s="101" t="str">
        <f>IFERROR(__xludf.DUMMYFUNCTION("""COMPUTED_VALUE"""),"MAYHARA RIBEIRO DA SILVA")</f>
        <v>MAYHARA RIBEIRO DA SILVA</v>
      </c>
      <c r="D262" s="101" t="str">
        <f>IFERROR(__xludf.DUMMYFUNCTION("""COMPUTED_VALUE"""),"417.***.***-10")</f>
        <v>417.***.***-10</v>
      </c>
      <c r="E262" s="101">
        <f>IFERROR(__xludf.DUMMYFUNCTION("""COMPUTED_VALUE"""),13.0)</f>
        <v>13</v>
      </c>
      <c r="F262" s="101" t="str">
        <f>IFERROR(__xludf.DUMMYFUNCTION("""COMPUTED_VALUE"""),"417.118.678-10")</f>
        <v>417.118.678-10</v>
      </c>
      <c r="G262" s="101"/>
      <c r="H262" s="101"/>
      <c r="I262" s="101"/>
      <c r="J262" s="101"/>
      <c r="K262" s="101"/>
      <c r="L262" s="101"/>
      <c r="M262" s="101"/>
      <c r="N262" s="101"/>
      <c r="O262" s="101"/>
      <c r="P262" s="101"/>
      <c r="Q262" s="101"/>
      <c r="R262" s="101"/>
      <c r="S262" s="101"/>
      <c r="T262" s="101"/>
      <c r="U262" s="101"/>
      <c r="V262" s="101"/>
      <c r="W262" s="101"/>
      <c r="X262" s="101"/>
      <c r="Y262" s="101"/>
      <c r="Z262" s="101"/>
    </row>
    <row r="263">
      <c r="A263" s="101"/>
      <c r="B263" s="101"/>
      <c r="C263" s="101" t="str">
        <f>IFERROR(__xludf.DUMMYFUNCTION("""COMPUTED_VALUE"""),"ALEXANDRE PRADO DE AGUIAR")</f>
        <v>ALEXANDRE PRADO DE AGUIAR</v>
      </c>
      <c r="D263" s="101" t="str">
        <f>IFERROR(__xludf.DUMMYFUNCTION("""COMPUTED_VALUE"""),"405.***.***-21")</f>
        <v>405.***.***-21</v>
      </c>
      <c r="E263" s="101">
        <f>IFERROR(__xludf.DUMMYFUNCTION("""COMPUTED_VALUE"""),1.0)</f>
        <v>1</v>
      </c>
      <c r="F263" s="101" t="str">
        <f>IFERROR(__xludf.DUMMYFUNCTION("""COMPUTED_VALUE"""),"405.815.558-21")</f>
        <v>405.815.558-21</v>
      </c>
      <c r="G263" s="101"/>
      <c r="H263" s="101"/>
      <c r="I263" s="101"/>
      <c r="J263" s="101"/>
      <c r="K263" s="101"/>
      <c r="L263" s="101"/>
      <c r="M263" s="101"/>
      <c r="N263" s="101"/>
      <c r="O263" s="101"/>
      <c r="P263" s="101"/>
      <c r="Q263" s="101"/>
      <c r="R263" s="101"/>
      <c r="S263" s="101"/>
      <c r="T263" s="101"/>
      <c r="U263" s="101"/>
      <c r="V263" s="101"/>
      <c r="W263" s="101"/>
      <c r="X263" s="101"/>
      <c r="Y263" s="101"/>
      <c r="Z263" s="101"/>
    </row>
    <row r="264">
      <c r="A264" s="101"/>
      <c r="B264" s="101"/>
      <c r="C264" s="101" t="str">
        <f>IFERROR(__xludf.DUMMYFUNCTION("""COMPUTED_VALUE"""),"RHAYSSA SOARES SANTOS")</f>
        <v>RHAYSSA SOARES SANTOS</v>
      </c>
      <c r="D264" s="101" t="str">
        <f>IFERROR(__xludf.DUMMYFUNCTION("""COMPUTED_VALUE"""),"475.***.***-61")</f>
        <v>475.***.***-61</v>
      </c>
      <c r="E264" s="101">
        <f>IFERROR(__xludf.DUMMYFUNCTION("""COMPUTED_VALUE"""),15.0)</f>
        <v>15</v>
      </c>
      <c r="F264" s="101" t="str">
        <f>IFERROR(__xludf.DUMMYFUNCTION("""COMPUTED_VALUE"""),"475.741.758-61")</f>
        <v>475.741.758-61</v>
      </c>
      <c r="G264" s="101"/>
      <c r="H264" s="101"/>
      <c r="I264" s="101"/>
      <c r="J264" s="101"/>
      <c r="K264" s="101"/>
      <c r="L264" s="101"/>
      <c r="M264" s="101"/>
      <c r="N264" s="101"/>
      <c r="O264" s="101"/>
      <c r="P264" s="101"/>
      <c r="Q264" s="101"/>
      <c r="R264" s="101"/>
      <c r="S264" s="101"/>
      <c r="T264" s="101"/>
      <c r="U264" s="101"/>
      <c r="V264" s="101"/>
      <c r="W264" s="101"/>
      <c r="X264" s="101"/>
      <c r="Y264" s="101"/>
      <c r="Z264" s="101"/>
    </row>
    <row r="265">
      <c r="A265" s="101"/>
      <c r="B265" s="101"/>
      <c r="C265" s="101" t="str">
        <f>IFERROR(__xludf.DUMMYFUNCTION("""COMPUTED_VALUE"""),"RAFAELA  VIEIRA DA CRUZ")</f>
        <v>RAFAELA  VIEIRA DA CRUZ</v>
      </c>
      <c r="D265" s="101" t="str">
        <f>IFERROR(__xludf.DUMMYFUNCTION("""COMPUTED_VALUE"""),"432.***.***-32")</f>
        <v>432.***.***-32</v>
      </c>
      <c r="E265" s="101">
        <f>IFERROR(__xludf.DUMMYFUNCTION("""COMPUTED_VALUE"""),15.0)</f>
        <v>15</v>
      </c>
      <c r="F265" s="101" t="str">
        <f>IFERROR(__xludf.DUMMYFUNCTION("""COMPUTED_VALUE"""),"432.462.378-32")</f>
        <v>432.462.378-32</v>
      </c>
      <c r="G265" s="101"/>
      <c r="H265" s="101"/>
      <c r="I265" s="101"/>
      <c r="J265" s="101"/>
      <c r="K265" s="101"/>
      <c r="L265" s="101"/>
      <c r="M265" s="101"/>
      <c r="N265" s="101"/>
      <c r="O265" s="101"/>
      <c r="P265" s="101"/>
      <c r="Q265" s="101"/>
      <c r="R265" s="101"/>
      <c r="S265" s="101"/>
      <c r="T265" s="101"/>
      <c r="U265" s="101"/>
      <c r="V265" s="101"/>
      <c r="W265" s="101"/>
      <c r="X265" s="101"/>
      <c r="Y265" s="101"/>
      <c r="Z265" s="101"/>
    </row>
    <row r="266">
      <c r="A266" s="101"/>
      <c r="B266" s="101"/>
      <c r="C266" s="101" t="str">
        <f>IFERROR(__xludf.DUMMYFUNCTION("""COMPUTED_VALUE"""),"JÚLIA BEDÊ BARBOSA CASTRIGUINI")</f>
        <v>JÚLIA BEDÊ BARBOSA CASTRIGUINI</v>
      </c>
      <c r="D266" s="101" t="str">
        <f>IFERROR(__xludf.DUMMYFUNCTION("""COMPUTED_VALUE"""),"516.***.***-16")</f>
        <v>516.***.***-16</v>
      </c>
      <c r="E266" s="101">
        <f>IFERROR(__xludf.DUMMYFUNCTION("""COMPUTED_VALUE"""),8.0)</f>
        <v>8</v>
      </c>
      <c r="F266" s="101" t="str">
        <f>IFERROR(__xludf.DUMMYFUNCTION("""COMPUTED_VALUE"""),"516.691.398-16")</f>
        <v>516.691.398-16</v>
      </c>
      <c r="G266" s="101"/>
      <c r="H266" s="101"/>
      <c r="I266" s="101"/>
      <c r="J266" s="101"/>
      <c r="K266" s="101"/>
      <c r="L266" s="101"/>
      <c r="M266" s="101"/>
      <c r="N266" s="101"/>
      <c r="O266" s="101"/>
      <c r="P266" s="101"/>
      <c r="Q266" s="101"/>
      <c r="R266" s="101"/>
      <c r="S266" s="101"/>
      <c r="T266" s="101"/>
      <c r="U266" s="101"/>
      <c r="V266" s="101"/>
      <c r="W266" s="101"/>
      <c r="X266" s="101"/>
      <c r="Y266" s="101"/>
      <c r="Z266" s="101"/>
    </row>
    <row r="267">
      <c r="A267" s="101"/>
      <c r="B267" s="101"/>
      <c r="C267" s="101" t="str">
        <f>IFERROR(__xludf.DUMMYFUNCTION("""COMPUTED_VALUE"""),"MARIANA QUIRINO DO NASCIMENTO")</f>
        <v>MARIANA QUIRINO DO NASCIMENTO</v>
      </c>
      <c r="D267" s="101" t="str">
        <f>IFERROR(__xludf.DUMMYFUNCTION("""COMPUTED_VALUE"""),"521.***.***-39")</f>
        <v>521.***.***-39</v>
      </c>
      <c r="E267" s="101">
        <f>IFERROR(__xludf.DUMMYFUNCTION("""COMPUTED_VALUE"""),8.0)</f>
        <v>8</v>
      </c>
      <c r="F267" s="101" t="str">
        <f>IFERROR(__xludf.DUMMYFUNCTION("""COMPUTED_VALUE"""),"521.108.258-39")</f>
        <v>521.108.258-39</v>
      </c>
      <c r="G267" s="101"/>
      <c r="H267" s="101"/>
      <c r="I267" s="101"/>
      <c r="J267" s="101"/>
      <c r="K267" s="101"/>
      <c r="L267" s="101"/>
      <c r="M267" s="101"/>
      <c r="N267" s="101"/>
      <c r="O267" s="101"/>
      <c r="P267" s="101"/>
      <c r="Q267" s="101"/>
      <c r="R267" s="101"/>
      <c r="S267" s="101"/>
      <c r="T267" s="101"/>
      <c r="U267" s="101"/>
      <c r="V267" s="101"/>
      <c r="W267" s="101"/>
      <c r="X267" s="101"/>
      <c r="Y267" s="101"/>
      <c r="Z267" s="101"/>
    </row>
    <row r="268">
      <c r="A268" s="101"/>
      <c r="B268" s="101"/>
      <c r="C268" s="101" t="str">
        <f>IFERROR(__xludf.DUMMYFUNCTION("""COMPUTED_VALUE"""),"GABRIEL MELO OLIVEIRA SANTOS")</f>
        <v>GABRIEL MELO OLIVEIRA SANTOS</v>
      </c>
      <c r="D268" s="101" t="str">
        <f>IFERROR(__xludf.DUMMYFUNCTION("""COMPUTED_VALUE"""),"538.***.***-30")</f>
        <v>538.***.***-30</v>
      </c>
      <c r="E268" s="101">
        <f>IFERROR(__xludf.DUMMYFUNCTION("""COMPUTED_VALUE"""),4.0)</f>
        <v>4</v>
      </c>
      <c r="F268" s="101" t="str">
        <f>IFERROR(__xludf.DUMMYFUNCTION("""COMPUTED_VALUE"""),"538.996.888-30")</f>
        <v>538.996.888-30</v>
      </c>
      <c r="G268" s="101"/>
      <c r="H268" s="101"/>
      <c r="I268" s="101"/>
      <c r="J268" s="101"/>
      <c r="K268" s="101"/>
      <c r="L268" s="101"/>
      <c r="M268" s="101"/>
      <c r="N268" s="101"/>
      <c r="O268" s="101"/>
      <c r="P268" s="101"/>
      <c r="Q268" s="101"/>
      <c r="R268" s="101"/>
      <c r="S268" s="101"/>
      <c r="T268" s="101"/>
      <c r="U268" s="101"/>
      <c r="V268" s="101"/>
      <c r="W268" s="101"/>
      <c r="X268" s="101"/>
      <c r="Y268" s="101"/>
      <c r="Z268" s="101"/>
    </row>
    <row r="269">
      <c r="A269" s="101"/>
      <c r="B269" s="101"/>
      <c r="C269" s="101" t="str">
        <f>IFERROR(__xludf.DUMMYFUNCTION("""COMPUTED_VALUE"""),"PIETRA SIQUEIRA BRITO")</f>
        <v>PIETRA SIQUEIRA BRITO</v>
      </c>
      <c r="D269" s="101" t="str">
        <f>IFERROR(__xludf.DUMMYFUNCTION("""COMPUTED_VALUE"""),"476.***.***-58")</f>
        <v>476.***.***-58</v>
      </c>
      <c r="E269" s="101">
        <f>IFERROR(__xludf.DUMMYFUNCTION("""COMPUTED_VALUE"""),10.0)</f>
        <v>10</v>
      </c>
      <c r="F269" s="101" t="str">
        <f>IFERROR(__xludf.DUMMYFUNCTION("""COMPUTED_VALUE"""),"476.164.068-58")</f>
        <v>476.164.068-58</v>
      </c>
      <c r="G269" s="101"/>
      <c r="H269" s="101"/>
      <c r="I269" s="101"/>
      <c r="J269" s="101"/>
      <c r="K269" s="101"/>
      <c r="L269" s="101"/>
      <c r="M269" s="101"/>
      <c r="N269" s="101"/>
      <c r="O269" s="101"/>
      <c r="P269" s="101"/>
      <c r="Q269" s="101"/>
      <c r="R269" s="101"/>
      <c r="S269" s="101"/>
      <c r="T269" s="101"/>
      <c r="U269" s="101"/>
      <c r="V269" s="101"/>
      <c r="W269" s="101"/>
      <c r="X269" s="101"/>
      <c r="Y269" s="101"/>
      <c r="Z269" s="101"/>
    </row>
    <row r="270">
      <c r="A270" s="101"/>
      <c r="B270" s="101"/>
      <c r="C270" s="101" t="str">
        <f>IFERROR(__xludf.DUMMYFUNCTION("""COMPUTED_VALUE"""),"ED WILSON THOMAZ SILVA DA CRUZ")</f>
        <v>ED WILSON THOMAZ SILVA DA CRUZ</v>
      </c>
      <c r="D270" s="101" t="str">
        <f>IFERROR(__xludf.DUMMYFUNCTION("""COMPUTED_VALUE"""),"492.***.***-81")</f>
        <v>492.***.***-81</v>
      </c>
      <c r="E270" s="101">
        <f>IFERROR(__xludf.DUMMYFUNCTION("""COMPUTED_VALUE"""),3.0)</f>
        <v>3</v>
      </c>
      <c r="F270" s="101" t="str">
        <f>IFERROR(__xludf.DUMMYFUNCTION("""COMPUTED_VALUE"""),"492.714.658-81")</f>
        <v>492.714.658-81</v>
      </c>
      <c r="G270" s="101"/>
      <c r="H270" s="101"/>
      <c r="I270" s="101"/>
      <c r="J270" s="101"/>
      <c r="K270" s="101"/>
      <c r="L270" s="101"/>
      <c r="M270" s="101"/>
      <c r="N270" s="101"/>
      <c r="O270" s="101"/>
      <c r="P270" s="101"/>
      <c r="Q270" s="101"/>
      <c r="R270" s="101"/>
      <c r="S270" s="101"/>
      <c r="T270" s="101"/>
      <c r="U270" s="101"/>
      <c r="V270" s="101"/>
      <c r="W270" s="101"/>
      <c r="X270" s="101"/>
      <c r="Y270" s="101"/>
      <c r="Z270" s="101"/>
    </row>
    <row r="271">
      <c r="A271" s="101"/>
      <c r="B271" s="101"/>
      <c r="C271" s="101" t="str">
        <f>IFERROR(__xludf.DUMMYFUNCTION("""COMPUTED_VALUE"""),"GUILHERME DA SILVA ALVES")</f>
        <v>GUILHERME DA SILVA ALVES</v>
      </c>
      <c r="D271" s="101" t="str">
        <f>IFERROR(__xludf.DUMMYFUNCTION("""COMPUTED_VALUE"""),"504.***.***-41")</f>
        <v>504.***.***-41</v>
      </c>
      <c r="E271" s="101">
        <f>IFERROR(__xludf.DUMMYFUNCTION("""COMPUTED_VALUE"""),6.0)</f>
        <v>6</v>
      </c>
      <c r="F271" s="101" t="str">
        <f>IFERROR(__xludf.DUMMYFUNCTION("""COMPUTED_VALUE"""),"504.682.068-41")</f>
        <v>504.682.068-41</v>
      </c>
      <c r="G271" s="101"/>
      <c r="H271" s="101"/>
      <c r="I271" s="101"/>
      <c r="J271" s="101"/>
      <c r="K271" s="101"/>
      <c r="L271" s="101"/>
      <c r="M271" s="101"/>
      <c r="N271" s="101"/>
      <c r="O271" s="101"/>
      <c r="P271" s="101"/>
      <c r="Q271" s="101"/>
      <c r="R271" s="101"/>
      <c r="S271" s="101"/>
      <c r="T271" s="101"/>
      <c r="U271" s="101"/>
      <c r="V271" s="101"/>
      <c r="W271" s="101"/>
      <c r="X271" s="101"/>
      <c r="Y271" s="101"/>
      <c r="Z271" s="101"/>
    </row>
    <row r="272">
      <c r="A272" s="101"/>
      <c r="B272" s="101"/>
      <c r="C272" s="101" t="str">
        <f>IFERROR(__xludf.DUMMYFUNCTION("""COMPUTED_VALUE"""),"VINICIUS MENDONCA VERDERAME")</f>
        <v>VINICIUS MENDONCA VERDERAME</v>
      </c>
      <c r="D272" s="101" t="str">
        <f>IFERROR(__xludf.DUMMYFUNCTION("""COMPUTED_VALUE"""),"339.***.***-67")</f>
        <v>339.***.***-67</v>
      </c>
      <c r="E272" s="101">
        <f>IFERROR(__xludf.DUMMYFUNCTION("""COMPUTED_VALUE"""),12.0)</f>
        <v>12</v>
      </c>
      <c r="F272" s="101" t="str">
        <f>IFERROR(__xludf.DUMMYFUNCTION("""COMPUTED_VALUE"""),"339.199.748-67")</f>
        <v>339.199.748-67</v>
      </c>
      <c r="G272" s="101"/>
      <c r="H272" s="101"/>
      <c r="I272" s="101"/>
      <c r="J272" s="101"/>
      <c r="K272" s="101"/>
      <c r="L272" s="101"/>
      <c r="M272" s="101"/>
      <c r="N272" s="101"/>
      <c r="O272" s="101"/>
      <c r="P272" s="101"/>
      <c r="Q272" s="101"/>
      <c r="R272" s="101"/>
      <c r="S272" s="101"/>
      <c r="T272" s="101"/>
      <c r="U272" s="101"/>
      <c r="V272" s="101"/>
      <c r="W272" s="101"/>
      <c r="X272" s="101"/>
      <c r="Y272" s="101"/>
      <c r="Z272" s="101"/>
    </row>
    <row r="273">
      <c r="A273" s="101"/>
      <c r="B273" s="101"/>
      <c r="C273" s="101" t="str">
        <f>IFERROR(__xludf.DUMMYFUNCTION("""COMPUTED_VALUE"""),"LETICIA POLATO")</f>
        <v>LETICIA POLATO</v>
      </c>
      <c r="D273" s="101" t="str">
        <f>IFERROR(__xludf.DUMMYFUNCTION("""COMPUTED_VALUE"""),"318.***.***-36")</f>
        <v>318.***.***-36</v>
      </c>
      <c r="E273" s="101">
        <f>IFERROR(__xludf.DUMMYFUNCTION("""COMPUTED_VALUE"""),11.0)</f>
        <v>11</v>
      </c>
      <c r="F273" s="101" t="str">
        <f>IFERROR(__xludf.DUMMYFUNCTION("""COMPUTED_VALUE"""),"318.952.918-36")</f>
        <v>318.952.918-36</v>
      </c>
      <c r="G273" s="101"/>
      <c r="H273" s="101"/>
      <c r="I273" s="101"/>
      <c r="J273" s="101"/>
      <c r="K273" s="101"/>
      <c r="L273" s="101"/>
      <c r="M273" s="101"/>
      <c r="N273" s="101"/>
      <c r="O273" s="101"/>
      <c r="P273" s="101"/>
      <c r="Q273" s="101"/>
      <c r="R273" s="101"/>
      <c r="S273" s="101"/>
      <c r="T273" s="101"/>
      <c r="U273" s="101"/>
      <c r="V273" s="101"/>
      <c r="W273" s="101"/>
      <c r="X273" s="101"/>
      <c r="Y273" s="101"/>
      <c r="Z273" s="101"/>
    </row>
    <row r="274">
      <c r="A274" s="101"/>
      <c r="B274" s="101"/>
      <c r="C274" s="101" t="str">
        <f>IFERROR(__xludf.DUMMYFUNCTION("""COMPUTED_VALUE"""),"SYLAS CASAES ROCHA")</f>
        <v>SYLAS CASAES ROCHA</v>
      </c>
      <c r="D274" s="101" t="str">
        <f>IFERROR(__xludf.DUMMYFUNCTION("""COMPUTED_VALUE"""),"414.***.***-97")</f>
        <v>414.***.***-97</v>
      </c>
      <c r="E274" s="101">
        <f>IFERROR(__xludf.DUMMYFUNCTION("""COMPUTED_VALUE"""),16.0)</f>
        <v>16</v>
      </c>
      <c r="F274" s="101" t="str">
        <f>IFERROR(__xludf.DUMMYFUNCTION("""COMPUTED_VALUE"""),"414.141.888-97")</f>
        <v>414.141.888-97</v>
      </c>
      <c r="G274" s="101"/>
      <c r="H274" s="101"/>
      <c r="I274" s="101"/>
      <c r="J274" s="101"/>
      <c r="K274" s="101"/>
      <c r="L274" s="101"/>
      <c r="M274" s="101"/>
      <c r="N274" s="101"/>
      <c r="O274" s="101"/>
      <c r="P274" s="101"/>
      <c r="Q274" s="101"/>
      <c r="R274" s="101"/>
      <c r="S274" s="101"/>
      <c r="T274" s="101"/>
      <c r="U274" s="101"/>
      <c r="V274" s="101"/>
      <c r="W274" s="101"/>
      <c r="X274" s="101"/>
      <c r="Y274" s="101"/>
      <c r="Z274" s="101"/>
    </row>
    <row r="275">
      <c r="A275" s="101"/>
      <c r="B275" s="101"/>
      <c r="C275" s="101" t="str">
        <f>IFERROR(__xludf.DUMMYFUNCTION("""COMPUTED_VALUE"""),"JULIANA ROCHA DE LIMA")</f>
        <v>JULIANA ROCHA DE LIMA</v>
      </c>
      <c r="D275" s="101" t="str">
        <f>IFERROR(__xludf.DUMMYFUNCTION("""COMPUTED_VALUE"""),"515.***.***-63")</f>
        <v>515.***.***-63</v>
      </c>
      <c r="E275" s="101">
        <f>IFERROR(__xludf.DUMMYFUNCTION("""COMPUTED_VALUE"""),6.0)</f>
        <v>6</v>
      </c>
      <c r="F275" s="101" t="str">
        <f>IFERROR(__xludf.DUMMYFUNCTION("""COMPUTED_VALUE"""),"515.985.328-63")</f>
        <v>515.985.328-63</v>
      </c>
      <c r="G275" s="101"/>
      <c r="H275" s="101"/>
      <c r="I275" s="101"/>
      <c r="J275" s="101"/>
      <c r="K275" s="101"/>
      <c r="L275" s="101"/>
      <c r="M275" s="101"/>
      <c r="N275" s="101"/>
      <c r="O275" s="101"/>
      <c r="P275" s="101"/>
      <c r="Q275" s="101"/>
      <c r="R275" s="101"/>
      <c r="S275" s="101"/>
      <c r="T275" s="101"/>
      <c r="U275" s="101"/>
      <c r="V275" s="101"/>
      <c r="W275" s="101"/>
      <c r="X275" s="101"/>
      <c r="Y275" s="101"/>
      <c r="Z275" s="101"/>
    </row>
    <row r="276">
      <c r="A276" s="101"/>
      <c r="B276" s="101"/>
      <c r="C276" s="101" t="str">
        <f>IFERROR(__xludf.DUMMYFUNCTION("""COMPUTED_VALUE"""),"ELLEN CRISTINE DE OLIVEIRA")</f>
        <v>ELLEN CRISTINE DE OLIVEIRA</v>
      </c>
      <c r="D276" s="101" t="str">
        <f>IFERROR(__xludf.DUMMYFUNCTION("""COMPUTED_VALUE"""),"535.***.***-80")</f>
        <v>535.***.***-80</v>
      </c>
      <c r="E276" s="101">
        <f>IFERROR(__xludf.DUMMYFUNCTION("""COMPUTED_VALUE"""),4.0)</f>
        <v>4</v>
      </c>
      <c r="F276" s="101" t="str">
        <f>IFERROR(__xludf.DUMMYFUNCTION("""COMPUTED_VALUE"""),"535.551.508-80")</f>
        <v>535.551.508-80</v>
      </c>
      <c r="G276" s="101"/>
      <c r="H276" s="101"/>
      <c r="I276" s="101"/>
      <c r="J276" s="101"/>
      <c r="K276" s="101"/>
      <c r="L276" s="101"/>
      <c r="M276" s="101"/>
      <c r="N276" s="101"/>
      <c r="O276" s="101"/>
      <c r="P276" s="101"/>
      <c r="Q276" s="101"/>
      <c r="R276" s="101"/>
      <c r="S276" s="101"/>
      <c r="T276" s="101"/>
      <c r="U276" s="101"/>
      <c r="V276" s="101"/>
      <c r="W276" s="101"/>
      <c r="X276" s="101"/>
      <c r="Y276" s="101"/>
      <c r="Z276" s="101"/>
    </row>
    <row r="277">
      <c r="A277" s="101"/>
      <c r="B277" s="101"/>
      <c r="C277" s="101" t="str">
        <f>IFERROR(__xludf.DUMMYFUNCTION("""COMPUTED_VALUE"""),"ALISSON NASCIMENTO DE LIMA")</f>
        <v>ALISSON NASCIMENTO DE LIMA</v>
      </c>
      <c r="D277" s="101" t="str">
        <f>IFERROR(__xludf.DUMMYFUNCTION("""COMPUTED_VALUE"""),"537.***.***-74")</f>
        <v>537.***.***-74</v>
      </c>
      <c r="E277" s="101">
        <f>IFERROR(__xludf.DUMMYFUNCTION("""COMPUTED_VALUE"""),1.0)</f>
        <v>1</v>
      </c>
      <c r="F277" s="101" t="str">
        <f>IFERROR(__xludf.DUMMYFUNCTION("""COMPUTED_VALUE"""),"537.221.798-74")</f>
        <v>537.221.798-74</v>
      </c>
      <c r="G277" s="101"/>
      <c r="H277" s="101"/>
      <c r="I277" s="101"/>
      <c r="J277" s="101"/>
      <c r="K277" s="101"/>
      <c r="L277" s="101"/>
      <c r="M277" s="101"/>
      <c r="N277" s="101"/>
      <c r="O277" s="101"/>
      <c r="P277" s="101"/>
      <c r="Q277" s="101"/>
      <c r="R277" s="101"/>
      <c r="S277" s="101"/>
      <c r="T277" s="101"/>
      <c r="U277" s="101"/>
      <c r="V277" s="101"/>
      <c r="W277" s="101"/>
      <c r="X277" s="101"/>
      <c r="Y277" s="101"/>
      <c r="Z277" s="101"/>
    </row>
    <row r="278">
      <c r="A278" s="101"/>
      <c r="B278" s="101"/>
      <c r="C278" s="101" t="str">
        <f>IFERROR(__xludf.DUMMYFUNCTION("""COMPUTED_VALUE"""),"GABRIELA BARBOSA MAGALHAES")</f>
        <v>GABRIELA BARBOSA MAGALHAES</v>
      </c>
      <c r="D278" s="101" t="str">
        <f>IFERROR(__xludf.DUMMYFUNCTION("""COMPUTED_VALUE"""),"468.***.***-30")</f>
        <v>468.***.***-30</v>
      </c>
      <c r="E278" s="101">
        <f>IFERROR(__xludf.DUMMYFUNCTION("""COMPUTED_VALUE"""),4.0)</f>
        <v>4</v>
      </c>
      <c r="F278" s="101" t="str">
        <f>IFERROR(__xludf.DUMMYFUNCTION("""COMPUTED_VALUE"""),"468.323.708-30")</f>
        <v>468.323.708-30</v>
      </c>
      <c r="G278" s="101"/>
      <c r="H278" s="101"/>
      <c r="I278" s="101"/>
      <c r="J278" s="101"/>
      <c r="K278" s="101"/>
      <c r="L278" s="101"/>
      <c r="M278" s="101"/>
      <c r="N278" s="101"/>
      <c r="O278" s="101"/>
      <c r="P278" s="101"/>
      <c r="Q278" s="101"/>
      <c r="R278" s="101"/>
      <c r="S278" s="101"/>
      <c r="T278" s="101"/>
      <c r="U278" s="101"/>
      <c r="V278" s="101"/>
      <c r="W278" s="101"/>
      <c r="X278" s="101"/>
      <c r="Y278" s="101"/>
      <c r="Z278" s="101"/>
    </row>
    <row r="279">
      <c r="A279" s="101"/>
      <c r="B279" s="101"/>
      <c r="C279" s="101" t="str">
        <f>IFERROR(__xludf.DUMMYFUNCTION("""COMPUTED_VALUE"""),"LUCAS QUEIROZ DA SILVA")</f>
        <v>LUCAS QUEIROZ DA SILVA</v>
      </c>
      <c r="D279" s="101" t="str">
        <f>IFERROR(__xludf.DUMMYFUNCTION("""COMPUTED_VALUE"""),"557.***.***-85")</f>
        <v>557.***.***-85</v>
      </c>
      <c r="E279" s="101">
        <f>IFERROR(__xludf.DUMMYFUNCTION("""COMPUTED_VALUE"""),8.0)</f>
        <v>8</v>
      </c>
      <c r="F279" s="101" t="str">
        <f>IFERROR(__xludf.DUMMYFUNCTION("""COMPUTED_VALUE"""),"557.839.178-85")</f>
        <v>557.839.178-85</v>
      </c>
      <c r="G279" s="101"/>
      <c r="H279" s="101"/>
      <c r="I279" s="101"/>
      <c r="J279" s="101"/>
      <c r="K279" s="101"/>
      <c r="L279" s="101"/>
      <c r="M279" s="101"/>
      <c r="N279" s="101"/>
      <c r="O279" s="101"/>
      <c r="P279" s="101"/>
      <c r="Q279" s="101"/>
      <c r="R279" s="101"/>
      <c r="S279" s="101"/>
      <c r="T279" s="101"/>
      <c r="U279" s="101"/>
      <c r="V279" s="101"/>
      <c r="W279" s="101"/>
      <c r="X279" s="101"/>
      <c r="Y279" s="101"/>
      <c r="Z279" s="101"/>
    </row>
    <row r="280">
      <c r="A280" s="101"/>
      <c r="B280" s="101"/>
      <c r="C280" s="101" t="str">
        <f>IFERROR(__xludf.DUMMYFUNCTION("""COMPUTED_VALUE"""),"KAUAN PAIOLA SASSO")</f>
        <v>KAUAN PAIOLA SASSO</v>
      </c>
      <c r="D280" s="101" t="str">
        <f>IFERROR(__xludf.DUMMYFUNCTION("""COMPUTED_VALUE"""),"452.***.***-27")</f>
        <v>452.***.***-27</v>
      </c>
      <c r="E280" s="101">
        <f>IFERROR(__xludf.DUMMYFUNCTION("""COMPUTED_VALUE"""),6.0)</f>
        <v>6</v>
      </c>
      <c r="F280" s="101" t="str">
        <f>IFERROR(__xludf.DUMMYFUNCTION("""COMPUTED_VALUE"""),"452.723.228-27")</f>
        <v>452.723.228-27</v>
      </c>
      <c r="G280" s="101"/>
      <c r="H280" s="101"/>
      <c r="I280" s="101"/>
      <c r="J280" s="101"/>
      <c r="K280" s="101"/>
      <c r="L280" s="101"/>
      <c r="M280" s="101"/>
      <c r="N280" s="101"/>
      <c r="O280" s="101"/>
      <c r="P280" s="101"/>
      <c r="Q280" s="101"/>
      <c r="R280" s="101"/>
      <c r="S280" s="101"/>
      <c r="T280" s="101"/>
      <c r="U280" s="101"/>
      <c r="V280" s="101"/>
      <c r="W280" s="101"/>
      <c r="X280" s="101"/>
      <c r="Y280" s="101"/>
      <c r="Z280" s="101"/>
    </row>
    <row r="281">
      <c r="A281" s="101"/>
      <c r="B281" s="101"/>
      <c r="C281" s="101" t="str">
        <f>IFERROR(__xludf.DUMMYFUNCTION("""COMPUTED_VALUE"""),"BEATRYS VITORIA GOUVEIA DA SILVA")</f>
        <v>BEATRYS VITORIA GOUVEIA DA SILVA</v>
      </c>
      <c r="D281" s="101" t="str">
        <f>IFERROR(__xludf.DUMMYFUNCTION("""COMPUTED_VALUE"""),"532.***.***-13")</f>
        <v>532.***.***-13</v>
      </c>
      <c r="E281" s="101">
        <f>IFERROR(__xludf.DUMMYFUNCTION("""COMPUTED_VALUE"""),2.0)</f>
        <v>2</v>
      </c>
      <c r="F281" s="101" t="str">
        <f>IFERROR(__xludf.DUMMYFUNCTION("""COMPUTED_VALUE"""),"532.144.948-13")</f>
        <v>532.144.948-13</v>
      </c>
      <c r="G281" s="101"/>
      <c r="H281" s="101"/>
      <c r="I281" s="101"/>
      <c r="J281" s="101"/>
      <c r="K281" s="101"/>
      <c r="L281" s="101"/>
      <c r="M281" s="101"/>
      <c r="N281" s="101"/>
      <c r="O281" s="101"/>
      <c r="P281" s="101"/>
      <c r="Q281" s="101"/>
      <c r="R281" s="101"/>
      <c r="S281" s="101"/>
      <c r="T281" s="101"/>
      <c r="U281" s="101"/>
      <c r="V281" s="101"/>
      <c r="W281" s="101"/>
      <c r="X281" s="101"/>
      <c r="Y281" s="101"/>
      <c r="Z281" s="101"/>
    </row>
    <row r="282">
      <c r="A282" s="101"/>
      <c r="B282" s="101"/>
      <c r="C282" s="101" t="str">
        <f>IFERROR(__xludf.DUMMYFUNCTION("""COMPUTED_VALUE"""),"SUELLEN CAROLYNE COSME FELIX")</f>
        <v>SUELLEN CAROLYNE COSME FELIX</v>
      </c>
      <c r="D282" s="101" t="str">
        <f>IFERROR(__xludf.DUMMYFUNCTION("""COMPUTED_VALUE"""),"471.***.***-21")</f>
        <v>471.***.***-21</v>
      </c>
      <c r="E282" s="101">
        <f>IFERROR(__xludf.DUMMYFUNCTION("""COMPUTED_VALUE"""),16.0)</f>
        <v>16</v>
      </c>
      <c r="F282" s="101" t="str">
        <f>IFERROR(__xludf.DUMMYFUNCTION("""COMPUTED_VALUE"""),"471.684.598-21")</f>
        <v>471.684.598-21</v>
      </c>
      <c r="G282" s="101"/>
      <c r="H282" s="101"/>
      <c r="I282" s="101"/>
      <c r="J282" s="101"/>
      <c r="K282" s="101"/>
      <c r="L282" s="101"/>
      <c r="M282" s="101"/>
      <c r="N282" s="101"/>
      <c r="O282" s="101"/>
      <c r="P282" s="101"/>
      <c r="Q282" s="101"/>
      <c r="R282" s="101"/>
      <c r="S282" s="101"/>
      <c r="T282" s="101"/>
      <c r="U282" s="101"/>
      <c r="V282" s="101"/>
      <c r="W282" s="101"/>
      <c r="X282" s="101"/>
      <c r="Y282" s="101"/>
      <c r="Z282" s="101"/>
    </row>
    <row r="283">
      <c r="A283" s="101"/>
      <c r="B283" s="101"/>
      <c r="C283" s="101" t="str">
        <f>IFERROR(__xludf.DUMMYFUNCTION("""COMPUTED_VALUE"""),"KAROLINA COELHO DE SANTANA")</f>
        <v>KAROLINA COELHO DE SANTANA</v>
      </c>
      <c r="D283" s="101" t="str">
        <f>IFERROR(__xludf.DUMMYFUNCTION("""COMPUTED_VALUE"""),"476.***.***-85")</f>
        <v>476.***.***-85</v>
      </c>
      <c r="E283" s="101">
        <f>IFERROR(__xludf.DUMMYFUNCTION("""COMPUTED_VALUE"""),6.0)</f>
        <v>6</v>
      </c>
      <c r="F283" s="101" t="str">
        <f>IFERROR(__xludf.DUMMYFUNCTION("""COMPUTED_VALUE"""),"476.121.498-85")</f>
        <v>476.121.498-85</v>
      </c>
      <c r="G283" s="101"/>
      <c r="H283" s="101"/>
      <c r="I283" s="101"/>
      <c r="J283" s="101"/>
      <c r="K283" s="101"/>
      <c r="L283" s="101"/>
      <c r="M283" s="101"/>
      <c r="N283" s="101"/>
      <c r="O283" s="101"/>
      <c r="P283" s="101"/>
      <c r="Q283" s="101"/>
      <c r="R283" s="101"/>
      <c r="S283" s="101"/>
      <c r="T283" s="101"/>
      <c r="U283" s="101"/>
      <c r="V283" s="101"/>
      <c r="W283" s="101"/>
      <c r="X283" s="101"/>
      <c r="Y283" s="101"/>
      <c r="Z283" s="101"/>
    </row>
    <row r="284">
      <c r="A284" s="101"/>
      <c r="B284" s="101"/>
      <c r="C284" s="101" t="str">
        <f>IFERROR(__xludf.DUMMYFUNCTION("""COMPUTED_VALUE"""),"LUCAS MATHEUS THEODORO GOMES DOS SANTOS")</f>
        <v>LUCAS MATHEUS THEODORO GOMES DOS SANTOS</v>
      </c>
      <c r="D284" s="101" t="str">
        <f>IFERROR(__xludf.DUMMYFUNCTION("""COMPUTED_VALUE"""),"396.***.***-00")</f>
        <v>396.***.***-00</v>
      </c>
      <c r="E284" s="101">
        <f>IFERROR(__xludf.DUMMYFUNCTION("""COMPUTED_VALUE"""),11.0)</f>
        <v>11</v>
      </c>
      <c r="F284" s="101" t="str">
        <f>IFERROR(__xludf.DUMMYFUNCTION("""COMPUTED_VALUE"""),"396.639.398-00")</f>
        <v>396.639.398-00</v>
      </c>
      <c r="G284" s="101"/>
      <c r="H284" s="101"/>
      <c r="I284" s="101"/>
      <c r="J284" s="101"/>
      <c r="K284" s="101"/>
      <c r="L284" s="101"/>
      <c r="M284" s="101"/>
      <c r="N284" s="101"/>
      <c r="O284" s="101"/>
      <c r="P284" s="101"/>
      <c r="Q284" s="101"/>
      <c r="R284" s="101"/>
      <c r="S284" s="101"/>
      <c r="T284" s="101"/>
      <c r="U284" s="101"/>
      <c r="V284" s="101"/>
      <c r="W284" s="101"/>
      <c r="X284" s="101"/>
      <c r="Y284" s="101"/>
      <c r="Z284" s="101"/>
    </row>
    <row r="285">
      <c r="A285" s="101"/>
      <c r="B285" s="101"/>
      <c r="C285" s="101" t="str">
        <f>IFERROR(__xludf.DUMMYFUNCTION("""COMPUTED_VALUE"""),"PAULO MARQUES GOMES OLIVEIRA")</f>
        <v>PAULO MARQUES GOMES OLIVEIRA</v>
      </c>
      <c r="D285" s="101" t="str">
        <f>IFERROR(__xludf.DUMMYFUNCTION("""COMPUTED_VALUE"""),"497.***.***-64")</f>
        <v>497.***.***-64</v>
      </c>
      <c r="E285" s="101">
        <f>IFERROR(__xludf.DUMMYFUNCTION("""COMPUTED_VALUE"""),14.0)</f>
        <v>14</v>
      </c>
      <c r="F285" s="101" t="str">
        <f>IFERROR(__xludf.DUMMYFUNCTION("""COMPUTED_VALUE"""),"497.367.398-64")</f>
        <v>497.367.398-64</v>
      </c>
      <c r="G285" s="101"/>
      <c r="H285" s="101"/>
      <c r="I285" s="101"/>
      <c r="J285" s="101"/>
      <c r="K285" s="101"/>
      <c r="L285" s="101"/>
      <c r="M285" s="101"/>
      <c r="N285" s="101"/>
      <c r="O285" s="101"/>
      <c r="P285" s="101"/>
      <c r="Q285" s="101"/>
      <c r="R285" s="101"/>
      <c r="S285" s="101"/>
      <c r="T285" s="101"/>
      <c r="U285" s="101"/>
      <c r="V285" s="101"/>
      <c r="W285" s="101"/>
      <c r="X285" s="101"/>
      <c r="Y285" s="101"/>
      <c r="Z285" s="101"/>
    </row>
    <row r="286">
      <c r="A286" s="101"/>
      <c r="B286" s="101"/>
      <c r="C286" s="101" t="str">
        <f>IFERROR(__xludf.DUMMYFUNCTION("""COMPUTED_VALUE"""),"THAMIRIS LOPES DOS SANTOS")</f>
        <v>THAMIRIS LOPES DOS SANTOS</v>
      </c>
      <c r="D286" s="101" t="str">
        <f>IFERROR(__xludf.DUMMYFUNCTION("""COMPUTED_VALUE"""),"459.***.***-11")</f>
        <v>459.***.***-11</v>
      </c>
      <c r="E286" s="101">
        <f>IFERROR(__xludf.DUMMYFUNCTION("""COMPUTED_VALUE"""),17.0)</f>
        <v>17</v>
      </c>
      <c r="F286" s="101" t="str">
        <f>IFERROR(__xludf.DUMMYFUNCTION("""COMPUTED_VALUE"""),"459.153.618-11")</f>
        <v>459.153.618-11</v>
      </c>
      <c r="G286" s="101"/>
      <c r="H286" s="101"/>
      <c r="I286" s="101"/>
      <c r="J286" s="101"/>
      <c r="K286" s="101"/>
      <c r="L286" s="101"/>
      <c r="M286" s="101"/>
      <c r="N286" s="101"/>
      <c r="O286" s="101"/>
      <c r="P286" s="101"/>
      <c r="Q286" s="101"/>
      <c r="R286" s="101"/>
      <c r="S286" s="101"/>
      <c r="T286" s="101"/>
      <c r="U286" s="101"/>
      <c r="V286" s="101"/>
      <c r="W286" s="101"/>
      <c r="X286" s="101"/>
      <c r="Y286" s="101"/>
      <c r="Z286" s="101"/>
    </row>
    <row r="287">
      <c r="A287" s="101"/>
      <c r="B287" s="101"/>
      <c r="C287" s="101" t="str">
        <f>IFERROR(__xludf.DUMMYFUNCTION("""COMPUTED_VALUE"""),"NICKOLLAS VINICIUS BEZERRA RAMOS")</f>
        <v>NICKOLLAS VINICIUS BEZERRA RAMOS</v>
      </c>
      <c r="D287" s="101" t="str">
        <f>IFERROR(__xludf.DUMMYFUNCTION("""COMPUTED_VALUE"""),"527.***.***-50")</f>
        <v>527.***.***-50</v>
      </c>
      <c r="E287" s="101">
        <f>IFERROR(__xludf.DUMMYFUNCTION("""COMPUTED_VALUE"""),8.0)</f>
        <v>8</v>
      </c>
      <c r="F287" s="101" t="str">
        <f>IFERROR(__xludf.DUMMYFUNCTION("""COMPUTED_VALUE"""),"527.996.408-50")</f>
        <v>527.996.408-50</v>
      </c>
      <c r="G287" s="101"/>
      <c r="H287" s="101"/>
      <c r="I287" s="101"/>
      <c r="J287" s="101"/>
      <c r="K287" s="101"/>
      <c r="L287" s="101"/>
      <c r="M287" s="101"/>
      <c r="N287" s="101"/>
      <c r="O287" s="101"/>
      <c r="P287" s="101"/>
      <c r="Q287" s="101"/>
      <c r="R287" s="101"/>
      <c r="S287" s="101"/>
      <c r="T287" s="101"/>
      <c r="U287" s="101"/>
      <c r="V287" s="101"/>
      <c r="W287" s="101"/>
      <c r="X287" s="101"/>
      <c r="Y287" s="101"/>
      <c r="Z287" s="101"/>
    </row>
    <row r="288">
      <c r="A288" s="101"/>
      <c r="B288" s="101"/>
      <c r="C288" s="101" t="str">
        <f>IFERROR(__xludf.DUMMYFUNCTION("""COMPUTED_VALUE"""),"EMILLY VITORIA DE FRANCA PENHA")</f>
        <v>EMILLY VITORIA DE FRANCA PENHA</v>
      </c>
      <c r="D288" s="101" t="str">
        <f>IFERROR(__xludf.DUMMYFUNCTION("""COMPUTED_VALUE"""),"553.***.***-03")</f>
        <v>553.***.***-03</v>
      </c>
      <c r="E288" s="101">
        <f>IFERROR(__xludf.DUMMYFUNCTION("""COMPUTED_VALUE"""),3.0)</f>
        <v>3</v>
      </c>
      <c r="F288" s="101" t="str">
        <f>IFERROR(__xludf.DUMMYFUNCTION("""COMPUTED_VALUE"""),"553.961.228-03")</f>
        <v>553.961.228-03</v>
      </c>
      <c r="G288" s="101"/>
      <c r="H288" s="101"/>
      <c r="I288" s="101"/>
      <c r="J288" s="101"/>
      <c r="K288" s="101"/>
      <c r="L288" s="101"/>
      <c r="M288" s="101"/>
      <c r="N288" s="101"/>
      <c r="O288" s="101"/>
      <c r="P288" s="101"/>
      <c r="Q288" s="101"/>
      <c r="R288" s="101"/>
      <c r="S288" s="101"/>
      <c r="T288" s="101"/>
      <c r="U288" s="101"/>
      <c r="V288" s="101"/>
      <c r="W288" s="101"/>
      <c r="X288" s="101"/>
      <c r="Y288" s="101"/>
      <c r="Z288" s="101"/>
    </row>
    <row r="289">
      <c r="A289" s="101"/>
      <c r="B289" s="101"/>
      <c r="C289" s="101" t="str">
        <f>IFERROR(__xludf.DUMMYFUNCTION("""COMPUTED_VALUE"""),"SARAH FERNANDA NUNES AMPARADO")</f>
        <v>SARAH FERNANDA NUNES AMPARADO</v>
      </c>
      <c r="D289" s="101" t="str">
        <f>IFERROR(__xludf.DUMMYFUNCTION("""COMPUTED_VALUE"""),"510.***.***-60")</f>
        <v>510.***.***-60</v>
      </c>
      <c r="E289" s="101">
        <f>IFERROR(__xludf.DUMMYFUNCTION("""COMPUTED_VALUE"""),9.0)</f>
        <v>9</v>
      </c>
      <c r="F289" s="101" t="str">
        <f>IFERROR(__xludf.DUMMYFUNCTION("""COMPUTED_VALUE"""),"510.959.678-60")</f>
        <v>510.959.678-60</v>
      </c>
      <c r="G289" s="101"/>
      <c r="H289" s="101"/>
      <c r="I289" s="101"/>
      <c r="J289" s="101"/>
      <c r="K289" s="101"/>
      <c r="L289" s="101"/>
      <c r="M289" s="101"/>
      <c r="N289" s="101"/>
      <c r="O289" s="101"/>
      <c r="P289" s="101"/>
      <c r="Q289" s="101"/>
      <c r="R289" s="101"/>
      <c r="S289" s="101"/>
      <c r="T289" s="101"/>
      <c r="U289" s="101"/>
      <c r="V289" s="101"/>
      <c r="W289" s="101"/>
      <c r="X289" s="101"/>
      <c r="Y289" s="101"/>
      <c r="Z289" s="101"/>
    </row>
    <row r="290">
      <c r="A290" s="101"/>
      <c r="B290" s="101"/>
      <c r="C290" s="101" t="str">
        <f>IFERROR(__xludf.DUMMYFUNCTION("""COMPUTED_VALUE"""),"DAVI SILVA")</f>
        <v>DAVI SILVA</v>
      </c>
      <c r="D290" s="101" t="str">
        <f>IFERROR(__xludf.DUMMYFUNCTION("""COMPUTED_VALUE"""),"098.***.***-84")</f>
        <v>098.***.***-84</v>
      </c>
      <c r="E290" s="101">
        <f>IFERROR(__xludf.DUMMYFUNCTION("""COMPUTED_VALUE"""),1.0)</f>
        <v>1</v>
      </c>
      <c r="F290" s="101" t="str">
        <f>IFERROR(__xludf.DUMMYFUNCTION("""COMPUTED_VALUE"""),"098.926.261-84")</f>
        <v>098.926.261-84</v>
      </c>
      <c r="G290" s="101"/>
      <c r="H290" s="101"/>
      <c r="I290" s="101"/>
      <c r="J290" s="101"/>
      <c r="K290" s="101"/>
      <c r="L290" s="101"/>
      <c r="M290" s="101"/>
      <c r="N290" s="101"/>
      <c r="O290" s="101"/>
      <c r="P290" s="101"/>
      <c r="Q290" s="101"/>
      <c r="R290" s="101"/>
      <c r="S290" s="101"/>
      <c r="T290" s="101"/>
      <c r="U290" s="101"/>
      <c r="V290" s="101"/>
      <c r="W290" s="101"/>
      <c r="X290" s="101"/>
      <c r="Y290" s="101"/>
      <c r="Z290" s="101"/>
    </row>
    <row r="291">
      <c r="A291" s="101"/>
      <c r="B291" s="101"/>
      <c r="C291" s="101" t="str">
        <f>IFERROR(__xludf.DUMMYFUNCTION("""COMPUTED_VALUE"""),"LUANA XAVIER MARQUES")</f>
        <v>LUANA XAVIER MARQUES</v>
      </c>
      <c r="D291" s="101" t="str">
        <f>IFERROR(__xludf.DUMMYFUNCTION("""COMPUTED_VALUE"""),"387.***.***-69")</f>
        <v>387.***.***-69</v>
      </c>
      <c r="E291" s="101">
        <f>IFERROR(__xludf.DUMMYFUNCTION("""COMPUTED_VALUE"""),8.0)</f>
        <v>8</v>
      </c>
      <c r="F291" s="101" t="str">
        <f>IFERROR(__xludf.DUMMYFUNCTION("""COMPUTED_VALUE"""),"387.369.528-69")</f>
        <v>387.369.528-69</v>
      </c>
      <c r="G291" s="101"/>
      <c r="H291" s="101"/>
      <c r="I291" s="101"/>
      <c r="J291" s="101"/>
      <c r="K291" s="101"/>
      <c r="L291" s="101"/>
      <c r="M291" s="101"/>
      <c r="N291" s="101"/>
      <c r="O291" s="101"/>
      <c r="P291" s="101"/>
      <c r="Q291" s="101"/>
      <c r="R291" s="101"/>
      <c r="S291" s="101"/>
      <c r="T291" s="101"/>
      <c r="U291" s="101"/>
      <c r="V291" s="101"/>
      <c r="W291" s="101"/>
      <c r="X291" s="101"/>
      <c r="Y291" s="101"/>
      <c r="Z291" s="101"/>
    </row>
    <row r="292">
      <c r="A292" s="101"/>
      <c r="B292" s="101"/>
      <c r="C292" s="101" t="str">
        <f>IFERROR(__xludf.DUMMYFUNCTION("""COMPUTED_VALUE"""),"MATHEUS SANTOS DE ALCANTARA")</f>
        <v>MATHEUS SANTOS DE ALCANTARA</v>
      </c>
      <c r="D292" s="101" t="str">
        <f>IFERROR(__xludf.DUMMYFUNCTION("""COMPUTED_VALUE"""),"478.***.***-48")</f>
        <v>478.***.***-48</v>
      </c>
      <c r="E292" s="101">
        <f>IFERROR(__xludf.DUMMYFUNCTION("""COMPUTED_VALUE"""),9.0)</f>
        <v>9</v>
      </c>
      <c r="F292" s="101" t="str">
        <f>IFERROR(__xludf.DUMMYFUNCTION("""COMPUTED_VALUE"""),"478.225.528-48")</f>
        <v>478.225.528-48</v>
      </c>
      <c r="G292" s="101"/>
      <c r="H292" s="101"/>
      <c r="I292" s="101"/>
      <c r="J292" s="101"/>
      <c r="K292" s="101"/>
      <c r="L292" s="101"/>
      <c r="M292" s="101"/>
      <c r="N292" s="101"/>
      <c r="O292" s="101"/>
      <c r="P292" s="101"/>
      <c r="Q292" s="101"/>
      <c r="R292" s="101"/>
      <c r="S292" s="101"/>
      <c r="T292" s="101"/>
      <c r="U292" s="101"/>
      <c r="V292" s="101"/>
      <c r="W292" s="101"/>
      <c r="X292" s="101"/>
      <c r="Y292" s="101"/>
      <c r="Z292" s="101"/>
    </row>
    <row r="293">
      <c r="A293" s="101"/>
      <c r="B293" s="101"/>
      <c r="C293" s="101" t="str">
        <f>IFERROR(__xludf.DUMMYFUNCTION("""COMPUTED_VALUE"""),"TIFFANY FATIMA FLORES DIAS")</f>
        <v>TIFFANY FATIMA FLORES DIAS</v>
      </c>
      <c r="D293" s="101" t="str">
        <f>IFERROR(__xludf.DUMMYFUNCTION("""COMPUTED_VALUE"""),"513.***.***-93")</f>
        <v>513.***.***-93</v>
      </c>
      <c r="E293" s="101">
        <f>IFERROR(__xludf.DUMMYFUNCTION("""COMPUTED_VALUE"""),17.0)</f>
        <v>17</v>
      </c>
      <c r="F293" s="101" t="str">
        <f>IFERROR(__xludf.DUMMYFUNCTION("""COMPUTED_VALUE"""),"513.174.128-93")</f>
        <v>513.174.128-93</v>
      </c>
      <c r="G293" s="101"/>
      <c r="H293" s="101"/>
      <c r="I293" s="101"/>
      <c r="J293" s="101"/>
      <c r="K293" s="101"/>
      <c r="L293" s="101"/>
      <c r="M293" s="101"/>
      <c r="N293" s="101"/>
      <c r="O293" s="101"/>
      <c r="P293" s="101"/>
      <c r="Q293" s="101"/>
      <c r="R293" s="101"/>
      <c r="S293" s="101"/>
      <c r="T293" s="101"/>
      <c r="U293" s="101"/>
      <c r="V293" s="101"/>
      <c r="W293" s="101"/>
      <c r="X293" s="101"/>
      <c r="Y293" s="101"/>
      <c r="Z293" s="101"/>
    </row>
    <row r="294">
      <c r="A294" s="101"/>
      <c r="B294" s="101"/>
      <c r="C294" s="101" t="str">
        <f>IFERROR(__xludf.DUMMYFUNCTION("""COMPUTED_VALUE"""),"VICTOR LEONARDO BRAGA")</f>
        <v>VICTOR LEONARDO BRAGA</v>
      </c>
      <c r="D294" s="101" t="str">
        <f>IFERROR(__xludf.DUMMYFUNCTION("""COMPUTED_VALUE"""),"554.***.***-06")</f>
        <v>554.***.***-06</v>
      </c>
      <c r="E294" s="101">
        <f>IFERROR(__xludf.DUMMYFUNCTION("""COMPUTED_VALUE"""),10.0)</f>
        <v>10</v>
      </c>
      <c r="F294" s="101" t="str">
        <f>IFERROR(__xludf.DUMMYFUNCTION("""COMPUTED_VALUE"""),"554.798.678-06")</f>
        <v>554.798.678-06</v>
      </c>
      <c r="G294" s="101"/>
      <c r="H294" s="101"/>
      <c r="I294" s="101"/>
      <c r="J294" s="101"/>
      <c r="K294" s="101"/>
      <c r="L294" s="101"/>
      <c r="M294" s="101"/>
      <c r="N294" s="101"/>
      <c r="O294" s="101"/>
      <c r="P294" s="101"/>
      <c r="Q294" s="101"/>
      <c r="R294" s="101"/>
      <c r="S294" s="101"/>
      <c r="T294" s="101"/>
      <c r="U294" s="101"/>
      <c r="V294" s="101"/>
      <c r="W294" s="101"/>
      <c r="X294" s="101"/>
      <c r="Y294" s="101"/>
      <c r="Z294" s="101"/>
    </row>
    <row r="295">
      <c r="A295" s="101"/>
      <c r="B295" s="101"/>
      <c r="C295" s="101" t="str">
        <f>IFERROR(__xludf.DUMMYFUNCTION("""COMPUTED_VALUE"""),"ZURI DE SOUZA PEREIRA")</f>
        <v>ZURI DE SOUZA PEREIRA</v>
      </c>
      <c r="D295" s="101" t="str">
        <f>IFERROR(__xludf.DUMMYFUNCTION("""COMPUTED_VALUE"""),"702.***.***-94")</f>
        <v>702.***.***-94</v>
      </c>
      <c r="E295" s="101">
        <f>IFERROR(__xludf.DUMMYFUNCTION("""COMPUTED_VALUE"""),7.0)</f>
        <v>7</v>
      </c>
      <c r="F295" s="101" t="str">
        <f>IFERROR(__xludf.DUMMYFUNCTION("""COMPUTED_VALUE"""),"702.280.066-94")</f>
        <v>702.280.066-94</v>
      </c>
      <c r="G295" s="101"/>
      <c r="H295" s="101"/>
      <c r="I295" s="101"/>
      <c r="J295" s="101"/>
      <c r="K295" s="101"/>
      <c r="L295" s="101"/>
      <c r="M295" s="101"/>
      <c r="N295" s="101"/>
      <c r="O295" s="101"/>
      <c r="P295" s="101"/>
      <c r="Q295" s="101"/>
      <c r="R295" s="101"/>
      <c r="S295" s="101"/>
      <c r="T295" s="101"/>
      <c r="U295" s="101"/>
      <c r="V295" s="101"/>
      <c r="W295" s="101"/>
      <c r="X295" s="101"/>
      <c r="Y295" s="101"/>
      <c r="Z295" s="101"/>
    </row>
    <row r="296">
      <c r="A296" s="101"/>
      <c r="B296" s="101"/>
      <c r="C296" s="101" t="str">
        <f>IFERROR(__xludf.DUMMYFUNCTION("""COMPUTED_VALUE"""),"JULIA NICOLLY DA  SILVA CAMPOS")</f>
        <v>JULIA NICOLLY DA  SILVA CAMPOS</v>
      </c>
      <c r="D296" s="101" t="str">
        <f>IFERROR(__xludf.DUMMYFUNCTION("""COMPUTED_VALUE"""),"518.***.***-48")</f>
        <v>518.***.***-48</v>
      </c>
      <c r="E296" s="101">
        <f>IFERROR(__xludf.DUMMYFUNCTION("""COMPUTED_VALUE"""),8.0)</f>
        <v>8</v>
      </c>
      <c r="F296" s="101" t="str">
        <f>IFERROR(__xludf.DUMMYFUNCTION("""COMPUTED_VALUE"""),"518.164.648-48")</f>
        <v>518.164.648-48</v>
      </c>
      <c r="G296" s="101"/>
      <c r="H296" s="101"/>
      <c r="I296" s="101"/>
      <c r="J296" s="101"/>
      <c r="K296" s="101"/>
      <c r="L296" s="101"/>
      <c r="M296" s="101"/>
      <c r="N296" s="101"/>
      <c r="O296" s="101"/>
      <c r="P296" s="101"/>
      <c r="Q296" s="101"/>
      <c r="R296" s="101"/>
      <c r="S296" s="101"/>
      <c r="T296" s="101"/>
      <c r="U296" s="101"/>
      <c r="V296" s="101"/>
      <c r="W296" s="101"/>
      <c r="X296" s="101"/>
      <c r="Y296" s="101"/>
      <c r="Z296" s="101"/>
    </row>
    <row r="297">
      <c r="A297" s="101"/>
      <c r="B297" s="101"/>
      <c r="C297" s="101" t="str">
        <f>IFERROR(__xludf.DUMMYFUNCTION("""COMPUTED_VALUE"""),"JOE BELFORT CRUZ SILVA")</f>
        <v>JOE BELFORT CRUZ SILVA</v>
      </c>
      <c r="D297" s="101" t="str">
        <f>IFERROR(__xludf.DUMMYFUNCTION("""COMPUTED_VALUE"""),"509.***.***-05")</f>
        <v>509.***.***-05</v>
      </c>
      <c r="E297" s="101">
        <f>IFERROR(__xludf.DUMMYFUNCTION("""COMPUTED_VALUE"""),8.0)</f>
        <v>8</v>
      </c>
      <c r="F297" s="101" t="str">
        <f>IFERROR(__xludf.DUMMYFUNCTION("""COMPUTED_VALUE"""),"509.143.908-05")</f>
        <v>509.143.908-05</v>
      </c>
      <c r="G297" s="101"/>
      <c r="H297" s="101"/>
      <c r="I297" s="101"/>
      <c r="J297" s="101"/>
      <c r="K297" s="101"/>
      <c r="L297" s="101"/>
      <c r="M297" s="101"/>
      <c r="N297" s="101"/>
      <c r="O297" s="101"/>
      <c r="P297" s="101"/>
      <c r="Q297" s="101"/>
      <c r="R297" s="101"/>
      <c r="S297" s="101"/>
      <c r="T297" s="101"/>
      <c r="U297" s="101"/>
      <c r="V297" s="101"/>
      <c r="W297" s="101"/>
      <c r="X297" s="101"/>
      <c r="Y297" s="101"/>
      <c r="Z297" s="101"/>
    </row>
    <row r="298">
      <c r="A298" s="101"/>
      <c r="B298" s="101"/>
      <c r="C298" s="101" t="str">
        <f>IFERROR(__xludf.DUMMYFUNCTION("""COMPUTED_VALUE"""),"LUCIO DALEIRO AYALA")</f>
        <v>LUCIO DALEIRO AYALA</v>
      </c>
      <c r="D298" s="101" t="str">
        <f>IFERROR(__xludf.DUMMYFUNCTION("""COMPUTED_VALUE"""),"491.***.***-80")</f>
        <v>491.***.***-80</v>
      </c>
      <c r="E298" s="101">
        <f>IFERROR(__xludf.DUMMYFUNCTION("""COMPUTED_VALUE"""),3.0)</f>
        <v>3</v>
      </c>
      <c r="F298" s="101" t="str">
        <f>IFERROR(__xludf.DUMMYFUNCTION("""COMPUTED_VALUE"""),"491.770.928-80")</f>
        <v>491.770.928-80</v>
      </c>
      <c r="G298" s="101"/>
      <c r="H298" s="101"/>
      <c r="I298" s="101"/>
      <c r="J298" s="101"/>
      <c r="K298" s="101"/>
      <c r="L298" s="101"/>
      <c r="M298" s="101"/>
      <c r="N298" s="101"/>
      <c r="O298" s="101"/>
      <c r="P298" s="101"/>
      <c r="Q298" s="101"/>
      <c r="R298" s="101"/>
      <c r="S298" s="101"/>
      <c r="T298" s="101"/>
      <c r="U298" s="101"/>
      <c r="V298" s="101"/>
      <c r="W298" s="101"/>
      <c r="X298" s="101"/>
      <c r="Y298" s="101"/>
      <c r="Z298" s="101"/>
    </row>
    <row r="299">
      <c r="A299" s="101"/>
      <c r="B299" s="101"/>
      <c r="C299" s="101" t="str">
        <f>IFERROR(__xludf.DUMMYFUNCTION("""COMPUTED_VALUE"""),"JEFFERSON FERREIRA GIL RODRIGUES")</f>
        <v>JEFFERSON FERREIRA GIL RODRIGUES</v>
      </c>
      <c r="D299" s="101" t="str">
        <f>IFERROR(__xludf.DUMMYFUNCTION("""COMPUTED_VALUE"""),"524.***.***-81")</f>
        <v>524.***.***-81</v>
      </c>
      <c r="E299" s="101">
        <f>IFERROR(__xludf.DUMMYFUNCTION("""COMPUTED_VALUE"""),5.0)</f>
        <v>5</v>
      </c>
      <c r="F299" s="101" t="str">
        <f>IFERROR(__xludf.DUMMYFUNCTION("""COMPUTED_VALUE"""),"524.110.868-81")</f>
        <v>524.110.868-81</v>
      </c>
      <c r="G299" s="101"/>
      <c r="H299" s="101"/>
      <c r="I299" s="101"/>
      <c r="J299" s="101"/>
      <c r="K299" s="101"/>
      <c r="L299" s="101"/>
      <c r="M299" s="101"/>
      <c r="N299" s="101"/>
      <c r="O299" s="101"/>
      <c r="P299" s="101"/>
      <c r="Q299" s="101"/>
      <c r="R299" s="101"/>
      <c r="S299" s="101"/>
      <c r="T299" s="101"/>
      <c r="U299" s="101"/>
      <c r="V299" s="101"/>
      <c r="W299" s="101"/>
      <c r="X299" s="101"/>
      <c r="Y299" s="101"/>
      <c r="Z299" s="101"/>
    </row>
    <row r="300">
      <c r="A300" s="101"/>
      <c r="B300" s="101"/>
      <c r="C300" s="101" t="str">
        <f>IFERROR(__xludf.DUMMYFUNCTION("""COMPUTED_VALUE"""),"MARYANNA VIEIRA KOWALISKI")</f>
        <v>MARYANNA VIEIRA KOWALISKI</v>
      </c>
      <c r="D300" s="101" t="str">
        <f>IFERROR(__xludf.DUMMYFUNCTION("""COMPUTED_VALUE"""),"444.***.***-10")</f>
        <v>444.***.***-10</v>
      </c>
      <c r="E300" s="101">
        <f>IFERROR(__xludf.DUMMYFUNCTION("""COMPUTED_VALUE"""),9.0)</f>
        <v>9</v>
      </c>
      <c r="F300" s="101" t="str">
        <f>IFERROR(__xludf.DUMMYFUNCTION("""COMPUTED_VALUE"""),"444.874.968-10")</f>
        <v>444.874.968-10</v>
      </c>
      <c r="G300" s="101"/>
      <c r="H300" s="101"/>
      <c r="I300" s="101"/>
      <c r="J300" s="101"/>
      <c r="K300" s="101"/>
      <c r="L300" s="101"/>
      <c r="M300" s="101"/>
      <c r="N300" s="101"/>
      <c r="O300" s="101"/>
      <c r="P300" s="101"/>
      <c r="Q300" s="101"/>
      <c r="R300" s="101"/>
      <c r="S300" s="101"/>
      <c r="T300" s="101"/>
      <c r="U300" s="101"/>
      <c r="V300" s="101"/>
      <c r="W300" s="101"/>
      <c r="X300" s="101"/>
      <c r="Y300" s="101"/>
      <c r="Z300" s="101"/>
    </row>
    <row r="301">
      <c r="A301" s="101"/>
      <c r="B301" s="101"/>
      <c r="C301" s="101" t="str">
        <f>IFERROR(__xludf.DUMMYFUNCTION("""COMPUTED_VALUE"""),"SCHELLY DA SILVA LIMA")</f>
        <v>SCHELLY DA SILVA LIMA</v>
      </c>
      <c r="D301" s="101" t="str">
        <f>IFERROR(__xludf.DUMMYFUNCTION("""COMPUTED_VALUE"""),"524.***.***-00")</f>
        <v>524.***.***-00</v>
      </c>
      <c r="E301" s="101">
        <f>IFERROR(__xludf.DUMMYFUNCTION("""COMPUTED_VALUE"""),11.0)</f>
        <v>11</v>
      </c>
      <c r="F301" s="101" t="str">
        <f>IFERROR(__xludf.DUMMYFUNCTION("""COMPUTED_VALUE"""),"524.682.098-00")</f>
        <v>524.682.098-00</v>
      </c>
      <c r="G301" s="101"/>
      <c r="H301" s="101"/>
      <c r="I301" s="101"/>
      <c r="J301" s="101"/>
      <c r="K301" s="101"/>
      <c r="L301" s="101"/>
      <c r="M301" s="101"/>
      <c r="N301" s="101"/>
      <c r="O301" s="101"/>
      <c r="P301" s="101"/>
      <c r="Q301" s="101"/>
      <c r="R301" s="101"/>
      <c r="S301" s="101"/>
      <c r="T301" s="101"/>
      <c r="U301" s="101"/>
      <c r="V301" s="101"/>
      <c r="W301" s="101"/>
      <c r="X301" s="101"/>
      <c r="Y301" s="101"/>
      <c r="Z301" s="101"/>
    </row>
    <row r="302">
      <c r="A302" s="101"/>
      <c r="B302" s="101"/>
      <c r="C302" s="101" t="str">
        <f>IFERROR(__xludf.DUMMYFUNCTION("""COMPUTED_VALUE"""),"RAFAELA MARCELE SOARES DA SILVA")</f>
        <v>RAFAELA MARCELE SOARES DA SILVA</v>
      </c>
      <c r="D302" s="101" t="str">
        <f>IFERROR(__xludf.DUMMYFUNCTION("""COMPUTED_VALUE"""),"499.***.***-04")</f>
        <v>499.***.***-04</v>
      </c>
      <c r="E302" s="101">
        <f>IFERROR(__xludf.DUMMYFUNCTION("""COMPUTED_VALUE"""),14.0)</f>
        <v>14</v>
      </c>
      <c r="F302" s="101" t="str">
        <f>IFERROR(__xludf.DUMMYFUNCTION("""COMPUTED_VALUE"""),"499.714.818-04")</f>
        <v>499.714.818-04</v>
      </c>
      <c r="G302" s="101"/>
      <c r="H302" s="101"/>
      <c r="I302" s="101"/>
      <c r="J302" s="101"/>
      <c r="K302" s="101"/>
      <c r="L302" s="101"/>
      <c r="M302" s="101"/>
      <c r="N302" s="101"/>
      <c r="O302" s="101"/>
      <c r="P302" s="101"/>
      <c r="Q302" s="101"/>
      <c r="R302" s="101"/>
      <c r="S302" s="101"/>
      <c r="T302" s="101"/>
      <c r="U302" s="101"/>
      <c r="V302" s="101"/>
      <c r="W302" s="101"/>
      <c r="X302" s="101"/>
      <c r="Y302" s="101"/>
      <c r="Z302" s="101"/>
    </row>
    <row r="303">
      <c r="A303" s="101"/>
      <c r="B303" s="101"/>
      <c r="C303" s="101" t="str">
        <f>IFERROR(__xludf.DUMMYFUNCTION("""COMPUTED_VALUE"""),"KAROLLYNE LIMA BARBOSA")</f>
        <v>KAROLLYNE LIMA BARBOSA</v>
      </c>
      <c r="D303" s="101" t="str">
        <f>IFERROR(__xludf.DUMMYFUNCTION("""COMPUTED_VALUE"""),"386.***.***-98")</f>
        <v>386.***.***-98</v>
      </c>
      <c r="E303" s="101">
        <f>IFERROR(__xludf.DUMMYFUNCTION("""COMPUTED_VALUE"""),9.0)</f>
        <v>9</v>
      </c>
      <c r="F303" s="101" t="str">
        <f>IFERROR(__xludf.DUMMYFUNCTION("""COMPUTED_VALUE"""),"386.872.438-98")</f>
        <v>386.872.438-98</v>
      </c>
      <c r="G303" s="101"/>
      <c r="H303" s="101"/>
      <c r="I303" s="101"/>
      <c r="J303" s="101"/>
      <c r="K303" s="101"/>
      <c r="L303" s="101"/>
      <c r="M303" s="101"/>
      <c r="N303" s="101"/>
      <c r="O303" s="101"/>
      <c r="P303" s="101"/>
      <c r="Q303" s="101"/>
      <c r="R303" s="101"/>
      <c r="S303" s="101"/>
      <c r="T303" s="101"/>
      <c r="U303" s="101"/>
      <c r="V303" s="101"/>
      <c r="W303" s="101"/>
      <c r="X303" s="101"/>
      <c r="Y303" s="101"/>
      <c r="Z303" s="101"/>
    </row>
    <row r="304">
      <c r="A304" s="101"/>
      <c r="B304" s="101"/>
      <c r="C304" s="101" t="str">
        <f>IFERROR(__xludf.DUMMYFUNCTION("""COMPUTED_VALUE"""),"RAYANE CRISTINA DA CONCEIÇÃO LIMA")</f>
        <v>RAYANE CRISTINA DA CONCEIÇÃO LIMA</v>
      </c>
      <c r="D304" s="101" t="str">
        <f>IFERROR(__xludf.DUMMYFUNCTION("""COMPUTED_VALUE"""),"181.***.***-01")</f>
        <v>181.***.***-01</v>
      </c>
      <c r="E304" s="101">
        <f>IFERROR(__xludf.DUMMYFUNCTION("""COMPUTED_VALUE"""),10.0)</f>
        <v>10</v>
      </c>
      <c r="F304" s="101" t="str">
        <f>IFERROR(__xludf.DUMMYFUNCTION("""COMPUTED_VALUE"""),"181.476.447-01")</f>
        <v>181.476.447-01</v>
      </c>
      <c r="G304" s="101"/>
      <c r="H304" s="101"/>
      <c r="I304" s="101"/>
      <c r="J304" s="101"/>
      <c r="K304" s="101"/>
      <c r="L304" s="101"/>
      <c r="M304" s="101"/>
      <c r="N304" s="101"/>
      <c r="O304" s="101"/>
      <c r="P304" s="101"/>
      <c r="Q304" s="101"/>
      <c r="R304" s="101"/>
      <c r="S304" s="101"/>
      <c r="T304" s="101"/>
      <c r="U304" s="101"/>
      <c r="V304" s="101"/>
      <c r="W304" s="101"/>
      <c r="X304" s="101"/>
      <c r="Y304" s="101"/>
      <c r="Z304" s="101"/>
    </row>
    <row r="305">
      <c r="A305" s="101"/>
      <c r="B305" s="101"/>
      <c r="C305" s="101" t="str">
        <f>IFERROR(__xludf.DUMMYFUNCTION("""COMPUTED_VALUE"""),"YASMIN FERREIRA VAZ CORDEIRO")</f>
        <v>YASMIN FERREIRA VAZ CORDEIRO</v>
      </c>
      <c r="D305" s="101" t="str">
        <f>IFERROR(__xludf.DUMMYFUNCTION("""COMPUTED_VALUE"""),"551.***.***-57")</f>
        <v>551.***.***-57</v>
      </c>
      <c r="E305" s="101">
        <f>IFERROR(__xludf.DUMMYFUNCTION("""COMPUTED_VALUE"""),10.0)</f>
        <v>10</v>
      </c>
      <c r="F305" s="101" t="str">
        <f>IFERROR(__xludf.DUMMYFUNCTION("""COMPUTED_VALUE"""),"551.780.548-57")</f>
        <v>551.780.548-57</v>
      </c>
      <c r="G305" s="101"/>
      <c r="H305" s="101"/>
      <c r="I305" s="101"/>
      <c r="J305" s="101"/>
      <c r="K305" s="101"/>
      <c r="L305" s="101"/>
      <c r="M305" s="101"/>
      <c r="N305" s="101"/>
      <c r="O305" s="101"/>
      <c r="P305" s="101"/>
      <c r="Q305" s="101"/>
      <c r="R305" s="101"/>
      <c r="S305" s="101"/>
      <c r="T305" s="101"/>
      <c r="U305" s="101"/>
      <c r="V305" s="101"/>
      <c r="W305" s="101"/>
      <c r="X305" s="101"/>
      <c r="Y305" s="101"/>
      <c r="Z305" s="101"/>
    </row>
    <row r="306">
      <c r="A306" s="101"/>
      <c r="B306" s="101"/>
      <c r="C306" s="101" t="str">
        <f>IFERROR(__xludf.DUMMYFUNCTION("""COMPUTED_VALUE"""),"VINICIUS BARBOSA TEIXEIRA")</f>
        <v>VINICIUS BARBOSA TEIXEIRA</v>
      </c>
      <c r="D306" s="101" t="str">
        <f>IFERROR(__xludf.DUMMYFUNCTION("""COMPUTED_VALUE"""),"462.***.***-96")</f>
        <v>462.***.***-96</v>
      </c>
      <c r="E306" s="101">
        <f>IFERROR(__xludf.DUMMYFUNCTION("""COMPUTED_VALUE"""),18.0)</f>
        <v>18</v>
      </c>
      <c r="F306" s="101" t="str">
        <f>IFERROR(__xludf.DUMMYFUNCTION("""COMPUTED_VALUE"""),"462.359.218-96")</f>
        <v>462.359.218-96</v>
      </c>
      <c r="G306" s="101"/>
      <c r="H306" s="101"/>
      <c r="I306" s="101"/>
      <c r="J306" s="101"/>
      <c r="K306" s="101"/>
      <c r="L306" s="101"/>
      <c r="M306" s="101"/>
      <c r="N306" s="101"/>
      <c r="O306" s="101"/>
      <c r="P306" s="101"/>
      <c r="Q306" s="101"/>
      <c r="R306" s="101"/>
      <c r="S306" s="101"/>
      <c r="T306" s="101"/>
      <c r="U306" s="101"/>
      <c r="V306" s="101"/>
      <c r="W306" s="101"/>
      <c r="X306" s="101"/>
      <c r="Y306" s="101"/>
      <c r="Z306" s="101"/>
    </row>
    <row r="307">
      <c r="A307" s="101"/>
      <c r="B307" s="101"/>
      <c r="C307" s="101" t="str">
        <f>IFERROR(__xludf.DUMMYFUNCTION("""COMPUTED_VALUE"""),"BRUNA")</f>
        <v>BRUNA</v>
      </c>
      <c r="D307" s="101" t="str">
        <f>IFERROR(__xludf.DUMMYFUNCTION("""COMPUTED_VALUE"""),"471.***.***-70")</f>
        <v>471.***.***-70</v>
      </c>
      <c r="E307" s="101">
        <f>IFERROR(__xludf.DUMMYFUNCTION("""COMPUTED_VALUE"""),2.0)</f>
        <v>2</v>
      </c>
      <c r="F307" s="101" t="str">
        <f>IFERROR(__xludf.DUMMYFUNCTION("""COMPUTED_VALUE"""),"471.457.108-70")</f>
        <v>471.457.108-70</v>
      </c>
      <c r="G307" s="101"/>
      <c r="H307" s="101"/>
      <c r="I307" s="101"/>
      <c r="J307" s="101"/>
      <c r="K307" s="101"/>
      <c r="L307" s="101"/>
      <c r="M307" s="101"/>
      <c r="N307" s="101"/>
      <c r="O307" s="101"/>
      <c r="P307" s="101"/>
      <c r="Q307" s="101"/>
      <c r="R307" s="101"/>
      <c r="S307" s="101"/>
      <c r="T307" s="101"/>
      <c r="U307" s="101"/>
      <c r="V307" s="101"/>
      <c r="W307" s="101"/>
      <c r="X307" s="101"/>
      <c r="Y307" s="101"/>
      <c r="Z307" s="101"/>
    </row>
    <row r="308">
      <c r="A308" s="101"/>
      <c r="B308" s="101"/>
      <c r="C308" s="101" t="str">
        <f>IFERROR(__xludf.DUMMYFUNCTION("""COMPUTED_VALUE"""),"OLIVER BARBOSA")</f>
        <v>OLIVER BARBOSA</v>
      </c>
      <c r="D308" s="101" t="str">
        <f>IFERROR(__xludf.DUMMYFUNCTION("""COMPUTED_VALUE"""),"583.***.***-97")</f>
        <v>583.***.***-97</v>
      </c>
      <c r="E308" s="101">
        <f>IFERROR(__xludf.DUMMYFUNCTION("""COMPUTED_VALUE"""),9.0)</f>
        <v>9</v>
      </c>
      <c r="F308" s="101" t="str">
        <f>IFERROR(__xludf.DUMMYFUNCTION("""COMPUTED_VALUE"""),"583.460.328-97")</f>
        <v>583.460.328-97</v>
      </c>
      <c r="G308" s="101"/>
      <c r="H308" s="101"/>
      <c r="I308" s="101"/>
      <c r="J308" s="101"/>
      <c r="K308" s="101"/>
      <c r="L308" s="101"/>
      <c r="M308" s="101"/>
      <c r="N308" s="101"/>
      <c r="O308" s="101"/>
      <c r="P308" s="101"/>
      <c r="Q308" s="101"/>
      <c r="R308" s="101"/>
      <c r="S308" s="101"/>
      <c r="T308" s="101"/>
      <c r="U308" s="101"/>
      <c r="V308" s="101"/>
      <c r="W308" s="101"/>
      <c r="X308" s="101"/>
      <c r="Y308" s="101"/>
      <c r="Z308" s="101"/>
    </row>
    <row r="309">
      <c r="A309" s="101"/>
      <c r="B309" s="101"/>
      <c r="C309" s="101" t="str">
        <f>IFERROR(__xludf.DUMMYFUNCTION("""COMPUTED_VALUE"""),"GABRIELA DOS SANTOS FELIX")</f>
        <v>GABRIELA DOS SANTOS FELIX</v>
      </c>
      <c r="D309" s="101" t="str">
        <f>IFERROR(__xludf.DUMMYFUNCTION("""COMPUTED_VALUE"""),"503.***.***-85")</f>
        <v>503.***.***-85</v>
      </c>
      <c r="E309" s="101">
        <f>IFERROR(__xludf.DUMMYFUNCTION("""COMPUTED_VALUE"""),4.0)</f>
        <v>4</v>
      </c>
      <c r="F309" s="101" t="str">
        <f>IFERROR(__xludf.DUMMYFUNCTION("""COMPUTED_VALUE"""),"503.113.918-85")</f>
        <v>503.113.918-85</v>
      </c>
      <c r="G309" s="101"/>
      <c r="H309" s="101"/>
      <c r="I309" s="101"/>
      <c r="J309" s="101"/>
      <c r="K309" s="101"/>
      <c r="L309" s="101"/>
      <c r="M309" s="101"/>
      <c r="N309" s="101"/>
      <c r="O309" s="101"/>
      <c r="P309" s="101"/>
      <c r="Q309" s="101"/>
      <c r="R309" s="101"/>
      <c r="S309" s="101"/>
      <c r="T309" s="101"/>
      <c r="U309" s="101"/>
      <c r="V309" s="101"/>
      <c r="W309" s="101"/>
      <c r="X309" s="101"/>
      <c r="Y309" s="101"/>
      <c r="Z309" s="101"/>
    </row>
    <row r="310">
      <c r="A310" s="101"/>
      <c r="B310" s="101"/>
      <c r="C310" s="101" t="str">
        <f>IFERROR(__xludf.DUMMYFUNCTION("""COMPUTED_VALUE"""),"ELIZABETH NATHALIE GOMES VIZOKI")</f>
        <v>ELIZABETH NATHALIE GOMES VIZOKI</v>
      </c>
      <c r="D310" s="101" t="str">
        <f>IFERROR(__xludf.DUMMYFUNCTION("""COMPUTED_VALUE"""),"476.***.***-17")</f>
        <v>476.***.***-17</v>
      </c>
      <c r="E310" s="101">
        <f>IFERROR(__xludf.DUMMYFUNCTION("""COMPUTED_VALUE"""),3.0)</f>
        <v>3</v>
      </c>
      <c r="F310" s="101" t="str">
        <f>IFERROR(__xludf.DUMMYFUNCTION("""COMPUTED_VALUE"""),"476.191.838-17")</f>
        <v>476.191.838-17</v>
      </c>
      <c r="G310" s="101"/>
      <c r="H310" s="101"/>
      <c r="I310" s="101"/>
      <c r="J310" s="101"/>
      <c r="K310" s="101"/>
      <c r="L310" s="101"/>
      <c r="M310" s="101"/>
      <c r="N310" s="101"/>
      <c r="O310" s="101"/>
      <c r="P310" s="101"/>
      <c r="Q310" s="101"/>
      <c r="R310" s="101"/>
      <c r="S310" s="101"/>
      <c r="T310" s="101"/>
      <c r="U310" s="101"/>
      <c r="V310" s="101"/>
      <c r="W310" s="101"/>
      <c r="X310" s="101"/>
      <c r="Y310" s="101"/>
      <c r="Z310" s="101"/>
    </row>
    <row r="311">
      <c r="A311" s="101"/>
      <c r="B311" s="101"/>
      <c r="C311" s="101" t="str">
        <f>IFERROR(__xludf.DUMMYFUNCTION("""COMPUTED_VALUE"""),"JAMES BERNARDES DIAS")</f>
        <v>JAMES BERNARDES DIAS</v>
      </c>
      <c r="D311" s="101" t="str">
        <f>IFERROR(__xludf.DUMMYFUNCTION("""COMPUTED_VALUE"""),"534.***.***-40")</f>
        <v>534.***.***-40</v>
      </c>
      <c r="E311" s="101">
        <f>IFERROR(__xludf.DUMMYFUNCTION("""COMPUTED_VALUE"""),7.0)</f>
        <v>7</v>
      </c>
      <c r="F311" s="101" t="str">
        <f>IFERROR(__xludf.DUMMYFUNCTION("""COMPUTED_VALUE"""),"534.780.988-40")</f>
        <v>534.780.988-40</v>
      </c>
      <c r="G311" s="101"/>
      <c r="H311" s="101"/>
      <c r="I311" s="101"/>
      <c r="J311" s="101"/>
      <c r="K311" s="101"/>
      <c r="L311" s="101"/>
      <c r="M311" s="101"/>
      <c r="N311" s="101"/>
      <c r="O311" s="101"/>
      <c r="P311" s="101"/>
      <c r="Q311" s="101"/>
      <c r="R311" s="101"/>
      <c r="S311" s="101"/>
      <c r="T311" s="101"/>
      <c r="U311" s="101"/>
      <c r="V311" s="101"/>
      <c r="W311" s="101"/>
      <c r="X311" s="101"/>
      <c r="Y311" s="101"/>
      <c r="Z311" s="101"/>
    </row>
    <row r="312">
      <c r="A312" s="101"/>
      <c r="B312" s="101"/>
      <c r="C312" s="101" t="str">
        <f>IFERROR(__xludf.DUMMYFUNCTION("""COMPUTED_VALUE"""),"DAYLA MARIANO DOS SANTOS")</f>
        <v>DAYLA MARIANO DOS SANTOS</v>
      </c>
      <c r="D312" s="101" t="str">
        <f>IFERROR(__xludf.DUMMYFUNCTION("""COMPUTED_VALUE"""),"553.***.***-71")</f>
        <v>553.***.***-71</v>
      </c>
      <c r="E312" s="101">
        <f>IFERROR(__xludf.DUMMYFUNCTION("""COMPUTED_VALUE"""),2.0)</f>
        <v>2</v>
      </c>
      <c r="F312" s="101" t="str">
        <f>IFERROR(__xludf.DUMMYFUNCTION("""COMPUTED_VALUE"""),"553.080.998-71")</f>
        <v>553.080.998-71</v>
      </c>
      <c r="G312" s="101"/>
      <c r="H312" s="101"/>
      <c r="I312" s="101"/>
      <c r="J312" s="101"/>
      <c r="K312" s="101"/>
      <c r="L312" s="101"/>
      <c r="M312" s="101"/>
      <c r="N312" s="101"/>
      <c r="O312" s="101"/>
      <c r="P312" s="101"/>
      <c r="Q312" s="101"/>
      <c r="R312" s="101"/>
      <c r="S312" s="101"/>
      <c r="T312" s="101"/>
      <c r="U312" s="101"/>
      <c r="V312" s="101"/>
      <c r="W312" s="101"/>
      <c r="X312" s="101"/>
      <c r="Y312" s="101"/>
      <c r="Z312" s="101"/>
    </row>
    <row r="313">
      <c r="A313" s="101"/>
      <c r="B313" s="101"/>
      <c r="C313" s="101" t="str">
        <f>IFERROR(__xludf.DUMMYFUNCTION("""COMPUTED_VALUE"""),"JULIA DA SILVA BIAGGIOLI")</f>
        <v>JULIA DA SILVA BIAGGIOLI</v>
      </c>
      <c r="D313" s="101" t="str">
        <f>IFERROR(__xludf.DUMMYFUNCTION("""COMPUTED_VALUE"""),"484.***.***-13")</f>
        <v>484.***.***-13</v>
      </c>
      <c r="E313" s="101">
        <f>IFERROR(__xludf.DUMMYFUNCTION("""COMPUTED_VALUE"""),6.0)</f>
        <v>6</v>
      </c>
      <c r="F313" s="101" t="str">
        <f>IFERROR(__xludf.DUMMYFUNCTION("""COMPUTED_VALUE"""),"484.128.798-13")</f>
        <v>484.128.798-13</v>
      </c>
      <c r="G313" s="101"/>
      <c r="H313" s="101"/>
      <c r="I313" s="101"/>
      <c r="J313" s="101"/>
      <c r="K313" s="101"/>
      <c r="L313" s="101"/>
      <c r="M313" s="101"/>
      <c r="N313" s="101"/>
      <c r="O313" s="101"/>
      <c r="P313" s="101"/>
      <c r="Q313" s="101"/>
      <c r="R313" s="101"/>
      <c r="S313" s="101"/>
      <c r="T313" s="101"/>
      <c r="U313" s="101"/>
      <c r="V313" s="101"/>
      <c r="W313" s="101"/>
      <c r="X313" s="101"/>
      <c r="Y313" s="101"/>
      <c r="Z313" s="101"/>
    </row>
    <row r="314">
      <c r="A314" s="101"/>
      <c r="B314" s="101"/>
      <c r="C314" s="101" t="str">
        <f>IFERROR(__xludf.DUMMYFUNCTION("""COMPUTED_VALUE"""),"KAI RAYOFAIJI")</f>
        <v>KAI RAYOFAIJI</v>
      </c>
      <c r="D314" s="101" t="str">
        <f>IFERROR(__xludf.DUMMYFUNCTION("""COMPUTED_VALUE"""),"508.***.***-75")</f>
        <v>508.***.***-75</v>
      </c>
      <c r="E314" s="101">
        <f>IFERROR(__xludf.DUMMYFUNCTION("""COMPUTED_VALUE"""),3.0)</f>
        <v>3</v>
      </c>
      <c r="F314" s="101" t="str">
        <f>IFERROR(__xludf.DUMMYFUNCTION("""COMPUTED_VALUE"""),"508.643.818-75")</f>
        <v>508.643.818-75</v>
      </c>
      <c r="G314" s="101"/>
      <c r="H314" s="101"/>
      <c r="I314" s="101"/>
      <c r="J314" s="101"/>
      <c r="K314" s="101"/>
      <c r="L314" s="101"/>
      <c r="M314" s="101"/>
      <c r="N314" s="101"/>
      <c r="O314" s="101"/>
      <c r="P314" s="101"/>
      <c r="Q314" s="101"/>
      <c r="R314" s="101"/>
      <c r="S314" s="101"/>
      <c r="T314" s="101"/>
      <c r="U314" s="101"/>
      <c r="V314" s="101"/>
      <c r="W314" s="101"/>
      <c r="X314" s="101"/>
      <c r="Y314" s="101"/>
      <c r="Z314" s="101"/>
    </row>
    <row r="315">
      <c r="A315" s="101"/>
      <c r="B315" s="101"/>
      <c r="C315" s="101" t="str">
        <f>IFERROR(__xludf.DUMMYFUNCTION("""COMPUTED_VALUE"""),"HEMILY VITÓRIA DE SOUZA MOTA")</f>
        <v>HEMILY VITÓRIA DE SOUZA MOTA</v>
      </c>
      <c r="D315" s="101" t="str">
        <f>IFERROR(__xludf.DUMMYFUNCTION("""COMPUTED_VALUE"""),"473.***.***-62")</f>
        <v>473.***.***-62</v>
      </c>
      <c r="E315" s="101">
        <f>IFERROR(__xludf.DUMMYFUNCTION("""COMPUTED_VALUE"""),5.0)</f>
        <v>5</v>
      </c>
      <c r="F315" s="101" t="str">
        <f>IFERROR(__xludf.DUMMYFUNCTION("""COMPUTED_VALUE"""),"473.190.968-62")</f>
        <v>473.190.968-62</v>
      </c>
      <c r="G315" s="101"/>
      <c r="H315" s="101"/>
      <c r="I315" s="101"/>
      <c r="J315" s="101"/>
      <c r="K315" s="101"/>
      <c r="L315" s="101"/>
      <c r="M315" s="101"/>
      <c r="N315" s="101"/>
      <c r="O315" s="101"/>
      <c r="P315" s="101"/>
      <c r="Q315" s="101"/>
      <c r="R315" s="101"/>
      <c r="S315" s="101"/>
      <c r="T315" s="101"/>
      <c r="U315" s="101"/>
      <c r="V315" s="101"/>
      <c r="W315" s="101"/>
      <c r="X315" s="101"/>
      <c r="Y315" s="101"/>
      <c r="Z315" s="101"/>
    </row>
    <row r="316">
      <c r="A316" s="101"/>
      <c r="B316" s="101"/>
      <c r="C316" s="101" t="str">
        <f>IFERROR(__xludf.DUMMYFUNCTION("""COMPUTED_VALUE"""),"LAÍS DA SILVA SANTANA SILVA")</f>
        <v>LAÍS DA SILVA SANTANA SILVA</v>
      </c>
      <c r="D316" s="101" t="str">
        <f>IFERROR(__xludf.DUMMYFUNCTION("""COMPUTED_VALUE"""),"050.***.***-02")</f>
        <v>050.***.***-02</v>
      </c>
      <c r="E316" s="101">
        <f>IFERROR(__xludf.DUMMYFUNCTION("""COMPUTED_VALUE"""),7.0)</f>
        <v>7</v>
      </c>
      <c r="F316" s="101" t="str">
        <f>IFERROR(__xludf.DUMMYFUNCTION("""COMPUTED_VALUE"""),"050.996.995-02")</f>
        <v>050.996.995-02</v>
      </c>
      <c r="G316" s="101"/>
      <c r="H316" s="101"/>
      <c r="I316" s="101"/>
      <c r="J316" s="101"/>
      <c r="K316" s="101"/>
      <c r="L316" s="101"/>
      <c r="M316" s="101"/>
      <c r="N316" s="101"/>
      <c r="O316" s="101"/>
      <c r="P316" s="101"/>
      <c r="Q316" s="101"/>
      <c r="R316" s="101"/>
      <c r="S316" s="101"/>
      <c r="T316" s="101"/>
      <c r="U316" s="101"/>
      <c r="V316" s="101"/>
      <c r="W316" s="101"/>
      <c r="X316" s="101"/>
      <c r="Y316" s="101"/>
      <c r="Z316" s="101"/>
    </row>
    <row r="317">
      <c r="A317" s="101"/>
      <c r="B317" s="101"/>
      <c r="C317" s="101" t="str">
        <f>IFERROR(__xludf.DUMMYFUNCTION("""COMPUTED_VALUE"""),"RAQUEL STELA MOTA")</f>
        <v>RAQUEL STELA MOTA</v>
      </c>
      <c r="D317" s="101" t="str">
        <f>IFERROR(__xludf.DUMMYFUNCTION("""COMPUTED_VALUE"""),"512.***.***-35")</f>
        <v>512.***.***-35</v>
      </c>
      <c r="E317" s="101">
        <f>IFERROR(__xludf.DUMMYFUNCTION("""COMPUTED_VALUE"""),10.0)</f>
        <v>10</v>
      </c>
      <c r="F317" s="101" t="str">
        <f>IFERROR(__xludf.DUMMYFUNCTION("""COMPUTED_VALUE"""),"512.763.318-35")</f>
        <v>512.763.318-35</v>
      </c>
      <c r="G317" s="101"/>
      <c r="H317" s="101"/>
      <c r="I317" s="101"/>
      <c r="J317" s="101"/>
      <c r="K317" s="101"/>
      <c r="L317" s="101"/>
      <c r="M317" s="101"/>
      <c r="N317" s="101"/>
      <c r="O317" s="101"/>
      <c r="P317" s="101"/>
      <c r="Q317" s="101"/>
      <c r="R317" s="101"/>
      <c r="S317" s="101"/>
      <c r="T317" s="101"/>
      <c r="U317" s="101"/>
      <c r="V317" s="101"/>
      <c r="W317" s="101"/>
      <c r="X317" s="101"/>
      <c r="Y317" s="101"/>
      <c r="Z317" s="101"/>
    </row>
    <row r="318">
      <c r="A318" s="101"/>
      <c r="B318" s="101"/>
      <c r="C318" s="101" t="str">
        <f>IFERROR(__xludf.DUMMYFUNCTION("""COMPUTED_VALUE"""),"DANIEL SANTOS MENDONCA")</f>
        <v>DANIEL SANTOS MENDONCA</v>
      </c>
      <c r="D318" s="101" t="str">
        <f>IFERROR(__xludf.DUMMYFUNCTION("""COMPUTED_VALUE"""),"499.***.***-97")</f>
        <v>499.***.***-97</v>
      </c>
      <c r="E318" s="101">
        <f>IFERROR(__xludf.DUMMYFUNCTION("""COMPUTED_VALUE"""),2.0)</f>
        <v>2</v>
      </c>
      <c r="F318" s="101" t="str">
        <f>IFERROR(__xludf.DUMMYFUNCTION("""COMPUTED_VALUE"""),"499.923.428-97")</f>
        <v>499.923.428-97</v>
      </c>
      <c r="G318" s="101"/>
      <c r="H318" s="101"/>
      <c r="I318" s="101"/>
      <c r="J318" s="101"/>
      <c r="K318" s="101"/>
      <c r="L318" s="101"/>
      <c r="M318" s="101"/>
      <c r="N318" s="101"/>
      <c r="O318" s="101"/>
      <c r="P318" s="101"/>
      <c r="Q318" s="101"/>
      <c r="R318" s="101"/>
      <c r="S318" s="101"/>
      <c r="T318" s="101"/>
      <c r="U318" s="101"/>
      <c r="V318" s="101"/>
      <c r="W318" s="101"/>
      <c r="X318" s="101"/>
      <c r="Y318" s="101"/>
      <c r="Z318" s="101"/>
    </row>
    <row r="319">
      <c r="A319" s="101"/>
      <c r="B319" s="101"/>
      <c r="C319" s="101" t="str">
        <f>IFERROR(__xludf.DUMMYFUNCTION("""COMPUTED_VALUE"""),"CLAYTON MATHEUS SANTOS")</f>
        <v>CLAYTON MATHEUS SANTOS</v>
      </c>
      <c r="D319" s="101" t="str">
        <f>IFERROR(__xludf.DUMMYFUNCTION("""COMPUTED_VALUE"""),"459.***.***-44")</f>
        <v>459.***.***-44</v>
      </c>
      <c r="E319" s="101">
        <f>IFERROR(__xludf.DUMMYFUNCTION("""COMPUTED_VALUE"""),1.0)</f>
        <v>1</v>
      </c>
      <c r="F319" s="101" t="str">
        <f>IFERROR(__xludf.DUMMYFUNCTION("""COMPUTED_VALUE"""),"459.937.948-44")</f>
        <v>459.937.948-44</v>
      </c>
      <c r="G319" s="101"/>
      <c r="H319" s="101"/>
      <c r="I319" s="101"/>
      <c r="J319" s="101"/>
      <c r="K319" s="101"/>
      <c r="L319" s="101"/>
      <c r="M319" s="101"/>
      <c r="N319" s="101"/>
      <c r="O319" s="101"/>
      <c r="P319" s="101"/>
      <c r="Q319" s="101"/>
      <c r="R319" s="101"/>
      <c r="S319" s="101"/>
      <c r="T319" s="101"/>
      <c r="U319" s="101"/>
      <c r="V319" s="101"/>
      <c r="W319" s="101"/>
      <c r="X319" s="101"/>
      <c r="Y319" s="101"/>
      <c r="Z319" s="101"/>
    </row>
    <row r="320">
      <c r="A320" s="101"/>
      <c r="B320" s="101"/>
      <c r="C320" s="101" t="str">
        <f>IFERROR(__xludf.DUMMYFUNCTION("""COMPUTED_VALUE"""),"YASMIM MIRANDA CUNHA")</f>
        <v>YASMIM MIRANDA CUNHA</v>
      </c>
      <c r="D320" s="101" t="str">
        <f>IFERROR(__xludf.DUMMYFUNCTION("""COMPUTED_VALUE"""),"240.***.***-14")</f>
        <v>240.***.***-14</v>
      </c>
      <c r="E320" s="101">
        <f>IFERROR(__xludf.DUMMYFUNCTION("""COMPUTED_VALUE"""),18.0)</f>
        <v>18</v>
      </c>
      <c r="F320" s="101" t="str">
        <f>IFERROR(__xludf.DUMMYFUNCTION("""COMPUTED_VALUE"""),"240.450.888-14")</f>
        <v>240.450.888-14</v>
      </c>
      <c r="G320" s="101"/>
      <c r="H320" s="101"/>
      <c r="I320" s="101"/>
      <c r="J320" s="101"/>
      <c r="K320" s="101"/>
      <c r="L320" s="101"/>
      <c r="M320" s="101"/>
      <c r="N320" s="101"/>
      <c r="O320" s="101"/>
      <c r="P320" s="101"/>
      <c r="Q320" s="101"/>
      <c r="R320" s="101"/>
      <c r="S320" s="101"/>
      <c r="T320" s="101"/>
      <c r="U320" s="101"/>
      <c r="V320" s="101"/>
      <c r="W320" s="101"/>
      <c r="X320" s="101"/>
      <c r="Y320" s="101"/>
      <c r="Z320" s="101"/>
    </row>
    <row r="321">
      <c r="A321" s="101"/>
      <c r="B321" s="101"/>
      <c r="C321" s="101" t="str">
        <f>IFERROR(__xludf.DUMMYFUNCTION("""COMPUTED_VALUE"""),"Thainá Franklim de Moares")</f>
        <v>Thainá Franklim de Moares</v>
      </c>
      <c r="D321" s="101" t="str">
        <f>IFERROR(__xludf.DUMMYFUNCTION("""COMPUTED_VALUE"""),"520.***.***-45")</f>
        <v>520.***.***-45</v>
      </c>
      <c r="E321" s="101">
        <f>IFERROR(__xludf.DUMMYFUNCTION("""COMPUTED_VALUE"""),4.0)</f>
        <v>4</v>
      </c>
      <c r="F321" s="101" t="str">
        <f>IFERROR(__xludf.DUMMYFUNCTION("""COMPUTED_VALUE"""),"520.847.398-45")</f>
        <v>520.847.398-45</v>
      </c>
      <c r="G321" s="101"/>
      <c r="H321" s="101"/>
      <c r="I321" s="101"/>
      <c r="J321" s="101"/>
      <c r="K321" s="101"/>
      <c r="L321" s="101"/>
      <c r="M321" s="101"/>
      <c r="N321" s="101"/>
      <c r="O321" s="101"/>
      <c r="P321" s="101"/>
      <c r="Q321" s="101"/>
      <c r="R321" s="101"/>
      <c r="S321" s="101"/>
      <c r="T321" s="101"/>
      <c r="U321" s="101"/>
      <c r="V321" s="101"/>
      <c r="W321" s="101"/>
      <c r="X321" s="101"/>
      <c r="Y321" s="101"/>
      <c r="Z321" s="101"/>
    </row>
    <row r="322">
      <c r="A322" s="101"/>
      <c r="B322" s="101"/>
      <c r="C322" s="101" t="str">
        <f>IFERROR(__xludf.DUMMYFUNCTION("""COMPUTED_VALUE"""),"LEONARDO BRAYAN PEREIRA DA  SILVA")</f>
        <v>LEONARDO BRAYAN PEREIRA DA  SILVA</v>
      </c>
      <c r="D322" s="101" t="str">
        <f>IFERROR(__xludf.DUMMYFUNCTION("""COMPUTED_VALUE"""),"450.***.***-19")</f>
        <v>450.***.***-19</v>
      </c>
      <c r="E322" s="101">
        <f>IFERROR(__xludf.DUMMYFUNCTION("""COMPUTED_VALUE"""),10.0)</f>
        <v>10</v>
      </c>
      <c r="F322" s="101" t="str">
        <f>IFERROR(__xludf.DUMMYFUNCTION("""COMPUTED_VALUE"""),"450.702.268-19")</f>
        <v>450.702.268-19</v>
      </c>
      <c r="G322" s="101"/>
      <c r="H322" s="101"/>
      <c r="I322" s="101"/>
      <c r="J322" s="101"/>
      <c r="K322" s="101"/>
      <c r="L322" s="101"/>
      <c r="M322" s="101"/>
      <c r="N322" s="101"/>
      <c r="O322" s="101"/>
      <c r="P322" s="101"/>
      <c r="Q322" s="101"/>
      <c r="R322" s="101"/>
      <c r="S322" s="101"/>
      <c r="T322" s="101"/>
      <c r="U322" s="101"/>
      <c r="V322" s="101"/>
      <c r="W322" s="101"/>
      <c r="X322" s="101"/>
      <c r="Y322" s="101"/>
      <c r="Z322" s="101"/>
    </row>
    <row r="323">
      <c r="A323" s="101"/>
      <c r="B323" s="101"/>
      <c r="C323" s="101" t="str">
        <f>IFERROR(__xludf.DUMMYFUNCTION("""COMPUTED_VALUE"""),"BRUNA PESQUEIRA GOMES")</f>
        <v>BRUNA PESQUEIRA GOMES</v>
      </c>
      <c r="D323" s="101" t="str">
        <f>IFERROR(__xludf.DUMMYFUNCTION("""COMPUTED_VALUE"""),"516.***.***-10")</f>
        <v>516.***.***-10</v>
      </c>
      <c r="E323" s="101">
        <f>IFERROR(__xludf.DUMMYFUNCTION("""COMPUTED_VALUE"""),3.0)</f>
        <v>3</v>
      </c>
      <c r="F323" s="101" t="str">
        <f>IFERROR(__xludf.DUMMYFUNCTION("""COMPUTED_VALUE"""),"516.441.868-10")</f>
        <v>516.441.868-10</v>
      </c>
      <c r="G323" s="101"/>
      <c r="H323" s="101"/>
      <c r="I323" s="101"/>
      <c r="J323" s="101"/>
      <c r="K323" s="101"/>
      <c r="L323" s="101"/>
      <c r="M323" s="101"/>
      <c r="N323" s="101"/>
      <c r="O323" s="101"/>
      <c r="P323" s="101"/>
      <c r="Q323" s="101"/>
      <c r="R323" s="101"/>
      <c r="S323" s="101"/>
      <c r="T323" s="101"/>
      <c r="U323" s="101"/>
      <c r="V323" s="101"/>
      <c r="W323" s="101"/>
      <c r="X323" s="101"/>
      <c r="Y323" s="101"/>
      <c r="Z323" s="101"/>
    </row>
    <row r="324">
      <c r="A324" s="101"/>
      <c r="B324" s="101"/>
      <c r="C324" s="101" t="str">
        <f>IFERROR(__xludf.DUMMYFUNCTION("""COMPUTED_VALUE"""),"BYANKA MARTINS DOS SANTOS")</f>
        <v>BYANKA MARTINS DOS SANTOS</v>
      </c>
      <c r="D324" s="101" t="str">
        <f>IFERROR(__xludf.DUMMYFUNCTION("""COMPUTED_VALUE"""),"541.***.***-32")</f>
        <v>541.***.***-32</v>
      </c>
      <c r="E324" s="101">
        <f>IFERROR(__xludf.DUMMYFUNCTION("""COMPUTED_VALUE"""),2.0)</f>
        <v>2</v>
      </c>
      <c r="F324" s="101" t="str">
        <f>IFERROR(__xludf.DUMMYFUNCTION("""COMPUTED_VALUE"""),"541.060.408-32")</f>
        <v>541.060.408-32</v>
      </c>
      <c r="G324" s="101"/>
      <c r="H324" s="101"/>
      <c r="I324" s="101"/>
      <c r="J324" s="101"/>
      <c r="K324" s="101"/>
      <c r="L324" s="101"/>
      <c r="M324" s="101"/>
      <c r="N324" s="101"/>
      <c r="O324" s="101"/>
      <c r="P324" s="101"/>
      <c r="Q324" s="101"/>
      <c r="R324" s="101"/>
      <c r="S324" s="101"/>
      <c r="T324" s="101"/>
      <c r="U324" s="101"/>
      <c r="V324" s="101"/>
      <c r="W324" s="101"/>
      <c r="X324" s="101"/>
      <c r="Y324" s="101"/>
      <c r="Z324" s="101"/>
    </row>
    <row r="325">
      <c r="A325" s="101"/>
      <c r="B325" s="101"/>
      <c r="C325" s="101" t="str">
        <f>IFERROR(__xludf.DUMMYFUNCTION("""COMPUTED_VALUE"""),"HUMBERTO ALVES CLETO VICENTE")</f>
        <v>HUMBERTO ALVES CLETO VICENTE</v>
      </c>
      <c r="D325" s="101" t="str">
        <f>IFERROR(__xludf.DUMMYFUNCTION("""COMPUTED_VALUE"""),"468.***.***-07")</f>
        <v>468.***.***-07</v>
      </c>
      <c r="E325" s="101">
        <f>IFERROR(__xludf.DUMMYFUNCTION("""COMPUTED_VALUE"""),5.0)</f>
        <v>5</v>
      </c>
      <c r="F325" s="101" t="str">
        <f>IFERROR(__xludf.DUMMYFUNCTION("""COMPUTED_VALUE"""),"468.002.908-07")</f>
        <v>468.002.908-07</v>
      </c>
      <c r="G325" s="101"/>
      <c r="H325" s="101"/>
      <c r="I325" s="101"/>
      <c r="J325" s="101"/>
      <c r="K325" s="101"/>
      <c r="L325" s="101"/>
      <c r="M325" s="101"/>
      <c r="N325" s="101"/>
      <c r="O325" s="101"/>
      <c r="P325" s="101"/>
      <c r="Q325" s="101"/>
      <c r="R325" s="101"/>
      <c r="S325" s="101"/>
      <c r="T325" s="101"/>
      <c r="U325" s="101"/>
      <c r="V325" s="101"/>
      <c r="W325" s="101"/>
      <c r="X325" s="101"/>
      <c r="Y325" s="101"/>
      <c r="Z325" s="101"/>
    </row>
    <row r="326">
      <c r="A326" s="101"/>
      <c r="B326" s="101"/>
      <c r="C326" s="101" t="str">
        <f>IFERROR(__xludf.DUMMYFUNCTION("""COMPUTED_VALUE"""),"RAQUEL DE OLIVEIRA ZANGIROLANI")</f>
        <v>RAQUEL DE OLIVEIRA ZANGIROLANI</v>
      </c>
      <c r="D326" s="101" t="str">
        <f>IFERROR(__xludf.DUMMYFUNCTION("""COMPUTED_VALUE"""),"506.***.***-28")</f>
        <v>506.***.***-28</v>
      </c>
      <c r="E326" s="101">
        <f>IFERROR(__xludf.DUMMYFUNCTION("""COMPUTED_VALUE"""),15.0)</f>
        <v>15</v>
      </c>
      <c r="F326" s="101" t="str">
        <f>IFERROR(__xludf.DUMMYFUNCTION("""COMPUTED_VALUE"""),"506.442.508-28")</f>
        <v>506.442.508-28</v>
      </c>
      <c r="G326" s="101"/>
      <c r="H326" s="101"/>
      <c r="I326" s="101"/>
      <c r="J326" s="101"/>
      <c r="K326" s="101"/>
      <c r="L326" s="101"/>
      <c r="M326" s="101"/>
      <c r="N326" s="101"/>
      <c r="O326" s="101"/>
      <c r="P326" s="101"/>
      <c r="Q326" s="101"/>
      <c r="R326" s="101"/>
      <c r="S326" s="101"/>
      <c r="T326" s="101"/>
      <c r="U326" s="101"/>
      <c r="V326" s="101"/>
      <c r="W326" s="101"/>
      <c r="X326" s="101"/>
      <c r="Y326" s="101"/>
      <c r="Z326" s="101"/>
    </row>
    <row r="327">
      <c r="A327" s="101"/>
      <c r="B327" s="101"/>
      <c r="C327" s="101" t="str">
        <f>IFERROR(__xludf.DUMMYFUNCTION("""COMPUTED_VALUE"""),"LUANA CRISTINA ALVES LIMA DO NASCIMENTO")</f>
        <v>LUANA CRISTINA ALVES LIMA DO NASCIMENTO</v>
      </c>
      <c r="D327" s="101" t="str">
        <f>IFERROR(__xludf.DUMMYFUNCTION("""COMPUTED_VALUE"""),"581.***.***-38")</f>
        <v>581.***.***-38</v>
      </c>
      <c r="E327" s="101">
        <f>IFERROR(__xludf.DUMMYFUNCTION("""COMPUTED_VALUE"""),7.0)</f>
        <v>7</v>
      </c>
      <c r="F327" s="101" t="str">
        <f>IFERROR(__xludf.DUMMYFUNCTION("""COMPUTED_VALUE"""),"581.913.458-38")</f>
        <v>581.913.458-38</v>
      </c>
      <c r="G327" s="101"/>
      <c r="H327" s="101"/>
      <c r="I327" s="101"/>
      <c r="J327" s="101"/>
      <c r="K327" s="101"/>
      <c r="L327" s="101"/>
      <c r="M327" s="101"/>
      <c r="N327" s="101"/>
      <c r="O327" s="101"/>
      <c r="P327" s="101"/>
      <c r="Q327" s="101"/>
      <c r="R327" s="101"/>
      <c r="S327" s="101"/>
      <c r="T327" s="101"/>
      <c r="U327" s="101"/>
      <c r="V327" s="101"/>
      <c r="W327" s="101"/>
      <c r="X327" s="101"/>
      <c r="Y327" s="101"/>
      <c r="Z327" s="101"/>
    </row>
    <row r="328">
      <c r="A328" s="101"/>
      <c r="B328" s="101"/>
      <c r="C328" s="101" t="str">
        <f>IFERROR(__xludf.DUMMYFUNCTION("""COMPUTED_VALUE"""),"ANA LUIZA BARBOSA DE MOURA ANTONIO")</f>
        <v>ANA LUIZA BARBOSA DE MOURA ANTONIO</v>
      </c>
      <c r="D328" s="101" t="str">
        <f>IFERROR(__xludf.DUMMYFUNCTION("""COMPUTED_VALUE"""),"547.***.***-66")</f>
        <v>547.***.***-66</v>
      </c>
      <c r="E328" s="101">
        <f>IFERROR(__xludf.DUMMYFUNCTION("""COMPUTED_VALUE"""),1.0)</f>
        <v>1</v>
      </c>
      <c r="F328" s="101" t="str">
        <f>IFERROR(__xludf.DUMMYFUNCTION("""COMPUTED_VALUE"""),"547.920.178-66")</f>
        <v>547.920.178-66</v>
      </c>
      <c r="G328" s="101"/>
      <c r="H328" s="101"/>
      <c r="I328" s="101"/>
      <c r="J328" s="101"/>
      <c r="K328" s="101"/>
      <c r="L328" s="101"/>
      <c r="M328" s="101"/>
      <c r="N328" s="101"/>
      <c r="O328" s="101"/>
      <c r="P328" s="101"/>
      <c r="Q328" s="101"/>
      <c r="R328" s="101"/>
      <c r="S328" s="101"/>
      <c r="T328" s="101"/>
      <c r="U328" s="101"/>
      <c r="V328" s="101"/>
      <c r="W328" s="101"/>
      <c r="X328" s="101"/>
      <c r="Y328" s="101"/>
      <c r="Z328" s="101"/>
    </row>
    <row r="329">
      <c r="A329" s="101"/>
      <c r="B329" s="101"/>
      <c r="C329" s="101" t="str">
        <f>IFERROR(__xludf.DUMMYFUNCTION("""COMPUTED_VALUE"""),"LUCAS DE SOUZA LEANDRO")</f>
        <v>LUCAS DE SOUZA LEANDRO</v>
      </c>
      <c r="D329" s="101" t="str">
        <f>IFERROR(__xludf.DUMMYFUNCTION("""COMPUTED_VALUE"""),"439.***.***-75")</f>
        <v>439.***.***-75</v>
      </c>
      <c r="E329" s="101">
        <f>IFERROR(__xludf.DUMMYFUNCTION("""COMPUTED_VALUE"""),11.0)</f>
        <v>11</v>
      </c>
      <c r="F329" s="101" t="str">
        <f>IFERROR(__xludf.DUMMYFUNCTION("""COMPUTED_VALUE"""),"439.762.698-75")</f>
        <v>439.762.698-75</v>
      </c>
      <c r="G329" s="101"/>
      <c r="H329" s="101"/>
      <c r="I329" s="101"/>
      <c r="J329" s="101"/>
      <c r="K329" s="101"/>
      <c r="L329" s="101"/>
      <c r="M329" s="101"/>
      <c r="N329" s="101"/>
      <c r="O329" s="101"/>
      <c r="P329" s="101"/>
      <c r="Q329" s="101"/>
      <c r="R329" s="101"/>
      <c r="S329" s="101"/>
      <c r="T329" s="101"/>
      <c r="U329" s="101"/>
      <c r="V329" s="101"/>
      <c r="W329" s="101"/>
      <c r="X329" s="101"/>
      <c r="Y329" s="101"/>
      <c r="Z329" s="101"/>
    </row>
    <row r="330">
      <c r="A330" s="101"/>
      <c r="B330" s="101"/>
      <c r="C330" s="101" t="str">
        <f>IFERROR(__xludf.DUMMYFUNCTION("""COMPUTED_VALUE"""),"GABRIEL FERREIRA DE ASSIS CANDIDO DA SILVA")</f>
        <v>GABRIEL FERREIRA DE ASSIS CANDIDO DA SILVA</v>
      </c>
      <c r="D330" s="101" t="str">
        <f>IFERROR(__xludf.DUMMYFUNCTION("""COMPUTED_VALUE"""),"487.***.***-95")</f>
        <v>487.***.***-95</v>
      </c>
      <c r="E330" s="101">
        <f>IFERROR(__xludf.DUMMYFUNCTION("""COMPUTED_VALUE"""),5.0)</f>
        <v>5</v>
      </c>
      <c r="F330" s="101" t="str">
        <f>IFERROR(__xludf.DUMMYFUNCTION("""COMPUTED_VALUE"""),"487.485.178-95")</f>
        <v>487.485.178-95</v>
      </c>
      <c r="G330" s="101"/>
      <c r="H330" s="101"/>
      <c r="I330" s="101"/>
      <c r="J330" s="101"/>
      <c r="K330" s="101"/>
      <c r="L330" s="101"/>
      <c r="M330" s="101"/>
      <c r="N330" s="101"/>
      <c r="O330" s="101"/>
      <c r="P330" s="101"/>
      <c r="Q330" s="101"/>
      <c r="R330" s="101"/>
      <c r="S330" s="101"/>
      <c r="T330" s="101"/>
      <c r="U330" s="101"/>
      <c r="V330" s="101"/>
      <c r="W330" s="101"/>
      <c r="X330" s="101"/>
      <c r="Y330" s="101"/>
      <c r="Z330" s="101"/>
    </row>
    <row r="331">
      <c r="A331" s="101"/>
      <c r="B331" s="101"/>
      <c r="C331" s="101" t="str">
        <f>IFERROR(__xludf.DUMMYFUNCTION("""COMPUTED_VALUE"""),"NERO SANTOS RIBEIRO")</f>
        <v>NERO SANTOS RIBEIRO</v>
      </c>
      <c r="D331" s="101" t="str">
        <f>IFERROR(__xludf.DUMMYFUNCTION("""COMPUTED_VALUE"""),"377.***.***-84")</f>
        <v>377.***.***-84</v>
      </c>
      <c r="E331" s="101">
        <f>IFERROR(__xludf.DUMMYFUNCTION("""COMPUTED_VALUE"""),9.0)</f>
        <v>9</v>
      </c>
      <c r="F331" s="101" t="str">
        <f>IFERROR(__xludf.DUMMYFUNCTION("""COMPUTED_VALUE"""),"377.974.548-84")</f>
        <v>377.974.548-84</v>
      </c>
      <c r="G331" s="101"/>
      <c r="H331" s="101"/>
      <c r="I331" s="101"/>
      <c r="J331" s="101"/>
      <c r="K331" s="101"/>
      <c r="L331" s="101"/>
      <c r="M331" s="101"/>
      <c r="N331" s="101"/>
      <c r="O331" s="101"/>
      <c r="P331" s="101"/>
      <c r="Q331" s="101"/>
      <c r="R331" s="101"/>
      <c r="S331" s="101"/>
      <c r="T331" s="101"/>
      <c r="U331" s="101"/>
      <c r="V331" s="101"/>
      <c r="W331" s="101"/>
      <c r="X331" s="101"/>
      <c r="Y331" s="101"/>
      <c r="Z331" s="101"/>
    </row>
    <row r="332">
      <c r="A332" s="101"/>
      <c r="B332" s="101"/>
      <c r="C332" s="101" t="str">
        <f>IFERROR(__xludf.DUMMYFUNCTION("""COMPUTED_VALUE"""),"MILENA LOPES ROSA")</f>
        <v>MILENA LOPES ROSA</v>
      </c>
      <c r="D332" s="101" t="str">
        <f>IFERROR(__xludf.DUMMYFUNCTION("""COMPUTED_VALUE"""),"469.***.***-33")</f>
        <v>469.***.***-33</v>
      </c>
      <c r="E332" s="101">
        <f>IFERROR(__xludf.DUMMYFUNCTION("""COMPUTED_VALUE"""),8.0)</f>
        <v>8</v>
      </c>
      <c r="F332" s="101" t="str">
        <f>IFERROR(__xludf.DUMMYFUNCTION("""COMPUTED_VALUE"""),"469.455.538-33")</f>
        <v>469.455.538-33</v>
      </c>
      <c r="G332" s="101"/>
      <c r="H332" s="101"/>
      <c r="I332" s="101"/>
      <c r="J332" s="101"/>
      <c r="K332" s="101"/>
      <c r="L332" s="101"/>
      <c r="M332" s="101"/>
      <c r="N332" s="101"/>
      <c r="O332" s="101"/>
      <c r="P332" s="101"/>
      <c r="Q332" s="101"/>
      <c r="R332" s="101"/>
      <c r="S332" s="101"/>
      <c r="T332" s="101"/>
      <c r="U332" s="101"/>
      <c r="V332" s="101"/>
      <c r="W332" s="101"/>
      <c r="X332" s="101"/>
      <c r="Y332" s="101"/>
      <c r="Z332" s="101"/>
    </row>
    <row r="333">
      <c r="A333" s="101"/>
      <c r="B333" s="101"/>
      <c r="C333" s="101" t="str">
        <f>IFERROR(__xludf.DUMMYFUNCTION("""COMPUTED_VALUE"""),"BRITNEY RUTH AGUERO SAMUEL")</f>
        <v>BRITNEY RUTH AGUERO SAMUEL</v>
      </c>
      <c r="D333" s="101" t="str">
        <f>IFERROR(__xludf.DUMMYFUNCTION("""COMPUTED_VALUE"""),"494.***.***-42")</f>
        <v>494.***.***-42</v>
      </c>
      <c r="E333" s="101">
        <f>IFERROR(__xludf.DUMMYFUNCTION("""COMPUTED_VALUE"""),2.0)</f>
        <v>2</v>
      </c>
      <c r="F333" s="101" t="str">
        <f>IFERROR(__xludf.DUMMYFUNCTION("""COMPUTED_VALUE"""),"494.873.428-42")</f>
        <v>494.873.428-42</v>
      </c>
      <c r="G333" s="101"/>
      <c r="H333" s="101"/>
      <c r="I333" s="101"/>
      <c r="J333" s="101"/>
      <c r="K333" s="101"/>
      <c r="L333" s="101"/>
      <c r="M333" s="101"/>
      <c r="N333" s="101"/>
      <c r="O333" s="101"/>
      <c r="P333" s="101"/>
      <c r="Q333" s="101"/>
      <c r="R333" s="101"/>
      <c r="S333" s="101"/>
      <c r="T333" s="101"/>
      <c r="U333" s="101"/>
      <c r="V333" s="101"/>
      <c r="W333" s="101"/>
      <c r="X333" s="101"/>
      <c r="Y333" s="101"/>
      <c r="Z333" s="101"/>
    </row>
    <row r="334">
      <c r="A334" s="101"/>
      <c r="B334" s="101"/>
      <c r="C334" s="101" t="str">
        <f>IFERROR(__xludf.DUMMYFUNCTION("""COMPUTED_VALUE"""),"TATIANE  FURLANETO MAGALHÃES")</f>
        <v>TATIANE  FURLANETO MAGALHÃES</v>
      </c>
      <c r="D334" s="101" t="str">
        <f>IFERROR(__xludf.DUMMYFUNCTION("""COMPUTED_VALUE"""),"479.***.***-07")</f>
        <v>479.***.***-07</v>
      </c>
      <c r="E334" s="101">
        <f>IFERROR(__xludf.DUMMYFUNCTION("""COMPUTED_VALUE"""),16.0)</f>
        <v>16</v>
      </c>
      <c r="F334" s="101" t="str">
        <f>IFERROR(__xludf.DUMMYFUNCTION("""COMPUTED_VALUE"""),"479.966.638-07")</f>
        <v>479.966.638-07</v>
      </c>
      <c r="G334" s="101"/>
      <c r="H334" s="101"/>
      <c r="I334" s="101"/>
      <c r="J334" s="101"/>
      <c r="K334" s="101"/>
      <c r="L334" s="101"/>
      <c r="M334" s="101"/>
      <c r="N334" s="101"/>
      <c r="O334" s="101"/>
      <c r="P334" s="101"/>
      <c r="Q334" s="101"/>
      <c r="R334" s="101"/>
      <c r="S334" s="101"/>
      <c r="T334" s="101"/>
      <c r="U334" s="101"/>
      <c r="V334" s="101"/>
      <c r="W334" s="101"/>
      <c r="X334" s="101"/>
      <c r="Y334" s="101"/>
      <c r="Z334" s="101"/>
    </row>
    <row r="335">
      <c r="A335" s="101"/>
      <c r="B335" s="101"/>
      <c r="C335" s="101" t="str">
        <f>IFERROR(__xludf.DUMMYFUNCTION("""COMPUTED_VALUE"""),"FERNANDO RODRIGUES FELIX")</f>
        <v>FERNANDO RODRIGUES FELIX</v>
      </c>
      <c r="D335" s="101" t="str">
        <f>IFERROR(__xludf.DUMMYFUNCTION("""COMPUTED_VALUE"""),"557.***.***-86")</f>
        <v>557.***.***-86</v>
      </c>
      <c r="E335" s="101">
        <f>IFERROR(__xludf.DUMMYFUNCTION("""COMPUTED_VALUE"""),5.0)</f>
        <v>5</v>
      </c>
      <c r="F335" s="101" t="str">
        <f>IFERROR(__xludf.DUMMYFUNCTION("""COMPUTED_VALUE"""),"557.119.508-86")</f>
        <v>557.119.508-86</v>
      </c>
      <c r="G335" s="101"/>
      <c r="H335" s="101"/>
      <c r="I335" s="101"/>
      <c r="J335" s="101"/>
      <c r="K335" s="101"/>
      <c r="L335" s="101"/>
      <c r="M335" s="101"/>
      <c r="N335" s="101"/>
      <c r="O335" s="101"/>
      <c r="P335" s="101"/>
      <c r="Q335" s="101"/>
      <c r="R335" s="101"/>
      <c r="S335" s="101"/>
      <c r="T335" s="101"/>
      <c r="U335" s="101"/>
      <c r="V335" s="101"/>
      <c r="W335" s="101"/>
      <c r="X335" s="101"/>
      <c r="Y335" s="101"/>
      <c r="Z335" s="101"/>
    </row>
    <row r="336">
      <c r="A336" s="101"/>
      <c r="B336" s="101"/>
      <c r="C336" s="101" t="str">
        <f>IFERROR(__xludf.DUMMYFUNCTION("""COMPUTED_VALUE"""),"ISABELA LUIZA EUGENIO")</f>
        <v>ISABELA LUIZA EUGENIO</v>
      </c>
      <c r="D336" s="101" t="str">
        <f>IFERROR(__xludf.DUMMYFUNCTION("""COMPUTED_VALUE"""),"461.***.***-93")</f>
        <v>461.***.***-93</v>
      </c>
      <c r="E336" s="101">
        <f>IFERROR(__xludf.DUMMYFUNCTION("""COMPUTED_VALUE"""),5.0)</f>
        <v>5</v>
      </c>
      <c r="F336" s="101" t="str">
        <f>IFERROR(__xludf.DUMMYFUNCTION("""COMPUTED_VALUE"""),"461.641.588-93")</f>
        <v>461.641.588-93</v>
      </c>
      <c r="G336" s="101"/>
      <c r="H336" s="101"/>
      <c r="I336" s="101"/>
      <c r="J336" s="101"/>
      <c r="K336" s="101"/>
      <c r="L336" s="101"/>
      <c r="M336" s="101"/>
      <c r="N336" s="101"/>
      <c r="O336" s="101"/>
      <c r="P336" s="101"/>
      <c r="Q336" s="101"/>
      <c r="R336" s="101"/>
      <c r="S336" s="101"/>
      <c r="T336" s="101"/>
      <c r="U336" s="101"/>
      <c r="V336" s="101"/>
      <c r="W336" s="101"/>
      <c r="X336" s="101"/>
      <c r="Y336" s="101"/>
      <c r="Z336" s="101"/>
    </row>
    <row r="337">
      <c r="A337" s="101"/>
      <c r="B337" s="101"/>
      <c r="C337" s="101" t="str">
        <f>IFERROR(__xludf.DUMMYFUNCTION("""COMPUTED_VALUE"""),"KAUANNY NICOLY NASCIMENTO DOS  SANTOS")</f>
        <v>KAUANNY NICOLY NASCIMENTO DOS  SANTOS</v>
      </c>
      <c r="D337" s="101" t="str">
        <f>IFERROR(__xludf.DUMMYFUNCTION("""COMPUTED_VALUE"""),"509.***.***-81")</f>
        <v>509.***.***-81</v>
      </c>
      <c r="E337" s="101">
        <f>IFERROR(__xludf.DUMMYFUNCTION("""COMPUTED_VALUE"""),9.0)</f>
        <v>9</v>
      </c>
      <c r="F337" s="101" t="str">
        <f>IFERROR(__xludf.DUMMYFUNCTION("""COMPUTED_VALUE"""),"509.423.788-81")</f>
        <v>509.423.788-81</v>
      </c>
      <c r="G337" s="101"/>
      <c r="H337" s="101"/>
      <c r="I337" s="101"/>
      <c r="J337" s="101"/>
      <c r="K337" s="101"/>
      <c r="L337" s="101"/>
      <c r="M337" s="101"/>
      <c r="N337" s="101"/>
      <c r="O337" s="101"/>
      <c r="P337" s="101"/>
      <c r="Q337" s="101"/>
      <c r="R337" s="101"/>
      <c r="S337" s="101"/>
      <c r="T337" s="101"/>
      <c r="U337" s="101"/>
      <c r="V337" s="101"/>
      <c r="W337" s="101"/>
      <c r="X337" s="101"/>
      <c r="Y337" s="101"/>
      <c r="Z337" s="101"/>
    </row>
    <row r="338">
      <c r="A338" s="101"/>
      <c r="B338" s="101"/>
      <c r="C338" s="101" t="str">
        <f>IFERROR(__xludf.DUMMYFUNCTION("""COMPUTED_VALUE"""),"NATHALY BRAGA DE BULHOES")</f>
        <v>NATHALY BRAGA DE BULHOES</v>
      </c>
      <c r="D338" s="101" t="str">
        <f>IFERROR(__xludf.DUMMYFUNCTION("""COMPUTED_VALUE"""),"545.***.***-59")</f>
        <v>545.***.***-59</v>
      </c>
      <c r="E338" s="101">
        <f>IFERROR(__xludf.DUMMYFUNCTION("""COMPUTED_VALUE"""),9.0)</f>
        <v>9</v>
      </c>
      <c r="F338" s="101" t="str">
        <f>IFERROR(__xludf.DUMMYFUNCTION("""COMPUTED_VALUE"""),"545.967.358-59")</f>
        <v>545.967.358-59</v>
      </c>
      <c r="G338" s="101"/>
      <c r="H338" s="101"/>
      <c r="I338" s="101"/>
      <c r="J338" s="101"/>
      <c r="K338" s="101"/>
      <c r="L338" s="101"/>
      <c r="M338" s="101"/>
      <c r="N338" s="101"/>
      <c r="O338" s="101"/>
      <c r="P338" s="101"/>
      <c r="Q338" s="101"/>
      <c r="R338" s="101"/>
      <c r="S338" s="101"/>
      <c r="T338" s="101"/>
      <c r="U338" s="101"/>
      <c r="V338" s="101"/>
      <c r="W338" s="101"/>
      <c r="X338" s="101"/>
      <c r="Y338" s="101"/>
      <c r="Z338" s="101"/>
    </row>
    <row r="339">
      <c r="A339" s="101"/>
      <c r="B339" s="101"/>
      <c r="C339" s="101" t="str">
        <f>IFERROR(__xludf.DUMMYFUNCTION("""COMPUTED_VALUE"""),"BRENDA MARIA DA COSTA CORREA")</f>
        <v>BRENDA MARIA DA COSTA CORREA</v>
      </c>
      <c r="D339" s="101" t="str">
        <f>IFERROR(__xludf.DUMMYFUNCTION("""COMPUTED_VALUE"""),"466.***.***-01")</f>
        <v>466.***.***-01</v>
      </c>
      <c r="E339" s="101">
        <f>IFERROR(__xludf.DUMMYFUNCTION("""COMPUTED_VALUE"""),2.0)</f>
        <v>2</v>
      </c>
      <c r="F339" s="101" t="str">
        <f>IFERROR(__xludf.DUMMYFUNCTION("""COMPUTED_VALUE"""),"466.751.428-01")</f>
        <v>466.751.428-01</v>
      </c>
      <c r="G339" s="101"/>
      <c r="H339" s="101"/>
      <c r="I339" s="101"/>
      <c r="J339" s="101"/>
      <c r="K339" s="101"/>
      <c r="L339" s="101"/>
      <c r="M339" s="101"/>
      <c r="N339" s="101"/>
      <c r="O339" s="101"/>
      <c r="P339" s="101"/>
      <c r="Q339" s="101"/>
      <c r="R339" s="101"/>
      <c r="S339" s="101"/>
      <c r="T339" s="101"/>
      <c r="U339" s="101"/>
      <c r="V339" s="101"/>
      <c r="W339" s="101"/>
      <c r="X339" s="101"/>
      <c r="Y339" s="101"/>
      <c r="Z339" s="101"/>
    </row>
    <row r="340">
      <c r="A340" s="101"/>
      <c r="B340" s="101"/>
      <c r="C340" s="101" t="str">
        <f>IFERROR(__xludf.DUMMYFUNCTION("""COMPUTED_VALUE"""),"GABRIEL DE SOUZA PRADO")</f>
        <v>GABRIEL DE SOUZA PRADO</v>
      </c>
      <c r="D340" s="101" t="str">
        <f>IFERROR(__xludf.DUMMYFUNCTION("""COMPUTED_VALUE"""),"454.***.***-19")</f>
        <v>454.***.***-19</v>
      </c>
      <c r="E340" s="101">
        <f>IFERROR(__xludf.DUMMYFUNCTION("""COMPUTED_VALUE"""),5.0)</f>
        <v>5</v>
      </c>
      <c r="F340" s="101" t="str">
        <f>IFERROR(__xludf.DUMMYFUNCTION("""COMPUTED_VALUE"""),"454.659.138-19")</f>
        <v>454.659.138-19</v>
      </c>
      <c r="G340" s="101"/>
      <c r="H340" s="101"/>
      <c r="I340" s="101"/>
      <c r="J340" s="101"/>
      <c r="K340" s="101"/>
      <c r="L340" s="101"/>
      <c r="M340" s="101"/>
      <c r="N340" s="101"/>
      <c r="O340" s="101"/>
      <c r="P340" s="101"/>
      <c r="Q340" s="101"/>
      <c r="R340" s="101"/>
      <c r="S340" s="101"/>
      <c r="T340" s="101"/>
      <c r="U340" s="101"/>
      <c r="V340" s="101"/>
      <c r="W340" s="101"/>
      <c r="X340" s="101"/>
      <c r="Y340" s="101"/>
      <c r="Z340" s="101"/>
    </row>
    <row r="341">
      <c r="A341" s="101"/>
      <c r="B341" s="101"/>
      <c r="C341" s="101" t="str">
        <f>IFERROR(__xludf.DUMMYFUNCTION("""COMPUTED_VALUE"""),"LARISSA SILVA MARTINS")</f>
        <v>LARISSA SILVA MARTINS</v>
      </c>
      <c r="D341" s="101" t="str">
        <f>IFERROR(__xludf.DUMMYFUNCTION("""COMPUTED_VALUE"""),"497.***.***-22")</f>
        <v>497.***.***-22</v>
      </c>
      <c r="E341" s="101">
        <f>IFERROR(__xludf.DUMMYFUNCTION("""COMPUTED_VALUE"""),6.0)</f>
        <v>6</v>
      </c>
      <c r="F341" s="101" t="str">
        <f>IFERROR(__xludf.DUMMYFUNCTION("""COMPUTED_VALUE"""),"497.430.888-22")</f>
        <v>497.430.888-22</v>
      </c>
      <c r="G341" s="101"/>
      <c r="H341" s="101"/>
      <c r="I341" s="101"/>
      <c r="J341" s="101"/>
      <c r="K341" s="101"/>
      <c r="L341" s="101"/>
      <c r="M341" s="101"/>
      <c r="N341" s="101"/>
      <c r="O341" s="101"/>
      <c r="P341" s="101"/>
      <c r="Q341" s="101"/>
      <c r="R341" s="101"/>
      <c r="S341" s="101"/>
      <c r="T341" s="101"/>
      <c r="U341" s="101"/>
      <c r="V341" s="101"/>
      <c r="W341" s="101"/>
      <c r="X341" s="101"/>
      <c r="Y341" s="101"/>
      <c r="Z341" s="101"/>
    </row>
    <row r="342">
      <c r="A342" s="101"/>
      <c r="B342" s="101"/>
      <c r="C342" s="101" t="str">
        <f>IFERROR(__xludf.DUMMYFUNCTION("""COMPUTED_VALUE"""),"BEATRIZ DA SILVA VIEIRA")</f>
        <v>BEATRIZ DA SILVA VIEIRA</v>
      </c>
      <c r="D342" s="101" t="str">
        <f>IFERROR(__xludf.DUMMYFUNCTION("""COMPUTED_VALUE"""),"400.***.***-07")</f>
        <v>400.***.***-07</v>
      </c>
      <c r="E342" s="101">
        <f>IFERROR(__xludf.DUMMYFUNCTION("""COMPUTED_VALUE"""),2.0)</f>
        <v>2</v>
      </c>
      <c r="F342" s="101" t="str">
        <f>IFERROR(__xludf.DUMMYFUNCTION("""COMPUTED_VALUE"""),"400.242.328-07")</f>
        <v>400.242.328-07</v>
      </c>
      <c r="G342" s="101"/>
      <c r="H342" s="101"/>
      <c r="I342" s="101"/>
      <c r="J342" s="101"/>
      <c r="K342" s="101"/>
      <c r="L342" s="101"/>
      <c r="M342" s="101"/>
      <c r="N342" s="101"/>
      <c r="O342" s="101"/>
      <c r="P342" s="101"/>
      <c r="Q342" s="101"/>
      <c r="R342" s="101"/>
      <c r="S342" s="101"/>
      <c r="T342" s="101"/>
      <c r="U342" s="101"/>
      <c r="V342" s="101"/>
      <c r="W342" s="101"/>
      <c r="X342" s="101"/>
      <c r="Y342" s="101"/>
      <c r="Z342" s="101"/>
    </row>
    <row r="343">
      <c r="A343" s="101"/>
      <c r="B343" s="101"/>
      <c r="C343" s="101" t="str">
        <f>IFERROR(__xludf.DUMMYFUNCTION("""COMPUTED_VALUE"""),"MILENA SILVA")</f>
        <v>MILENA SILVA</v>
      </c>
      <c r="D343" s="101" t="str">
        <f>IFERROR(__xludf.DUMMYFUNCTION("""COMPUTED_VALUE"""),"559.***.***-36")</f>
        <v>559.***.***-36</v>
      </c>
      <c r="E343" s="101">
        <f>IFERROR(__xludf.DUMMYFUNCTION("""COMPUTED_VALUE"""),13.0)</f>
        <v>13</v>
      </c>
      <c r="F343" s="101" t="str">
        <f>IFERROR(__xludf.DUMMYFUNCTION("""COMPUTED_VALUE"""),"559.247.988-36")</f>
        <v>559.247.988-36</v>
      </c>
      <c r="G343" s="101"/>
      <c r="H343" s="101"/>
      <c r="I343" s="101"/>
      <c r="J343" s="101"/>
      <c r="K343" s="101"/>
      <c r="L343" s="101"/>
      <c r="M343" s="101"/>
      <c r="N343" s="101"/>
      <c r="O343" s="101"/>
      <c r="P343" s="101"/>
      <c r="Q343" s="101"/>
      <c r="R343" s="101"/>
      <c r="S343" s="101"/>
      <c r="T343" s="101"/>
      <c r="U343" s="101"/>
      <c r="V343" s="101"/>
      <c r="W343" s="101"/>
      <c r="X343" s="101"/>
      <c r="Y343" s="101"/>
      <c r="Z343" s="101"/>
    </row>
    <row r="344">
      <c r="A344" s="101"/>
      <c r="B344" s="101"/>
      <c r="C344" s="101" t="str">
        <f>IFERROR(__xludf.DUMMYFUNCTION("""COMPUTED_VALUE"""),"LUCAS PENTEADO DE MATOS")</f>
        <v>LUCAS PENTEADO DE MATOS</v>
      </c>
      <c r="D344" s="101" t="str">
        <f>IFERROR(__xludf.DUMMYFUNCTION("""COMPUTED_VALUE"""),"540.***.***-96")</f>
        <v>540.***.***-96</v>
      </c>
      <c r="E344" s="101">
        <f>IFERROR(__xludf.DUMMYFUNCTION("""COMPUTED_VALUE"""),8.0)</f>
        <v>8</v>
      </c>
      <c r="F344" s="101" t="str">
        <f>IFERROR(__xludf.DUMMYFUNCTION("""COMPUTED_VALUE"""),"540.014.708-96")</f>
        <v>540.014.708-96</v>
      </c>
      <c r="G344" s="101"/>
      <c r="H344" s="101"/>
      <c r="I344" s="101"/>
      <c r="J344" s="101"/>
      <c r="K344" s="101"/>
      <c r="L344" s="101"/>
      <c r="M344" s="101"/>
      <c r="N344" s="101"/>
      <c r="O344" s="101"/>
      <c r="P344" s="101"/>
      <c r="Q344" s="101"/>
      <c r="R344" s="101"/>
      <c r="S344" s="101"/>
      <c r="T344" s="101"/>
      <c r="U344" s="101"/>
      <c r="V344" s="101"/>
      <c r="W344" s="101"/>
      <c r="X344" s="101"/>
      <c r="Y344" s="101"/>
      <c r="Z344" s="101"/>
    </row>
    <row r="345">
      <c r="A345" s="101"/>
      <c r="B345" s="101"/>
      <c r="C345" s="101" t="str">
        <f>IFERROR(__xludf.DUMMYFUNCTION("""COMPUTED_VALUE"""),"ANTONIO ELTON PEREIRA BORGES")</f>
        <v>ANTONIO ELTON PEREIRA BORGES</v>
      </c>
      <c r="D345" s="101" t="str">
        <f>IFERROR(__xludf.DUMMYFUNCTION("""COMPUTED_VALUE"""),"059.***.***-80")</f>
        <v>059.***.***-80</v>
      </c>
      <c r="E345" s="101">
        <f>IFERROR(__xludf.DUMMYFUNCTION("""COMPUTED_VALUE"""),1.0)</f>
        <v>1</v>
      </c>
      <c r="F345" s="101" t="str">
        <f>IFERROR(__xludf.DUMMYFUNCTION("""COMPUTED_VALUE"""),"059.962.231-80")</f>
        <v>059.962.231-80</v>
      </c>
      <c r="G345" s="101"/>
      <c r="H345" s="101"/>
      <c r="I345" s="101"/>
      <c r="J345" s="101"/>
      <c r="K345" s="101"/>
      <c r="L345" s="101"/>
      <c r="M345" s="101"/>
      <c r="N345" s="101"/>
      <c r="O345" s="101"/>
      <c r="P345" s="101"/>
      <c r="Q345" s="101"/>
      <c r="R345" s="101"/>
      <c r="S345" s="101"/>
      <c r="T345" s="101"/>
      <c r="U345" s="101"/>
      <c r="V345" s="101"/>
      <c r="W345" s="101"/>
      <c r="X345" s="101"/>
      <c r="Y345" s="101"/>
      <c r="Z345" s="101"/>
    </row>
    <row r="346">
      <c r="A346" s="101"/>
      <c r="B346" s="101"/>
      <c r="C346" s="101" t="str">
        <f>IFERROR(__xludf.DUMMYFUNCTION("""COMPUTED_VALUE"""),"LÍVIA KAUANE SALES SILVA")</f>
        <v>LÍVIA KAUANE SALES SILVA</v>
      </c>
      <c r="D346" s="101" t="str">
        <f>IFERROR(__xludf.DUMMYFUNCTION("""COMPUTED_VALUE"""),"489.***.***-81")</f>
        <v>489.***.***-81</v>
      </c>
      <c r="E346" s="101">
        <f>IFERROR(__xludf.DUMMYFUNCTION("""COMPUTED_VALUE"""),7.0)</f>
        <v>7</v>
      </c>
      <c r="F346" s="101" t="str">
        <f>IFERROR(__xludf.DUMMYFUNCTION("""COMPUTED_VALUE"""),"489.739.548-81")</f>
        <v>489.739.548-81</v>
      </c>
      <c r="G346" s="101"/>
      <c r="H346" s="101"/>
      <c r="I346" s="101"/>
      <c r="J346" s="101"/>
      <c r="K346" s="101"/>
      <c r="L346" s="101"/>
      <c r="M346" s="101"/>
      <c r="N346" s="101"/>
      <c r="O346" s="101"/>
      <c r="P346" s="101"/>
      <c r="Q346" s="101"/>
      <c r="R346" s="101"/>
      <c r="S346" s="101"/>
      <c r="T346" s="101"/>
      <c r="U346" s="101"/>
      <c r="V346" s="101"/>
      <c r="W346" s="101"/>
      <c r="X346" s="101"/>
      <c r="Y346" s="101"/>
      <c r="Z346" s="101"/>
    </row>
    <row r="347">
      <c r="A347" s="101"/>
      <c r="B347" s="101"/>
      <c r="C347" s="101" t="str">
        <f>IFERROR(__xludf.DUMMYFUNCTION("""COMPUTED_VALUE"""),"LAUANY ROSA  DE  SOUZA  MOREIRA")</f>
        <v>LAUANY ROSA  DE  SOUZA  MOREIRA</v>
      </c>
      <c r="D347" s="101" t="str">
        <f>IFERROR(__xludf.DUMMYFUNCTION("""COMPUTED_VALUE"""),"501.***.***-96")</f>
        <v>501.***.***-96</v>
      </c>
      <c r="E347" s="101">
        <f>IFERROR(__xludf.DUMMYFUNCTION("""COMPUTED_VALUE"""),10.0)</f>
        <v>10</v>
      </c>
      <c r="F347" s="101" t="str">
        <f>IFERROR(__xludf.DUMMYFUNCTION("""COMPUTED_VALUE"""),"501.361.508-96")</f>
        <v>501.361.508-96</v>
      </c>
      <c r="G347" s="101"/>
      <c r="H347" s="101"/>
      <c r="I347" s="101"/>
      <c r="J347" s="101"/>
      <c r="K347" s="101"/>
      <c r="L347" s="101"/>
      <c r="M347" s="101"/>
      <c r="N347" s="101"/>
      <c r="O347" s="101"/>
      <c r="P347" s="101"/>
      <c r="Q347" s="101"/>
      <c r="R347" s="101"/>
      <c r="S347" s="101"/>
      <c r="T347" s="101"/>
      <c r="U347" s="101"/>
      <c r="V347" s="101"/>
      <c r="W347" s="101"/>
      <c r="X347" s="101"/>
      <c r="Y347" s="101"/>
      <c r="Z347" s="101"/>
    </row>
    <row r="348">
      <c r="A348" s="101"/>
      <c r="B348" s="101"/>
      <c r="C348" s="101" t="str">
        <f>IFERROR(__xludf.DUMMYFUNCTION("""COMPUTED_VALUE"""),"JOYCINEIDE SOARES  MACHADO")</f>
        <v>JOYCINEIDE SOARES  MACHADO</v>
      </c>
      <c r="D348" s="101" t="str">
        <f>IFERROR(__xludf.DUMMYFUNCTION("""COMPUTED_VALUE"""),"452.***.***-65")</f>
        <v>452.***.***-65</v>
      </c>
      <c r="E348" s="101">
        <f>IFERROR(__xludf.DUMMYFUNCTION("""COMPUTED_VALUE"""),8.0)</f>
        <v>8</v>
      </c>
      <c r="F348" s="101" t="str">
        <f>IFERROR(__xludf.DUMMYFUNCTION("""COMPUTED_VALUE"""),"452.167.838-65")</f>
        <v>452.167.838-65</v>
      </c>
      <c r="G348" s="101"/>
      <c r="H348" s="101"/>
      <c r="I348" s="101"/>
      <c r="J348" s="101"/>
      <c r="K348" s="101"/>
      <c r="L348" s="101"/>
      <c r="M348" s="101"/>
      <c r="N348" s="101"/>
      <c r="O348" s="101"/>
      <c r="P348" s="101"/>
      <c r="Q348" s="101"/>
      <c r="R348" s="101"/>
      <c r="S348" s="101"/>
      <c r="T348" s="101"/>
      <c r="U348" s="101"/>
      <c r="V348" s="101"/>
      <c r="W348" s="101"/>
      <c r="X348" s="101"/>
      <c r="Y348" s="101"/>
      <c r="Z348" s="101"/>
    </row>
    <row r="349">
      <c r="A349" s="101"/>
      <c r="B349" s="101"/>
      <c r="C349" s="101" t="str">
        <f>IFERROR(__xludf.DUMMYFUNCTION("""COMPUTED_VALUE"""),"STELLA CRISTINA ISMAEL DE SOUZA")</f>
        <v>STELLA CRISTINA ISMAEL DE SOUZA</v>
      </c>
      <c r="D349" s="101" t="str">
        <f>IFERROR(__xludf.DUMMYFUNCTION("""COMPUTED_VALUE"""),"496.***.***-63")</f>
        <v>496.***.***-63</v>
      </c>
      <c r="E349" s="101">
        <f>IFERROR(__xludf.DUMMYFUNCTION("""COMPUTED_VALUE"""),9.0)</f>
        <v>9</v>
      </c>
      <c r="F349" s="101" t="str">
        <f>IFERROR(__xludf.DUMMYFUNCTION("""COMPUTED_VALUE"""),"496.232.668-63")</f>
        <v>496.232.668-63</v>
      </c>
      <c r="G349" s="101"/>
      <c r="H349" s="101"/>
      <c r="I349" s="101"/>
      <c r="J349" s="101"/>
      <c r="K349" s="101"/>
      <c r="L349" s="101"/>
      <c r="M349" s="101"/>
      <c r="N349" s="101"/>
      <c r="O349" s="101"/>
      <c r="P349" s="101"/>
      <c r="Q349" s="101"/>
      <c r="R349" s="101"/>
      <c r="S349" s="101"/>
      <c r="T349" s="101"/>
      <c r="U349" s="101"/>
      <c r="V349" s="101"/>
      <c r="W349" s="101"/>
      <c r="X349" s="101"/>
      <c r="Y349" s="101"/>
      <c r="Z349" s="101"/>
    </row>
    <row r="350">
      <c r="A350" s="101"/>
      <c r="B350" s="101"/>
      <c r="C350" s="101" t="str">
        <f>IFERROR(__xludf.DUMMYFUNCTION("""COMPUTED_VALUE"""),"THAIS DIAS GOMES VITORIA")</f>
        <v>THAIS DIAS GOMES VITORIA</v>
      </c>
      <c r="D350" s="101" t="str">
        <f>IFERROR(__xludf.DUMMYFUNCTION("""COMPUTED_VALUE"""),"543.***.***-64")</f>
        <v>543.***.***-64</v>
      </c>
      <c r="E350" s="101">
        <f>IFERROR(__xludf.DUMMYFUNCTION("""COMPUTED_VALUE"""),9.0)</f>
        <v>9</v>
      </c>
      <c r="F350" s="101" t="str">
        <f>IFERROR(__xludf.DUMMYFUNCTION("""COMPUTED_VALUE"""),"543.418.018-64")</f>
        <v>543.418.018-64</v>
      </c>
      <c r="G350" s="101"/>
      <c r="H350" s="101"/>
      <c r="I350" s="101"/>
      <c r="J350" s="101"/>
      <c r="K350" s="101"/>
      <c r="L350" s="101"/>
      <c r="M350" s="101"/>
      <c r="N350" s="101"/>
      <c r="O350" s="101"/>
      <c r="P350" s="101"/>
      <c r="Q350" s="101"/>
      <c r="R350" s="101"/>
      <c r="S350" s="101"/>
      <c r="T350" s="101"/>
      <c r="U350" s="101"/>
      <c r="V350" s="101"/>
      <c r="W350" s="101"/>
      <c r="X350" s="101"/>
      <c r="Y350" s="101"/>
      <c r="Z350" s="101"/>
    </row>
    <row r="351">
      <c r="A351" s="101"/>
      <c r="B351" s="101"/>
      <c r="C351" s="101" t="str">
        <f>IFERROR(__xludf.DUMMYFUNCTION("""COMPUTED_VALUE"""),"ISABELA MARIA DIAS MORELLI")</f>
        <v>ISABELA MARIA DIAS MORELLI</v>
      </c>
      <c r="D351" s="101" t="str">
        <f>IFERROR(__xludf.DUMMYFUNCTION("""COMPUTED_VALUE"""),"436.***.***-70")</f>
        <v>436.***.***-70</v>
      </c>
      <c r="E351" s="101">
        <f>IFERROR(__xludf.DUMMYFUNCTION("""COMPUTED_VALUE"""),5.0)</f>
        <v>5</v>
      </c>
      <c r="F351" s="101" t="str">
        <f>IFERROR(__xludf.DUMMYFUNCTION("""COMPUTED_VALUE"""),"436.005.298-70")</f>
        <v>436.005.298-70</v>
      </c>
      <c r="G351" s="101"/>
      <c r="H351" s="101"/>
      <c r="I351" s="101"/>
      <c r="J351" s="101"/>
      <c r="K351" s="101"/>
      <c r="L351" s="101"/>
      <c r="M351" s="101"/>
      <c r="N351" s="101"/>
      <c r="O351" s="101"/>
      <c r="P351" s="101"/>
      <c r="Q351" s="101"/>
      <c r="R351" s="101"/>
      <c r="S351" s="101"/>
      <c r="T351" s="101"/>
      <c r="U351" s="101"/>
      <c r="V351" s="101"/>
      <c r="W351" s="101"/>
      <c r="X351" s="101"/>
      <c r="Y351" s="101"/>
      <c r="Z351" s="101"/>
    </row>
    <row r="352">
      <c r="A352" s="101"/>
      <c r="B352" s="101"/>
      <c r="C352" s="101" t="str">
        <f>IFERROR(__xludf.DUMMYFUNCTION("""COMPUTED_VALUE"""),"CAMILA APARECIDA BIAGE DA SILVA")</f>
        <v>CAMILA APARECIDA BIAGE DA SILVA</v>
      </c>
      <c r="D352" s="101" t="str">
        <f>IFERROR(__xludf.DUMMYFUNCTION("""COMPUTED_VALUE"""),"343.***.***-31")</f>
        <v>343.***.***-31</v>
      </c>
      <c r="E352" s="101">
        <f>IFERROR(__xludf.DUMMYFUNCTION("""COMPUTED_VALUE"""),2.0)</f>
        <v>2</v>
      </c>
      <c r="F352" s="101" t="str">
        <f>IFERROR(__xludf.DUMMYFUNCTION("""COMPUTED_VALUE"""),"343.660.378-31")</f>
        <v>343.660.378-31</v>
      </c>
      <c r="G352" s="101"/>
      <c r="H352" s="101"/>
      <c r="I352" s="101"/>
      <c r="J352" s="101"/>
      <c r="K352" s="101"/>
      <c r="L352" s="101"/>
      <c r="M352" s="101"/>
      <c r="N352" s="101"/>
      <c r="O352" s="101"/>
      <c r="P352" s="101"/>
      <c r="Q352" s="101"/>
      <c r="R352" s="101"/>
      <c r="S352" s="101"/>
      <c r="T352" s="101"/>
      <c r="U352" s="101"/>
      <c r="V352" s="101"/>
      <c r="W352" s="101"/>
      <c r="X352" s="101"/>
      <c r="Y352" s="101"/>
      <c r="Z352" s="101"/>
    </row>
    <row r="353">
      <c r="A353" s="101"/>
      <c r="B353" s="101"/>
      <c r="C353" s="101" t="str">
        <f>IFERROR(__xludf.DUMMYFUNCTION("""COMPUTED_VALUE"""),"CARINA NERES FARIAS")</f>
        <v>CARINA NERES FARIAS</v>
      </c>
      <c r="D353" s="101" t="str">
        <f>IFERROR(__xludf.DUMMYFUNCTION("""COMPUTED_VALUE"""),"526.***.***-07")</f>
        <v>526.***.***-07</v>
      </c>
      <c r="E353" s="101">
        <f>IFERROR(__xludf.DUMMYFUNCTION("""COMPUTED_VALUE"""),3.0)</f>
        <v>3</v>
      </c>
      <c r="F353" s="101" t="str">
        <f>IFERROR(__xludf.DUMMYFUNCTION("""COMPUTED_VALUE"""),"526.350.618-07")</f>
        <v>526.350.618-07</v>
      </c>
      <c r="G353" s="101"/>
      <c r="H353" s="101"/>
      <c r="I353" s="101"/>
      <c r="J353" s="101"/>
      <c r="K353" s="101"/>
      <c r="L353" s="101"/>
      <c r="M353" s="101"/>
      <c r="N353" s="101"/>
      <c r="O353" s="101"/>
      <c r="P353" s="101"/>
      <c r="Q353" s="101"/>
      <c r="R353" s="101"/>
      <c r="S353" s="101"/>
      <c r="T353" s="101"/>
      <c r="U353" s="101"/>
      <c r="V353" s="101"/>
      <c r="W353" s="101"/>
      <c r="X353" s="101"/>
      <c r="Y353" s="101"/>
      <c r="Z353" s="101"/>
    </row>
    <row r="354">
      <c r="A354" s="101"/>
      <c r="B354" s="101"/>
      <c r="C354" s="101" t="str">
        <f>IFERROR(__xludf.DUMMYFUNCTION("""COMPUTED_VALUE"""),"EVANDRO BARBOSA CARVALHO")</f>
        <v>EVANDRO BARBOSA CARVALHO</v>
      </c>
      <c r="D354" s="101" t="str">
        <f>IFERROR(__xludf.DUMMYFUNCTION("""COMPUTED_VALUE"""),"507.***.***-36")</f>
        <v>507.***.***-36</v>
      </c>
      <c r="E354" s="101">
        <f>IFERROR(__xludf.DUMMYFUNCTION("""COMPUTED_VALUE"""),3.0)</f>
        <v>3</v>
      </c>
      <c r="F354" s="101" t="str">
        <f>IFERROR(__xludf.DUMMYFUNCTION("""COMPUTED_VALUE"""),"507.241.628-36")</f>
        <v>507.241.628-36</v>
      </c>
      <c r="G354" s="101"/>
      <c r="H354" s="101"/>
      <c r="I354" s="101"/>
      <c r="J354" s="101"/>
      <c r="K354" s="101"/>
      <c r="L354" s="101"/>
      <c r="M354" s="101"/>
      <c r="N354" s="101"/>
      <c r="O354" s="101"/>
      <c r="P354" s="101"/>
      <c r="Q354" s="101"/>
      <c r="R354" s="101"/>
      <c r="S354" s="101"/>
      <c r="T354" s="101"/>
      <c r="U354" s="101"/>
      <c r="V354" s="101"/>
      <c r="W354" s="101"/>
      <c r="X354" s="101"/>
      <c r="Y354" s="101"/>
      <c r="Z354" s="101"/>
    </row>
    <row r="355">
      <c r="A355" s="101"/>
      <c r="B355" s="101"/>
      <c r="C355" s="101" t="str">
        <f>IFERROR(__xludf.DUMMYFUNCTION("""COMPUTED_VALUE"""),"MILA RIZZUTO DE OLIVEIRA")</f>
        <v>MILA RIZZUTO DE OLIVEIRA</v>
      </c>
      <c r="D355" s="101" t="str">
        <f>IFERROR(__xludf.DUMMYFUNCTION("""COMPUTED_VALUE"""),"083.***.***-73")</f>
        <v>083.***.***-73</v>
      </c>
      <c r="E355" s="101">
        <f>IFERROR(__xludf.DUMMYFUNCTION("""COMPUTED_VALUE"""),4.0)</f>
        <v>4</v>
      </c>
      <c r="F355" s="101" t="str">
        <f>IFERROR(__xludf.DUMMYFUNCTION("""COMPUTED_VALUE"""),"083.535.244-73")</f>
        <v>083.535.244-73</v>
      </c>
      <c r="G355" s="101"/>
      <c r="H355" s="101"/>
      <c r="I355" s="101"/>
      <c r="J355" s="101"/>
      <c r="K355" s="101"/>
      <c r="L355" s="101"/>
      <c r="M355" s="101"/>
      <c r="N355" s="101"/>
      <c r="O355" s="101"/>
      <c r="P355" s="101"/>
      <c r="Q355" s="101"/>
      <c r="R355" s="101"/>
      <c r="S355" s="101"/>
      <c r="T355" s="101"/>
      <c r="U355" s="101"/>
      <c r="V355" s="101"/>
      <c r="W355" s="101"/>
      <c r="X355" s="101"/>
      <c r="Y355" s="101"/>
      <c r="Z355" s="101"/>
    </row>
    <row r="356">
      <c r="A356" s="101"/>
      <c r="B356" s="101"/>
      <c r="C356" s="101" t="str">
        <f>IFERROR(__xludf.DUMMYFUNCTION("""COMPUTED_VALUE"""),"MAYARA FREIRE DOS SANTOS")</f>
        <v>MAYARA FREIRE DOS SANTOS</v>
      </c>
      <c r="D356" s="101" t="str">
        <f>IFERROR(__xludf.DUMMYFUNCTION("""COMPUTED_VALUE"""),"523.***.***-37")</f>
        <v>523.***.***-37</v>
      </c>
      <c r="E356" s="101">
        <f>IFERROR(__xludf.DUMMYFUNCTION("""COMPUTED_VALUE"""),12.0)</f>
        <v>12</v>
      </c>
      <c r="F356" s="101" t="str">
        <f>IFERROR(__xludf.DUMMYFUNCTION("""COMPUTED_VALUE"""),"523.699.308-37")</f>
        <v>523.699.308-37</v>
      </c>
      <c r="G356" s="101"/>
      <c r="H356" s="101"/>
      <c r="I356" s="101"/>
      <c r="J356" s="101"/>
      <c r="K356" s="101"/>
      <c r="L356" s="101"/>
      <c r="M356" s="101"/>
      <c r="N356" s="101"/>
      <c r="O356" s="101"/>
      <c r="P356" s="101"/>
      <c r="Q356" s="101"/>
      <c r="R356" s="101"/>
      <c r="S356" s="101"/>
      <c r="T356" s="101"/>
      <c r="U356" s="101"/>
      <c r="V356" s="101"/>
      <c r="W356" s="101"/>
      <c r="X356" s="101"/>
      <c r="Y356" s="101"/>
      <c r="Z356" s="101"/>
    </row>
    <row r="357">
      <c r="A357" s="101"/>
      <c r="B357" s="101"/>
      <c r="C357" s="101" t="str">
        <f>IFERROR(__xludf.DUMMYFUNCTION("""COMPUTED_VALUE"""),"BRUNA KAROLINA VASCONCELOS")</f>
        <v>BRUNA KAROLINA VASCONCELOS</v>
      </c>
      <c r="D357" s="101" t="str">
        <f>IFERROR(__xludf.DUMMYFUNCTION("""COMPUTED_VALUE"""),"460.***.***-69")</f>
        <v>460.***.***-69</v>
      </c>
      <c r="E357" s="101">
        <f>IFERROR(__xludf.DUMMYFUNCTION("""COMPUTED_VALUE"""),2.0)</f>
        <v>2</v>
      </c>
      <c r="F357" s="101" t="str">
        <f>IFERROR(__xludf.DUMMYFUNCTION("""COMPUTED_VALUE"""),"460.200.818-69")</f>
        <v>460.200.818-69</v>
      </c>
      <c r="G357" s="101"/>
      <c r="H357" s="101"/>
      <c r="I357" s="101"/>
      <c r="J357" s="101"/>
      <c r="K357" s="101"/>
      <c r="L357" s="101"/>
      <c r="M357" s="101"/>
      <c r="N357" s="101"/>
      <c r="O357" s="101"/>
      <c r="P357" s="101"/>
      <c r="Q357" s="101"/>
      <c r="R357" s="101"/>
      <c r="S357" s="101"/>
      <c r="T357" s="101"/>
      <c r="U357" s="101"/>
      <c r="V357" s="101"/>
      <c r="W357" s="101"/>
      <c r="X357" s="101"/>
      <c r="Y357" s="101"/>
      <c r="Z357" s="101"/>
    </row>
    <row r="358">
      <c r="A358" s="101"/>
      <c r="B358" s="101"/>
      <c r="C358" s="101" t="str">
        <f>IFERROR(__xludf.DUMMYFUNCTION("""COMPUTED_VALUE"""),"TIAGO BANHOS DE  SOUZA")</f>
        <v>TIAGO BANHOS DE  SOUZA</v>
      </c>
      <c r="D358" s="101" t="str">
        <f>IFERROR(__xludf.DUMMYFUNCTION("""COMPUTED_VALUE"""),"365.***.***-92")</f>
        <v>365.***.***-92</v>
      </c>
      <c r="E358" s="101">
        <f>IFERROR(__xludf.DUMMYFUNCTION("""COMPUTED_VALUE"""),17.0)</f>
        <v>17</v>
      </c>
      <c r="F358" s="101" t="str">
        <f>IFERROR(__xludf.DUMMYFUNCTION("""COMPUTED_VALUE"""),"365.796.478-92")</f>
        <v>365.796.478-92</v>
      </c>
      <c r="G358" s="101"/>
      <c r="H358" s="101"/>
      <c r="I358" s="101"/>
      <c r="J358" s="101"/>
      <c r="K358" s="101"/>
      <c r="L358" s="101"/>
      <c r="M358" s="101"/>
      <c r="N358" s="101"/>
      <c r="O358" s="101"/>
      <c r="P358" s="101"/>
      <c r="Q358" s="101"/>
      <c r="R358" s="101"/>
      <c r="S358" s="101"/>
      <c r="T358" s="101"/>
      <c r="U358" s="101"/>
      <c r="V358" s="101"/>
      <c r="W358" s="101"/>
      <c r="X358" s="101"/>
      <c r="Y358" s="101"/>
      <c r="Z358" s="101"/>
    </row>
    <row r="359">
      <c r="A359" s="101"/>
      <c r="B359" s="101"/>
      <c r="C359" s="101" t="str">
        <f>IFERROR(__xludf.DUMMYFUNCTION("""COMPUTED_VALUE"""),"RODRIGO FERREIRA SOUTO")</f>
        <v>RODRIGO FERREIRA SOUTO</v>
      </c>
      <c r="D359" s="101" t="str">
        <f>IFERROR(__xludf.DUMMYFUNCTION("""COMPUTED_VALUE"""),"489.***.***-09")</f>
        <v>489.***.***-09</v>
      </c>
      <c r="E359" s="101">
        <f>IFERROR(__xludf.DUMMYFUNCTION("""COMPUTED_VALUE"""),15.0)</f>
        <v>15</v>
      </c>
      <c r="F359" s="101" t="str">
        <f>IFERROR(__xludf.DUMMYFUNCTION("""COMPUTED_VALUE"""),"489.763.578-09")</f>
        <v>489.763.578-09</v>
      </c>
      <c r="G359" s="101"/>
      <c r="H359" s="101"/>
      <c r="I359" s="101"/>
      <c r="J359" s="101"/>
      <c r="K359" s="101"/>
      <c r="L359" s="101"/>
      <c r="M359" s="101"/>
      <c r="N359" s="101"/>
      <c r="O359" s="101"/>
      <c r="P359" s="101"/>
      <c r="Q359" s="101"/>
      <c r="R359" s="101"/>
      <c r="S359" s="101"/>
      <c r="T359" s="101"/>
      <c r="U359" s="101"/>
      <c r="V359" s="101"/>
      <c r="W359" s="101"/>
      <c r="X359" s="101"/>
      <c r="Y359" s="101"/>
      <c r="Z359" s="101"/>
    </row>
    <row r="360">
      <c r="A360" s="101"/>
      <c r="B360" s="101"/>
      <c r="C360" s="101" t="str">
        <f>IFERROR(__xludf.DUMMYFUNCTION("""COMPUTED_VALUE"""),"KAROLINIE MIKAELLY BARBOSA DA SILVA")</f>
        <v>KAROLINIE MIKAELLY BARBOSA DA SILVA</v>
      </c>
      <c r="D360" s="101" t="str">
        <f>IFERROR(__xludf.DUMMYFUNCTION("""COMPUTED_VALUE"""),"239.***.***-17")</f>
        <v>239.***.***-17</v>
      </c>
      <c r="E360" s="101">
        <f>IFERROR(__xludf.DUMMYFUNCTION("""COMPUTED_VALUE"""),9.0)</f>
        <v>9</v>
      </c>
      <c r="F360" s="101" t="str">
        <f>IFERROR(__xludf.DUMMYFUNCTION("""COMPUTED_VALUE"""),"239.474.828-17")</f>
        <v>239.474.828-17</v>
      </c>
      <c r="G360" s="101"/>
      <c r="H360" s="101"/>
      <c r="I360" s="101"/>
      <c r="J360" s="101"/>
      <c r="K360" s="101"/>
      <c r="L360" s="101"/>
      <c r="M360" s="101"/>
      <c r="N360" s="101"/>
      <c r="O360" s="101"/>
      <c r="P360" s="101"/>
      <c r="Q360" s="101"/>
      <c r="R360" s="101"/>
      <c r="S360" s="101"/>
      <c r="T360" s="101"/>
      <c r="U360" s="101"/>
      <c r="V360" s="101"/>
      <c r="W360" s="101"/>
      <c r="X360" s="101"/>
      <c r="Y360" s="101"/>
      <c r="Z360" s="101"/>
    </row>
    <row r="361">
      <c r="A361" s="101"/>
      <c r="B361" s="101"/>
      <c r="C361" s="101" t="str">
        <f>IFERROR(__xludf.DUMMYFUNCTION("""COMPUTED_VALUE"""),"ADRIANA DOMINGUEZ MEJIA")</f>
        <v>ADRIANA DOMINGUEZ MEJIA</v>
      </c>
      <c r="D361" s="101" t="str">
        <f>IFERROR(__xludf.DUMMYFUNCTION("""COMPUTED_VALUE"""),"237.***.***-70")</f>
        <v>237.***.***-70</v>
      </c>
      <c r="E361" s="101">
        <f>IFERROR(__xludf.DUMMYFUNCTION("""COMPUTED_VALUE"""),1.0)</f>
        <v>1</v>
      </c>
      <c r="F361" s="101" t="str">
        <f>IFERROR(__xludf.DUMMYFUNCTION("""COMPUTED_VALUE"""),"237.578.548-70")</f>
        <v>237.578.548-70</v>
      </c>
      <c r="G361" s="101"/>
      <c r="H361" s="101"/>
      <c r="I361" s="101"/>
      <c r="J361" s="101"/>
      <c r="K361" s="101"/>
      <c r="L361" s="101"/>
      <c r="M361" s="101"/>
      <c r="N361" s="101"/>
      <c r="O361" s="101"/>
      <c r="P361" s="101"/>
      <c r="Q361" s="101"/>
      <c r="R361" s="101"/>
      <c r="S361" s="101"/>
      <c r="T361" s="101"/>
      <c r="U361" s="101"/>
      <c r="V361" s="101"/>
      <c r="W361" s="101"/>
      <c r="X361" s="101"/>
      <c r="Y361" s="101"/>
      <c r="Z361" s="101"/>
    </row>
    <row r="362">
      <c r="A362" s="101"/>
      <c r="B362" s="101"/>
      <c r="C362" s="101" t="str">
        <f>IFERROR(__xludf.DUMMYFUNCTION("""COMPUTED_VALUE"""),"SOL NUNES FERREIRA")</f>
        <v>SOL NUNES FERREIRA</v>
      </c>
      <c r="D362" s="101" t="str">
        <f>IFERROR(__xludf.DUMMYFUNCTION("""COMPUTED_VALUE"""),"361.***.***-10")</f>
        <v>361.***.***-10</v>
      </c>
      <c r="E362" s="101">
        <f>IFERROR(__xludf.DUMMYFUNCTION("""COMPUTED_VALUE"""),9.0)</f>
        <v>9</v>
      </c>
      <c r="F362" s="101" t="str">
        <f>IFERROR(__xludf.DUMMYFUNCTION("""COMPUTED_VALUE"""),"361.010.028-10")</f>
        <v>361.010.028-10</v>
      </c>
      <c r="G362" s="101"/>
      <c r="H362" s="101"/>
      <c r="I362" s="101"/>
      <c r="J362" s="101"/>
      <c r="K362" s="101"/>
      <c r="L362" s="101"/>
      <c r="M362" s="101"/>
      <c r="N362" s="101"/>
      <c r="O362" s="101"/>
      <c r="P362" s="101"/>
      <c r="Q362" s="101"/>
      <c r="R362" s="101"/>
      <c r="S362" s="101"/>
      <c r="T362" s="101"/>
      <c r="U362" s="101"/>
      <c r="V362" s="101"/>
      <c r="W362" s="101"/>
      <c r="X362" s="101"/>
      <c r="Y362" s="101"/>
      <c r="Z362" s="101"/>
    </row>
    <row r="363">
      <c r="A363" s="101"/>
      <c r="B363" s="101"/>
      <c r="C363" s="101" t="str">
        <f>IFERROR(__xludf.DUMMYFUNCTION("""COMPUTED_VALUE"""),"SYSLANE MARQUES DE SOUZA SALES")</f>
        <v>SYSLANE MARQUES DE SOUZA SALES</v>
      </c>
      <c r="D363" s="101" t="str">
        <f>IFERROR(__xludf.DUMMYFUNCTION("""COMPUTED_VALUE"""),"457.***.***-97")</f>
        <v>457.***.***-97</v>
      </c>
      <c r="E363" s="101">
        <f>IFERROR(__xludf.DUMMYFUNCTION("""COMPUTED_VALUE"""),9.0)</f>
        <v>9</v>
      </c>
      <c r="F363" s="101" t="str">
        <f>IFERROR(__xludf.DUMMYFUNCTION("""COMPUTED_VALUE"""),"457.297.448-97")</f>
        <v>457.297.448-97</v>
      </c>
      <c r="G363" s="101"/>
      <c r="H363" s="101"/>
      <c r="I363" s="101"/>
      <c r="J363" s="101"/>
      <c r="K363" s="101"/>
      <c r="L363" s="101"/>
      <c r="M363" s="101"/>
      <c r="N363" s="101"/>
      <c r="O363" s="101"/>
      <c r="P363" s="101"/>
      <c r="Q363" s="101"/>
      <c r="R363" s="101"/>
      <c r="S363" s="101"/>
      <c r="T363" s="101"/>
      <c r="U363" s="101"/>
      <c r="V363" s="101"/>
      <c r="W363" s="101"/>
      <c r="X363" s="101"/>
      <c r="Y363" s="101"/>
      <c r="Z363" s="101"/>
    </row>
    <row r="364">
      <c r="A364" s="101"/>
      <c r="B364" s="101"/>
      <c r="C364" s="101" t="str">
        <f>IFERROR(__xludf.DUMMYFUNCTION("""COMPUTED_VALUE"""),"FILIPE FERNANDES ABREU ")</f>
        <v>FILIPE FERNANDES ABREU </v>
      </c>
      <c r="D364" s="101" t="str">
        <f>IFERROR(__xludf.DUMMYFUNCTION("""COMPUTED_VALUE"""),"480.***.***-90")</f>
        <v>480.***.***-90</v>
      </c>
      <c r="E364" s="101">
        <f>IFERROR(__xludf.DUMMYFUNCTION("""COMPUTED_VALUE"""),3.0)</f>
        <v>3</v>
      </c>
      <c r="F364" s="101" t="str">
        <f>IFERROR(__xludf.DUMMYFUNCTION("""COMPUTED_VALUE"""),"480.811.148-90")</f>
        <v>480.811.148-90</v>
      </c>
      <c r="G364" s="101"/>
      <c r="H364" s="101"/>
      <c r="I364" s="101"/>
      <c r="J364" s="101"/>
      <c r="K364" s="101"/>
      <c r="L364" s="101"/>
      <c r="M364" s="101"/>
      <c r="N364" s="101"/>
      <c r="O364" s="101"/>
      <c r="P364" s="101"/>
      <c r="Q364" s="101"/>
      <c r="R364" s="101"/>
      <c r="S364" s="101"/>
      <c r="T364" s="101"/>
      <c r="U364" s="101"/>
      <c r="V364" s="101"/>
      <c r="W364" s="101"/>
      <c r="X364" s="101"/>
      <c r="Y364" s="101"/>
      <c r="Z364" s="101"/>
    </row>
    <row r="365">
      <c r="A365" s="101"/>
      <c r="B365" s="101"/>
      <c r="C365" s="101" t="str">
        <f>IFERROR(__xludf.DUMMYFUNCTION("""COMPUTED_VALUE"""),"KÁMILAH ROSARIO SANTOS")</f>
        <v>KÁMILAH ROSARIO SANTOS</v>
      </c>
      <c r="D365" s="101" t="str">
        <f>IFERROR(__xludf.DUMMYFUNCTION("""COMPUTED_VALUE"""),"481.***.***-98")</f>
        <v>481.***.***-98</v>
      </c>
      <c r="E365" s="101">
        <f>IFERROR(__xludf.DUMMYFUNCTION("""COMPUTED_VALUE"""),9.0)</f>
        <v>9</v>
      </c>
      <c r="F365" s="101" t="str">
        <f>IFERROR(__xludf.DUMMYFUNCTION("""COMPUTED_VALUE"""),"481.708.208-98")</f>
        <v>481.708.208-98</v>
      </c>
      <c r="G365" s="101"/>
      <c r="H365" s="101"/>
      <c r="I365" s="101"/>
      <c r="J365" s="101"/>
      <c r="K365" s="101"/>
      <c r="L365" s="101"/>
      <c r="M365" s="101"/>
      <c r="N365" s="101"/>
      <c r="O365" s="101"/>
      <c r="P365" s="101"/>
      <c r="Q365" s="101"/>
      <c r="R365" s="101"/>
      <c r="S365" s="101"/>
      <c r="T365" s="101"/>
      <c r="U365" s="101"/>
      <c r="V365" s="101"/>
      <c r="W365" s="101"/>
      <c r="X365" s="101"/>
      <c r="Y365" s="101"/>
      <c r="Z365" s="101"/>
    </row>
    <row r="366">
      <c r="A366" s="101"/>
      <c r="B366" s="101"/>
      <c r="C366" s="101" t="str">
        <f>IFERROR(__xludf.DUMMYFUNCTION("""COMPUTED_VALUE"""),"GIULIA PAVANI DOS SANTOS")</f>
        <v>GIULIA PAVANI DOS SANTOS</v>
      </c>
      <c r="D366" s="101" t="str">
        <f>IFERROR(__xludf.DUMMYFUNCTION("""COMPUTED_VALUE"""),"450.***.***-01")</f>
        <v>450.***.***-01</v>
      </c>
      <c r="E366" s="101">
        <f>IFERROR(__xludf.DUMMYFUNCTION("""COMPUTED_VALUE"""),6.0)</f>
        <v>6</v>
      </c>
      <c r="F366" s="101" t="str">
        <f>IFERROR(__xludf.DUMMYFUNCTION("""COMPUTED_VALUE"""),"450.851.748-01")</f>
        <v>450.851.748-01</v>
      </c>
      <c r="G366" s="101"/>
      <c r="H366" s="101"/>
      <c r="I366" s="101"/>
      <c r="J366" s="101"/>
      <c r="K366" s="101"/>
      <c r="L366" s="101"/>
      <c r="M366" s="101"/>
      <c r="N366" s="101"/>
      <c r="O366" s="101"/>
      <c r="P366" s="101"/>
      <c r="Q366" s="101"/>
      <c r="R366" s="101"/>
      <c r="S366" s="101"/>
      <c r="T366" s="101"/>
      <c r="U366" s="101"/>
      <c r="V366" s="101"/>
      <c r="W366" s="101"/>
      <c r="X366" s="101"/>
      <c r="Y366" s="101"/>
      <c r="Z366" s="101"/>
    </row>
    <row r="367">
      <c r="A367" s="101"/>
      <c r="B367" s="101"/>
      <c r="C367" s="101" t="str">
        <f>IFERROR(__xludf.DUMMYFUNCTION("""COMPUTED_VALUE"""),"NATHAN DA COSTA PEDRO")</f>
        <v>NATHAN DA COSTA PEDRO</v>
      </c>
      <c r="D367" s="101" t="str">
        <f>IFERROR(__xludf.DUMMYFUNCTION("""COMPUTED_VALUE"""),"536.***.***-23")</f>
        <v>536.***.***-23</v>
      </c>
      <c r="E367" s="101">
        <f>IFERROR(__xludf.DUMMYFUNCTION("""COMPUTED_VALUE"""),9.0)</f>
        <v>9</v>
      </c>
      <c r="F367" s="101" t="str">
        <f>IFERROR(__xludf.DUMMYFUNCTION("""COMPUTED_VALUE"""),"536.004.768-23")</f>
        <v>536.004.768-23</v>
      </c>
      <c r="G367" s="101"/>
      <c r="H367" s="101"/>
      <c r="I367" s="101"/>
      <c r="J367" s="101"/>
      <c r="K367" s="101"/>
      <c r="L367" s="101"/>
      <c r="M367" s="101"/>
      <c r="N367" s="101"/>
      <c r="O367" s="101"/>
      <c r="P367" s="101"/>
      <c r="Q367" s="101"/>
      <c r="R367" s="101"/>
      <c r="S367" s="101"/>
      <c r="T367" s="101"/>
      <c r="U367" s="101"/>
      <c r="V367" s="101"/>
      <c r="W367" s="101"/>
      <c r="X367" s="101"/>
      <c r="Y367" s="101"/>
      <c r="Z367" s="101"/>
    </row>
    <row r="368">
      <c r="A368" s="101"/>
      <c r="B368" s="101"/>
      <c r="C368" s="101" t="str">
        <f>IFERROR(__xludf.DUMMYFUNCTION("""COMPUTED_VALUE"""),"CAMILA MARTINS DINIZ DE SOUZA")</f>
        <v>CAMILA MARTINS DINIZ DE SOUZA</v>
      </c>
      <c r="D368" s="101" t="str">
        <f>IFERROR(__xludf.DUMMYFUNCTION("""COMPUTED_VALUE"""),"163.***.***-10")</f>
        <v>163.***.***-10</v>
      </c>
      <c r="E368" s="101">
        <f>IFERROR(__xludf.DUMMYFUNCTION("""COMPUTED_VALUE"""),2.0)</f>
        <v>2</v>
      </c>
      <c r="F368" s="101" t="str">
        <f>IFERROR(__xludf.DUMMYFUNCTION("""COMPUTED_VALUE"""),"163.935.377-10")</f>
        <v>163.935.377-10</v>
      </c>
      <c r="G368" s="101"/>
      <c r="H368" s="101"/>
      <c r="I368" s="101"/>
      <c r="J368" s="101"/>
      <c r="K368" s="101"/>
      <c r="L368" s="101"/>
      <c r="M368" s="101"/>
      <c r="N368" s="101"/>
      <c r="O368" s="101"/>
      <c r="P368" s="101"/>
      <c r="Q368" s="101"/>
      <c r="R368" s="101"/>
      <c r="S368" s="101"/>
      <c r="T368" s="101"/>
      <c r="U368" s="101"/>
      <c r="V368" s="101"/>
      <c r="W368" s="101"/>
      <c r="X368" s="101"/>
      <c r="Y368" s="101"/>
      <c r="Z368" s="101"/>
    </row>
    <row r="369">
      <c r="A369" s="101"/>
      <c r="B369" s="101"/>
      <c r="C369" s="101" t="str">
        <f>IFERROR(__xludf.DUMMYFUNCTION("""COMPUTED_VALUE"""),"MAYSA SALES DO NASCIMENTO")</f>
        <v>MAYSA SALES DO NASCIMENTO</v>
      </c>
      <c r="D369" s="101" t="str">
        <f>IFERROR(__xludf.DUMMYFUNCTION("""COMPUTED_VALUE"""),"540.***.***-89")</f>
        <v>540.***.***-89</v>
      </c>
      <c r="E369" s="101">
        <f>IFERROR(__xludf.DUMMYFUNCTION("""COMPUTED_VALUE"""),13.0)</f>
        <v>13</v>
      </c>
      <c r="F369" s="101" t="str">
        <f>IFERROR(__xludf.DUMMYFUNCTION("""COMPUTED_VALUE"""),"540.478.588-89")</f>
        <v>540.478.588-89</v>
      </c>
      <c r="G369" s="101"/>
      <c r="H369" s="101"/>
      <c r="I369" s="101"/>
      <c r="J369" s="101"/>
      <c r="K369" s="101"/>
      <c r="L369" s="101"/>
      <c r="M369" s="101"/>
      <c r="N369" s="101"/>
      <c r="O369" s="101"/>
      <c r="P369" s="101"/>
      <c r="Q369" s="101"/>
      <c r="R369" s="101"/>
      <c r="S369" s="101"/>
      <c r="T369" s="101"/>
      <c r="U369" s="101"/>
      <c r="V369" s="101"/>
      <c r="W369" s="101"/>
      <c r="X369" s="101"/>
      <c r="Y369" s="101"/>
      <c r="Z369" s="101"/>
    </row>
    <row r="370">
      <c r="A370" s="101"/>
      <c r="B370" s="101"/>
      <c r="C370" s="101" t="str">
        <f>IFERROR(__xludf.DUMMYFUNCTION("""COMPUTED_VALUE"""),"DANDARA OLIVEIRA PEREIRA")</f>
        <v>DANDARA OLIVEIRA PEREIRA</v>
      </c>
      <c r="D370" s="101" t="str">
        <f>IFERROR(__xludf.DUMMYFUNCTION("""COMPUTED_VALUE"""),"578.***.***-89")</f>
        <v>578.***.***-89</v>
      </c>
      <c r="E370" s="101">
        <f>IFERROR(__xludf.DUMMYFUNCTION("""COMPUTED_VALUE"""),1.0)</f>
        <v>1</v>
      </c>
      <c r="F370" s="101" t="str">
        <f>IFERROR(__xludf.DUMMYFUNCTION("""COMPUTED_VALUE"""),"578.835.418-89")</f>
        <v>578.835.418-89</v>
      </c>
      <c r="G370" s="101"/>
      <c r="H370" s="101"/>
      <c r="I370" s="101"/>
      <c r="J370" s="101"/>
      <c r="K370" s="101"/>
      <c r="L370" s="101"/>
      <c r="M370" s="101"/>
      <c r="N370" s="101"/>
      <c r="O370" s="101"/>
      <c r="P370" s="101"/>
      <c r="Q370" s="101"/>
      <c r="R370" s="101"/>
      <c r="S370" s="101"/>
      <c r="T370" s="101"/>
      <c r="U370" s="101"/>
      <c r="V370" s="101"/>
      <c r="W370" s="101"/>
      <c r="X370" s="101"/>
      <c r="Y370" s="101"/>
      <c r="Z370" s="101"/>
    </row>
    <row r="371">
      <c r="A371" s="101"/>
      <c r="B371" s="101"/>
      <c r="C371" s="101" t="str">
        <f>IFERROR(__xludf.DUMMYFUNCTION("""COMPUTED_VALUE"""),"WERICK SILVA  DOS  SANTOS GOMES")</f>
        <v>WERICK SILVA  DOS  SANTOS GOMES</v>
      </c>
      <c r="D371" s="101" t="str">
        <f>IFERROR(__xludf.DUMMYFUNCTION("""COMPUTED_VALUE"""),"525.***.***-51")</f>
        <v>525.***.***-51</v>
      </c>
      <c r="E371" s="101">
        <f>IFERROR(__xludf.DUMMYFUNCTION("""COMPUTED_VALUE"""),18.0)</f>
        <v>18</v>
      </c>
      <c r="F371" s="101" t="str">
        <f>IFERROR(__xludf.DUMMYFUNCTION("""COMPUTED_VALUE"""),"525.559.648-51")</f>
        <v>525.559.648-51</v>
      </c>
      <c r="G371" s="101"/>
      <c r="H371" s="101"/>
      <c r="I371" s="101"/>
      <c r="J371" s="101"/>
      <c r="K371" s="101"/>
      <c r="L371" s="101"/>
      <c r="M371" s="101"/>
      <c r="N371" s="101"/>
      <c r="O371" s="101"/>
      <c r="P371" s="101"/>
      <c r="Q371" s="101"/>
      <c r="R371" s="101"/>
      <c r="S371" s="101"/>
      <c r="T371" s="101"/>
      <c r="U371" s="101"/>
      <c r="V371" s="101"/>
      <c r="W371" s="101"/>
      <c r="X371" s="101"/>
      <c r="Y371" s="101"/>
      <c r="Z371" s="101"/>
    </row>
    <row r="372">
      <c r="A372" s="101"/>
      <c r="B372" s="101"/>
      <c r="C372" s="101" t="str">
        <f>IFERROR(__xludf.DUMMYFUNCTION("""COMPUTED_VALUE"""),"FERNANDA  GONCALVES  DE  MELLO")</f>
        <v>FERNANDA  GONCALVES  DE  MELLO</v>
      </c>
      <c r="D372" s="101" t="str">
        <f>IFERROR(__xludf.DUMMYFUNCTION("""COMPUTED_VALUE"""),"482.***.***-07")</f>
        <v>482.***.***-07</v>
      </c>
      <c r="E372" s="101">
        <f>IFERROR(__xludf.DUMMYFUNCTION("""COMPUTED_VALUE"""),4.0)</f>
        <v>4</v>
      </c>
      <c r="F372" s="101" t="str">
        <f>IFERROR(__xludf.DUMMYFUNCTION("""COMPUTED_VALUE"""),"482.757.708-07")</f>
        <v>482.757.708-07</v>
      </c>
      <c r="G372" s="101"/>
      <c r="H372" s="101"/>
      <c r="I372" s="101"/>
      <c r="J372" s="101"/>
      <c r="K372" s="101"/>
      <c r="L372" s="101"/>
      <c r="M372" s="101"/>
      <c r="N372" s="101"/>
      <c r="O372" s="101"/>
      <c r="P372" s="101"/>
      <c r="Q372" s="101"/>
      <c r="R372" s="101"/>
      <c r="S372" s="101"/>
      <c r="T372" s="101"/>
      <c r="U372" s="101"/>
      <c r="V372" s="101"/>
      <c r="W372" s="101"/>
      <c r="X372" s="101"/>
      <c r="Y372" s="101"/>
      <c r="Z372" s="101"/>
    </row>
    <row r="373">
      <c r="A373" s="101"/>
      <c r="B373" s="101"/>
      <c r="C373" s="101" t="str">
        <f>IFERROR(__xludf.DUMMYFUNCTION("""COMPUTED_VALUE"""),"NYCHOLAS ALVES DE LIMA")</f>
        <v>NYCHOLAS ALVES DE LIMA</v>
      </c>
      <c r="D373" s="101" t="str">
        <f>IFERROR(__xludf.DUMMYFUNCTION("""COMPUTED_VALUE"""),"501.***.***-73")</f>
        <v>501.***.***-73</v>
      </c>
      <c r="E373" s="101">
        <f>IFERROR(__xludf.DUMMYFUNCTION("""COMPUTED_VALUE"""),14.0)</f>
        <v>14</v>
      </c>
      <c r="F373" s="101" t="str">
        <f>IFERROR(__xludf.DUMMYFUNCTION("""COMPUTED_VALUE"""),"501.145.918-73")</f>
        <v>501.145.918-73</v>
      </c>
      <c r="G373" s="101"/>
      <c r="H373" s="101"/>
      <c r="I373" s="101"/>
      <c r="J373" s="101"/>
      <c r="K373" s="101"/>
      <c r="L373" s="101"/>
      <c r="M373" s="101"/>
      <c r="N373" s="101"/>
      <c r="O373" s="101"/>
      <c r="P373" s="101"/>
      <c r="Q373" s="101"/>
      <c r="R373" s="101"/>
      <c r="S373" s="101"/>
      <c r="T373" s="101"/>
      <c r="U373" s="101"/>
      <c r="V373" s="101"/>
      <c r="W373" s="101"/>
      <c r="X373" s="101"/>
      <c r="Y373" s="101"/>
      <c r="Z373" s="101"/>
    </row>
    <row r="374">
      <c r="A374" s="101"/>
      <c r="B374" s="101"/>
      <c r="C374" s="101" t="str">
        <f>IFERROR(__xludf.DUMMYFUNCTION("""COMPUTED_VALUE"""),"AMANDA CAROLINE SOARES DE ALMEIDA")</f>
        <v>AMANDA CAROLINE SOARES DE ALMEIDA</v>
      </c>
      <c r="D374" s="101" t="str">
        <f>IFERROR(__xludf.DUMMYFUNCTION("""COMPUTED_VALUE"""),"048.***.***-20")</f>
        <v>048.***.***-20</v>
      </c>
      <c r="E374" s="101">
        <f>IFERROR(__xludf.DUMMYFUNCTION("""COMPUTED_VALUE"""),4.0)</f>
        <v>4</v>
      </c>
      <c r="F374" s="101" t="str">
        <f>IFERROR(__xludf.DUMMYFUNCTION("""COMPUTED_VALUE"""),"048.342.181-20")</f>
        <v>048.342.181-20</v>
      </c>
      <c r="G374" s="101"/>
      <c r="H374" s="101"/>
      <c r="I374" s="101"/>
      <c r="J374" s="101"/>
      <c r="K374" s="101"/>
      <c r="L374" s="101"/>
      <c r="M374" s="101"/>
      <c r="N374" s="101"/>
      <c r="O374" s="101"/>
      <c r="P374" s="101"/>
      <c r="Q374" s="101"/>
      <c r="R374" s="101"/>
      <c r="S374" s="101"/>
      <c r="T374" s="101"/>
      <c r="U374" s="101"/>
      <c r="V374" s="101"/>
      <c r="W374" s="101"/>
      <c r="X374" s="101"/>
      <c r="Y374" s="101"/>
      <c r="Z374" s="101"/>
    </row>
    <row r="375">
      <c r="A375" s="101"/>
      <c r="B375" s="101"/>
      <c r="C375" s="101" t="str">
        <f>IFERROR(__xludf.DUMMYFUNCTION("""COMPUTED_VALUE"""),"GLENDA HANNA DOS SANTOS PAIVA NUNES")</f>
        <v>GLENDA HANNA DOS SANTOS PAIVA NUNES</v>
      </c>
      <c r="D375" s="101" t="str">
        <f>IFERROR(__xludf.DUMMYFUNCTION("""COMPUTED_VALUE"""),"402.***.***-43")</f>
        <v>402.***.***-43</v>
      </c>
      <c r="E375" s="101">
        <f>IFERROR(__xludf.DUMMYFUNCTION("""COMPUTED_VALUE"""),4.0)</f>
        <v>4</v>
      </c>
      <c r="F375" s="101" t="str">
        <f>IFERROR(__xludf.DUMMYFUNCTION("""COMPUTED_VALUE"""),"402.231.158-43")</f>
        <v>402.231.158-43</v>
      </c>
      <c r="G375" s="101"/>
      <c r="H375" s="101"/>
      <c r="I375" s="101"/>
      <c r="J375" s="101"/>
      <c r="K375" s="101"/>
      <c r="L375" s="101"/>
      <c r="M375" s="101"/>
      <c r="N375" s="101"/>
      <c r="O375" s="101"/>
      <c r="P375" s="101"/>
      <c r="Q375" s="101"/>
      <c r="R375" s="101"/>
      <c r="S375" s="101"/>
      <c r="T375" s="101"/>
      <c r="U375" s="101"/>
      <c r="V375" s="101"/>
      <c r="W375" s="101"/>
      <c r="X375" s="101"/>
      <c r="Y375" s="101"/>
      <c r="Z375" s="101"/>
    </row>
    <row r="376">
      <c r="A376" s="101"/>
      <c r="B376" s="101"/>
      <c r="C376" s="101" t="str">
        <f>IFERROR(__xludf.DUMMYFUNCTION("""COMPUTED_VALUE"""),"THAINA FERNANDA GOMES DA SILVA")</f>
        <v>THAINA FERNANDA GOMES DA SILVA</v>
      </c>
      <c r="D376" s="101" t="str">
        <f>IFERROR(__xludf.DUMMYFUNCTION("""COMPUTED_VALUE"""),"522.***.***-98")</f>
        <v>522.***.***-98</v>
      </c>
      <c r="E376" s="101">
        <f>IFERROR(__xludf.DUMMYFUNCTION("""COMPUTED_VALUE"""),9.0)</f>
        <v>9</v>
      </c>
      <c r="F376" s="101" t="str">
        <f>IFERROR(__xludf.DUMMYFUNCTION("""COMPUTED_VALUE"""),"522.678.928-98")</f>
        <v>522.678.928-98</v>
      </c>
      <c r="G376" s="101"/>
      <c r="H376" s="101"/>
      <c r="I376" s="101"/>
      <c r="J376" s="101"/>
      <c r="K376" s="101"/>
      <c r="L376" s="101"/>
      <c r="M376" s="101"/>
      <c r="N376" s="101"/>
      <c r="O376" s="101"/>
      <c r="P376" s="101"/>
      <c r="Q376" s="101"/>
      <c r="R376" s="101"/>
      <c r="S376" s="101"/>
      <c r="T376" s="101"/>
      <c r="U376" s="101"/>
      <c r="V376" s="101"/>
      <c r="W376" s="101"/>
      <c r="X376" s="101"/>
      <c r="Y376" s="101"/>
      <c r="Z376" s="101"/>
    </row>
    <row r="377">
      <c r="A377" s="101"/>
      <c r="B377" s="101"/>
      <c r="C377" s="101" t="str">
        <f>IFERROR(__xludf.DUMMYFUNCTION("""COMPUTED_VALUE"""),"MAYRA BESSA LIGER")</f>
        <v>MAYRA BESSA LIGER</v>
      </c>
      <c r="D377" s="101" t="str">
        <f>IFERROR(__xludf.DUMMYFUNCTION("""COMPUTED_VALUE"""),"434.***.***-47")</f>
        <v>434.***.***-47</v>
      </c>
      <c r="E377" s="101">
        <f>IFERROR(__xludf.DUMMYFUNCTION("""COMPUTED_VALUE"""),13.0)</f>
        <v>13</v>
      </c>
      <c r="F377" s="101" t="str">
        <f>IFERROR(__xludf.DUMMYFUNCTION("""COMPUTED_VALUE"""),"434.945.168-47")</f>
        <v>434.945.168-47</v>
      </c>
      <c r="G377" s="101"/>
      <c r="H377" s="101"/>
      <c r="I377" s="101"/>
      <c r="J377" s="101"/>
      <c r="K377" s="101"/>
      <c r="L377" s="101"/>
      <c r="M377" s="101"/>
      <c r="N377" s="101"/>
      <c r="O377" s="101"/>
      <c r="P377" s="101"/>
      <c r="Q377" s="101"/>
      <c r="R377" s="101"/>
      <c r="S377" s="101"/>
      <c r="T377" s="101"/>
      <c r="U377" s="101"/>
      <c r="V377" s="101"/>
      <c r="W377" s="101"/>
      <c r="X377" s="101"/>
      <c r="Y377" s="101"/>
      <c r="Z377" s="101"/>
    </row>
    <row r="378">
      <c r="A378" s="101"/>
      <c r="B378" s="101"/>
      <c r="C378" s="101" t="str">
        <f>IFERROR(__xludf.DUMMYFUNCTION("""COMPUTED_VALUE"""),"VITÓRIA PEREZ MARTINS DA SILVA")</f>
        <v>VITÓRIA PEREZ MARTINS DA SILVA</v>
      </c>
      <c r="D378" s="101" t="str">
        <f>IFERROR(__xludf.DUMMYFUNCTION("""COMPUTED_VALUE"""),"365.***.***-71")</f>
        <v>365.***.***-71</v>
      </c>
      <c r="E378" s="101">
        <f>IFERROR(__xludf.DUMMYFUNCTION("""COMPUTED_VALUE"""),12.0)</f>
        <v>12</v>
      </c>
      <c r="F378" s="101" t="str">
        <f>IFERROR(__xludf.DUMMYFUNCTION("""COMPUTED_VALUE"""),"365.044.068-71")</f>
        <v>365.044.068-71</v>
      </c>
      <c r="G378" s="101"/>
      <c r="H378" s="101"/>
      <c r="I378" s="101"/>
      <c r="J378" s="101"/>
      <c r="K378" s="101"/>
      <c r="L378" s="101"/>
      <c r="M378" s="101"/>
      <c r="N378" s="101"/>
      <c r="O378" s="101"/>
      <c r="P378" s="101"/>
      <c r="Q378" s="101"/>
      <c r="R378" s="101"/>
      <c r="S378" s="101"/>
      <c r="T378" s="101"/>
      <c r="U378" s="101"/>
      <c r="V378" s="101"/>
      <c r="W378" s="101"/>
      <c r="X378" s="101"/>
      <c r="Y378" s="101"/>
      <c r="Z378" s="101"/>
    </row>
    <row r="379">
      <c r="A379" s="101"/>
      <c r="B379" s="101"/>
      <c r="C379" s="101" t="str">
        <f>IFERROR(__xludf.DUMMYFUNCTION("""COMPUTED_VALUE"""),"TOMAS FELIX DA SILVA")</f>
        <v>TOMAS FELIX DA SILVA</v>
      </c>
      <c r="D379" s="101" t="str">
        <f>IFERROR(__xludf.DUMMYFUNCTION("""COMPUTED_VALUE"""),"491.***.***-71")</f>
        <v>491.***.***-71</v>
      </c>
      <c r="E379" s="101">
        <f>IFERROR(__xludf.DUMMYFUNCTION("""COMPUTED_VALUE"""),10.0)</f>
        <v>10</v>
      </c>
      <c r="F379" s="101" t="str">
        <f>IFERROR(__xludf.DUMMYFUNCTION("""COMPUTED_VALUE"""),"491.120.568-71")</f>
        <v>491.120.568-71</v>
      </c>
      <c r="G379" s="101"/>
      <c r="H379" s="101"/>
      <c r="I379" s="101"/>
      <c r="J379" s="101"/>
      <c r="K379" s="101"/>
      <c r="L379" s="101"/>
      <c r="M379" s="101"/>
      <c r="N379" s="101"/>
      <c r="O379" s="101"/>
      <c r="P379" s="101"/>
      <c r="Q379" s="101"/>
      <c r="R379" s="101"/>
      <c r="S379" s="101"/>
      <c r="T379" s="101"/>
      <c r="U379" s="101"/>
      <c r="V379" s="101"/>
      <c r="W379" s="101"/>
      <c r="X379" s="101"/>
      <c r="Y379" s="101"/>
      <c r="Z379" s="101"/>
    </row>
    <row r="380">
      <c r="A380" s="101"/>
      <c r="B380" s="101"/>
      <c r="C380" s="101" t="str">
        <f>IFERROR(__xludf.DUMMYFUNCTION("""COMPUTED_VALUE"""),"RUDA BEZERRA REIS CARDOSO DO SANTOS")</f>
        <v>RUDA BEZERRA REIS CARDOSO DO SANTOS</v>
      </c>
      <c r="D380" s="101" t="str">
        <f>IFERROR(__xludf.DUMMYFUNCTION("""COMPUTED_VALUE"""),"503.***.***-79")</f>
        <v>503.***.***-79</v>
      </c>
      <c r="E380" s="101">
        <f>IFERROR(__xludf.DUMMYFUNCTION("""COMPUTED_VALUE"""),9.0)</f>
        <v>9</v>
      </c>
      <c r="F380" s="101" t="str">
        <f>IFERROR(__xludf.DUMMYFUNCTION("""COMPUTED_VALUE"""),"503.134.048-79")</f>
        <v>503.134.048-79</v>
      </c>
      <c r="G380" s="101"/>
      <c r="H380" s="101"/>
      <c r="I380" s="101"/>
      <c r="J380" s="101"/>
      <c r="K380" s="101"/>
      <c r="L380" s="101"/>
      <c r="M380" s="101"/>
      <c r="N380" s="101"/>
      <c r="O380" s="101"/>
      <c r="P380" s="101"/>
      <c r="Q380" s="101"/>
      <c r="R380" s="101"/>
      <c r="S380" s="101"/>
      <c r="T380" s="101"/>
      <c r="U380" s="101"/>
      <c r="V380" s="101"/>
      <c r="W380" s="101"/>
      <c r="X380" s="101"/>
      <c r="Y380" s="101"/>
      <c r="Z380" s="101"/>
    </row>
    <row r="381">
      <c r="A381" s="101"/>
      <c r="B381" s="101"/>
      <c r="C381" s="101" t="str">
        <f>IFERROR(__xludf.DUMMYFUNCTION("""COMPUTED_VALUE"""),"PEDRO HENRIQUE MOURA RODRIGUES")</f>
        <v>PEDRO HENRIQUE MOURA RODRIGUES</v>
      </c>
      <c r="D381" s="101" t="str">
        <f>IFERROR(__xludf.DUMMYFUNCTION("""COMPUTED_VALUE"""),"492.***.***-51")</f>
        <v>492.***.***-51</v>
      </c>
      <c r="E381" s="101">
        <f>IFERROR(__xludf.DUMMYFUNCTION("""COMPUTED_VALUE"""),14.0)</f>
        <v>14</v>
      </c>
      <c r="F381" s="101" t="str">
        <f>IFERROR(__xludf.DUMMYFUNCTION("""COMPUTED_VALUE"""),"492.600.458-51")</f>
        <v>492.600.458-51</v>
      </c>
      <c r="G381" s="101"/>
      <c r="H381" s="101"/>
      <c r="I381" s="101"/>
      <c r="J381" s="101"/>
      <c r="K381" s="101"/>
      <c r="L381" s="101"/>
      <c r="M381" s="101"/>
      <c r="N381" s="101"/>
      <c r="O381" s="101"/>
      <c r="P381" s="101"/>
      <c r="Q381" s="101"/>
      <c r="R381" s="101"/>
      <c r="S381" s="101"/>
      <c r="T381" s="101"/>
      <c r="U381" s="101"/>
      <c r="V381" s="101"/>
      <c r="W381" s="101"/>
      <c r="X381" s="101"/>
      <c r="Y381" s="101"/>
      <c r="Z381" s="101"/>
    </row>
    <row r="382">
      <c r="A382" s="101"/>
      <c r="B382" s="101"/>
      <c r="C382" s="101" t="str">
        <f>IFERROR(__xludf.DUMMYFUNCTION("""COMPUTED_VALUE"""),"WELLINGTON SIMOES BISPO")</f>
        <v>WELLINGTON SIMOES BISPO</v>
      </c>
      <c r="D382" s="101" t="str">
        <f>IFERROR(__xludf.DUMMYFUNCTION("""COMPUTED_VALUE"""),"228.***.***-48")</f>
        <v>228.***.***-48</v>
      </c>
      <c r="E382" s="101">
        <f>IFERROR(__xludf.DUMMYFUNCTION("""COMPUTED_VALUE"""),10.0)</f>
        <v>10</v>
      </c>
      <c r="F382" s="101" t="str">
        <f>IFERROR(__xludf.DUMMYFUNCTION("""COMPUTED_VALUE"""),"228.656.068-48")</f>
        <v>228.656.068-48</v>
      </c>
      <c r="G382" s="101"/>
      <c r="H382" s="101"/>
      <c r="I382" s="101"/>
      <c r="J382" s="101"/>
      <c r="K382" s="101"/>
      <c r="L382" s="101"/>
      <c r="M382" s="101"/>
      <c r="N382" s="101"/>
      <c r="O382" s="101"/>
      <c r="P382" s="101"/>
      <c r="Q382" s="101"/>
      <c r="R382" s="101"/>
      <c r="S382" s="101"/>
      <c r="T382" s="101"/>
      <c r="U382" s="101"/>
      <c r="V382" s="101"/>
      <c r="W382" s="101"/>
      <c r="X382" s="101"/>
      <c r="Y382" s="101"/>
      <c r="Z382" s="101"/>
    </row>
    <row r="383">
      <c r="A383" s="101"/>
      <c r="B383" s="101"/>
      <c r="C383" s="101" t="str">
        <f>IFERROR(__xludf.DUMMYFUNCTION("""COMPUTED_VALUE"""),"KAIKY SILVA DE FARIAS")</f>
        <v>KAIKY SILVA DE FARIAS</v>
      </c>
      <c r="D383" s="101" t="str">
        <f>IFERROR(__xludf.DUMMYFUNCTION("""COMPUTED_VALUE"""),"536.***.***-80")</f>
        <v>536.***.***-80</v>
      </c>
      <c r="E383" s="101">
        <f>IFERROR(__xludf.DUMMYFUNCTION("""COMPUTED_VALUE"""),6.0)</f>
        <v>6</v>
      </c>
      <c r="F383" s="101" t="str">
        <f>IFERROR(__xludf.DUMMYFUNCTION("""COMPUTED_VALUE"""),"536.885.788-80")</f>
        <v>536.885.788-80</v>
      </c>
      <c r="G383" s="101"/>
      <c r="H383" s="101"/>
      <c r="I383" s="101"/>
      <c r="J383" s="101"/>
      <c r="K383" s="101"/>
      <c r="L383" s="101"/>
      <c r="M383" s="101"/>
      <c r="N383" s="101"/>
      <c r="O383" s="101"/>
      <c r="P383" s="101"/>
      <c r="Q383" s="101"/>
      <c r="R383" s="101"/>
      <c r="S383" s="101"/>
      <c r="T383" s="101"/>
      <c r="U383" s="101"/>
      <c r="V383" s="101"/>
      <c r="W383" s="101"/>
      <c r="X383" s="101"/>
      <c r="Y383" s="101"/>
      <c r="Z383" s="101"/>
    </row>
    <row r="384">
      <c r="A384" s="101"/>
      <c r="B384" s="101"/>
      <c r="C384" s="101" t="str">
        <f>IFERROR(__xludf.DUMMYFUNCTION("""COMPUTED_VALUE"""),"CAMILA SUZANE OLIVEIRA DE SOUZA")</f>
        <v>CAMILA SUZANE OLIVEIRA DE SOUZA</v>
      </c>
      <c r="D384" s="101" t="str">
        <f>IFERROR(__xludf.DUMMYFUNCTION("""COMPUTED_VALUE"""),"518.***.***-37")</f>
        <v>518.***.***-37</v>
      </c>
      <c r="E384" s="101">
        <f>IFERROR(__xludf.DUMMYFUNCTION("""COMPUTED_VALUE"""),1.0)</f>
        <v>1</v>
      </c>
      <c r="F384" s="101" t="str">
        <f>IFERROR(__xludf.DUMMYFUNCTION("""COMPUTED_VALUE"""),"518.359.898-37")</f>
        <v>518.359.898-37</v>
      </c>
      <c r="G384" s="101"/>
      <c r="H384" s="101"/>
      <c r="I384" s="101"/>
      <c r="J384" s="101"/>
      <c r="K384" s="101"/>
      <c r="L384" s="101"/>
      <c r="M384" s="101"/>
      <c r="N384" s="101"/>
      <c r="O384" s="101"/>
      <c r="P384" s="101"/>
      <c r="Q384" s="101"/>
      <c r="R384" s="101"/>
      <c r="S384" s="101"/>
      <c r="T384" s="101"/>
      <c r="U384" s="101"/>
      <c r="V384" s="101"/>
      <c r="W384" s="101"/>
      <c r="X384" s="101"/>
      <c r="Y384" s="101"/>
      <c r="Z384" s="101"/>
    </row>
    <row r="385">
      <c r="A385" s="101"/>
      <c r="B385" s="101"/>
      <c r="C385" s="101" t="str">
        <f>IFERROR(__xludf.DUMMYFUNCTION("""COMPUTED_VALUE"""),"MONIQUI GOMES DO NASCIMENTO")</f>
        <v>MONIQUI GOMES DO NASCIMENTO</v>
      </c>
      <c r="D385" s="101" t="str">
        <f>IFERROR(__xludf.DUMMYFUNCTION("""COMPUTED_VALUE"""),"527.***.***-00")</f>
        <v>527.***.***-00</v>
      </c>
      <c r="E385" s="101">
        <f>IFERROR(__xludf.DUMMYFUNCTION("""COMPUTED_VALUE"""),13.0)</f>
        <v>13</v>
      </c>
      <c r="F385" s="101" t="str">
        <f>IFERROR(__xludf.DUMMYFUNCTION("""COMPUTED_VALUE"""),"527.792.048-00")</f>
        <v>527.792.048-00</v>
      </c>
      <c r="G385" s="101"/>
      <c r="H385" s="101"/>
      <c r="I385" s="101"/>
      <c r="J385" s="101"/>
      <c r="K385" s="101"/>
      <c r="L385" s="101"/>
      <c r="M385" s="101"/>
      <c r="N385" s="101"/>
      <c r="O385" s="101"/>
      <c r="P385" s="101"/>
      <c r="Q385" s="101"/>
      <c r="R385" s="101"/>
      <c r="S385" s="101"/>
      <c r="T385" s="101"/>
      <c r="U385" s="101"/>
      <c r="V385" s="101"/>
      <c r="W385" s="101"/>
      <c r="X385" s="101"/>
      <c r="Y385" s="101"/>
      <c r="Z385" s="101"/>
    </row>
    <row r="386">
      <c r="A386" s="101"/>
      <c r="B386" s="101"/>
      <c r="C386" s="101" t="str">
        <f>IFERROR(__xludf.DUMMYFUNCTION("""COMPUTED_VALUE"""),"JULIANA SOARES DE SOUZA")</f>
        <v>JULIANA SOARES DE SOUZA</v>
      </c>
      <c r="D386" s="101" t="str">
        <f>IFERROR(__xludf.DUMMYFUNCTION("""COMPUTED_VALUE"""),"506.***.***-29")</f>
        <v>506.***.***-29</v>
      </c>
      <c r="E386" s="101">
        <f>IFERROR(__xludf.DUMMYFUNCTION("""COMPUTED_VALUE"""),9.0)</f>
        <v>9</v>
      </c>
      <c r="F386" s="101" t="str">
        <f>IFERROR(__xludf.DUMMYFUNCTION("""COMPUTED_VALUE"""),"506.532.788-29")</f>
        <v>506.532.788-29</v>
      </c>
      <c r="G386" s="101"/>
      <c r="H386" s="101"/>
      <c r="I386" s="101"/>
      <c r="J386" s="101"/>
      <c r="K386" s="101"/>
      <c r="L386" s="101"/>
      <c r="M386" s="101"/>
      <c r="N386" s="101"/>
      <c r="O386" s="101"/>
      <c r="P386" s="101"/>
      <c r="Q386" s="101"/>
      <c r="R386" s="101"/>
      <c r="S386" s="101"/>
      <c r="T386" s="101"/>
      <c r="U386" s="101"/>
      <c r="V386" s="101"/>
      <c r="W386" s="101"/>
      <c r="X386" s="101"/>
      <c r="Y386" s="101"/>
      <c r="Z386" s="101"/>
    </row>
    <row r="387">
      <c r="A387" s="101"/>
      <c r="B387" s="101"/>
      <c r="C387" s="101" t="str">
        <f>IFERROR(__xludf.DUMMYFUNCTION("""COMPUTED_VALUE"""),"GABRIELA FERRAZ TROQUE")</f>
        <v>GABRIELA FERRAZ TROQUE</v>
      </c>
      <c r="D387" s="101" t="str">
        <f>IFERROR(__xludf.DUMMYFUNCTION("""COMPUTED_VALUE"""),"498.***.***-59")</f>
        <v>498.***.***-59</v>
      </c>
      <c r="E387" s="101">
        <f>IFERROR(__xludf.DUMMYFUNCTION("""COMPUTED_VALUE"""),4.0)</f>
        <v>4</v>
      </c>
      <c r="F387" s="101" t="str">
        <f>IFERROR(__xludf.DUMMYFUNCTION("""COMPUTED_VALUE"""),"498.736.618-59")</f>
        <v>498.736.618-59</v>
      </c>
      <c r="G387" s="101"/>
      <c r="H387" s="101"/>
      <c r="I387" s="101"/>
      <c r="J387" s="101"/>
      <c r="K387" s="101"/>
      <c r="L387" s="101"/>
      <c r="M387" s="101"/>
      <c r="N387" s="101"/>
      <c r="O387" s="101"/>
      <c r="P387" s="101"/>
      <c r="Q387" s="101"/>
      <c r="R387" s="101"/>
      <c r="S387" s="101"/>
      <c r="T387" s="101"/>
      <c r="U387" s="101"/>
      <c r="V387" s="101"/>
      <c r="W387" s="101"/>
      <c r="X387" s="101"/>
      <c r="Y387" s="101"/>
      <c r="Z387" s="101"/>
    </row>
    <row r="388">
      <c r="A388" s="101"/>
      <c r="B388" s="101"/>
      <c r="C388" s="101" t="str">
        <f>IFERROR(__xludf.DUMMYFUNCTION("""COMPUTED_VALUE"""),"JHELSSY VANESSA BEYUMA CHOQUE")</f>
        <v>JHELSSY VANESSA BEYUMA CHOQUE</v>
      </c>
      <c r="D388" s="101" t="str">
        <f>IFERROR(__xludf.DUMMYFUNCTION("""COMPUTED_VALUE"""),"235.***.***-09")</f>
        <v>235.***.***-09</v>
      </c>
      <c r="E388" s="101">
        <f>IFERROR(__xludf.DUMMYFUNCTION("""COMPUTED_VALUE"""),7.0)</f>
        <v>7</v>
      </c>
      <c r="F388" s="101" t="str">
        <f>IFERROR(__xludf.DUMMYFUNCTION("""COMPUTED_VALUE"""),"235.189.918-09")</f>
        <v>235.189.918-09</v>
      </c>
      <c r="G388" s="101"/>
      <c r="H388" s="101"/>
      <c r="I388" s="101"/>
      <c r="J388" s="101"/>
      <c r="K388" s="101"/>
      <c r="L388" s="101"/>
      <c r="M388" s="101"/>
      <c r="N388" s="101"/>
      <c r="O388" s="101"/>
      <c r="P388" s="101"/>
      <c r="Q388" s="101"/>
      <c r="R388" s="101"/>
      <c r="S388" s="101"/>
      <c r="T388" s="101"/>
      <c r="U388" s="101"/>
      <c r="V388" s="101"/>
      <c r="W388" s="101"/>
      <c r="X388" s="101"/>
      <c r="Y388" s="101"/>
      <c r="Z388" s="101"/>
    </row>
    <row r="389">
      <c r="A389" s="101"/>
      <c r="B389" s="101"/>
      <c r="C389" s="101" t="str">
        <f>IFERROR(__xludf.DUMMYFUNCTION("""COMPUTED_VALUE"""),"RATZ DANIEL ROMANO BARRETO")</f>
        <v>RATZ DANIEL ROMANO BARRETO</v>
      </c>
      <c r="D389" s="101" t="str">
        <f>IFERROR(__xludf.DUMMYFUNCTION("""COMPUTED_VALUE"""),"442.***.***-80")</f>
        <v>442.***.***-80</v>
      </c>
      <c r="E389" s="101">
        <f>IFERROR(__xludf.DUMMYFUNCTION("""COMPUTED_VALUE"""),15.0)</f>
        <v>15</v>
      </c>
      <c r="F389" s="101" t="str">
        <f>IFERROR(__xludf.DUMMYFUNCTION("""COMPUTED_VALUE"""),"442.930.258-80")</f>
        <v>442.930.258-80</v>
      </c>
      <c r="G389" s="101"/>
      <c r="H389" s="101"/>
      <c r="I389" s="101"/>
      <c r="J389" s="101"/>
      <c r="K389" s="101"/>
      <c r="L389" s="101"/>
      <c r="M389" s="101"/>
      <c r="N389" s="101"/>
      <c r="O389" s="101"/>
      <c r="P389" s="101"/>
      <c r="Q389" s="101"/>
      <c r="R389" s="101"/>
      <c r="S389" s="101"/>
      <c r="T389" s="101"/>
      <c r="U389" s="101"/>
      <c r="V389" s="101"/>
      <c r="W389" s="101"/>
      <c r="X389" s="101"/>
      <c r="Y389" s="101"/>
      <c r="Z389" s="101"/>
    </row>
    <row r="390">
      <c r="A390" s="101"/>
      <c r="B390" s="101"/>
      <c r="C390" s="101" t="str">
        <f>IFERROR(__xludf.DUMMYFUNCTION("""COMPUTED_VALUE"""),"ANNE CAROLINE PAZ FERREIRA")</f>
        <v>ANNE CAROLINE PAZ FERREIRA</v>
      </c>
      <c r="D390" s="101" t="str">
        <f>IFERROR(__xludf.DUMMYFUNCTION("""COMPUTED_VALUE"""),"038.***.***-93")</f>
        <v>038.***.***-93</v>
      </c>
      <c r="E390" s="101">
        <f>IFERROR(__xludf.DUMMYFUNCTION("""COMPUTED_VALUE"""),1.0)</f>
        <v>1</v>
      </c>
      <c r="F390" s="101" t="str">
        <f>IFERROR(__xludf.DUMMYFUNCTION("""COMPUTED_VALUE"""),"038.467.960-93")</f>
        <v>038.467.960-93</v>
      </c>
      <c r="G390" s="101"/>
      <c r="H390" s="101"/>
      <c r="I390" s="101"/>
      <c r="J390" s="101"/>
      <c r="K390" s="101"/>
      <c r="L390" s="101"/>
      <c r="M390" s="101"/>
      <c r="N390" s="101"/>
      <c r="O390" s="101"/>
      <c r="P390" s="101"/>
      <c r="Q390" s="101"/>
      <c r="R390" s="101"/>
      <c r="S390" s="101"/>
      <c r="T390" s="101"/>
      <c r="U390" s="101"/>
      <c r="V390" s="101"/>
      <c r="W390" s="101"/>
      <c r="X390" s="101"/>
      <c r="Y390" s="101"/>
      <c r="Z390" s="101"/>
    </row>
    <row r="391">
      <c r="A391" s="101"/>
      <c r="B391" s="101"/>
      <c r="C391" s="101" t="str">
        <f>IFERROR(__xludf.DUMMYFUNCTION("""COMPUTED_VALUE"""),"ANA CAROLINA MOREIRA DE ARAUJO")</f>
        <v>ANA CAROLINA MOREIRA DE ARAUJO</v>
      </c>
      <c r="D391" s="101" t="str">
        <f>IFERROR(__xludf.DUMMYFUNCTION("""COMPUTED_VALUE"""),"520.***.***-83")</f>
        <v>520.***.***-83</v>
      </c>
      <c r="E391" s="101">
        <f>IFERROR(__xludf.DUMMYFUNCTION("""COMPUTED_VALUE"""),1.0)</f>
        <v>1</v>
      </c>
      <c r="F391" s="101" t="str">
        <f>IFERROR(__xludf.DUMMYFUNCTION("""COMPUTED_VALUE"""),"520.855.658-83")</f>
        <v>520.855.658-83</v>
      </c>
      <c r="G391" s="101"/>
      <c r="H391" s="101"/>
      <c r="I391" s="101"/>
      <c r="J391" s="101"/>
      <c r="K391" s="101"/>
      <c r="L391" s="101"/>
      <c r="M391" s="101"/>
      <c r="N391" s="101"/>
      <c r="O391" s="101"/>
      <c r="P391" s="101"/>
      <c r="Q391" s="101"/>
      <c r="R391" s="101"/>
      <c r="S391" s="101"/>
      <c r="T391" s="101"/>
      <c r="U391" s="101"/>
      <c r="V391" s="101"/>
      <c r="W391" s="101"/>
      <c r="X391" s="101"/>
      <c r="Y391" s="101"/>
      <c r="Z391" s="101"/>
    </row>
    <row r="392">
      <c r="A392" s="101"/>
      <c r="B392" s="101"/>
      <c r="C392" s="101" t="str">
        <f>IFERROR(__xludf.DUMMYFUNCTION("""COMPUTED_VALUE"""),"ANDREZA SILVA DE ANDRADE")</f>
        <v>ANDREZA SILVA DE ANDRADE</v>
      </c>
      <c r="D392" s="101" t="str">
        <f>IFERROR(__xludf.DUMMYFUNCTION("""COMPUTED_VALUE"""),"519.***.***-97")</f>
        <v>519.***.***-97</v>
      </c>
      <c r="E392" s="101">
        <f>IFERROR(__xludf.DUMMYFUNCTION("""COMPUTED_VALUE"""),1.0)</f>
        <v>1</v>
      </c>
      <c r="F392" s="101" t="str">
        <f>IFERROR(__xludf.DUMMYFUNCTION("""COMPUTED_VALUE"""),"519.675.548-97")</f>
        <v>519.675.548-97</v>
      </c>
      <c r="G392" s="101"/>
      <c r="H392" s="101"/>
      <c r="I392" s="101"/>
      <c r="J392" s="101"/>
      <c r="K392" s="101"/>
      <c r="L392" s="101"/>
      <c r="M392" s="101"/>
      <c r="N392" s="101"/>
      <c r="O392" s="101"/>
      <c r="P392" s="101"/>
      <c r="Q392" s="101"/>
      <c r="R392" s="101"/>
      <c r="S392" s="101"/>
      <c r="T392" s="101"/>
      <c r="U392" s="101"/>
      <c r="V392" s="101"/>
      <c r="W392" s="101"/>
      <c r="X392" s="101"/>
      <c r="Y392" s="101"/>
      <c r="Z392" s="101"/>
    </row>
    <row r="393">
      <c r="A393" s="101"/>
      <c r="B393" s="101"/>
      <c r="C393" s="101" t="str">
        <f>IFERROR(__xludf.DUMMYFUNCTION("""COMPUTED_VALUE"""),"VICTORIA MIRYA RODRIGUES")</f>
        <v>VICTORIA MIRYA RODRIGUES</v>
      </c>
      <c r="D393" s="101" t="str">
        <f>IFERROR(__xludf.DUMMYFUNCTION("""COMPUTED_VALUE"""),"543.***.***-03")</f>
        <v>543.***.***-03</v>
      </c>
      <c r="E393" s="101">
        <f>IFERROR(__xludf.DUMMYFUNCTION("""COMPUTED_VALUE"""),10.0)</f>
        <v>10</v>
      </c>
      <c r="F393" s="101" t="str">
        <f>IFERROR(__xludf.DUMMYFUNCTION("""COMPUTED_VALUE"""),"543.390.718-03")</f>
        <v>543.390.718-03</v>
      </c>
      <c r="G393" s="101"/>
      <c r="H393" s="101"/>
      <c r="I393" s="101"/>
      <c r="J393" s="101"/>
      <c r="K393" s="101"/>
      <c r="L393" s="101"/>
      <c r="M393" s="101"/>
      <c r="N393" s="101"/>
      <c r="O393" s="101"/>
      <c r="P393" s="101"/>
      <c r="Q393" s="101"/>
      <c r="R393" s="101"/>
      <c r="S393" s="101"/>
      <c r="T393" s="101"/>
      <c r="U393" s="101"/>
      <c r="V393" s="101"/>
      <c r="W393" s="101"/>
      <c r="X393" s="101"/>
      <c r="Y393" s="101"/>
      <c r="Z393" s="101"/>
    </row>
    <row r="394">
      <c r="A394" s="101"/>
      <c r="B394" s="101"/>
      <c r="C394" s="101" t="str">
        <f>IFERROR(__xludf.DUMMYFUNCTION("""COMPUTED_VALUE"""),"SABRINA SANTANA DOS SANTOS")</f>
        <v>SABRINA SANTANA DOS SANTOS</v>
      </c>
      <c r="D394" s="101" t="str">
        <f>IFERROR(__xludf.DUMMYFUNCTION("""COMPUTED_VALUE"""),"240.***.***-61")</f>
        <v>240.***.***-61</v>
      </c>
      <c r="E394" s="101">
        <f>IFERROR(__xludf.DUMMYFUNCTION("""COMPUTED_VALUE"""),4.0)</f>
        <v>4</v>
      </c>
      <c r="F394" s="101" t="str">
        <f>IFERROR(__xludf.DUMMYFUNCTION("""COMPUTED_VALUE"""),"240.924.178-61")</f>
        <v>240.924.178-61</v>
      </c>
      <c r="G394" s="101"/>
      <c r="H394" s="101"/>
      <c r="I394" s="101"/>
      <c r="J394" s="101"/>
      <c r="K394" s="101"/>
      <c r="L394" s="101"/>
      <c r="M394" s="101"/>
      <c r="N394" s="101"/>
      <c r="O394" s="101"/>
      <c r="P394" s="101"/>
      <c r="Q394" s="101"/>
      <c r="R394" s="101"/>
      <c r="S394" s="101"/>
      <c r="T394" s="101"/>
      <c r="U394" s="101"/>
      <c r="V394" s="101"/>
      <c r="W394" s="101"/>
      <c r="X394" s="101"/>
      <c r="Y394" s="101"/>
      <c r="Z394" s="101"/>
    </row>
    <row r="395">
      <c r="A395" s="101"/>
      <c r="B395" s="101"/>
      <c r="C395" s="101" t="str">
        <f>IFERROR(__xludf.DUMMYFUNCTION("""COMPUTED_VALUE"""),"RENATA OLIVEIRA SOUZA")</f>
        <v>RENATA OLIVEIRA SOUZA</v>
      </c>
      <c r="D395" s="101" t="str">
        <f>IFERROR(__xludf.DUMMYFUNCTION("""COMPUTED_VALUE"""),"480.***.***-89")</f>
        <v>480.***.***-89</v>
      </c>
      <c r="E395" s="101">
        <f>IFERROR(__xludf.DUMMYFUNCTION("""COMPUTED_VALUE"""),10.0)</f>
        <v>10</v>
      </c>
      <c r="F395" s="101" t="str">
        <f>IFERROR(__xludf.DUMMYFUNCTION("""COMPUTED_VALUE"""),"480.342.278-89")</f>
        <v>480.342.278-89</v>
      </c>
      <c r="G395" s="101"/>
      <c r="H395" s="101"/>
      <c r="I395" s="101"/>
      <c r="J395" s="101"/>
      <c r="K395" s="101"/>
      <c r="L395" s="101"/>
      <c r="M395" s="101"/>
      <c r="N395" s="101"/>
      <c r="O395" s="101"/>
      <c r="P395" s="101"/>
      <c r="Q395" s="101"/>
      <c r="R395" s="101"/>
      <c r="S395" s="101"/>
      <c r="T395" s="101"/>
      <c r="U395" s="101"/>
      <c r="V395" s="101"/>
      <c r="W395" s="101"/>
      <c r="X395" s="101"/>
      <c r="Y395" s="101"/>
      <c r="Z395" s="101"/>
    </row>
    <row r="396">
      <c r="A396" s="101"/>
      <c r="B396" s="101"/>
      <c r="C396" s="101" t="str">
        <f>IFERROR(__xludf.DUMMYFUNCTION("""COMPUTED_VALUE"""),"JOICE MIRANDA CARVALHO")</f>
        <v>JOICE MIRANDA CARVALHO</v>
      </c>
      <c r="D396" s="101" t="str">
        <f>IFERROR(__xludf.DUMMYFUNCTION("""COMPUTED_VALUE"""),"510.***.***-06")</f>
        <v>510.***.***-06</v>
      </c>
      <c r="E396" s="101">
        <f>IFERROR(__xludf.DUMMYFUNCTION("""COMPUTED_VALUE"""),8.0)</f>
        <v>8</v>
      </c>
      <c r="F396" s="101" t="str">
        <f>IFERROR(__xludf.DUMMYFUNCTION("""COMPUTED_VALUE"""),"510.401.438-06")</f>
        <v>510.401.438-06</v>
      </c>
      <c r="G396" s="101"/>
      <c r="H396" s="101"/>
      <c r="I396" s="101"/>
      <c r="J396" s="101"/>
      <c r="K396" s="101"/>
      <c r="L396" s="101"/>
      <c r="M396" s="101"/>
      <c r="N396" s="101"/>
      <c r="O396" s="101"/>
      <c r="P396" s="101"/>
      <c r="Q396" s="101"/>
      <c r="R396" s="101"/>
      <c r="S396" s="101"/>
      <c r="T396" s="101"/>
      <c r="U396" s="101"/>
      <c r="V396" s="101"/>
      <c r="W396" s="101"/>
      <c r="X396" s="101"/>
      <c r="Y396" s="101"/>
      <c r="Z396" s="101"/>
    </row>
    <row r="397">
      <c r="A397" s="101"/>
      <c r="B397" s="101"/>
      <c r="C397" s="101" t="str">
        <f>IFERROR(__xludf.DUMMYFUNCTION("""COMPUTED_VALUE"""),"GUILHERME SILVA DE OLIVEIRA")</f>
        <v>GUILHERME SILVA DE OLIVEIRA</v>
      </c>
      <c r="D397" s="101" t="str">
        <f>IFERROR(__xludf.DUMMYFUNCTION("""COMPUTED_VALUE"""),"474.***.***-75")</f>
        <v>474.***.***-75</v>
      </c>
      <c r="E397" s="101">
        <f>IFERROR(__xludf.DUMMYFUNCTION("""COMPUTED_VALUE"""),4.0)</f>
        <v>4</v>
      </c>
      <c r="F397" s="101" t="str">
        <f>IFERROR(__xludf.DUMMYFUNCTION("""COMPUTED_VALUE"""),"474.557.868-75")</f>
        <v>474.557.868-75</v>
      </c>
      <c r="G397" s="101"/>
      <c r="H397" s="101"/>
      <c r="I397" s="101"/>
      <c r="J397" s="101"/>
      <c r="K397" s="101"/>
      <c r="L397" s="101"/>
      <c r="M397" s="101"/>
      <c r="N397" s="101"/>
      <c r="O397" s="101"/>
      <c r="P397" s="101"/>
      <c r="Q397" s="101"/>
      <c r="R397" s="101"/>
      <c r="S397" s="101"/>
      <c r="T397" s="101"/>
      <c r="U397" s="101"/>
      <c r="V397" s="101"/>
      <c r="W397" s="101"/>
      <c r="X397" s="101"/>
      <c r="Y397" s="101"/>
      <c r="Z397" s="101"/>
    </row>
    <row r="398">
      <c r="A398" s="101"/>
      <c r="B398" s="101"/>
      <c r="C398" s="101" t="str">
        <f>IFERROR(__xludf.DUMMYFUNCTION("""COMPUTED_VALUE"""),"DOUGLAS AGUIRRE SOLARES")</f>
        <v>DOUGLAS AGUIRRE SOLARES</v>
      </c>
      <c r="D398" s="101" t="str">
        <f>IFERROR(__xludf.DUMMYFUNCTION("""COMPUTED_VALUE"""),"491.***.***-26")</f>
        <v>491.***.***-26</v>
      </c>
      <c r="E398" s="101">
        <f>IFERROR(__xludf.DUMMYFUNCTION("""COMPUTED_VALUE"""),3.0)</f>
        <v>3</v>
      </c>
      <c r="F398" s="101" t="str">
        <f>IFERROR(__xludf.DUMMYFUNCTION("""COMPUTED_VALUE"""),"491.949.958-26")</f>
        <v>491.949.958-26</v>
      </c>
      <c r="G398" s="101"/>
      <c r="H398" s="101"/>
      <c r="I398" s="101"/>
      <c r="J398" s="101"/>
      <c r="K398" s="101"/>
      <c r="L398" s="101"/>
      <c r="M398" s="101"/>
      <c r="N398" s="101"/>
      <c r="O398" s="101"/>
      <c r="P398" s="101"/>
      <c r="Q398" s="101"/>
      <c r="R398" s="101"/>
      <c r="S398" s="101"/>
      <c r="T398" s="101"/>
      <c r="U398" s="101"/>
      <c r="V398" s="101"/>
      <c r="W398" s="101"/>
      <c r="X398" s="101"/>
      <c r="Y398" s="101"/>
      <c r="Z398" s="101"/>
    </row>
    <row r="399">
      <c r="A399" s="101"/>
      <c r="B399" s="101"/>
      <c r="C399" s="101" t="str">
        <f>IFERROR(__xludf.DUMMYFUNCTION("""COMPUTED_VALUE"""),"WILLY ARLEY SOARES CALDAS")</f>
        <v>WILLY ARLEY SOARES CALDAS</v>
      </c>
      <c r="D399" s="101" t="str">
        <f>IFERROR(__xludf.DUMMYFUNCTION("""COMPUTED_VALUE"""),"426.***.***-12")</f>
        <v>426.***.***-12</v>
      </c>
      <c r="E399" s="101">
        <f>IFERROR(__xludf.DUMMYFUNCTION("""COMPUTED_VALUE"""),4.0)</f>
        <v>4</v>
      </c>
      <c r="F399" s="101" t="str">
        <f>IFERROR(__xludf.DUMMYFUNCTION("""COMPUTED_VALUE"""),"426.748.028-12")</f>
        <v>426.748.028-12</v>
      </c>
      <c r="G399" s="101"/>
      <c r="H399" s="101"/>
      <c r="I399" s="101"/>
      <c r="J399" s="101"/>
      <c r="K399" s="101"/>
      <c r="L399" s="101"/>
      <c r="M399" s="101"/>
      <c r="N399" s="101"/>
      <c r="O399" s="101"/>
      <c r="P399" s="101"/>
      <c r="Q399" s="101"/>
      <c r="R399" s="101"/>
      <c r="S399" s="101"/>
      <c r="T399" s="101"/>
      <c r="U399" s="101"/>
      <c r="V399" s="101"/>
      <c r="W399" s="101"/>
      <c r="X399" s="101"/>
      <c r="Y399" s="101"/>
      <c r="Z399" s="101"/>
    </row>
    <row r="400">
      <c r="A400" s="101"/>
      <c r="B400" s="101"/>
      <c r="C400" s="101" t="str">
        <f>IFERROR(__xludf.DUMMYFUNCTION("""COMPUTED_VALUE"""),"ANA BEATRIZ THOMAZINO RIBEIRO DA SILVA")</f>
        <v>ANA BEATRIZ THOMAZINO RIBEIRO DA SILVA</v>
      </c>
      <c r="D400" s="101" t="str">
        <f>IFERROR(__xludf.DUMMYFUNCTION("""COMPUTED_VALUE"""),"447.***.***-07")</f>
        <v>447.***.***-07</v>
      </c>
      <c r="E400" s="101">
        <f>IFERROR(__xludf.DUMMYFUNCTION("""COMPUTED_VALUE"""),1.0)</f>
        <v>1</v>
      </c>
      <c r="F400" s="101" t="str">
        <f>IFERROR(__xludf.DUMMYFUNCTION("""COMPUTED_VALUE"""),"447.858.048-07")</f>
        <v>447.858.048-07</v>
      </c>
      <c r="G400" s="101"/>
      <c r="H400" s="101"/>
      <c r="I400" s="101"/>
      <c r="J400" s="101"/>
      <c r="K400" s="101"/>
      <c r="L400" s="101"/>
      <c r="M400" s="101"/>
      <c r="N400" s="101"/>
      <c r="O400" s="101"/>
      <c r="P400" s="101"/>
      <c r="Q400" s="101"/>
      <c r="R400" s="101"/>
      <c r="S400" s="101"/>
      <c r="T400" s="101"/>
      <c r="U400" s="101"/>
      <c r="V400" s="101"/>
      <c r="W400" s="101"/>
      <c r="X400" s="101"/>
      <c r="Y400" s="101"/>
      <c r="Z400" s="101"/>
    </row>
    <row r="401">
      <c r="A401" s="101"/>
      <c r="B401" s="101"/>
      <c r="C401" s="101" t="str">
        <f>IFERROR(__xludf.DUMMYFUNCTION("""COMPUTED_VALUE"""),"YASMIN VALE SANTOS")</f>
        <v>YASMIN VALE SANTOS</v>
      </c>
      <c r="D401" s="101" t="str">
        <f>IFERROR(__xludf.DUMMYFUNCTION("""COMPUTED_VALUE"""),"432.***.***-47")</f>
        <v>432.***.***-47</v>
      </c>
      <c r="E401" s="101">
        <f>IFERROR(__xludf.DUMMYFUNCTION("""COMPUTED_VALUE"""),18.0)</f>
        <v>18</v>
      </c>
      <c r="F401" s="101" t="str">
        <f>IFERROR(__xludf.DUMMYFUNCTION("""COMPUTED_VALUE"""),"432.573.018-47")</f>
        <v>432.573.018-47</v>
      </c>
      <c r="G401" s="101"/>
      <c r="H401" s="101"/>
      <c r="I401" s="101"/>
      <c r="J401" s="101"/>
      <c r="K401" s="101"/>
      <c r="L401" s="101"/>
      <c r="M401" s="101"/>
      <c r="N401" s="101"/>
      <c r="O401" s="101"/>
      <c r="P401" s="101"/>
      <c r="Q401" s="101"/>
      <c r="R401" s="101"/>
      <c r="S401" s="101"/>
      <c r="T401" s="101"/>
      <c r="U401" s="101"/>
      <c r="V401" s="101"/>
      <c r="W401" s="101"/>
      <c r="X401" s="101"/>
      <c r="Y401" s="101"/>
      <c r="Z401" s="101"/>
    </row>
    <row r="402">
      <c r="A402" s="101"/>
      <c r="B402" s="101"/>
      <c r="C402" s="101" t="str">
        <f>IFERROR(__xludf.DUMMYFUNCTION("""COMPUTED_VALUE"""),"JOYCE VICENTE DE SOUZA")</f>
        <v>JOYCE VICENTE DE SOUZA</v>
      </c>
      <c r="D402" s="101" t="str">
        <f>IFERROR(__xludf.DUMMYFUNCTION("""COMPUTED_VALUE"""),"500.***.***-65")</f>
        <v>500.***.***-65</v>
      </c>
      <c r="E402" s="101">
        <f>IFERROR(__xludf.DUMMYFUNCTION("""COMPUTED_VALUE"""),6.0)</f>
        <v>6</v>
      </c>
      <c r="F402" s="101" t="str">
        <f>IFERROR(__xludf.DUMMYFUNCTION("""COMPUTED_VALUE"""),"500.747.118-65")</f>
        <v>500.747.118-65</v>
      </c>
      <c r="G402" s="101"/>
      <c r="H402" s="101"/>
      <c r="I402" s="101"/>
      <c r="J402" s="101"/>
      <c r="K402" s="101"/>
      <c r="L402" s="101"/>
      <c r="M402" s="101"/>
      <c r="N402" s="101"/>
      <c r="O402" s="101"/>
      <c r="P402" s="101"/>
      <c r="Q402" s="101"/>
      <c r="R402" s="101"/>
      <c r="S402" s="101"/>
      <c r="T402" s="101"/>
      <c r="U402" s="101"/>
      <c r="V402" s="101"/>
      <c r="W402" s="101"/>
      <c r="X402" s="101"/>
      <c r="Y402" s="101"/>
      <c r="Z402" s="101"/>
    </row>
    <row r="403">
      <c r="A403" s="101"/>
      <c r="B403" s="101"/>
      <c r="C403" s="101" t="str">
        <f>IFERROR(__xludf.DUMMYFUNCTION("""COMPUTED_VALUE"""),"GABRIEL BISPO SENA")</f>
        <v>GABRIEL BISPO SENA</v>
      </c>
      <c r="D403" s="101" t="str">
        <f>IFERROR(__xludf.DUMMYFUNCTION("""COMPUTED_VALUE"""),"502.***.***-04")</f>
        <v>502.***.***-04</v>
      </c>
      <c r="E403" s="101">
        <f>IFERROR(__xludf.DUMMYFUNCTION("""COMPUTED_VALUE"""),3.0)</f>
        <v>3</v>
      </c>
      <c r="F403" s="101" t="str">
        <f>IFERROR(__xludf.DUMMYFUNCTION("""COMPUTED_VALUE"""),"502.627.828-04")</f>
        <v>502.627.828-04</v>
      </c>
      <c r="G403" s="101"/>
      <c r="H403" s="101"/>
      <c r="I403" s="101"/>
      <c r="J403" s="101"/>
      <c r="K403" s="101"/>
      <c r="L403" s="101"/>
      <c r="M403" s="101"/>
      <c r="N403" s="101"/>
      <c r="O403" s="101"/>
      <c r="P403" s="101"/>
      <c r="Q403" s="101"/>
      <c r="R403" s="101"/>
      <c r="S403" s="101"/>
      <c r="T403" s="101"/>
      <c r="U403" s="101"/>
      <c r="V403" s="101"/>
      <c r="W403" s="101"/>
      <c r="X403" s="101"/>
      <c r="Y403" s="101"/>
      <c r="Z403" s="101"/>
    </row>
    <row r="404">
      <c r="A404" s="101"/>
      <c r="B404" s="101"/>
      <c r="C404" s="101" t="str">
        <f>IFERROR(__xludf.DUMMYFUNCTION("""COMPUTED_VALUE"""),"MATHEUS VINÍCIUS GOMES MENDONÇA")</f>
        <v>MATHEUS VINÍCIUS GOMES MENDONÇA</v>
      </c>
      <c r="D404" s="101" t="str">
        <f>IFERROR(__xludf.DUMMYFUNCTION("""COMPUTED_VALUE"""),"445.***.***-11")</f>
        <v>445.***.***-11</v>
      </c>
      <c r="E404" s="101">
        <f>IFERROR(__xludf.DUMMYFUNCTION("""COMPUTED_VALUE"""),12.0)</f>
        <v>12</v>
      </c>
      <c r="F404" s="101" t="str">
        <f>IFERROR(__xludf.DUMMYFUNCTION("""COMPUTED_VALUE"""),"445.164.558-11")</f>
        <v>445.164.558-11</v>
      </c>
      <c r="G404" s="101"/>
      <c r="H404" s="101"/>
      <c r="I404" s="101"/>
      <c r="J404" s="101"/>
      <c r="K404" s="101"/>
      <c r="L404" s="101"/>
      <c r="M404" s="101"/>
      <c r="N404" s="101"/>
      <c r="O404" s="101"/>
      <c r="P404" s="101"/>
      <c r="Q404" s="101"/>
      <c r="R404" s="101"/>
      <c r="S404" s="101"/>
      <c r="T404" s="101"/>
      <c r="U404" s="101"/>
      <c r="V404" s="101"/>
      <c r="W404" s="101"/>
      <c r="X404" s="101"/>
      <c r="Y404" s="101"/>
      <c r="Z404" s="101"/>
    </row>
    <row r="405">
      <c r="A405" s="101"/>
      <c r="B405" s="101"/>
      <c r="C405" s="101" t="str">
        <f>IFERROR(__xludf.DUMMYFUNCTION("""COMPUTED_VALUE"""),"HELOISA DE SOUZA DA SILVA")</f>
        <v>HELOISA DE SOUZA DA SILVA</v>
      </c>
      <c r="D405" s="101" t="str">
        <f>IFERROR(__xludf.DUMMYFUNCTION("""COMPUTED_VALUE"""),"518.***.***-29")</f>
        <v>518.***.***-29</v>
      </c>
      <c r="E405" s="101">
        <f>IFERROR(__xludf.DUMMYFUNCTION("""COMPUTED_VALUE"""),7.0)</f>
        <v>7</v>
      </c>
      <c r="F405" s="101" t="str">
        <f>IFERROR(__xludf.DUMMYFUNCTION("""COMPUTED_VALUE"""),"518.533.008-29")</f>
        <v>518.533.008-29</v>
      </c>
      <c r="G405" s="101"/>
      <c r="H405" s="101"/>
      <c r="I405" s="101"/>
      <c r="J405" s="101"/>
      <c r="K405" s="101"/>
      <c r="L405" s="101"/>
      <c r="M405" s="101"/>
      <c r="N405" s="101"/>
      <c r="O405" s="101"/>
      <c r="P405" s="101"/>
      <c r="Q405" s="101"/>
      <c r="R405" s="101"/>
      <c r="S405" s="101"/>
      <c r="T405" s="101"/>
      <c r="U405" s="101"/>
      <c r="V405" s="101"/>
      <c r="W405" s="101"/>
      <c r="X405" s="101"/>
      <c r="Y405" s="101"/>
      <c r="Z405" s="101"/>
    </row>
    <row r="406">
      <c r="A406" s="101"/>
      <c r="B406" s="101"/>
      <c r="C406" s="101" t="str">
        <f>IFERROR(__xludf.DUMMYFUNCTION("""COMPUTED_VALUE"""),"LAVI AZÚLYS PEREIRA DE LIMA")</f>
        <v>LAVI AZÚLYS PEREIRA DE LIMA</v>
      </c>
      <c r="D406" s="101" t="str">
        <f>IFERROR(__xludf.DUMMYFUNCTION("""COMPUTED_VALUE"""),"511.***.***-19")</f>
        <v>511.***.***-19</v>
      </c>
      <c r="E406" s="101">
        <f>IFERROR(__xludf.DUMMYFUNCTION("""COMPUTED_VALUE"""),10.0)</f>
        <v>10</v>
      </c>
      <c r="F406" s="101" t="str">
        <f>IFERROR(__xludf.DUMMYFUNCTION("""COMPUTED_VALUE"""),"511.100.998-19")</f>
        <v>511.100.998-19</v>
      </c>
      <c r="G406" s="101"/>
      <c r="H406" s="101"/>
      <c r="I406" s="101"/>
      <c r="J406" s="101"/>
      <c r="K406" s="101"/>
      <c r="L406" s="101"/>
      <c r="M406" s="101"/>
      <c r="N406" s="101"/>
      <c r="O406" s="101"/>
      <c r="P406" s="101"/>
      <c r="Q406" s="101"/>
      <c r="R406" s="101"/>
      <c r="S406" s="101"/>
      <c r="T406" s="101"/>
      <c r="U406" s="101"/>
      <c r="V406" s="101"/>
      <c r="W406" s="101"/>
      <c r="X406" s="101"/>
      <c r="Y406" s="101"/>
      <c r="Z406" s="101"/>
    </row>
    <row r="407">
      <c r="A407" s="101"/>
      <c r="B407" s="101"/>
      <c r="C407" s="101" t="str">
        <f>IFERROR(__xludf.DUMMYFUNCTION("""COMPUTED_VALUE"""),"ISABELLE RODRIGUES DE MORAES")</f>
        <v>ISABELLE RODRIGUES DE MORAES</v>
      </c>
      <c r="D407" s="101" t="str">
        <f>IFERROR(__xludf.DUMMYFUNCTION("""COMPUTED_VALUE"""),"532.***.***-08")</f>
        <v>532.***.***-08</v>
      </c>
      <c r="E407" s="101">
        <f>IFERROR(__xludf.DUMMYFUNCTION("""COMPUTED_VALUE"""),5.0)</f>
        <v>5</v>
      </c>
      <c r="F407" s="101" t="str">
        <f>IFERROR(__xludf.DUMMYFUNCTION("""COMPUTED_VALUE"""),"532.980.848-08")</f>
        <v>532.980.848-08</v>
      </c>
      <c r="G407" s="101"/>
      <c r="H407" s="101"/>
      <c r="I407" s="101"/>
      <c r="J407" s="101"/>
      <c r="K407" s="101"/>
      <c r="L407" s="101"/>
      <c r="M407" s="101"/>
      <c r="N407" s="101"/>
      <c r="O407" s="101"/>
      <c r="P407" s="101"/>
      <c r="Q407" s="101"/>
      <c r="R407" s="101"/>
      <c r="S407" s="101"/>
      <c r="T407" s="101"/>
      <c r="U407" s="101"/>
      <c r="V407" s="101"/>
      <c r="W407" s="101"/>
      <c r="X407" s="101"/>
      <c r="Y407" s="101"/>
      <c r="Z407" s="101"/>
    </row>
    <row r="408">
      <c r="A408" s="101"/>
      <c r="B408" s="101"/>
      <c r="C408" s="101" t="str">
        <f>IFERROR(__xludf.DUMMYFUNCTION("""COMPUTED_VALUE"""),"KAUÃ ALVES TEOTONIO")</f>
        <v>KAUÃ ALVES TEOTONIO</v>
      </c>
      <c r="D408" s="101" t="str">
        <f>IFERROR(__xludf.DUMMYFUNCTION("""COMPUTED_VALUE"""),"492.***.***-50")</f>
        <v>492.***.***-50</v>
      </c>
      <c r="E408" s="101">
        <f>IFERROR(__xludf.DUMMYFUNCTION("""COMPUTED_VALUE"""),6.0)</f>
        <v>6</v>
      </c>
      <c r="F408" s="101" t="str">
        <f>IFERROR(__xludf.DUMMYFUNCTION("""COMPUTED_VALUE"""),"492.027.268-50")</f>
        <v>492.027.268-50</v>
      </c>
      <c r="G408" s="101"/>
      <c r="H408" s="101"/>
      <c r="I408" s="101"/>
      <c r="J408" s="101"/>
      <c r="K408" s="101"/>
      <c r="L408" s="101"/>
      <c r="M408" s="101"/>
      <c r="N408" s="101"/>
      <c r="O408" s="101"/>
      <c r="P408" s="101"/>
      <c r="Q408" s="101"/>
      <c r="R408" s="101"/>
      <c r="S408" s="101"/>
      <c r="T408" s="101"/>
      <c r="U408" s="101"/>
      <c r="V408" s="101"/>
      <c r="W408" s="101"/>
      <c r="X408" s="101"/>
      <c r="Y408" s="101"/>
      <c r="Z408" s="101"/>
    </row>
    <row r="409">
      <c r="A409" s="101"/>
      <c r="B409" s="101"/>
      <c r="C409" s="101" t="str">
        <f>IFERROR(__xludf.DUMMYFUNCTION("""COMPUTED_VALUE"""),"CATHARINA GABRIELLE DOS SANTOS")</f>
        <v>CATHARINA GABRIELLE DOS SANTOS</v>
      </c>
      <c r="D409" s="101" t="str">
        <f>IFERROR(__xludf.DUMMYFUNCTION("""COMPUTED_VALUE"""),"479.***.***-21")</f>
        <v>479.***.***-21</v>
      </c>
      <c r="E409" s="101">
        <f>IFERROR(__xludf.DUMMYFUNCTION("""COMPUTED_VALUE"""),2.0)</f>
        <v>2</v>
      </c>
      <c r="F409" s="101" t="str">
        <f>IFERROR(__xludf.DUMMYFUNCTION("""COMPUTED_VALUE"""),"479.220.728-21")</f>
        <v>479.220.728-21</v>
      </c>
      <c r="G409" s="101"/>
      <c r="H409" s="101"/>
      <c r="I409" s="101"/>
      <c r="J409" s="101"/>
      <c r="K409" s="101"/>
      <c r="L409" s="101"/>
      <c r="M409" s="101"/>
      <c r="N409" s="101"/>
      <c r="O409" s="101"/>
      <c r="P409" s="101"/>
      <c r="Q409" s="101"/>
      <c r="R409" s="101"/>
      <c r="S409" s="101"/>
      <c r="T409" s="101"/>
      <c r="U409" s="101"/>
      <c r="V409" s="101"/>
      <c r="W409" s="101"/>
      <c r="X409" s="101"/>
      <c r="Y409" s="101"/>
      <c r="Z409" s="101"/>
    </row>
    <row r="410">
      <c r="A410" s="101"/>
      <c r="B410" s="101"/>
      <c r="C410" s="101" t="str">
        <f>IFERROR(__xludf.DUMMYFUNCTION("""COMPUTED_VALUE"""),"GRAZIELA DIAS PEREIRA")</f>
        <v>GRAZIELA DIAS PEREIRA</v>
      </c>
      <c r="D410" s="101" t="str">
        <f>IFERROR(__xludf.DUMMYFUNCTION("""COMPUTED_VALUE"""),"085.***.***-67")</f>
        <v>085.***.***-67</v>
      </c>
      <c r="E410" s="101">
        <f>IFERROR(__xludf.DUMMYFUNCTION("""COMPUTED_VALUE"""),6.0)</f>
        <v>6</v>
      </c>
      <c r="F410" s="101" t="str">
        <f>IFERROR(__xludf.DUMMYFUNCTION("""COMPUTED_VALUE"""),"085.851.465-67")</f>
        <v>085.851.465-67</v>
      </c>
      <c r="G410" s="101"/>
      <c r="H410" s="101"/>
      <c r="I410" s="101"/>
      <c r="J410" s="101"/>
      <c r="K410" s="101"/>
      <c r="L410" s="101"/>
      <c r="M410" s="101"/>
      <c r="N410" s="101"/>
      <c r="O410" s="101"/>
      <c r="P410" s="101"/>
      <c r="Q410" s="101"/>
      <c r="R410" s="101"/>
      <c r="S410" s="101"/>
      <c r="T410" s="101"/>
      <c r="U410" s="101"/>
      <c r="V410" s="101"/>
      <c r="W410" s="101"/>
      <c r="X410" s="101"/>
      <c r="Y410" s="101"/>
      <c r="Z410" s="101"/>
    </row>
    <row r="411">
      <c r="A411" s="101"/>
      <c r="B411" s="101"/>
      <c r="C411" s="101" t="str">
        <f>IFERROR(__xludf.DUMMYFUNCTION("""COMPUTED_VALUE"""),"ALEXAINY MIRYAN FARIAS TORRES")</f>
        <v>ALEXAINY MIRYAN FARIAS TORRES</v>
      </c>
      <c r="D411" s="101" t="str">
        <f>IFERROR(__xludf.DUMMYFUNCTION("""COMPUTED_VALUE"""),"073.***.***-10")</f>
        <v>073.***.***-10</v>
      </c>
      <c r="E411" s="101">
        <f>IFERROR(__xludf.DUMMYFUNCTION("""COMPUTED_VALUE"""),1.0)</f>
        <v>1</v>
      </c>
      <c r="F411" s="101" t="str">
        <f>IFERROR(__xludf.DUMMYFUNCTION("""COMPUTED_VALUE"""),"073.506.183-10")</f>
        <v>073.506.183-10</v>
      </c>
      <c r="G411" s="101"/>
      <c r="H411" s="101"/>
      <c r="I411" s="101"/>
      <c r="J411" s="101"/>
      <c r="K411" s="101"/>
      <c r="L411" s="101"/>
      <c r="M411" s="101"/>
      <c r="N411" s="101"/>
      <c r="O411" s="101"/>
      <c r="P411" s="101"/>
      <c r="Q411" s="101"/>
      <c r="R411" s="101"/>
      <c r="S411" s="101"/>
      <c r="T411" s="101"/>
      <c r="U411" s="101"/>
      <c r="V411" s="101"/>
      <c r="W411" s="101"/>
      <c r="X411" s="101"/>
      <c r="Y411" s="101"/>
      <c r="Z411" s="101"/>
    </row>
    <row r="412">
      <c r="A412" s="101"/>
      <c r="B412" s="101"/>
      <c r="C412" s="101" t="str">
        <f>IFERROR(__xludf.DUMMYFUNCTION("""COMPUTED_VALUE"""),"GLORIA MARIA CARDOSO DA SILVA")</f>
        <v>GLORIA MARIA CARDOSO DA SILVA</v>
      </c>
      <c r="D412" s="101" t="str">
        <f>IFERROR(__xludf.DUMMYFUNCTION("""COMPUTED_VALUE"""),"448.***.***-67")</f>
        <v>448.***.***-67</v>
      </c>
      <c r="E412" s="101">
        <f>IFERROR(__xludf.DUMMYFUNCTION("""COMPUTED_VALUE"""),6.0)</f>
        <v>6</v>
      </c>
      <c r="F412" s="101" t="str">
        <f>IFERROR(__xludf.DUMMYFUNCTION("""COMPUTED_VALUE"""),"448.005.588-67")</f>
        <v>448.005.588-67</v>
      </c>
      <c r="G412" s="101"/>
      <c r="H412" s="101"/>
      <c r="I412" s="101"/>
      <c r="J412" s="101"/>
      <c r="K412" s="101"/>
      <c r="L412" s="101"/>
      <c r="M412" s="101"/>
      <c r="N412" s="101"/>
      <c r="O412" s="101"/>
      <c r="P412" s="101"/>
      <c r="Q412" s="101"/>
      <c r="R412" s="101"/>
      <c r="S412" s="101"/>
      <c r="T412" s="101"/>
      <c r="U412" s="101"/>
      <c r="V412" s="101"/>
      <c r="W412" s="101"/>
      <c r="X412" s="101"/>
      <c r="Y412" s="101"/>
      <c r="Z412" s="101"/>
    </row>
    <row r="413">
      <c r="A413" s="101"/>
      <c r="B413" s="101"/>
      <c r="C413" s="101" t="str">
        <f>IFERROR(__xludf.DUMMYFUNCTION("""COMPUTED_VALUE"""),"CAMILA MARQUES SOUTO")</f>
        <v>CAMILA MARQUES SOUTO</v>
      </c>
      <c r="D413" s="101" t="str">
        <f>IFERROR(__xludf.DUMMYFUNCTION("""COMPUTED_VALUE"""),"444.***.***-13")</f>
        <v>444.***.***-13</v>
      </c>
      <c r="E413" s="101">
        <f>IFERROR(__xludf.DUMMYFUNCTION("""COMPUTED_VALUE"""),3.0)</f>
        <v>3</v>
      </c>
      <c r="F413" s="101" t="str">
        <f>IFERROR(__xludf.DUMMYFUNCTION("""COMPUTED_VALUE"""),"444.957.378-13")</f>
        <v>444.957.378-13</v>
      </c>
      <c r="G413" s="101"/>
      <c r="H413" s="101"/>
      <c r="I413" s="101"/>
      <c r="J413" s="101"/>
      <c r="K413" s="101"/>
      <c r="L413" s="101"/>
      <c r="M413" s="101"/>
      <c r="N413" s="101"/>
      <c r="O413" s="101"/>
      <c r="P413" s="101"/>
      <c r="Q413" s="101"/>
      <c r="R413" s="101"/>
      <c r="S413" s="101"/>
      <c r="T413" s="101"/>
      <c r="U413" s="101"/>
      <c r="V413" s="101"/>
      <c r="W413" s="101"/>
      <c r="X413" s="101"/>
      <c r="Y413" s="101"/>
      <c r="Z413" s="101"/>
    </row>
    <row r="414">
      <c r="A414" s="101"/>
      <c r="B414" s="101"/>
      <c r="C414" s="101" t="str">
        <f>IFERROR(__xludf.DUMMYFUNCTION("""COMPUTED_VALUE"""),"RAQUEL DA SILVA FERNANDES")</f>
        <v>RAQUEL DA SILVA FERNANDES</v>
      </c>
      <c r="D414" s="101" t="str">
        <f>IFERROR(__xludf.DUMMYFUNCTION("""COMPUTED_VALUE"""),"480.***.***-02")</f>
        <v>480.***.***-02</v>
      </c>
      <c r="E414" s="101">
        <f>IFERROR(__xludf.DUMMYFUNCTION("""COMPUTED_VALUE"""),15.0)</f>
        <v>15</v>
      </c>
      <c r="F414" s="101" t="str">
        <f>IFERROR(__xludf.DUMMYFUNCTION("""COMPUTED_VALUE"""),"480.661.458-02")</f>
        <v>480.661.458-02</v>
      </c>
      <c r="G414" s="101"/>
      <c r="H414" s="101"/>
      <c r="I414" s="101"/>
      <c r="J414" s="101"/>
      <c r="K414" s="101"/>
      <c r="L414" s="101"/>
      <c r="M414" s="101"/>
      <c r="N414" s="101"/>
      <c r="O414" s="101"/>
      <c r="P414" s="101"/>
      <c r="Q414" s="101"/>
      <c r="R414" s="101"/>
      <c r="S414" s="101"/>
      <c r="T414" s="101"/>
      <c r="U414" s="101"/>
      <c r="V414" s="101"/>
      <c r="W414" s="101"/>
      <c r="X414" s="101"/>
      <c r="Y414" s="101"/>
      <c r="Z414" s="101"/>
    </row>
    <row r="415">
      <c r="A415" s="101"/>
      <c r="B415" s="101"/>
      <c r="C415" s="101" t="str">
        <f>IFERROR(__xludf.DUMMYFUNCTION("""COMPUTED_VALUE"""),"CLAUDIA GAMA TELES")</f>
        <v>CLAUDIA GAMA TELES</v>
      </c>
      <c r="D415" s="101" t="str">
        <f>IFERROR(__xludf.DUMMYFUNCTION("""COMPUTED_VALUE"""),"362.***.***-99")</f>
        <v>362.***.***-99</v>
      </c>
      <c r="E415" s="101">
        <f>IFERROR(__xludf.DUMMYFUNCTION("""COMPUTED_VALUE"""),3.0)</f>
        <v>3</v>
      </c>
      <c r="F415" s="101" t="str">
        <f>IFERROR(__xludf.DUMMYFUNCTION("""COMPUTED_VALUE"""),"362.977.338-99")</f>
        <v>362.977.338-99</v>
      </c>
      <c r="G415" s="101"/>
      <c r="H415" s="101"/>
      <c r="I415" s="101"/>
      <c r="J415" s="101"/>
      <c r="K415" s="101"/>
      <c r="L415" s="101"/>
      <c r="M415" s="101"/>
      <c r="N415" s="101"/>
      <c r="O415" s="101"/>
      <c r="P415" s="101"/>
      <c r="Q415" s="101"/>
      <c r="R415" s="101"/>
      <c r="S415" s="101"/>
      <c r="T415" s="101"/>
      <c r="U415" s="101"/>
      <c r="V415" s="101"/>
      <c r="W415" s="101"/>
      <c r="X415" s="101"/>
      <c r="Y415" s="101"/>
      <c r="Z415" s="101"/>
    </row>
    <row r="416">
      <c r="A416" s="101"/>
      <c r="B416" s="101"/>
      <c r="C416" s="101" t="str">
        <f>IFERROR(__xludf.DUMMYFUNCTION("""COMPUTED_VALUE"""),"DONATELLA MAGNO DOS SANTOS")</f>
        <v>DONATELLA MAGNO DOS SANTOS</v>
      </c>
      <c r="D416" s="101" t="str">
        <f>IFERROR(__xludf.DUMMYFUNCTION("""COMPUTED_VALUE"""),"020.***.***-80")</f>
        <v>020.***.***-80</v>
      </c>
      <c r="E416" s="101">
        <f>IFERROR(__xludf.DUMMYFUNCTION("""COMPUTED_VALUE"""),2.0)</f>
        <v>2</v>
      </c>
      <c r="F416" s="101" t="str">
        <f>IFERROR(__xludf.DUMMYFUNCTION("""COMPUTED_VALUE"""),"020.089.502-80")</f>
        <v>020.089.502-80</v>
      </c>
      <c r="G416" s="101"/>
      <c r="H416" s="101"/>
      <c r="I416" s="101"/>
      <c r="J416" s="101"/>
      <c r="K416" s="101"/>
      <c r="L416" s="101"/>
      <c r="M416" s="101"/>
      <c r="N416" s="101"/>
      <c r="O416" s="101"/>
      <c r="P416" s="101"/>
      <c r="Q416" s="101"/>
      <c r="R416" s="101"/>
      <c r="S416" s="101"/>
      <c r="T416" s="101"/>
      <c r="U416" s="101"/>
      <c r="V416" s="101"/>
      <c r="W416" s="101"/>
      <c r="X416" s="101"/>
      <c r="Y416" s="101"/>
      <c r="Z416" s="101"/>
    </row>
    <row r="417">
      <c r="A417" s="101"/>
      <c r="B417" s="101"/>
      <c r="C417" s="101" t="str">
        <f>IFERROR(__xludf.DUMMYFUNCTION("""COMPUTED_VALUE"""),"KHAUA MORAIS REIS")</f>
        <v>KHAUA MORAIS REIS</v>
      </c>
      <c r="D417" s="101" t="str">
        <f>IFERROR(__xludf.DUMMYFUNCTION("""COMPUTED_VALUE"""),"593.***.***-75")</f>
        <v>593.***.***-75</v>
      </c>
      <c r="E417" s="101">
        <f>IFERROR(__xludf.DUMMYFUNCTION("""COMPUTED_VALUE"""),7.0)</f>
        <v>7</v>
      </c>
      <c r="F417" s="101" t="str">
        <f>IFERROR(__xludf.DUMMYFUNCTION("""COMPUTED_VALUE"""),"593.217.718-75")</f>
        <v>593.217.718-75</v>
      </c>
      <c r="G417" s="101"/>
      <c r="H417" s="101"/>
      <c r="I417" s="101"/>
      <c r="J417" s="101"/>
      <c r="K417" s="101"/>
      <c r="L417" s="101"/>
      <c r="M417" s="101"/>
      <c r="N417" s="101"/>
      <c r="O417" s="101"/>
      <c r="P417" s="101"/>
      <c r="Q417" s="101"/>
      <c r="R417" s="101"/>
      <c r="S417" s="101"/>
      <c r="T417" s="101"/>
      <c r="U417" s="101"/>
      <c r="V417" s="101"/>
      <c r="W417" s="101"/>
      <c r="X417" s="101"/>
      <c r="Y417" s="101"/>
      <c r="Z417" s="101"/>
    </row>
    <row r="418">
      <c r="A418" s="101"/>
      <c r="B418" s="101"/>
      <c r="C418" s="101" t="str">
        <f>IFERROR(__xludf.DUMMYFUNCTION("""COMPUTED_VALUE"""),"GABRIELLE SILVA SANTOS")</f>
        <v>GABRIELLE SILVA SANTOS</v>
      </c>
      <c r="D418" s="101" t="str">
        <f>IFERROR(__xludf.DUMMYFUNCTION("""COMPUTED_VALUE"""),"523.***.***-78")</f>
        <v>523.***.***-78</v>
      </c>
      <c r="E418" s="101">
        <f>IFERROR(__xludf.DUMMYFUNCTION("""COMPUTED_VALUE"""),5.0)</f>
        <v>5</v>
      </c>
      <c r="F418" s="101" t="str">
        <f>IFERROR(__xludf.DUMMYFUNCTION("""COMPUTED_VALUE"""),"523.974.768-78")</f>
        <v>523.974.768-78</v>
      </c>
      <c r="G418" s="101"/>
      <c r="H418" s="101"/>
      <c r="I418" s="101"/>
      <c r="J418" s="101"/>
      <c r="K418" s="101"/>
      <c r="L418" s="101"/>
      <c r="M418" s="101"/>
      <c r="N418" s="101"/>
      <c r="O418" s="101"/>
      <c r="P418" s="101"/>
      <c r="Q418" s="101"/>
      <c r="R418" s="101"/>
      <c r="S418" s="101"/>
      <c r="T418" s="101"/>
      <c r="U418" s="101"/>
      <c r="V418" s="101"/>
      <c r="W418" s="101"/>
      <c r="X418" s="101"/>
      <c r="Y418" s="101"/>
      <c r="Z418" s="101"/>
    </row>
    <row r="419">
      <c r="A419" s="101"/>
      <c r="B419" s="101"/>
      <c r="C419" s="101" t="str">
        <f>IFERROR(__xludf.DUMMYFUNCTION("""COMPUTED_VALUE"""),"LUNA SILVA")</f>
        <v>LUNA SILVA</v>
      </c>
      <c r="D419" s="101" t="str">
        <f>IFERROR(__xludf.DUMMYFUNCTION("""COMPUTED_VALUE"""),"445.***.***-71")</f>
        <v>445.***.***-71</v>
      </c>
      <c r="E419" s="101">
        <f>IFERROR(__xludf.DUMMYFUNCTION("""COMPUTED_VALUE"""),3.0)</f>
        <v>3</v>
      </c>
      <c r="F419" s="101" t="str">
        <f>IFERROR(__xludf.DUMMYFUNCTION("""COMPUTED_VALUE"""),"445.224.348-71")</f>
        <v>445.224.348-71</v>
      </c>
      <c r="G419" s="101"/>
      <c r="H419" s="101"/>
      <c r="I419" s="101"/>
      <c r="J419" s="101"/>
      <c r="K419" s="101"/>
      <c r="L419" s="101"/>
      <c r="M419" s="101"/>
      <c r="N419" s="101"/>
      <c r="O419" s="101"/>
      <c r="P419" s="101"/>
      <c r="Q419" s="101"/>
      <c r="R419" s="101"/>
      <c r="S419" s="101"/>
      <c r="T419" s="101"/>
      <c r="U419" s="101"/>
      <c r="V419" s="101"/>
      <c r="W419" s="101"/>
      <c r="X419" s="101"/>
      <c r="Y419" s="101"/>
      <c r="Z419" s="101"/>
    </row>
    <row r="420">
      <c r="A420" s="101"/>
      <c r="B420" s="101"/>
      <c r="C420" s="101" t="str">
        <f>IFERROR(__xludf.DUMMYFUNCTION("""COMPUTED_VALUE"""),"AMANDA SALES NASCIMENTO LUNA")</f>
        <v>AMANDA SALES NASCIMENTO LUNA</v>
      </c>
      <c r="D420" s="101" t="str">
        <f>IFERROR(__xludf.DUMMYFUNCTION("""COMPUTED_VALUE"""),"526.***.***-57")</f>
        <v>526.***.***-57</v>
      </c>
      <c r="E420" s="101">
        <f>IFERROR(__xludf.DUMMYFUNCTION("""COMPUTED_VALUE"""),1.0)</f>
        <v>1</v>
      </c>
      <c r="F420" s="101" t="str">
        <f>IFERROR(__xludf.DUMMYFUNCTION("""COMPUTED_VALUE"""),"526.779.558-57")</f>
        <v>526.779.558-57</v>
      </c>
      <c r="G420" s="101"/>
      <c r="H420" s="101"/>
      <c r="I420" s="101"/>
      <c r="J420" s="101"/>
      <c r="K420" s="101"/>
      <c r="L420" s="101"/>
      <c r="M420" s="101"/>
      <c r="N420" s="101"/>
      <c r="O420" s="101"/>
      <c r="P420" s="101"/>
      <c r="Q420" s="101"/>
      <c r="R420" s="101"/>
      <c r="S420" s="101"/>
      <c r="T420" s="101"/>
      <c r="U420" s="101"/>
      <c r="V420" s="101"/>
      <c r="W420" s="101"/>
      <c r="X420" s="101"/>
      <c r="Y420" s="101"/>
      <c r="Z420" s="101"/>
    </row>
    <row r="421">
      <c r="A421" s="101"/>
      <c r="B421" s="101"/>
      <c r="C421" s="101" t="str">
        <f>IFERROR(__xludf.DUMMYFUNCTION("""COMPUTED_VALUE"""),"GABRIELA MARQUES CHAVONGA")</f>
        <v>GABRIELA MARQUES CHAVONGA</v>
      </c>
      <c r="D421" s="101" t="str">
        <f>IFERROR(__xludf.DUMMYFUNCTION("""COMPUTED_VALUE"""),"452.***.***-85")</f>
        <v>452.***.***-85</v>
      </c>
      <c r="E421" s="101">
        <f>IFERROR(__xludf.DUMMYFUNCTION("""COMPUTED_VALUE"""),5.0)</f>
        <v>5</v>
      </c>
      <c r="F421" s="101" t="str">
        <f>IFERROR(__xludf.DUMMYFUNCTION("""COMPUTED_VALUE"""),"452.116.788-85")</f>
        <v>452.116.788-85</v>
      </c>
      <c r="G421" s="101"/>
      <c r="H421" s="101"/>
      <c r="I421" s="101"/>
      <c r="J421" s="101"/>
      <c r="K421" s="101"/>
      <c r="L421" s="101"/>
      <c r="M421" s="101"/>
      <c r="N421" s="101"/>
      <c r="O421" s="101"/>
      <c r="P421" s="101"/>
      <c r="Q421" s="101"/>
      <c r="R421" s="101"/>
      <c r="S421" s="101"/>
      <c r="T421" s="101"/>
      <c r="U421" s="101"/>
      <c r="V421" s="101"/>
      <c r="W421" s="101"/>
      <c r="X421" s="101"/>
      <c r="Y421" s="101"/>
      <c r="Z421" s="101"/>
    </row>
    <row r="422">
      <c r="A422" s="101"/>
      <c r="B422" s="101"/>
      <c r="C422" s="101" t="str">
        <f>IFERROR(__xludf.DUMMYFUNCTION("""COMPUTED_VALUE"""),"GABRIELA DOMINGUES DA SILVA")</f>
        <v>GABRIELA DOMINGUES DA SILVA</v>
      </c>
      <c r="D422" s="101" t="str">
        <f>IFERROR(__xludf.DUMMYFUNCTION("""COMPUTED_VALUE"""),"526.***.***-23")</f>
        <v>526.***.***-23</v>
      </c>
      <c r="E422" s="101">
        <f>IFERROR(__xludf.DUMMYFUNCTION("""COMPUTED_VALUE"""),4.0)</f>
        <v>4</v>
      </c>
      <c r="F422" s="101" t="str">
        <f>IFERROR(__xludf.DUMMYFUNCTION("""COMPUTED_VALUE"""),"526.138.338-23")</f>
        <v>526.138.338-23</v>
      </c>
      <c r="G422" s="101"/>
      <c r="H422" s="101"/>
      <c r="I422" s="101"/>
      <c r="J422" s="101"/>
      <c r="K422" s="101"/>
      <c r="L422" s="101"/>
      <c r="M422" s="101"/>
      <c r="N422" s="101"/>
      <c r="O422" s="101"/>
      <c r="P422" s="101"/>
      <c r="Q422" s="101"/>
      <c r="R422" s="101"/>
      <c r="S422" s="101"/>
      <c r="T422" s="101"/>
      <c r="U422" s="101"/>
      <c r="V422" s="101"/>
      <c r="W422" s="101"/>
      <c r="X422" s="101"/>
      <c r="Y422" s="101"/>
      <c r="Z422" s="101"/>
    </row>
    <row r="423">
      <c r="A423" s="101"/>
      <c r="B423" s="101"/>
      <c r="C423" s="101" t="str">
        <f>IFERROR(__xludf.DUMMYFUNCTION("""COMPUTED_VALUE"""),"CARLOS EDUARDO DE CASTRO GUERRA")</f>
        <v>CARLOS EDUARDO DE CASTRO GUERRA</v>
      </c>
      <c r="D423" s="101" t="str">
        <f>IFERROR(__xludf.DUMMYFUNCTION("""COMPUTED_VALUE"""),"555.***.***-80")</f>
        <v>555.***.***-80</v>
      </c>
      <c r="E423" s="101">
        <f>IFERROR(__xludf.DUMMYFUNCTION("""COMPUTED_VALUE"""),2.0)</f>
        <v>2</v>
      </c>
      <c r="F423" s="101" t="str">
        <f>IFERROR(__xludf.DUMMYFUNCTION("""COMPUTED_VALUE"""),"555.619.728-80")</f>
        <v>555.619.728-80</v>
      </c>
      <c r="G423" s="101"/>
      <c r="H423" s="101"/>
      <c r="I423" s="101"/>
      <c r="J423" s="101"/>
      <c r="K423" s="101"/>
      <c r="L423" s="101"/>
      <c r="M423" s="101"/>
      <c r="N423" s="101"/>
      <c r="O423" s="101"/>
      <c r="P423" s="101"/>
      <c r="Q423" s="101"/>
      <c r="R423" s="101"/>
      <c r="S423" s="101"/>
      <c r="T423" s="101"/>
      <c r="U423" s="101"/>
      <c r="V423" s="101"/>
      <c r="W423" s="101"/>
      <c r="X423" s="101"/>
      <c r="Y423" s="101"/>
      <c r="Z423" s="101"/>
    </row>
    <row r="424">
      <c r="A424" s="101"/>
      <c r="B424" s="101"/>
      <c r="C424" s="101" t="str">
        <f>IFERROR(__xludf.DUMMYFUNCTION("""COMPUTED_VALUE"""),"CASTIEL DE SOUSA MACHADO")</f>
        <v>CASTIEL DE SOUSA MACHADO</v>
      </c>
      <c r="D424" s="101" t="str">
        <f>IFERROR(__xludf.DUMMYFUNCTION("""COMPUTED_VALUE"""),"391.***.***-95")</f>
        <v>391.***.***-95</v>
      </c>
      <c r="E424" s="101">
        <f>IFERROR(__xludf.DUMMYFUNCTION("""COMPUTED_VALUE"""),1.0)</f>
        <v>1</v>
      </c>
      <c r="F424" s="101" t="str">
        <f>IFERROR(__xludf.DUMMYFUNCTION("""COMPUTED_VALUE"""),"391.326.818-95")</f>
        <v>391.326.818-95</v>
      </c>
      <c r="G424" s="101"/>
      <c r="H424" s="101"/>
      <c r="I424" s="101"/>
      <c r="J424" s="101"/>
      <c r="K424" s="101"/>
      <c r="L424" s="101"/>
      <c r="M424" s="101"/>
      <c r="N424" s="101"/>
      <c r="O424" s="101"/>
      <c r="P424" s="101"/>
      <c r="Q424" s="101"/>
      <c r="R424" s="101"/>
      <c r="S424" s="101"/>
      <c r="T424" s="101"/>
      <c r="U424" s="101"/>
      <c r="V424" s="101"/>
      <c r="W424" s="101"/>
      <c r="X424" s="101"/>
      <c r="Y424" s="101"/>
      <c r="Z424" s="101"/>
    </row>
    <row r="425">
      <c r="A425" s="101"/>
      <c r="B425" s="101"/>
      <c r="C425" s="101" t="str">
        <f>IFERROR(__xludf.DUMMYFUNCTION("""COMPUTED_VALUE"""),"MATEUS LUIZ SAMPAIO")</f>
        <v>MATEUS LUIZ SAMPAIO</v>
      </c>
      <c r="D425" s="101" t="str">
        <f>IFERROR(__xludf.DUMMYFUNCTION("""COMPUTED_VALUE"""),"456.***.***-31")</f>
        <v>456.***.***-31</v>
      </c>
      <c r="E425" s="101">
        <f>IFERROR(__xludf.DUMMYFUNCTION("""COMPUTED_VALUE"""),9.0)</f>
        <v>9</v>
      </c>
      <c r="F425" s="101" t="str">
        <f>IFERROR(__xludf.DUMMYFUNCTION("""COMPUTED_VALUE"""),"456.923.218-31")</f>
        <v>456.923.218-31</v>
      </c>
      <c r="G425" s="101"/>
      <c r="H425" s="101"/>
      <c r="I425" s="101"/>
      <c r="J425" s="101"/>
      <c r="K425" s="101"/>
      <c r="L425" s="101"/>
      <c r="M425" s="101"/>
      <c r="N425" s="101"/>
      <c r="O425" s="101"/>
      <c r="P425" s="101"/>
      <c r="Q425" s="101"/>
      <c r="R425" s="101"/>
      <c r="S425" s="101"/>
      <c r="T425" s="101"/>
      <c r="U425" s="101"/>
      <c r="V425" s="101"/>
      <c r="W425" s="101"/>
      <c r="X425" s="101"/>
      <c r="Y425" s="101"/>
      <c r="Z425" s="101"/>
    </row>
    <row r="426">
      <c r="A426" s="101"/>
      <c r="B426" s="101"/>
      <c r="C426" s="101" t="str">
        <f>IFERROR(__xludf.DUMMYFUNCTION("""COMPUTED_VALUE"""),"CA MORAIS")</f>
        <v>CA MORAIS</v>
      </c>
      <c r="D426" s="101" t="str">
        <f>IFERROR(__xludf.DUMMYFUNCTION("""COMPUTED_VALUE"""),"442.***.***-69")</f>
        <v>442.***.***-69</v>
      </c>
      <c r="E426" s="101">
        <f>IFERROR(__xludf.DUMMYFUNCTION("""COMPUTED_VALUE"""),2.0)</f>
        <v>2</v>
      </c>
      <c r="F426" s="101" t="str">
        <f>IFERROR(__xludf.DUMMYFUNCTION("""COMPUTED_VALUE"""),"442.142.968-69")</f>
        <v>442.142.968-69</v>
      </c>
      <c r="G426" s="101"/>
      <c r="H426" s="101"/>
      <c r="I426" s="101"/>
      <c r="J426" s="101"/>
      <c r="K426" s="101"/>
      <c r="L426" s="101"/>
      <c r="M426" s="101"/>
      <c r="N426" s="101"/>
      <c r="O426" s="101"/>
      <c r="P426" s="101"/>
      <c r="Q426" s="101"/>
      <c r="R426" s="101"/>
      <c r="S426" s="101"/>
      <c r="T426" s="101"/>
      <c r="U426" s="101"/>
      <c r="V426" s="101"/>
      <c r="W426" s="101"/>
      <c r="X426" s="101"/>
      <c r="Y426" s="101"/>
      <c r="Z426" s="101"/>
    </row>
    <row r="427">
      <c r="A427" s="101"/>
      <c r="B427" s="101"/>
      <c r="C427" s="101" t="str">
        <f>IFERROR(__xludf.DUMMYFUNCTION("""COMPUTED_VALUE"""),"NELIDA SANTOS SILVA")</f>
        <v>NELIDA SANTOS SILVA</v>
      </c>
      <c r="D427" s="101" t="str">
        <f>IFERROR(__xludf.DUMMYFUNCTION("""COMPUTED_VALUE"""),"487.***.***-60")</f>
        <v>487.***.***-60</v>
      </c>
      <c r="E427" s="101">
        <f>IFERROR(__xludf.DUMMYFUNCTION("""COMPUTED_VALUE"""),4.0)</f>
        <v>4</v>
      </c>
      <c r="F427" s="101" t="str">
        <f>IFERROR(__xludf.DUMMYFUNCTION("""COMPUTED_VALUE"""),"487.445.368-60")</f>
        <v>487.445.368-60</v>
      </c>
      <c r="G427" s="101"/>
      <c r="H427" s="101"/>
      <c r="I427" s="101"/>
      <c r="J427" s="101"/>
      <c r="K427" s="101"/>
      <c r="L427" s="101"/>
      <c r="M427" s="101"/>
      <c r="N427" s="101"/>
      <c r="O427" s="101"/>
      <c r="P427" s="101"/>
      <c r="Q427" s="101"/>
      <c r="R427" s="101"/>
      <c r="S427" s="101"/>
      <c r="T427" s="101"/>
      <c r="U427" s="101"/>
      <c r="V427" s="101"/>
      <c r="W427" s="101"/>
      <c r="X427" s="101"/>
      <c r="Y427" s="101"/>
      <c r="Z427" s="101"/>
    </row>
    <row r="428">
      <c r="A428" s="101"/>
      <c r="B428" s="101"/>
      <c r="C428" s="101" t="str">
        <f>IFERROR(__xludf.DUMMYFUNCTION("""COMPUTED_VALUE"""),"DANIEL REGINA DE ALEXANDRE SILVA")</f>
        <v>DANIEL REGINA DE ALEXANDRE SILVA</v>
      </c>
      <c r="D428" s="101" t="str">
        <f>IFERROR(__xludf.DUMMYFUNCTION("""COMPUTED_VALUE"""),"428.***.***-13")</f>
        <v>428.***.***-13</v>
      </c>
      <c r="E428" s="101">
        <f>IFERROR(__xludf.DUMMYFUNCTION("""COMPUTED_VALUE"""),2.0)</f>
        <v>2</v>
      </c>
      <c r="F428" s="101" t="str">
        <f>IFERROR(__xludf.DUMMYFUNCTION("""COMPUTED_VALUE"""),"428.363.248-13")</f>
        <v>428.363.248-13</v>
      </c>
      <c r="G428" s="101"/>
      <c r="H428" s="101"/>
      <c r="I428" s="101"/>
      <c r="J428" s="101"/>
      <c r="K428" s="101"/>
      <c r="L428" s="101"/>
      <c r="M428" s="101"/>
      <c r="N428" s="101"/>
      <c r="O428" s="101"/>
      <c r="P428" s="101"/>
      <c r="Q428" s="101"/>
      <c r="R428" s="101"/>
      <c r="S428" s="101"/>
      <c r="T428" s="101"/>
      <c r="U428" s="101"/>
      <c r="V428" s="101"/>
      <c r="W428" s="101"/>
      <c r="X428" s="101"/>
      <c r="Y428" s="101"/>
      <c r="Z428" s="101"/>
    </row>
    <row r="429">
      <c r="A429" s="101"/>
      <c r="B429" s="101"/>
      <c r="C429" s="101" t="str">
        <f>IFERROR(__xludf.DUMMYFUNCTION("""COMPUTED_VALUE"""),"MARIA CLARA BATISTA DOS ANJOS CANGUSSU")</f>
        <v>MARIA CLARA BATISTA DOS ANJOS CANGUSSU</v>
      </c>
      <c r="D429" s="101" t="str">
        <f>IFERROR(__xludf.DUMMYFUNCTION("""COMPUTED_VALUE"""),"519.***.***-97")</f>
        <v>519.***.***-97</v>
      </c>
      <c r="E429" s="101">
        <f>IFERROR(__xludf.DUMMYFUNCTION("""COMPUTED_VALUE"""),12.0)</f>
        <v>12</v>
      </c>
      <c r="F429" s="101" t="str">
        <f>IFERROR(__xludf.DUMMYFUNCTION("""COMPUTED_VALUE"""),"519.056.058-97")</f>
        <v>519.056.058-97</v>
      </c>
      <c r="G429" s="101"/>
      <c r="H429" s="101"/>
      <c r="I429" s="101"/>
      <c r="J429" s="101"/>
      <c r="K429" s="101"/>
      <c r="L429" s="101"/>
      <c r="M429" s="101"/>
      <c r="N429" s="101"/>
      <c r="O429" s="101"/>
      <c r="P429" s="101"/>
      <c r="Q429" s="101"/>
      <c r="R429" s="101"/>
      <c r="S429" s="101"/>
      <c r="T429" s="101"/>
      <c r="U429" s="101"/>
      <c r="V429" s="101"/>
      <c r="W429" s="101"/>
      <c r="X429" s="101"/>
      <c r="Y429" s="101"/>
      <c r="Z429" s="101"/>
    </row>
    <row r="430">
      <c r="A430" s="101"/>
      <c r="B430" s="101"/>
      <c r="C430" s="101" t="str">
        <f>IFERROR(__xludf.DUMMYFUNCTION("""COMPUTED_VALUE"""),"MARISSA STHEFANIE DA SILVA RAMOS")</f>
        <v>MARISSA STHEFANIE DA SILVA RAMOS</v>
      </c>
      <c r="D430" s="101" t="str">
        <f>IFERROR(__xludf.DUMMYFUNCTION("""COMPUTED_VALUE"""),"424.***.***-75")</f>
        <v>424.***.***-75</v>
      </c>
      <c r="E430" s="101">
        <f>IFERROR(__xludf.DUMMYFUNCTION("""COMPUTED_VALUE"""),12.0)</f>
        <v>12</v>
      </c>
      <c r="F430" s="101" t="str">
        <f>IFERROR(__xludf.DUMMYFUNCTION("""COMPUTED_VALUE"""),"424.415.318-75")</f>
        <v>424.415.318-75</v>
      </c>
      <c r="G430" s="101"/>
      <c r="H430" s="101"/>
      <c r="I430" s="101"/>
      <c r="J430" s="101"/>
      <c r="K430" s="101"/>
      <c r="L430" s="101"/>
      <c r="M430" s="101"/>
      <c r="N430" s="101"/>
      <c r="O430" s="101"/>
      <c r="P430" s="101"/>
      <c r="Q430" s="101"/>
      <c r="R430" s="101"/>
      <c r="S430" s="101"/>
      <c r="T430" s="101"/>
      <c r="U430" s="101"/>
      <c r="V430" s="101"/>
      <c r="W430" s="101"/>
      <c r="X430" s="101"/>
      <c r="Y430" s="101"/>
      <c r="Z430" s="101"/>
    </row>
    <row r="431">
      <c r="A431" s="101"/>
      <c r="B431" s="101"/>
      <c r="C431" s="101" t="str">
        <f>IFERROR(__xludf.DUMMYFUNCTION("""COMPUTED_VALUE"""),"RUBY MAXIMO DOS SANTOS FIGUEIREDO")</f>
        <v>RUBY MAXIMO DOS SANTOS FIGUEIREDO</v>
      </c>
      <c r="D431" s="101" t="str">
        <f>IFERROR(__xludf.DUMMYFUNCTION("""COMPUTED_VALUE"""),"519.***.***-51")</f>
        <v>519.***.***-51</v>
      </c>
      <c r="E431" s="101">
        <f>IFERROR(__xludf.DUMMYFUNCTION("""COMPUTED_VALUE"""),9.0)</f>
        <v>9</v>
      </c>
      <c r="F431" s="101" t="str">
        <f>IFERROR(__xludf.DUMMYFUNCTION("""COMPUTED_VALUE"""),"519.395.728-51")</f>
        <v>519.395.728-51</v>
      </c>
      <c r="G431" s="101"/>
      <c r="H431" s="101"/>
      <c r="I431" s="101"/>
      <c r="J431" s="101"/>
      <c r="K431" s="101"/>
      <c r="L431" s="101"/>
      <c r="M431" s="101"/>
      <c r="N431" s="101"/>
      <c r="O431" s="101"/>
      <c r="P431" s="101"/>
      <c r="Q431" s="101"/>
      <c r="R431" s="101"/>
      <c r="S431" s="101"/>
      <c r="T431" s="101"/>
      <c r="U431" s="101"/>
      <c r="V431" s="101"/>
      <c r="W431" s="101"/>
      <c r="X431" s="101"/>
      <c r="Y431" s="101"/>
      <c r="Z431" s="101"/>
    </row>
    <row r="432">
      <c r="A432" s="101"/>
      <c r="B432" s="101"/>
      <c r="C432" s="101" t="str">
        <f>IFERROR(__xludf.DUMMYFUNCTION("""COMPUTED_VALUE"""),"MARTIN CARVALHO")</f>
        <v>MARTIN CARVALHO</v>
      </c>
      <c r="D432" s="101" t="str">
        <f>IFERROR(__xludf.DUMMYFUNCTION("""COMPUTED_VALUE"""),"470.***.***-71")</f>
        <v>470.***.***-71</v>
      </c>
      <c r="E432" s="101">
        <f>IFERROR(__xludf.DUMMYFUNCTION("""COMPUTED_VALUE"""),3.0)</f>
        <v>3</v>
      </c>
      <c r="F432" s="101" t="str">
        <f>IFERROR(__xludf.DUMMYFUNCTION("""COMPUTED_VALUE"""),"470.730.618-71")</f>
        <v>470.730.618-71</v>
      </c>
      <c r="G432" s="101"/>
      <c r="H432" s="101"/>
      <c r="I432" s="101"/>
      <c r="J432" s="101"/>
      <c r="K432" s="101"/>
      <c r="L432" s="101"/>
      <c r="M432" s="101"/>
      <c r="N432" s="101"/>
      <c r="O432" s="101"/>
      <c r="P432" s="101"/>
      <c r="Q432" s="101"/>
      <c r="R432" s="101"/>
      <c r="S432" s="101"/>
      <c r="T432" s="101"/>
      <c r="U432" s="101"/>
      <c r="V432" s="101"/>
      <c r="W432" s="101"/>
      <c r="X432" s="101"/>
      <c r="Y432" s="101"/>
      <c r="Z432" s="101"/>
    </row>
    <row r="433">
      <c r="A433" s="101"/>
      <c r="B433" s="101"/>
      <c r="C433" s="101" t="str">
        <f>IFERROR(__xludf.DUMMYFUNCTION("""COMPUTED_VALUE"""),"MARIA ELOISA SENA LIMA DE SALES")</f>
        <v>MARIA ELOISA SENA LIMA DE SALES</v>
      </c>
      <c r="D433" s="101" t="str">
        <f>IFERROR(__xludf.DUMMYFUNCTION("""COMPUTED_VALUE"""),"574.***.***-03")</f>
        <v>574.***.***-03</v>
      </c>
      <c r="E433" s="101">
        <f>IFERROR(__xludf.DUMMYFUNCTION("""COMPUTED_VALUE"""),8.0)</f>
        <v>8</v>
      </c>
      <c r="F433" s="101" t="str">
        <f>IFERROR(__xludf.DUMMYFUNCTION("""COMPUTED_VALUE"""),"574.548.828-03")</f>
        <v>574.548.828-03</v>
      </c>
      <c r="G433" s="101"/>
      <c r="H433" s="101"/>
      <c r="I433" s="101"/>
      <c r="J433" s="101"/>
      <c r="K433" s="101"/>
      <c r="L433" s="101"/>
      <c r="M433" s="101"/>
      <c r="N433" s="101"/>
      <c r="O433" s="101"/>
      <c r="P433" s="101"/>
      <c r="Q433" s="101"/>
      <c r="R433" s="101"/>
      <c r="S433" s="101"/>
      <c r="T433" s="101"/>
      <c r="U433" s="101"/>
      <c r="V433" s="101"/>
      <c r="W433" s="101"/>
      <c r="X433" s="101"/>
      <c r="Y433" s="101"/>
      <c r="Z433" s="101"/>
    </row>
    <row r="434">
      <c r="A434" s="101"/>
      <c r="B434" s="101"/>
      <c r="C434" s="101" t="str">
        <f>IFERROR(__xludf.DUMMYFUNCTION("""COMPUTED_VALUE"""),"CIBELE MAXIMO DA SILVA")</f>
        <v>CIBELE MAXIMO DA SILVA</v>
      </c>
      <c r="D434" s="101" t="str">
        <f>IFERROR(__xludf.DUMMYFUNCTION("""COMPUTED_VALUE"""),"469.***.***-70")</f>
        <v>469.***.***-70</v>
      </c>
      <c r="E434" s="101">
        <f>IFERROR(__xludf.DUMMYFUNCTION("""COMPUTED_VALUE"""),2.0)</f>
        <v>2</v>
      </c>
      <c r="F434" s="101" t="str">
        <f>IFERROR(__xludf.DUMMYFUNCTION("""COMPUTED_VALUE"""),"469.209.568-70")</f>
        <v>469.209.568-70</v>
      </c>
      <c r="G434" s="101"/>
      <c r="H434" s="101"/>
      <c r="I434" s="101"/>
      <c r="J434" s="101"/>
      <c r="K434" s="101"/>
      <c r="L434" s="101"/>
      <c r="M434" s="101"/>
      <c r="N434" s="101"/>
      <c r="O434" s="101"/>
      <c r="P434" s="101"/>
      <c r="Q434" s="101"/>
      <c r="R434" s="101"/>
      <c r="S434" s="101"/>
      <c r="T434" s="101"/>
      <c r="U434" s="101"/>
      <c r="V434" s="101"/>
      <c r="W434" s="101"/>
      <c r="X434" s="101"/>
      <c r="Y434" s="101"/>
      <c r="Z434" s="101"/>
    </row>
    <row r="435">
      <c r="A435" s="101"/>
      <c r="B435" s="101"/>
      <c r="C435" s="101" t="str">
        <f>IFERROR(__xludf.DUMMYFUNCTION("""COMPUTED_VALUE"""),"HELOISA DE JESUS RIBEIRO")</f>
        <v>HELOISA DE JESUS RIBEIRO</v>
      </c>
      <c r="D435" s="101" t="str">
        <f>IFERROR(__xludf.DUMMYFUNCTION("""COMPUTED_VALUE"""),"500.***.***-02")</f>
        <v>500.***.***-02</v>
      </c>
      <c r="E435" s="101">
        <f>IFERROR(__xludf.DUMMYFUNCTION("""COMPUTED_VALUE"""),6.0)</f>
        <v>6</v>
      </c>
      <c r="F435" s="101" t="str">
        <f>IFERROR(__xludf.DUMMYFUNCTION("""COMPUTED_VALUE"""),"500.558.568-02")</f>
        <v>500.558.568-02</v>
      </c>
      <c r="G435" s="101"/>
      <c r="H435" s="101"/>
      <c r="I435" s="101"/>
      <c r="J435" s="101"/>
      <c r="K435" s="101"/>
      <c r="L435" s="101"/>
      <c r="M435" s="101"/>
      <c r="N435" s="101"/>
      <c r="O435" s="101"/>
      <c r="P435" s="101"/>
      <c r="Q435" s="101"/>
      <c r="R435" s="101"/>
      <c r="S435" s="101"/>
      <c r="T435" s="101"/>
      <c r="U435" s="101"/>
      <c r="V435" s="101"/>
      <c r="W435" s="101"/>
      <c r="X435" s="101"/>
      <c r="Y435" s="101"/>
      <c r="Z435" s="101"/>
    </row>
    <row r="436">
      <c r="A436" s="101"/>
      <c r="B436" s="101"/>
      <c r="C436" s="101" t="str">
        <f>IFERROR(__xludf.DUMMYFUNCTION("""COMPUTED_VALUE"""),"GABRIELLY NUNES DE FREITAS FARIAS")</f>
        <v>GABRIELLY NUNES DE FREITAS FARIAS</v>
      </c>
      <c r="D436" s="101" t="str">
        <f>IFERROR(__xludf.DUMMYFUNCTION("""COMPUTED_VALUE"""),"493.***.***-88")</f>
        <v>493.***.***-88</v>
      </c>
      <c r="E436" s="101">
        <f>IFERROR(__xludf.DUMMYFUNCTION("""COMPUTED_VALUE"""),5.0)</f>
        <v>5</v>
      </c>
      <c r="F436" s="101" t="str">
        <f>IFERROR(__xludf.DUMMYFUNCTION("""COMPUTED_VALUE"""),"493.886.408-88")</f>
        <v>493.886.408-88</v>
      </c>
      <c r="G436" s="101"/>
      <c r="H436" s="101"/>
      <c r="I436" s="101"/>
      <c r="J436" s="101"/>
      <c r="K436" s="101"/>
      <c r="L436" s="101"/>
      <c r="M436" s="101"/>
      <c r="N436" s="101"/>
      <c r="O436" s="101"/>
      <c r="P436" s="101"/>
      <c r="Q436" s="101"/>
      <c r="R436" s="101"/>
      <c r="S436" s="101"/>
      <c r="T436" s="101"/>
      <c r="U436" s="101"/>
      <c r="V436" s="101"/>
      <c r="W436" s="101"/>
      <c r="X436" s="101"/>
      <c r="Y436" s="101"/>
      <c r="Z436" s="101"/>
    </row>
    <row r="437">
      <c r="A437" s="101"/>
      <c r="B437" s="101"/>
      <c r="C437" s="101" t="str">
        <f>IFERROR(__xludf.DUMMYFUNCTION("""COMPUTED_VALUE"""),"MARCO AUGUSTO DE SOUSA SILVA")</f>
        <v>MARCO AUGUSTO DE SOUSA SILVA</v>
      </c>
      <c r="D437" s="101" t="str">
        <f>IFERROR(__xludf.DUMMYFUNCTION("""COMPUTED_VALUE"""),"518.***.***-31")</f>
        <v>518.***.***-31</v>
      </c>
      <c r="E437" s="101">
        <f>IFERROR(__xludf.DUMMYFUNCTION("""COMPUTED_VALUE"""),7.0)</f>
        <v>7</v>
      </c>
      <c r="F437" s="101" t="str">
        <f>IFERROR(__xludf.DUMMYFUNCTION("""COMPUTED_VALUE"""),"518.101.798-31")</f>
        <v>518.101.798-31</v>
      </c>
      <c r="G437" s="101"/>
      <c r="H437" s="101"/>
      <c r="I437" s="101"/>
      <c r="J437" s="101"/>
      <c r="K437" s="101"/>
      <c r="L437" s="101"/>
      <c r="M437" s="101"/>
      <c r="N437" s="101"/>
      <c r="O437" s="101"/>
      <c r="P437" s="101"/>
      <c r="Q437" s="101"/>
      <c r="R437" s="101"/>
      <c r="S437" s="101"/>
      <c r="T437" s="101"/>
      <c r="U437" s="101"/>
      <c r="V437" s="101"/>
      <c r="W437" s="101"/>
      <c r="X437" s="101"/>
      <c r="Y437" s="101"/>
      <c r="Z437" s="101"/>
    </row>
    <row r="438">
      <c r="A438" s="101"/>
      <c r="B438" s="101"/>
      <c r="C438" s="101" t="str">
        <f>IFERROR(__xludf.DUMMYFUNCTION("""COMPUTED_VALUE"""),"JULIA DE  OLIVEIRA  SILVA")</f>
        <v>JULIA DE  OLIVEIRA  SILVA</v>
      </c>
      <c r="D438" s="101" t="str">
        <f>IFERROR(__xludf.DUMMYFUNCTION("""COMPUTED_VALUE"""),"544.***.***-89")</f>
        <v>544.***.***-89</v>
      </c>
      <c r="E438" s="101">
        <f>IFERROR(__xludf.DUMMYFUNCTION("""COMPUTED_VALUE"""),8.0)</f>
        <v>8</v>
      </c>
      <c r="F438" s="101" t="str">
        <f>IFERROR(__xludf.DUMMYFUNCTION("""COMPUTED_VALUE"""),"544.288.198-89")</f>
        <v>544.288.198-89</v>
      </c>
      <c r="G438" s="101"/>
      <c r="H438" s="101"/>
      <c r="I438" s="101"/>
      <c r="J438" s="101"/>
      <c r="K438" s="101"/>
      <c r="L438" s="101"/>
      <c r="M438" s="101"/>
      <c r="N438" s="101"/>
      <c r="O438" s="101"/>
      <c r="P438" s="101"/>
      <c r="Q438" s="101"/>
      <c r="R438" s="101"/>
      <c r="S438" s="101"/>
      <c r="T438" s="101"/>
      <c r="U438" s="101"/>
      <c r="V438" s="101"/>
      <c r="W438" s="101"/>
      <c r="X438" s="101"/>
      <c r="Y438" s="101"/>
      <c r="Z438" s="101"/>
    </row>
    <row r="439">
      <c r="A439" s="101"/>
      <c r="B439" s="101"/>
      <c r="C439" s="101" t="str">
        <f>IFERROR(__xludf.DUMMYFUNCTION("""COMPUTED_VALUE"""),"KETLEN LIZANDRA DA SILVA SOUZA")</f>
        <v>KETLEN LIZANDRA DA SILVA SOUZA</v>
      </c>
      <c r="D439" s="101" t="str">
        <f>IFERROR(__xludf.DUMMYFUNCTION("""COMPUTED_VALUE"""),"432.***.***-58")</f>
        <v>432.***.***-58</v>
      </c>
      <c r="E439" s="101">
        <f>IFERROR(__xludf.DUMMYFUNCTION("""COMPUTED_VALUE"""),10.0)</f>
        <v>10</v>
      </c>
      <c r="F439" s="101" t="str">
        <f>IFERROR(__xludf.DUMMYFUNCTION("""COMPUTED_VALUE"""),"432.889.008-58")</f>
        <v>432.889.008-58</v>
      </c>
      <c r="G439" s="101"/>
      <c r="H439" s="101"/>
      <c r="I439" s="101"/>
      <c r="J439" s="101"/>
      <c r="K439" s="101"/>
      <c r="L439" s="101"/>
      <c r="M439" s="101"/>
      <c r="N439" s="101"/>
      <c r="O439" s="101"/>
      <c r="P439" s="101"/>
      <c r="Q439" s="101"/>
      <c r="R439" s="101"/>
      <c r="S439" s="101"/>
      <c r="T439" s="101"/>
      <c r="U439" s="101"/>
      <c r="V439" s="101"/>
      <c r="W439" s="101"/>
      <c r="X439" s="101"/>
      <c r="Y439" s="101"/>
      <c r="Z439" s="101"/>
    </row>
    <row r="440">
      <c r="A440" s="101"/>
      <c r="B440" s="101"/>
      <c r="C440" s="101" t="str">
        <f>IFERROR(__xludf.DUMMYFUNCTION("""COMPUTED_VALUE"""),"RYAN SILVA FELIX")</f>
        <v>RYAN SILVA FELIX</v>
      </c>
      <c r="D440" s="101" t="str">
        <f>IFERROR(__xludf.DUMMYFUNCTION("""COMPUTED_VALUE"""),"460.***.***-48")</f>
        <v>460.***.***-48</v>
      </c>
      <c r="E440" s="101">
        <f>IFERROR(__xludf.DUMMYFUNCTION("""COMPUTED_VALUE"""),15.0)</f>
        <v>15</v>
      </c>
      <c r="F440" s="101" t="str">
        <f>IFERROR(__xludf.DUMMYFUNCTION("""COMPUTED_VALUE"""),"460.725.928-48")</f>
        <v>460.725.928-48</v>
      </c>
      <c r="G440" s="101"/>
      <c r="H440" s="101"/>
      <c r="I440" s="101"/>
      <c r="J440" s="101"/>
      <c r="K440" s="101"/>
      <c r="L440" s="101"/>
      <c r="M440" s="101"/>
      <c r="N440" s="101"/>
      <c r="O440" s="101"/>
      <c r="P440" s="101"/>
      <c r="Q440" s="101"/>
      <c r="R440" s="101"/>
      <c r="S440" s="101"/>
      <c r="T440" s="101"/>
      <c r="U440" s="101"/>
      <c r="V440" s="101"/>
      <c r="W440" s="101"/>
      <c r="X440" s="101"/>
      <c r="Y440" s="101"/>
      <c r="Z440" s="101"/>
    </row>
    <row r="441">
      <c r="A441" s="101"/>
      <c r="B441" s="101"/>
      <c r="C441" s="101" t="str">
        <f>IFERROR(__xludf.DUMMYFUNCTION("""COMPUTED_VALUE"""),"GABRIEL NATEL TAVARES")</f>
        <v>GABRIEL NATEL TAVARES</v>
      </c>
      <c r="D441" s="101" t="str">
        <f>IFERROR(__xludf.DUMMYFUNCTION("""COMPUTED_VALUE"""),"426.***.***-41")</f>
        <v>426.***.***-41</v>
      </c>
      <c r="E441" s="101">
        <f>IFERROR(__xludf.DUMMYFUNCTION("""COMPUTED_VALUE"""),3.0)</f>
        <v>3</v>
      </c>
      <c r="F441" s="101" t="str">
        <f>IFERROR(__xludf.DUMMYFUNCTION("""COMPUTED_VALUE"""),"426.740.808-41")</f>
        <v>426.740.808-41</v>
      </c>
      <c r="G441" s="101"/>
      <c r="H441" s="101"/>
      <c r="I441" s="101"/>
      <c r="J441" s="101"/>
      <c r="K441" s="101"/>
      <c r="L441" s="101"/>
      <c r="M441" s="101"/>
      <c r="N441" s="101"/>
      <c r="O441" s="101"/>
      <c r="P441" s="101"/>
      <c r="Q441" s="101"/>
      <c r="R441" s="101"/>
      <c r="S441" s="101"/>
      <c r="T441" s="101"/>
      <c r="U441" s="101"/>
      <c r="V441" s="101"/>
      <c r="W441" s="101"/>
      <c r="X441" s="101"/>
      <c r="Y441" s="101"/>
      <c r="Z441" s="101"/>
    </row>
    <row r="442">
      <c r="A442" s="101"/>
      <c r="B442" s="101"/>
      <c r="C442" s="101" t="str">
        <f>IFERROR(__xludf.DUMMYFUNCTION("""COMPUTED_VALUE"""),"RIAN NOGUEIRA FELIX")</f>
        <v>RIAN NOGUEIRA FELIX</v>
      </c>
      <c r="D442" s="101" t="str">
        <f>IFERROR(__xludf.DUMMYFUNCTION("""COMPUTED_VALUE"""),"537.***.***-27")</f>
        <v>537.***.***-27</v>
      </c>
      <c r="E442" s="101">
        <f>IFERROR(__xludf.DUMMYFUNCTION("""COMPUTED_VALUE"""),15.0)</f>
        <v>15</v>
      </c>
      <c r="F442" s="101" t="str">
        <f>IFERROR(__xludf.DUMMYFUNCTION("""COMPUTED_VALUE"""),"537.665.338-27")</f>
        <v>537.665.338-27</v>
      </c>
      <c r="G442" s="101"/>
      <c r="H442" s="101"/>
      <c r="I442" s="101"/>
      <c r="J442" s="101"/>
      <c r="K442" s="101"/>
      <c r="L442" s="101"/>
      <c r="M442" s="101"/>
      <c r="N442" s="101"/>
      <c r="O442" s="101"/>
      <c r="P442" s="101"/>
      <c r="Q442" s="101"/>
      <c r="R442" s="101"/>
      <c r="S442" s="101"/>
      <c r="T442" s="101"/>
      <c r="U442" s="101"/>
      <c r="V442" s="101"/>
      <c r="W442" s="101"/>
      <c r="X442" s="101"/>
      <c r="Y442" s="101"/>
      <c r="Z442" s="101"/>
    </row>
    <row r="443">
      <c r="A443" s="101"/>
      <c r="B443" s="101"/>
      <c r="C443" s="101" t="str">
        <f>IFERROR(__xludf.DUMMYFUNCTION("""COMPUTED_VALUE"""),"JESSICA ANDRADE")</f>
        <v>JESSICA ANDRADE</v>
      </c>
      <c r="D443" s="101" t="str">
        <f>IFERROR(__xludf.DUMMYFUNCTION("""COMPUTED_VALUE"""),"361.***.***-00")</f>
        <v>361.***.***-00</v>
      </c>
      <c r="E443" s="101">
        <f>IFERROR(__xludf.DUMMYFUNCTION("""COMPUTED_VALUE"""),5.0)</f>
        <v>5</v>
      </c>
      <c r="F443" s="101" t="str">
        <f>IFERROR(__xludf.DUMMYFUNCTION("""COMPUTED_VALUE"""),"361.226.978-00")</f>
        <v>361.226.978-00</v>
      </c>
      <c r="G443" s="101"/>
      <c r="H443" s="101"/>
      <c r="I443" s="101"/>
      <c r="J443" s="101"/>
      <c r="K443" s="101"/>
      <c r="L443" s="101"/>
      <c r="M443" s="101"/>
      <c r="N443" s="101"/>
      <c r="O443" s="101"/>
      <c r="P443" s="101"/>
      <c r="Q443" s="101"/>
      <c r="R443" s="101"/>
      <c r="S443" s="101"/>
      <c r="T443" s="101"/>
      <c r="U443" s="101"/>
      <c r="V443" s="101"/>
      <c r="W443" s="101"/>
      <c r="X443" s="101"/>
      <c r="Y443" s="101"/>
      <c r="Z443" s="101"/>
    </row>
    <row r="444">
      <c r="A444" s="101"/>
      <c r="B444" s="101"/>
      <c r="C444" s="101" t="str">
        <f>IFERROR(__xludf.DUMMYFUNCTION("""COMPUTED_VALUE"""),"ÁRYS DE JESUS OLIVEIRA ROCHA")</f>
        <v>ÁRYS DE JESUS OLIVEIRA ROCHA</v>
      </c>
      <c r="D444" s="101" t="str">
        <f>IFERROR(__xludf.DUMMYFUNCTION("""COMPUTED_VALUE"""),"581.***.***-54")</f>
        <v>581.***.***-54</v>
      </c>
      <c r="E444" s="101">
        <f>IFERROR(__xludf.DUMMYFUNCTION("""COMPUTED_VALUE"""),2.0)</f>
        <v>2</v>
      </c>
      <c r="F444" s="101" t="str">
        <f>IFERROR(__xludf.DUMMYFUNCTION("""COMPUTED_VALUE"""),"581.519.098-54")</f>
        <v>581.519.098-54</v>
      </c>
      <c r="G444" s="101"/>
      <c r="H444" s="101"/>
      <c r="I444" s="101"/>
      <c r="J444" s="101"/>
      <c r="K444" s="101"/>
      <c r="L444" s="101"/>
      <c r="M444" s="101"/>
      <c r="N444" s="101"/>
      <c r="O444" s="101"/>
      <c r="P444" s="101"/>
      <c r="Q444" s="101"/>
      <c r="R444" s="101"/>
      <c r="S444" s="101"/>
      <c r="T444" s="101"/>
      <c r="U444" s="101"/>
      <c r="V444" s="101"/>
      <c r="W444" s="101"/>
      <c r="X444" s="101"/>
      <c r="Y444" s="101"/>
      <c r="Z444" s="101"/>
    </row>
    <row r="445">
      <c r="A445" s="101"/>
      <c r="B445" s="101"/>
      <c r="C445" s="101" t="str">
        <f>IFERROR(__xludf.DUMMYFUNCTION("""COMPUTED_VALUE"""),"ANA BEATRIZ SILVA CORREIA")</f>
        <v>ANA BEATRIZ SILVA CORREIA</v>
      </c>
      <c r="D445" s="101" t="str">
        <f>IFERROR(__xludf.DUMMYFUNCTION("""COMPUTED_VALUE"""),"506.***.***-97")</f>
        <v>506.***.***-97</v>
      </c>
      <c r="E445" s="101">
        <f>IFERROR(__xludf.DUMMYFUNCTION("""COMPUTED_VALUE"""),1.0)</f>
        <v>1</v>
      </c>
      <c r="F445" s="101" t="str">
        <f>IFERROR(__xludf.DUMMYFUNCTION("""COMPUTED_VALUE"""),"506.165.538-97")</f>
        <v>506.165.538-97</v>
      </c>
      <c r="G445" s="101"/>
      <c r="H445" s="101"/>
      <c r="I445" s="101"/>
      <c r="J445" s="101"/>
      <c r="K445" s="101"/>
      <c r="L445" s="101"/>
      <c r="M445" s="101"/>
      <c r="N445" s="101"/>
      <c r="O445" s="101"/>
      <c r="P445" s="101"/>
      <c r="Q445" s="101"/>
      <c r="R445" s="101"/>
      <c r="S445" s="101"/>
      <c r="T445" s="101"/>
      <c r="U445" s="101"/>
      <c r="V445" s="101"/>
      <c r="W445" s="101"/>
      <c r="X445" s="101"/>
      <c r="Y445" s="101"/>
      <c r="Z445" s="101"/>
    </row>
    <row r="446">
      <c r="A446" s="101"/>
      <c r="B446" s="101"/>
      <c r="C446" s="101" t="str">
        <f>IFERROR(__xludf.DUMMYFUNCTION("""COMPUTED_VALUE"""),"PAULO HENRIQUE MEDEIROS MACHADO")</f>
        <v>PAULO HENRIQUE MEDEIROS MACHADO</v>
      </c>
      <c r="D446" s="101" t="str">
        <f>IFERROR(__xludf.DUMMYFUNCTION("""COMPUTED_VALUE"""),"496.***.***-83")</f>
        <v>496.***.***-83</v>
      </c>
      <c r="E446" s="101">
        <f>IFERROR(__xludf.DUMMYFUNCTION("""COMPUTED_VALUE"""),8.0)</f>
        <v>8</v>
      </c>
      <c r="F446" s="101" t="str">
        <f>IFERROR(__xludf.DUMMYFUNCTION("""COMPUTED_VALUE"""),"496.920.068-83")</f>
        <v>496.920.068-83</v>
      </c>
      <c r="G446" s="101"/>
      <c r="H446" s="101"/>
      <c r="I446" s="101"/>
      <c r="J446" s="101"/>
      <c r="K446" s="101"/>
      <c r="L446" s="101"/>
      <c r="M446" s="101"/>
      <c r="N446" s="101"/>
      <c r="O446" s="101"/>
      <c r="P446" s="101"/>
      <c r="Q446" s="101"/>
      <c r="R446" s="101"/>
      <c r="S446" s="101"/>
      <c r="T446" s="101"/>
      <c r="U446" s="101"/>
      <c r="V446" s="101"/>
      <c r="W446" s="101"/>
      <c r="X446" s="101"/>
      <c r="Y446" s="101"/>
      <c r="Z446" s="101"/>
    </row>
    <row r="447">
      <c r="A447" s="101"/>
      <c r="B447" s="101"/>
      <c r="C447" s="101" t="str">
        <f>IFERROR(__xludf.DUMMYFUNCTION("""COMPUTED_VALUE"""),"BEATRIZ MARTINS SCARCELLI")</f>
        <v>BEATRIZ MARTINS SCARCELLI</v>
      </c>
      <c r="D447" s="101" t="str">
        <f>IFERROR(__xludf.DUMMYFUNCTION("""COMPUTED_VALUE"""),"444.***.***-60")</f>
        <v>444.***.***-60</v>
      </c>
      <c r="E447" s="101">
        <f>IFERROR(__xludf.DUMMYFUNCTION("""COMPUTED_VALUE"""),2.0)</f>
        <v>2</v>
      </c>
      <c r="F447" s="101" t="str">
        <f>IFERROR(__xludf.DUMMYFUNCTION("""COMPUTED_VALUE"""),"444.471.898-60")</f>
        <v>444.471.898-60</v>
      </c>
      <c r="G447" s="101"/>
      <c r="H447" s="101"/>
      <c r="I447" s="101"/>
      <c r="J447" s="101"/>
      <c r="K447" s="101"/>
      <c r="L447" s="101"/>
      <c r="M447" s="101"/>
      <c r="N447" s="101"/>
      <c r="O447" s="101"/>
      <c r="P447" s="101"/>
      <c r="Q447" s="101"/>
      <c r="R447" s="101"/>
      <c r="S447" s="101"/>
      <c r="T447" s="101"/>
      <c r="U447" s="101"/>
      <c r="V447" s="101"/>
      <c r="W447" s="101"/>
      <c r="X447" s="101"/>
      <c r="Y447" s="101"/>
      <c r="Z447" s="101"/>
    </row>
    <row r="448">
      <c r="A448" s="101"/>
      <c r="B448" s="101"/>
      <c r="C448" s="101" t="str">
        <f>IFERROR(__xludf.DUMMYFUNCTION("""COMPUTED_VALUE"""),"AKIN CANDIDO DE LIMA")</f>
        <v>AKIN CANDIDO DE LIMA</v>
      </c>
      <c r="D448" s="101" t="str">
        <f>IFERROR(__xludf.DUMMYFUNCTION("""COMPUTED_VALUE"""),"400.***.***-14")</f>
        <v>400.***.***-14</v>
      </c>
      <c r="E448" s="101">
        <f>IFERROR(__xludf.DUMMYFUNCTION("""COMPUTED_VALUE"""),1.0)</f>
        <v>1</v>
      </c>
      <c r="F448" s="101" t="str">
        <f>IFERROR(__xludf.DUMMYFUNCTION("""COMPUTED_VALUE"""),"400.791.378-14")</f>
        <v>400.791.378-14</v>
      </c>
      <c r="G448" s="101"/>
      <c r="H448" s="101"/>
      <c r="I448" s="101"/>
      <c r="J448" s="101"/>
      <c r="K448" s="101"/>
      <c r="L448" s="101"/>
      <c r="M448" s="101"/>
      <c r="N448" s="101"/>
      <c r="O448" s="101"/>
      <c r="P448" s="101"/>
      <c r="Q448" s="101"/>
      <c r="R448" s="101"/>
      <c r="S448" s="101"/>
      <c r="T448" s="101"/>
      <c r="U448" s="101"/>
      <c r="V448" s="101"/>
      <c r="W448" s="101"/>
      <c r="X448" s="101"/>
      <c r="Y448" s="101"/>
      <c r="Z448" s="101"/>
    </row>
    <row r="449">
      <c r="A449" s="101"/>
      <c r="B449" s="101"/>
      <c r="C449" s="101" t="str">
        <f>IFERROR(__xludf.DUMMYFUNCTION("""COMPUTED_VALUE"""),"JENIFFER GOMES LIMA")</f>
        <v>JENIFFER GOMES LIMA</v>
      </c>
      <c r="D449" s="101" t="str">
        <f>IFERROR(__xludf.DUMMYFUNCTION("""COMPUTED_VALUE"""),"444.***.***-03")</f>
        <v>444.***.***-03</v>
      </c>
      <c r="E449" s="101">
        <f>IFERROR(__xludf.DUMMYFUNCTION("""COMPUTED_VALUE"""),7.0)</f>
        <v>7</v>
      </c>
      <c r="F449" s="101" t="str">
        <f>IFERROR(__xludf.DUMMYFUNCTION("""COMPUTED_VALUE"""),"444.409.348-03")</f>
        <v>444.409.348-03</v>
      </c>
      <c r="G449" s="101"/>
      <c r="H449" s="101"/>
      <c r="I449" s="101"/>
      <c r="J449" s="101"/>
      <c r="K449" s="101"/>
      <c r="L449" s="101"/>
      <c r="M449" s="101"/>
      <c r="N449" s="101"/>
      <c r="O449" s="101"/>
      <c r="P449" s="101"/>
      <c r="Q449" s="101"/>
      <c r="R449" s="101"/>
      <c r="S449" s="101"/>
      <c r="T449" s="101"/>
      <c r="U449" s="101"/>
      <c r="V449" s="101"/>
      <c r="W449" s="101"/>
      <c r="X449" s="101"/>
      <c r="Y449" s="101"/>
      <c r="Z449" s="101"/>
    </row>
    <row r="450">
      <c r="A450" s="101"/>
      <c r="B450" s="101"/>
      <c r="C450" s="101" t="str">
        <f>IFERROR(__xludf.DUMMYFUNCTION("""COMPUTED_VALUE"""),"KAIQUE DA SILVA ANDRADE PEREIRA")</f>
        <v>KAIQUE DA SILVA ANDRADE PEREIRA</v>
      </c>
      <c r="D450" s="101" t="str">
        <f>IFERROR(__xludf.DUMMYFUNCTION("""COMPUTED_VALUE"""),"462.***.***-25")</f>
        <v>462.***.***-25</v>
      </c>
      <c r="E450" s="101">
        <f>IFERROR(__xludf.DUMMYFUNCTION("""COMPUTED_VALUE"""),6.0)</f>
        <v>6</v>
      </c>
      <c r="F450" s="101" t="str">
        <f>IFERROR(__xludf.DUMMYFUNCTION("""COMPUTED_VALUE"""),"462.767.358-25")</f>
        <v>462.767.358-25</v>
      </c>
      <c r="G450" s="101"/>
      <c r="H450" s="101"/>
      <c r="I450" s="101"/>
      <c r="J450" s="101"/>
      <c r="K450" s="101"/>
      <c r="L450" s="101"/>
      <c r="M450" s="101"/>
      <c r="N450" s="101"/>
      <c r="O450" s="101"/>
      <c r="P450" s="101"/>
      <c r="Q450" s="101"/>
      <c r="R450" s="101"/>
      <c r="S450" s="101"/>
      <c r="T450" s="101"/>
      <c r="U450" s="101"/>
      <c r="V450" s="101"/>
      <c r="W450" s="101"/>
      <c r="X450" s="101"/>
      <c r="Y450" s="101"/>
      <c r="Z450" s="101"/>
    </row>
    <row r="451">
      <c r="A451" s="101"/>
      <c r="B451" s="101"/>
      <c r="C451" s="101" t="str">
        <f>IFERROR(__xludf.DUMMYFUNCTION("""COMPUTED_VALUE"""),"SARAH DE  CARVALHO E SILVA")</f>
        <v>SARAH DE  CARVALHO E SILVA</v>
      </c>
      <c r="D451" s="101" t="str">
        <f>IFERROR(__xludf.DUMMYFUNCTION("""COMPUTED_VALUE"""),"451.***.***-98")</f>
        <v>451.***.***-98</v>
      </c>
      <c r="E451" s="101">
        <f>IFERROR(__xludf.DUMMYFUNCTION("""COMPUTED_VALUE"""),16.0)</f>
        <v>16</v>
      </c>
      <c r="F451" s="101" t="str">
        <f>IFERROR(__xludf.DUMMYFUNCTION("""COMPUTED_VALUE"""),"451.558.208-98")</f>
        <v>451.558.208-98</v>
      </c>
      <c r="G451" s="101"/>
      <c r="H451" s="101"/>
      <c r="I451" s="101"/>
      <c r="J451" s="101"/>
      <c r="K451" s="101"/>
      <c r="L451" s="101"/>
      <c r="M451" s="101"/>
      <c r="N451" s="101"/>
      <c r="O451" s="101"/>
      <c r="P451" s="101"/>
      <c r="Q451" s="101"/>
      <c r="R451" s="101"/>
      <c r="S451" s="101"/>
      <c r="T451" s="101"/>
      <c r="U451" s="101"/>
      <c r="V451" s="101"/>
      <c r="W451" s="101"/>
      <c r="X451" s="101"/>
      <c r="Y451" s="101"/>
      <c r="Z451" s="101"/>
    </row>
    <row r="452">
      <c r="A452" s="101"/>
      <c r="B452" s="101"/>
      <c r="C452" s="101" t="str">
        <f>IFERROR(__xludf.DUMMYFUNCTION("""COMPUTED_VALUE"""),"GIULLIA DE CAMPOS")</f>
        <v>GIULLIA DE CAMPOS</v>
      </c>
      <c r="D452" s="101" t="str">
        <f>IFERROR(__xludf.DUMMYFUNCTION("""COMPUTED_VALUE"""),"543.***.***-60")</f>
        <v>543.***.***-60</v>
      </c>
      <c r="E452" s="101">
        <f>IFERROR(__xludf.DUMMYFUNCTION("""COMPUTED_VALUE"""),4.0)</f>
        <v>4</v>
      </c>
      <c r="F452" s="101" t="str">
        <f>IFERROR(__xludf.DUMMYFUNCTION("""COMPUTED_VALUE"""),"543.336.998-60")</f>
        <v>543.336.998-60</v>
      </c>
      <c r="G452" s="101"/>
      <c r="H452" s="101"/>
      <c r="I452" s="101"/>
      <c r="J452" s="101"/>
      <c r="K452" s="101"/>
      <c r="L452" s="101"/>
      <c r="M452" s="101"/>
      <c r="N452" s="101"/>
      <c r="O452" s="101"/>
      <c r="P452" s="101"/>
      <c r="Q452" s="101"/>
      <c r="R452" s="101"/>
      <c r="S452" s="101"/>
      <c r="T452" s="101"/>
      <c r="U452" s="101"/>
      <c r="V452" s="101"/>
      <c r="W452" s="101"/>
      <c r="X452" s="101"/>
      <c r="Y452" s="101"/>
      <c r="Z452" s="101"/>
    </row>
    <row r="453">
      <c r="A453" s="101"/>
      <c r="B453" s="101"/>
      <c r="C453" s="101" t="str">
        <f>IFERROR(__xludf.DUMMYFUNCTION("""COMPUTED_VALUE"""),"RENATO PIMENTA DOS SANTOS")</f>
        <v>RENATO PIMENTA DOS SANTOS</v>
      </c>
      <c r="D453" s="101" t="str">
        <f>IFERROR(__xludf.DUMMYFUNCTION("""COMPUTED_VALUE"""),"241.***.***-35")</f>
        <v>241.***.***-35</v>
      </c>
      <c r="E453" s="101">
        <f>IFERROR(__xludf.DUMMYFUNCTION("""COMPUTED_VALUE"""),15.0)</f>
        <v>15</v>
      </c>
      <c r="F453" s="101" t="str">
        <f>IFERROR(__xludf.DUMMYFUNCTION("""COMPUTED_VALUE"""),"241.222.138-35")</f>
        <v>241.222.138-35</v>
      </c>
      <c r="G453" s="101"/>
      <c r="H453" s="101"/>
      <c r="I453" s="101"/>
      <c r="J453" s="101"/>
      <c r="K453" s="101"/>
      <c r="L453" s="101"/>
      <c r="M453" s="101"/>
      <c r="N453" s="101"/>
      <c r="O453" s="101"/>
      <c r="P453" s="101"/>
      <c r="Q453" s="101"/>
      <c r="R453" s="101"/>
      <c r="S453" s="101"/>
      <c r="T453" s="101"/>
      <c r="U453" s="101"/>
      <c r="V453" s="101"/>
      <c r="W453" s="101"/>
      <c r="X453" s="101"/>
      <c r="Y453" s="101"/>
      <c r="Z453" s="101"/>
    </row>
    <row r="454">
      <c r="A454" s="101"/>
      <c r="B454" s="101"/>
      <c r="C454" s="101" t="str">
        <f>IFERROR(__xludf.DUMMYFUNCTION("""COMPUTED_VALUE"""),"DIEGO GIOVANNINI CORREA")</f>
        <v>DIEGO GIOVANNINI CORREA</v>
      </c>
      <c r="D454" s="101" t="str">
        <f>IFERROR(__xludf.DUMMYFUNCTION("""COMPUTED_VALUE"""),"496.***.***-64")</f>
        <v>496.***.***-64</v>
      </c>
      <c r="E454" s="101">
        <f>IFERROR(__xludf.DUMMYFUNCTION("""COMPUTED_VALUE"""),2.0)</f>
        <v>2</v>
      </c>
      <c r="F454" s="101" t="str">
        <f>IFERROR(__xludf.DUMMYFUNCTION("""COMPUTED_VALUE"""),"496.137.348-64")</f>
        <v>496.137.348-64</v>
      </c>
      <c r="G454" s="101"/>
      <c r="H454" s="101"/>
      <c r="I454" s="101"/>
      <c r="J454" s="101"/>
      <c r="K454" s="101"/>
      <c r="L454" s="101"/>
      <c r="M454" s="101"/>
      <c r="N454" s="101"/>
      <c r="O454" s="101"/>
      <c r="P454" s="101"/>
      <c r="Q454" s="101"/>
      <c r="R454" s="101"/>
      <c r="S454" s="101"/>
      <c r="T454" s="101"/>
      <c r="U454" s="101"/>
      <c r="V454" s="101"/>
      <c r="W454" s="101"/>
      <c r="X454" s="101"/>
      <c r="Y454" s="101"/>
      <c r="Z454" s="101"/>
    </row>
    <row r="455">
      <c r="A455" s="101"/>
      <c r="B455" s="101"/>
      <c r="C455" s="101" t="str">
        <f>IFERROR(__xludf.DUMMYFUNCTION("""COMPUTED_VALUE"""),"CHARLIE CIRINO FERREIRA DIAS")</f>
        <v>CHARLIE CIRINO FERREIRA DIAS</v>
      </c>
      <c r="D455" s="101" t="str">
        <f>IFERROR(__xludf.DUMMYFUNCTION("""COMPUTED_VALUE"""),"361.***.***-09")</f>
        <v>361.***.***-09</v>
      </c>
      <c r="E455" s="101">
        <f>IFERROR(__xludf.DUMMYFUNCTION("""COMPUTED_VALUE"""),2.0)</f>
        <v>2</v>
      </c>
      <c r="F455" s="101" t="str">
        <f>IFERROR(__xludf.DUMMYFUNCTION("""COMPUTED_VALUE"""),"361.505.998-09")</f>
        <v>361.505.998-09</v>
      </c>
      <c r="G455" s="101"/>
      <c r="H455" s="101"/>
      <c r="I455" s="101"/>
      <c r="J455" s="101"/>
      <c r="K455" s="101"/>
      <c r="L455" s="101"/>
      <c r="M455" s="101"/>
      <c r="N455" s="101"/>
      <c r="O455" s="101"/>
      <c r="P455" s="101"/>
      <c r="Q455" s="101"/>
      <c r="R455" s="101"/>
      <c r="S455" s="101"/>
      <c r="T455" s="101"/>
      <c r="U455" s="101"/>
      <c r="V455" s="101"/>
      <c r="W455" s="101"/>
      <c r="X455" s="101"/>
      <c r="Y455" s="101"/>
      <c r="Z455" s="101"/>
    </row>
    <row r="456">
      <c r="A456" s="101"/>
      <c r="B456" s="101"/>
      <c r="C456" s="101" t="str">
        <f>IFERROR(__xludf.DUMMYFUNCTION("""COMPUTED_VALUE"""),"YAZZ DA SILVA FAZZIO")</f>
        <v>YAZZ DA SILVA FAZZIO</v>
      </c>
      <c r="D456" s="101" t="str">
        <f>IFERROR(__xludf.DUMMYFUNCTION("""COMPUTED_VALUE"""),"103.***.***-18")</f>
        <v>103.***.***-18</v>
      </c>
      <c r="E456" s="101">
        <f>IFERROR(__xludf.DUMMYFUNCTION("""COMPUTED_VALUE"""),12.0)</f>
        <v>12</v>
      </c>
      <c r="F456" s="101" t="str">
        <f>IFERROR(__xludf.DUMMYFUNCTION("""COMPUTED_VALUE"""),"103.220.574-18")</f>
        <v>103.220.574-18</v>
      </c>
      <c r="G456" s="101"/>
      <c r="H456" s="101"/>
      <c r="I456" s="101"/>
      <c r="J456" s="101"/>
      <c r="K456" s="101"/>
      <c r="L456" s="101"/>
      <c r="M456" s="101"/>
      <c r="N456" s="101"/>
      <c r="O456" s="101"/>
      <c r="P456" s="101"/>
      <c r="Q456" s="101"/>
      <c r="R456" s="101"/>
      <c r="S456" s="101"/>
      <c r="T456" s="101"/>
      <c r="U456" s="101"/>
      <c r="V456" s="101"/>
      <c r="W456" s="101"/>
      <c r="X456" s="101"/>
      <c r="Y456" s="101"/>
      <c r="Z456" s="101"/>
    </row>
    <row r="457">
      <c r="A457" s="101"/>
      <c r="B457" s="101"/>
      <c r="C457" s="101" t="str">
        <f>IFERROR(__xludf.DUMMYFUNCTION("""COMPUTED_VALUE"""),"ANA LUIZA SILVA ARDUINO")</f>
        <v>ANA LUIZA SILVA ARDUINO</v>
      </c>
      <c r="D457" s="101" t="str">
        <f>IFERROR(__xludf.DUMMYFUNCTION("""COMPUTED_VALUE"""),"459.***.***-79")</f>
        <v>459.***.***-79</v>
      </c>
      <c r="E457" s="101">
        <f>IFERROR(__xludf.DUMMYFUNCTION("""COMPUTED_VALUE"""),1.0)</f>
        <v>1</v>
      </c>
      <c r="F457" s="101" t="str">
        <f>IFERROR(__xludf.DUMMYFUNCTION("""COMPUTED_VALUE"""),"459.671.918-79")</f>
        <v>459.671.918-79</v>
      </c>
      <c r="G457" s="101"/>
      <c r="H457" s="101"/>
      <c r="I457" s="101"/>
      <c r="J457" s="101"/>
      <c r="K457" s="101"/>
      <c r="L457" s="101"/>
      <c r="M457" s="101"/>
      <c r="N457" s="101"/>
      <c r="O457" s="101"/>
      <c r="P457" s="101"/>
      <c r="Q457" s="101"/>
      <c r="R457" s="101"/>
      <c r="S457" s="101"/>
      <c r="T457" s="101"/>
      <c r="U457" s="101"/>
      <c r="V457" s="101"/>
      <c r="W457" s="101"/>
      <c r="X457" s="101"/>
      <c r="Y457" s="101"/>
      <c r="Z457" s="101"/>
    </row>
    <row r="458">
      <c r="A458" s="101"/>
      <c r="B458" s="101"/>
      <c r="C458" s="101" t="str">
        <f>IFERROR(__xludf.DUMMYFUNCTION("""COMPUTED_VALUE"""),"CATHARINE ZENOBI ROMANO")</f>
        <v>CATHARINE ZENOBI ROMANO</v>
      </c>
      <c r="D458" s="101" t="str">
        <f>IFERROR(__xludf.DUMMYFUNCTION("""COMPUTED_VALUE"""),"504.***.***-93")</f>
        <v>504.***.***-93</v>
      </c>
      <c r="E458" s="101">
        <f>IFERROR(__xludf.DUMMYFUNCTION("""COMPUTED_VALUE"""),1.0)</f>
        <v>1</v>
      </c>
      <c r="F458" s="101" t="str">
        <f>IFERROR(__xludf.DUMMYFUNCTION("""COMPUTED_VALUE"""),"504.262.508-93")</f>
        <v>504.262.508-93</v>
      </c>
      <c r="G458" s="101"/>
      <c r="H458" s="101"/>
      <c r="I458" s="101"/>
      <c r="J458" s="101"/>
      <c r="K458" s="101"/>
      <c r="L458" s="101"/>
      <c r="M458" s="101"/>
      <c r="N458" s="101"/>
      <c r="O458" s="101"/>
      <c r="P458" s="101"/>
      <c r="Q458" s="101"/>
      <c r="R458" s="101"/>
      <c r="S458" s="101"/>
      <c r="T458" s="101"/>
      <c r="U458" s="101"/>
      <c r="V458" s="101"/>
      <c r="W458" s="101"/>
      <c r="X458" s="101"/>
      <c r="Y458" s="101"/>
      <c r="Z458" s="101"/>
    </row>
    <row r="459">
      <c r="A459" s="101"/>
      <c r="B459" s="101"/>
      <c r="C459" s="101" t="str">
        <f>IFERROR(__xludf.DUMMYFUNCTION("""COMPUTED_VALUE"""),"KELVIN MERAKIIH AGUIAR DA SILVA")</f>
        <v>KELVIN MERAKIIH AGUIAR DA SILVA</v>
      </c>
      <c r="D459" s="101" t="str">
        <f>IFERROR(__xludf.DUMMYFUNCTION("""COMPUTED_VALUE"""),"510.***.***-71")</f>
        <v>510.***.***-71</v>
      </c>
      <c r="E459" s="101">
        <f>IFERROR(__xludf.DUMMYFUNCTION("""COMPUTED_VALUE"""),6.0)</f>
        <v>6</v>
      </c>
      <c r="F459" s="101" t="str">
        <f>IFERROR(__xludf.DUMMYFUNCTION("""COMPUTED_VALUE"""),"510.775.218-71")</f>
        <v>510.775.218-71</v>
      </c>
      <c r="G459" s="101"/>
      <c r="H459" s="101"/>
      <c r="I459" s="101"/>
      <c r="J459" s="101"/>
      <c r="K459" s="101"/>
      <c r="L459" s="101"/>
      <c r="M459" s="101"/>
      <c r="N459" s="101"/>
      <c r="O459" s="101"/>
      <c r="P459" s="101"/>
      <c r="Q459" s="101"/>
      <c r="R459" s="101"/>
      <c r="S459" s="101"/>
      <c r="T459" s="101"/>
      <c r="U459" s="101"/>
      <c r="V459" s="101"/>
      <c r="W459" s="101"/>
      <c r="X459" s="101"/>
      <c r="Y459" s="101"/>
      <c r="Z459" s="101"/>
    </row>
    <row r="460">
      <c r="A460" s="101"/>
      <c r="B460" s="101"/>
      <c r="C460" s="101" t="str">
        <f>IFERROR(__xludf.DUMMYFUNCTION("""COMPUTED_VALUE"""),"OTAVIO MARQUES DE ALMEIDA RODRIGUES")</f>
        <v>OTAVIO MARQUES DE ALMEIDA RODRIGUES</v>
      </c>
      <c r="D460" s="101" t="str">
        <f>IFERROR(__xludf.DUMMYFUNCTION("""COMPUTED_VALUE"""),"472.***.***-54")</f>
        <v>472.***.***-54</v>
      </c>
      <c r="E460" s="101">
        <f>IFERROR(__xludf.DUMMYFUNCTION("""COMPUTED_VALUE"""),14.0)</f>
        <v>14</v>
      </c>
      <c r="F460" s="101" t="str">
        <f>IFERROR(__xludf.DUMMYFUNCTION("""COMPUTED_VALUE"""),"472.946.068-54")</f>
        <v>472.946.068-54</v>
      </c>
      <c r="G460" s="101"/>
      <c r="H460" s="101"/>
      <c r="I460" s="101"/>
      <c r="J460" s="101"/>
      <c r="K460" s="101"/>
      <c r="L460" s="101"/>
      <c r="M460" s="101"/>
      <c r="N460" s="101"/>
      <c r="O460" s="101"/>
      <c r="P460" s="101"/>
      <c r="Q460" s="101"/>
      <c r="R460" s="101"/>
      <c r="S460" s="101"/>
      <c r="T460" s="101"/>
      <c r="U460" s="101"/>
      <c r="V460" s="101"/>
      <c r="W460" s="101"/>
      <c r="X460" s="101"/>
      <c r="Y460" s="101"/>
      <c r="Z460" s="101"/>
    </row>
    <row r="461">
      <c r="A461" s="101"/>
      <c r="B461" s="101"/>
      <c r="C461" s="101" t="str">
        <f>IFERROR(__xludf.DUMMYFUNCTION("""COMPUTED_VALUE"""),"LAURA COELHO DO VALE")</f>
        <v>LAURA COELHO DO VALE</v>
      </c>
      <c r="D461" s="101" t="str">
        <f>IFERROR(__xludf.DUMMYFUNCTION("""COMPUTED_VALUE"""),"135.***.***-81")</f>
        <v>135.***.***-81</v>
      </c>
      <c r="E461" s="101">
        <f>IFERROR(__xludf.DUMMYFUNCTION("""COMPUTED_VALUE"""),10.0)</f>
        <v>10</v>
      </c>
      <c r="F461" s="101" t="str">
        <f>IFERROR(__xludf.DUMMYFUNCTION("""COMPUTED_VALUE"""),"135.768.196-81")</f>
        <v>135.768.196-81</v>
      </c>
      <c r="G461" s="101"/>
      <c r="H461" s="101"/>
      <c r="I461" s="101"/>
      <c r="J461" s="101"/>
      <c r="K461" s="101"/>
      <c r="L461" s="101"/>
      <c r="M461" s="101"/>
      <c r="N461" s="101"/>
      <c r="O461" s="101"/>
      <c r="P461" s="101"/>
      <c r="Q461" s="101"/>
      <c r="R461" s="101"/>
      <c r="S461" s="101"/>
      <c r="T461" s="101"/>
      <c r="U461" s="101"/>
      <c r="V461" s="101"/>
      <c r="W461" s="101"/>
      <c r="X461" s="101"/>
      <c r="Y461" s="101"/>
      <c r="Z461" s="101"/>
    </row>
    <row r="462">
      <c r="A462" s="101"/>
      <c r="B462" s="101"/>
      <c r="C462" s="101" t="str">
        <f>IFERROR(__xludf.DUMMYFUNCTION("""COMPUTED_VALUE"""),"GLEICE APARECIDA DE DEUS")</f>
        <v>GLEICE APARECIDA DE DEUS</v>
      </c>
      <c r="D462" s="101" t="str">
        <f>IFERROR(__xludf.DUMMYFUNCTION("""COMPUTED_VALUE"""),"532.***.***-03")</f>
        <v>532.***.***-03</v>
      </c>
      <c r="E462" s="101">
        <f>IFERROR(__xludf.DUMMYFUNCTION("""COMPUTED_VALUE"""),4.0)</f>
        <v>4</v>
      </c>
      <c r="F462" s="101" t="str">
        <f>IFERROR(__xludf.DUMMYFUNCTION("""COMPUTED_VALUE"""),"532.194.368-03")</f>
        <v>532.194.368-03</v>
      </c>
      <c r="G462" s="101"/>
      <c r="H462" s="101"/>
      <c r="I462" s="101"/>
      <c r="J462" s="101"/>
      <c r="K462" s="101"/>
      <c r="L462" s="101"/>
      <c r="M462" s="101"/>
      <c r="N462" s="101"/>
      <c r="O462" s="101"/>
      <c r="P462" s="101"/>
      <c r="Q462" s="101"/>
      <c r="R462" s="101"/>
      <c r="S462" s="101"/>
      <c r="T462" s="101"/>
      <c r="U462" s="101"/>
      <c r="V462" s="101"/>
      <c r="W462" s="101"/>
      <c r="X462" s="101"/>
      <c r="Y462" s="101"/>
      <c r="Z462" s="101"/>
    </row>
    <row r="463">
      <c r="A463" s="101"/>
      <c r="B463" s="101"/>
      <c r="C463" s="101" t="str">
        <f>IFERROR(__xludf.DUMMYFUNCTION("""COMPUTED_VALUE"""),"EMILLYM VITORIA BARBOSA DE SOUZA")</f>
        <v>EMILLYM VITORIA BARBOSA DE SOUZA</v>
      </c>
      <c r="D463" s="101" t="str">
        <f>IFERROR(__xludf.DUMMYFUNCTION("""COMPUTED_VALUE"""),"468.***.***-42")</f>
        <v>468.***.***-42</v>
      </c>
      <c r="E463" s="101">
        <f>IFERROR(__xludf.DUMMYFUNCTION("""COMPUTED_VALUE"""),4.0)</f>
        <v>4</v>
      </c>
      <c r="F463" s="101" t="str">
        <f>IFERROR(__xludf.DUMMYFUNCTION("""COMPUTED_VALUE"""),"468.008.138-42")</f>
        <v>468.008.138-42</v>
      </c>
      <c r="G463" s="101"/>
      <c r="H463" s="101"/>
      <c r="I463" s="101"/>
      <c r="J463" s="101"/>
      <c r="K463" s="101"/>
      <c r="L463" s="101"/>
      <c r="M463" s="101"/>
      <c r="N463" s="101"/>
      <c r="O463" s="101"/>
      <c r="P463" s="101"/>
      <c r="Q463" s="101"/>
      <c r="R463" s="101"/>
      <c r="S463" s="101"/>
      <c r="T463" s="101"/>
      <c r="U463" s="101"/>
      <c r="V463" s="101"/>
      <c r="W463" s="101"/>
      <c r="X463" s="101"/>
      <c r="Y463" s="101"/>
      <c r="Z463" s="101"/>
    </row>
    <row r="464">
      <c r="A464" s="101"/>
      <c r="B464" s="101"/>
      <c r="C464" s="101" t="str">
        <f>IFERROR(__xludf.DUMMYFUNCTION("""COMPUTED_VALUE"""),"KAIQUE DIAS SANTOS DA SILVEIRA")</f>
        <v>KAIQUE DIAS SANTOS DA SILVEIRA</v>
      </c>
      <c r="D464" s="101" t="str">
        <f>IFERROR(__xludf.DUMMYFUNCTION("""COMPUTED_VALUE"""),"400.***.***-05")</f>
        <v>400.***.***-05</v>
      </c>
      <c r="E464" s="101">
        <f>IFERROR(__xludf.DUMMYFUNCTION("""COMPUTED_VALUE"""),6.0)</f>
        <v>6</v>
      </c>
      <c r="F464" s="101" t="str">
        <f>IFERROR(__xludf.DUMMYFUNCTION("""COMPUTED_VALUE"""),"400.613.608-05")</f>
        <v>400.613.608-05</v>
      </c>
      <c r="G464" s="101"/>
      <c r="H464" s="101"/>
      <c r="I464" s="101"/>
      <c r="J464" s="101"/>
      <c r="K464" s="101"/>
      <c r="L464" s="101"/>
      <c r="M464" s="101"/>
      <c r="N464" s="101"/>
      <c r="O464" s="101"/>
      <c r="P464" s="101"/>
      <c r="Q464" s="101"/>
      <c r="R464" s="101"/>
      <c r="S464" s="101"/>
      <c r="T464" s="101"/>
      <c r="U464" s="101"/>
      <c r="V464" s="101"/>
      <c r="W464" s="101"/>
      <c r="X464" s="101"/>
      <c r="Y464" s="101"/>
      <c r="Z464" s="101"/>
    </row>
    <row r="465">
      <c r="A465" s="101"/>
      <c r="B465" s="101"/>
      <c r="C465" s="101" t="str">
        <f>IFERROR(__xludf.DUMMYFUNCTION("""COMPUTED_VALUE"""),"ANA  BEATRIZ DE SOUZA SILVA")</f>
        <v>ANA  BEATRIZ DE SOUZA SILVA</v>
      </c>
      <c r="D465" s="101" t="str">
        <f>IFERROR(__xludf.DUMMYFUNCTION("""COMPUTED_VALUE"""),"405.***.***-09")</f>
        <v>405.***.***-09</v>
      </c>
      <c r="E465" s="101">
        <f>IFERROR(__xludf.DUMMYFUNCTION("""COMPUTED_VALUE"""),1.0)</f>
        <v>1</v>
      </c>
      <c r="F465" s="101" t="str">
        <f>IFERROR(__xludf.DUMMYFUNCTION("""COMPUTED_VALUE"""),"405.365.128-09")</f>
        <v>405.365.128-09</v>
      </c>
      <c r="G465" s="101"/>
      <c r="H465" s="101"/>
      <c r="I465" s="101"/>
      <c r="J465" s="101"/>
      <c r="K465" s="101"/>
      <c r="L465" s="101"/>
      <c r="M465" s="101"/>
      <c r="N465" s="101"/>
      <c r="O465" s="101"/>
      <c r="P465" s="101"/>
      <c r="Q465" s="101"/>
      <c r="R465" s="101"/>
      <c r="S465" s="101"/>
      <c r="T465" s="101"/>
      <c r="U465" s="101"/>
      <c r="V465" s="101"/>
      <c r="W465" s="101"/>
      <c r="X465" s="101"/>
      <c r="Y465" s="101"/>
      <c r="Z465" s="101"/>
    </row>
    <row r="466">
      <c r="A466" s="101"/>
      <c r="B466" s="101"/>
      <c r="C466" s="101" t="str">
        <f>IFERROR(__xludf.DUMMYFUNCTION("""COMPUTED_VALUE"""),"EVELYN PEREIRA BRITO DE LUZ")</f>
        <v>EVELYN PEREIRA BRITO DE LUZ</v>
      </c>
      <c r="D466" s="101" t="str">
        <f>IFERROR(__xludf.DUMMYFUNCTION("""COMPUTED_VALUE"""),"104.***.***-52")</f>
        <v>104.***.***-52</v>
      </c>
      <c r="E466" s="101">
        <f>IFERROR(__xludf.DUMMYFUNCTION("""COMPUTED_VALUE"""),3.0)</f>
        <v>3</v>
      </c>
      <c r="F466" s="101" t="str">
        <f>IFERROR(__xludf.DUMMYFUNCTION("""COMPUTED_VALUE"""),"104.215.544-52")</f>
        <v>104.215.544-52</v>
      </c>
      <c r="G466" s="101"/>
      <c r="H466" s="101"/>
      <c r="I466" s="101"/>
      <c r="J466" s="101"/>
      <c r="K466" s="101"/>
      <c r="L466" s="101"/>
      <c r="M466" s="101"/>
      <c r="N466" s="101"/>
      <c r="O466" s="101"/>
      <c r="P466" s="101"/>
      <c r="Q466" s="101"/>
      <c r="R466" s="101"/>
      <c r="S466" s="101"/>
      <c r="T466" s="101"/>
      <c r="U466" s="101"/>
      <c r="V466" s="101"/>
      <c r="W466" s="101"/>
      <c r="X466" s="101"/>
      <c r="Y466" s="101"/>
      <c r="Z466" s="101"/>
    </row>
    <row r="467">
      <c r="A467" s="101"/>
      <c r="B467" s="101"/>
      <c r="C467" s="101" t="str">
        <f>IFERROR(__xludf.DUMMYFUNCTION("""COMPUTED_VALUE"""),"RENAN GABRIEL ALMEIDA SILVA")</f>
        <v>RENAN GABRIEL ALMEIDA SILVA</v>
      </c>
      <c r="D467" s="101" t="str">
        <f>IFERROR(__xludf.DUMMYFUNCTION("""COMPUTED_VALUE"""),"506.***.***-84")</f>
        <v>506.***.***-84</v>
      </c>
      <c r="E467" s="101">
        <f>IFERROR(__xludf.DUMMYFUNCTION("""COMPUTED_VALUE"""),15.0)</f>
        <v>15</v>
      </c>
      <c r="F467" s="101" t="str">
        <f>IFERROR(__xludf.DUMMYFUNCTION("""COMPUTED_VALUE"""),"506.239.288-84")</f>
        <v>506.239.288-84</v>
      </c>
      <c r="G467" s="101"/>
      <c r="H467" s="101"/>
      <c r="I467" s="101"/>
      <c r="J467" s="101"/>
      <c r="K467" s="101"/>
      <c r="L467" s="101"/>
      <c r="M467" s="101"/>
      <c r="N467" s="101"/>
      <c r="O467" s="101"/>
      <c r="P467" s="101"/>
      <c r="Q467" s="101"/>
      <c r="R467" s="101"/>
      <c r="S467" s="101"/>
      <c r="T467" s="101"/>
      <c r="U467" s="101"/>
      <c r="V467" s="101"/>
      <c r="W467" s="101"/>
      <c r="X467" s="101"/>
      <c r="Y467" s="101"/>
      <c r="Z467" s="101"/>
    </row>
    <row r="468">
      <c r="A468" s="101"/>
      <c r="B468" s="101"/>
      <c r="C468" s="101" t="str">
        <f>IFERROR(__xludf.DUMMYFUNCTION("""COMPUTED_VALUE"""),"PEDRO DE SOUZA COELHO NETO")</f>
        <v>PEDRO DE SOUZA COELHO NETO</v>
      </c>
      <c r="D468" s="101" t="str">
        <f>IFERROR(__xludf.DUMMYFUNCTION("""COMPUTED_VALUE"""),"444.***.***-20")</f>
        <v>444.***.***-20</v>
      </c>
      <c r="E468" s="101">
        <f>IFERROR(__xludf.DUMMYFUNCTION("""COMPUTED_VALUE"""),14.0)</f>
        <v>14</v>
      </c>
      <c r="F468" s="101" t="str">
        <f>IFERROR(__xludf.DUMMYFUNCTION("""COMPUTED_VALUE"""),"444.135.588-20")</f>
        <v>444.135.588-20</v>
      </c>
      <c r="G468" s="101"/>
      <c r="H468" s="101"/>
      <c r="I468" s="101"/>
      <c r="J468" s="101"/>
      <c r="K468" s="101"/>
      <c r="L468" s="101"/>
      <c r="M468" s="101"/>
      <c r="N468" s="101"/>
      <c r="O468" s="101"/>
      <c r="P468" s="101"/>
      <c r="Q468" s="101"/>
      <c r="R468" s="101"/>
      <c r="S468" s="101"/>
      <c r="T468" s="101"/>
      <c r="U468" s="101"/>
      <c r="V468" s="101"/>
      <c r="W468" s="101"/>
      <c r="X468" s="101"/>
      <c r="Y468" s="101"/>
      <c r="Z468" s="101"/>
    </row>
    <row r="469">
      <c r="A469" s="101"/>
      <c r="B469" s="101"/>
      <c r="C469" s="101" t="str">
        <f>IFERROR(__xludf.DUMMYFUNCTION("""COMPUTED_VALUE"""),"LUCAS EMANUEL DOS SANTOS ALVES")</f>
        <v>LUCAS EMANUEL DOS SANTOS ALVES</v>
      </c>
      <c r="D469" s="101" t="str">
        <f>IFERROR(__xludf.DUMMYFUNCTION("""COMPUTED_VALUE"""),"533.***.***-26")</f>
        <v>533.***.***-26</v>
      </c>
      <c r="E469" s="101">
        <f>IFERROR(__xludf.DUMMYFUNCTION("""COMPUTED_VALUE"""),7.0)</f>
        <v>7</v>
      </c>
      <c r="F469" s="101" t="str">
        <f>IFERROR(__xludf.DUMMYFUNCTION("""COMPUTED_VALUE"""),"533.528.858-26")</f>
        <v>533.528.858-26</v>
      </c>
      <c r="G469" s="101"/>
      <c r="H469" s="101"/>
      <c r="I469" s="101"/>
      <c r="J469" s="101"/>
      <c r="K469" s="101"/>
      <c r="L469" s="101"/>
      <c r="M469" s="101"/>
      <c r="N469" s="101"/>
      <c r="O469" s="101"/>
      <c r="P469" s="101"/>
      <c r="Q469" s="101"/>
      <c r="R469" s="101"/>
      <c r="S469" s="101"/>
      <c r="T469" s="101"/>
      <c r="U469" s="101"/>
      <c r="V469" s="101"/>
      <c r="W469" s="101"/>
      <c r="X469" s="101"/>
      <c r="Y469" s="101"/>
      <c r="Z469" s="101"/>
    </row>
    <row r="470">
      <c r="A470" s="101"/>
      <c r="B470" s="101"/>
      <c r="C470" s="101" t="str">
        <f>IFERROR(__xludf.DUMMYFUNCTION("""COMPUTED_VALUE"""),"INAIÊ PEREIRA DOS SANTOS VIEIRA")</f>
        <v>INAIÊ PEREIRA DOS SANTOS VIEIRA</v>
      </c>
      <c r="D470" s="101" t="str">
        <f>IFERROR(__xludf.DUMMYFUNCTION("""COMPUTED_VALUE"""),"129.***.***-11")</f>
        <v>129.***.***-11</v>
      </c>
      <c r="E470" s="101">
        <f>IFERROR(__xludf.DUMMYFUNCTION("""COMPUTED_VALUE"""),5.0)</f>
        <v>5</v>
      </c>
      <c r="F470" s="101" t="str">
        <f>IFERROR(__xludf.DUMMYFUNCTION("""COMPUTED_VALUE"""),"129.339.564-11")</f>
        <v>129.339.564-11</v>
      </c>
      <c r="G470" s="101"/>
      <c r="H470" s="101"/>
      <c r="I470" s="101"/>
      <c r="J470" s="101"/>
      <c r="K470" s="101"/>
      <c r="L470" s="101"/>
      <c r="M470" s="101"/>
      <c r="N470" s="101"/>
      <c r="O470" s="101"/>
      <c r="P470" s="101"/>
      <c r="Q470" s="101"/>
      <c r="R470" s="101"/>
      <c r="S470" s="101"/>
      <c r="T470" s="101"/>
      <c r="U470" s="101"/>
      <c r="V470" s="101"/>
      <c r="W470" s="101"/>
      <c r="X470" s="101"/>
      <c r="Y470" s="101"/>
      <c r="Z470" s="101"/>
    </row>
    <row r="471">
      <c r="A471" s="101"/>
      <c r="B471" s="101"/>
      <c r="C471" s="101" t="str">
        <f>IFERROR(__xludf.DUMMYFUNCTION("""COMPUTED_VALUE"""),"MARIA CLARA PURIDADE DE BRITO")</f>
        <v>MARIA CLARA PURIDADE DE BRITO</v>
      </c>
      <c r="D471" s="101" t="str">
        <f>IFERROR(__xludf.DUMMYFUNCTION("""COMPUTED_VALUE"""),"576.***.***-79")</f>
        <v>576.***.***-79</v>
      </c>
      <c r="E471" s="101">
        <f>IFERROR(__xludf.DUMMYFUNCTION("""COMPUTED_VALUE"""),12.0)</f>
        <v>12</v>
      </c>
      <c r="F471" s="101" t="str">
        <f>IFERROR(__xludf.DUMMYFUNCTION("""COMPUTED_VALUE"""),"576.613.868-79")</f>
        <v>576.613.868-79</v>
      </c>
      <c r="G471" s="101"/>
      <c r="H471" s="101"/>
      <c r="I471" s="101"/>
      <c r="J471" s="101"/>
      <c r="K471" s="101"/>
      <c r="L471" s="101"/>
      <c r="M471" s="101"/>
      <c r="N471" s="101"/>
      <c r="O471" s="101"/>
      <c r="P471" s="101"/>
      <c r="Q471" s="101"/>
      <c r="R471" s="101"/>
      <c r="S471" s="101"/>
      <c r="T471" s="101"/>
      <c r="U471" s="101"/>
      <c r="V471" s="101"/>
      <c r="W471" s="101"/>
      <c r="X471" s="101"/>
      <c r="Y471" s="101"/>
      <c r="Z471" s="101"/>
    </row>
    <row r="472">
      <c r="A472" s="101"/>
      <c r="B472" s="101"/>
      <c r="C472" s="101" t="str">
        <f>IFERROR(__xludf.DUMMYFUNCTION("""COMPUTED_VALUE"""),"AMANDA TRINDADE DA SILVA")</f>
        <v>AMANDA TRINDADE DA SILVA</v>
      </c>
      <c r="D472" s="101" t="str">
        <f>IFERROR(__xludf.DUMMYFUNCTION("""COMPUTED_VALUE"""),"471.***.***-71")</f>
        <v>471.***.***-71</v>
      </c>
      <c r="E472" s="101">
        <f>IFERROR(__xludf.DUMMYFUNCTION("""COMPUTED_VALUE"""),1.0)</f>
        <v>1</v>
      </c>
      <c r="F472" s="101" t="str">
        <f>IFERROR(__xludf.DUMMYFUNCTION("""COMPUTED_VALUE"""),"471.126.528-71")</f>
        <v>471.126.528-71</v>
      </c>
      <c r="G472" s="101"/>
      <c r="H472" s="101"/>
      <c r="I472" s="101"/>
      <c r="J472" s="101"/>
      <c r="K472" s="101"/>
      <c r="L472" s="101"/>
      <c r="M472" s="101"/>
      <c r="N472" s="101"/>
      <c r="O472" s="101"/>
      <c r="P472" s="101"/>
      <c r="Q472" s="101"/>
      <c r="R472" s="101"/>
      <c r="S472" s="101"/>
      <c r="T472" s="101"/>
      <c r="U472" s="101"/>
      <c r="V472" s="101"/>
      <c r="W472" s="101"/>
      <c r="X472" s="101"/>
      <c r="Y472" s="101"/>
      <c r="Z472" s="101"/>
    </row>
    <row r="473">
      <c r="A473" s="101"/>
      <c r="B473" s="101"/>
      <c r="C473" s="101" t="str">
        <f>IFERROR(__xludf.DUMMYFUNCTION("""COMPUTED_VALUE"""),"RAFHAEL MATOS LEITE")</f>
        <v>RAFHAEL MATOS LEITE</v>
      </c>
      <c r="D473" s="101" t="str">
        <f>IFERROR(__xludf.DUMMYFUNCTION("""COMPUTED_VALUE"""),"491.***.***-81")</f>
        <v>491.***.***-81</v>
      </c>
      <c r="E473" s="101">
        <f>IFERROR(__xludf.DUMMYFUNCTION("""COMPUTED_VALUE"""),15.0)</f>
        <v>15</v>
      </c>
      <c r="F473" s="101" t="str">
        <f>IFERROR(__xludf.DUMMYFUNCTION("""COMPUTED_VALUE"""),"491.456.728-81")</f>
        <v>491.456.728-81</v>
      </c>
      <c r="G473" s="101"/>
      <c r="H473" s="101"/>
      <c r="I473" s="101"/>
      <c r="J473" s="101"/>
      <c r="K473" s="101"/>
      <c r="L473" s="101"/>
      <c r="M473" s="101"/>
      <c r="N473" s="101"/>
      <c r="O473" s="101"/>
      <c r="P473" s="101"/>
      <c r="Q473" s="101"/>
      <c r="R473" s="101"/>
      <c r="S473" s="101"/>
      <c r="T473" s="101"/>
      <c r="U473" s="101"/>
      <c r="V473" s="101"/>
      <c r="W473" s="101"/>
      <c r="X473" s="101"/>
      <c r="Y473" s="101"/>
      <c r="Z473" s="101"/>
    </row>
    <row r="474">
      <c r="A474" s="101"/>
      <c r="B474" s="101"/>
      <c r="C474" s="101" t="str">
        <f>IFERROR(__xludf.DUMMYFUNCTION("""COMPUTED_VALUE"""),"JULIO MARTINS SANTOS DE JESUS")</f>
        <v>JULIO MARTINS SANTOS DE JESUS</v>
      </c>
      <c r="D474" s="101" t="str">
        <f>IFERROR(__xludf.DUMMYFUNCTION("""COMPUTED_VALUE"""),"462.***.***-74")</f>
        <v>462.***.***-74</v>
      </c>
      <c r="E474" s="101">
        <f>IFERROR(__xludf.DUMMYFUNCTION("""COMPUTED_VALUE"""),9.0)</f>
        <v>9</v>
      </c>
      <c r="F474" s="101" t="str">
        <f>IFERROR(__xludf.DUMMYFUNCTION("""COMPUTED_VALUE"""),"462.396.898-74")</f>
        <v>462.396.898-74</v>
      </c>
      <c r="G474" s="101"/>
      <c r="H474" s="101"/>
      <c r="I474" s="101"/>
      <c r="J474" s="101"/>
      <c r="K474" s="101"/>
      <c r="L474" s="101"/>
      <c r="M474" s="101"/>
      <c r="N474" s="101"/>
      <c r="O474" s="101"/>
      <c r="P474" s="101"/>
      <c r="Q474" s="101"/>
      <c r="R474" s="101"/>
      <c r="S474" s="101"/>
      <c r="T474" s="101"/>
      <c r="U474" s="101"/>
      <c r="V474" s="101"/>
      <c r="W474" s="101"/>
      <c r="X474" s="101"/>
      <c r="Y474" s="101"/>
      <c r="Z474" s="101"/>
    </row>
    <row r="475">
      <c r="A475" s="101"/>
      <c r="B475" s="101"/>
      <c r="C475" s="101" t="str">
        <f>IFERROR(__xludf.DUMMYFUNCTION("""COMPUTED_VALUE"""),"HILÁRIA DA LUZ SOARES")</f>
        <v>HILÁRIA DA LUZ SOARES</v>
      </c>
      <c r="D475" s="101" t="str">
        <f>IFERROR(__xludf.DUMMYFUNCTION("""COMPUTED_VALUE"""),"477.***.***-42")</f>
        <v>477.***.***-42</v>
      </c>
      <c r="E475" s="101">
        <f>IFERROR(__xludf.DUMMYFUNCTION("""COMPUTED_VALUE"""),5.0)</f>
        <v>5</v>
      </c>
      <c r="F475" s="101" t="str">
        <f>IFERROR(__xludf.DUMMYFUNCTION("""COMPUTED_VALUE"""),"477.564.358-42")</f>
        <v>477.564.358-42</v>
      </c>
      <c r="G475" s="101"/>
      <c r="H475" s="101"/>
      <c r="I475" s="101"/>
      <c r="J475" s="101"/>
      <c r="K475" s="101"/>
      <c r="L475" s="101"/>
      <c r="M475" s="101"/>
      <c r="N475" s="101"/>
      <c r="O475" s="101"/>
      <c r="P475" s="101"/>
      <c r="Q475" s="101"/>
      <c r="R475" s="101"/>
      <c r="S475" s="101"/>
      <c r="T475" s="101"/>
      <c r="U475" s="101"/>
      <c r="V475" s="101"/>
      <c r="W475" s="101"/>
      <c r="X475" s="101"/>
      <c r="Y475" s="101"/>
      <c r="Z475" s="101"/>
    </row>
    <row r="476">
      <c r="A476" s="101"/>
      <c r="B476" s="101"/>
      <c r="C476" s="101" t="str">
        <f>IFERROR(__xludf.DUMMYFUNCTION("""COMPUTED_VALUE"""),"ABRAAO FRANCO VANIQUE DA ROCHA")</f>
        <v>ABRAAO FRANCO VANIQUE DA ROCHA</v>
      </c>
      <c r="D476" s="101" t="str">
        <f>IFERROR(__xludf.DUMMYFUNCTION("""COMPUTED_VALUE"""),"499.***.***-85")</f>
        <v>499.***.***-85</v>
      </c>
      <c r="E476" s="101">
        <f>IFERROR(__xludf.DUMMYFUNCTION("""COMPUTED_VALUE"""),1.0)</f>
        <v>1</v>
      </c>
      <c r="F476" s="101" t="str">
        <f>IFERROR(__xludf.DUMMYFUNCTION("""COMPUTED_VALUE"""),"499.032.998-85")</f>
        <v>499.032.998-85</v>
      </c>
      <c r="G476" s="101"/>
      <c r="H476" s="101"/>
      <c r="I476" s="101"/>
      <c r="J476" s="101"/>
      <c r="K476" s="101"/>
      <c r="L476" s="101"/>
      <c r="M476" s="101"/>
      <c r="N476" s="101"/>
      <c r="O476" s="101"/>
      <c r="P476" s="101"/>
      <c r="Q476" s="101"/>
      <c r="R476" s="101"/>
      <c r="S476" s="101"/>
      <c r="T476" s="101"/>
      <c r="U476" s="101"/>
      <c r="V476" s="101"/>
      <c r="W476" s="101"/>
      <c r="X476" s="101"/>
      <c r="Y476" s="101"/>
      <c r="Z476" s="101"/>
    </row>
    <row r="477">
      <c r="A477" s="101"/>
      <c r="B477" s="101"/>
      <c r="C477" s="101" t="str">
        <f>IFERROR(__xludf.DUMMYFUNCTION("""COMPUTED_VALUE"""),"ANA PAULA SEMIAO SOUZA")</f>
        <v>ANA PAULA SEMIAO SOUZA</v>
      </c>
      <c r="D477" s="101" t="str">
        <f>IFERROR(__xludf.DUMMYFUNCTION("""COMPUTED_VALUE"""),"137.***.***-50")</f>
        <v>137.***.***-50</v>
      </c>
      <c r="E477" s="101">
        <f>IFERROR(__xludf.DUMMYFUNCTION("""COMPUTED_VALUE"""),1.0)</f>
        <v>1</v>
      </c>
      <c r="F477" s="101" t="str">
        <f>IFERROR(__xludf.DUMMYFUNCTION("""COMPUTED_VALUE"""),"137.780.346-50")</f>
        <v>137.780.346-50</v>
      </c>
      <c r="G477" s="101"/>
      <c r="H477" s="101"/>
      <c r="I477" s="101"/>
      <c r="J477" s="101"/>
      <c r="K477" s="101"/>
      <c r="L477" s="101"/>
      <c r="M477" s="101"/>
      <c r="N477" s="101"/>
      <c r="O477" s="101"/>
      <c r="P477" s="101"/>
      <c r="Q477" s="101"/>
      <c r="R477" s="101"/>
      <c r="S477" s="101"/>
      <c r="T477" s="101"/>
      <c r="U477" s="101"/>
      <c r="V477" s="101"/>
      <c r="W477" s="101"/>
      <c r="X477" s="101"/>
      <c r="Y477" s="101"/>
      <c r="Z477" s="101"/>
    </row>
    <row r="478">
      <c r="A478" s="101"/>
      <c r="B478" s="101"/>
      <c r="C478" s="101" t="str">
        <f>IFERROR(__xludf.DUMMYFUNCTION("""COMPUTED_VALUE"""),"JOÃO VITOR SANTANA NUNES")</f>
        <v>JOÃO VITOR SANTANA NUNES</v>
      </c>
      <c r="D478" s="101" t="str">
        <f>IFERROR(__xludf.DUMMYFUNCTION("""COMPUTED_VALUE"""),"490.***.***-59")</f>
        <v>490.***.***-59</v>
      </c>
      <c r="E478" s="101">
        <f>IFERROR(__xludf.DUMMYFUNCTION("""COMPUTED_VALUE"""),2.0)</f>
        <v>2</v>
      </c>
      <c r="F478" s="101" t="str">
        <f>IFERROR(__xludf.DUMMYFUNCTION("""COMPUTED_VALUE"""),"490.449.598-59")</f>
        <v>490.449.598-59</v>
      </c>
      <c r="G478" s="101"/>
      <c r="H478" s="101"/>
      <c r="I478" s="101"/>
      <c r="J478" s="101"/>
      <c r="K478" s="101"/>
      <c r="L478" s="101"/>
      <c r="M478" s="101"/>
      <c r="N478" s="101"/>
      <c r="O478" s="101"/>
      <c r="P478" s="101"/>
      <c r="Q478" s="101"/>
      <c r="R478" s="101"/>
      <c r="S478" s="101"/>
      <c r="T478" s="101"/>
      <c r="U478" s="101"/>
      <c r="V478" s="101"/>
      <c r="W478" s="101"/>
      <c r="X478" s="101"/>
      <c r="Y478" s="101"/>
      <c r="Z478" s="101"/>
    </row>
    <row r="479">
      <c r="A479" s="101"/>
      <c r="B479" s="101"/>
      <c r="C479" s="101" t="str">
        <f>IFERROR(__xludf.DUMMYFUNCTION("""COMPUTED_VALUE"""),"PEDRO HENRIQUE SOARES DE FARIAS FRANÇA")</f>
        <v>PEDRO HENRIQUE SOARES DE FARIAS FRANÇA</v>
      </c>
      <c r="D479" s="101" t="str">
        <f>IFERROR(__xludf.DUMMYFUNCTION("""COMPUTED_VALUE"""),"540.***.***-00")</f>
        <v>540.***.***-00</v>
      </c>
      <c r="E479" s="101">
        <f>IFERROR(__xludf.DUMMYFUNCTION("""COMPUTED_VALUE"""),10.0)</f>
        <v>10</v>
      </c>
      <c r="F479" s="101" t="str">
        <f>IFERROR(__xludf.DUMMYFUNCTION("""COMPUTED_VALUE"""),"540.510.728-00")</f>
        <v>540.510.728-00</v>
      </c>
      <c r="G479" s="101"/>
      <c r="H479" s="101"/>
      <c r="I479" s="101"/>
      <c r="J479" s="101"/>
      <c r="K479" s="101"/>
      <c r="L479" s="101"/>
      <c r="M479" s="101"/>
      <c r="N479" s="101"/>
      <c r="O479" s="101"/>
      <c r="P479" s="101"/>
      <c r="Q479" s="101"/>
      <c r="R479" s="101"/>
      <c r="S479" s="101"/>
      <c r="T479" s="101"/>
      <c r="U479" s="101"/>
      <c r="V479" s="101"/>
      <c r="W479" s="101"/>
      <c r="X479" s="101"/>
      <c r="Y479" s="101"/>
      <c r="Z479" s="101"/>
    </row>
    <row r="480">
      <c r="A480" s="101"/>
      <c r="B480" s="101"/>
      <c r="C480" s="101" t="str">
        <f>IFERROR(__xludf.DUMMYFUNCTION("""COMPUTED_VALUE"""),"GIOVANA SANTOS CLARO")</f>
        <v>GIOVANA SANTOS CLARO</v>
      </c>
      <c r="D480" s="101" t="str">
        <f>IFERROR(__xludf.DUMMYFUNCTION("""COMPUTED_VALUE"""),"239.***.***-80")</f>
        <v>239.***.***-80</v>
      </c>
      <c r="E480" s="101">
        <f>IFERROR(__xludf.DUMMYFUNCTION("""COMPUTED_VALUE"""),4.0)</f>
        <v>4</v>
      </c>
      <c r="F480" s="101" t="str">
        <f>IFERROR(__xludf.DUMMYFUNCTION("""COMPUTED_VALUE"""),"239.581.008-80")</f>
        <v>239.581.008-80</v>
      </c>
      <c r="G480" s="101"/>
      <c r="H480" s="101"/>
      <c r="I480" s="101"/>
      <c r="J480" s="101"/>
      <c r="K480" s="101"/>
      <c r="L480" s="101"/>
      <c r="M480" s="101"/>
      <c r="N480" s="101"/>
      <c r="O480" s="101"/>
      <c r="P480" s="101"/>
      <c r="Q480" s="101"/>
      <c r="R480" s="101"/>
      <c r="S480" s="101"/>
      <c r="T480" s="101"/>
      <c r="U480" s="101"/>
      <c r="V480" s="101"/>
      <c r="W480" s="101"/>
      <c r="X480" s="101"/>
      <c r="Y480" s="101"/>
      <c r="Z480" s="101"/>
    </row>
    <row r="481">
      <c r="A481" s="101"/>
      <c r="B481" s="101"/>
      <c r="C481" s="101" t="str">
        <f>IFERROR(__xludf.DUMMYFUNCTION("""COMPUTED_VALUE"""),"LAURA MANOEL MELO")</f>
        <v>LAURA MANOEL MELO</v>
      </c>
      <c r="D481" s="101" t="str">
        <f>IFERROR(__xludf.DUMMYFUNCTION("""COMPUTED_VALUE"""),"468.***.***-25")</f>
        <v>468.***.***-25</v>
      </c>
      <c r="E481" s="101">
        <f>IFERROR(__xludf.DUMMYFUNCTION("""COMPUTED_VALUE"""),6.0)</f>
        <v>6</v>
      </c>
      <c r="F481" s="101" t="str">
        <f>IFERROR(__xludf.DUMMYFUNCTION("""COMPUTED_VALUE"""),"468.791.978-25")</f>
        <v>468.791.978-25</v>
      </c>
      <c r="G481" s="101"/>
      <c r="H481" s="101"/>
      <c r="I481" s="101"/>
      <c r="J481" s="101"/>
      <c r="K481" s="101"/>
      <c r="L481" s="101"/>
      <c r="M481" s="101"/>
      <c r="N481" s="101"/>
      <c r="O481" s="101"/>
      <c r="P481" s="101"/>
      <c r="Q481" s="101"/>
      <c r="R481" s="101"/>
      <c r="S481" s="101"/>
      <c r="T481" s="101"/>
      <c r="U481" s="101"/>
      <c r="V481" s="101"/>
      <c r="W481" s="101"/>
      <c r="X481" s="101"/>
      <c r="Y481" s="101"/>
      <c r="Z481" s="101"/>
    </row>
    <row r="482">
      <c r="A482" s="101"/>
      <c r="B482" s="101"/>
      <c r="C482" s="101" t="str">
        <f>IFERROR(__xludf.DUMMYFUNCTION("""COMPUTED_VALUE"""),"LINCOLN THOMAS ROCHA FERREIRA")</f>
        <v>LINCOLN THOMAS ROCHA FERREIRA</v>
      </c>
      <c r="D482" s="101" t="str">
        <f>IFERROR(__xludf.DUMMYFUNCTION("""COMPUTED_VALUE"""),"485.***.***-09")</f>
        <v>485.***.***-09</v>
      </c>
      <c r="E482" s="101">
        <f>IFERROR(__xludf.DUMMYFUNCTION("""COMPUTED_VALUE"""),11.0)</f>
        <v>11</v>
      </c>
      <c r="F482" s="101" t="str">
        <f>IFERROR(__xludf.DUMMYFUNCTION("""COMPUTED_VALUE"""),"485.465.068-09")</f>
        <v>485.465.068-09</v>
      </c>
      <c r="G482" s="101"/>
      <c r="H482" s="101"/>
      <c r="I482" s="101"/>
      <c r="J482" s="101"/>
      <c r="K482" s="101"/>
      <c r="L482" s="101"/>
      <c r="M482" s="101"/>
      <c r="N482" s="101"/>
      <c r="O482" s="101"/>
      <c r="P482" s="101"/>
      <c r="Q482" s="101"/>
      <c r="R482" s="101"/>
      <c r="S482" s="101"/>
      <c r="T482" s="101"/>
      <c r="U482" s="101"/>
      <c r="V482" s="101"/>
      <c r="W482" s="101"/>
      <c r="X482" s="101"/>
      <c r="Y482" s="101"/>
      <c r="Z482" s="101"/>
    </row>
    <row r="483">
      <c r="A483" s="101"/>
      <c r="B483" s="101"/>
      <c r="C483" s="101" t="str">
        <f>IFERROR(__xludf.DUMMYFUNCTION("""COMPUTED_VALUE"""),"THALIA SOUZA CARVALHO")</f>
        <v>THALIA SOUZA CARVALHO</v>
      </c>
      <c r="D483" s="101" t="str">
        <f>IFERROR(__xludf.DUMMYFUNCTION("""COMPUTED_VALUE"""),"362.***.***-44")</f>
        <v>362.***.***-44</v>
      </c>
      <c r="E483" s="101">
        <f>IFERROR(__xludf.DUMMYFUNCTION("""COMPUTED_VALUE"""),11.0)</f>
        <v>11</v>
      </c>
      <c r="F483" s="101" t="str">
        <f>IFERROR(__xludf.DUMMYFUNCTION("""COMPUTED_VALUE"""),"362.755.748-44")</f>
        <v>362.755.748-44</v>
      </c>
      <c r="G483" s="101"/>
      <c r="H483" s="101"/>
      <c r="I483" s="101"/>
      <c r="J483" s="101"/>
      <c r="K483" s="101"/>
      <c r="L483" s="101"/>
      <c r="M483" s="101"/>
      <c r="N483" s="101"/>
      <c r="O483" s="101"/>
      <c r="P483" s="101"/>
      <c r="Q483" s="101"/>
      <c r="R483" s="101"/>
      <c r="S483" s="101"/>
      <c r="T483" s="101"/>
      <c r="U483" s="101"/>
      <c r="V483" s="101"/>
      <c r="W483" s="101"/>
      <c r="X483" s="101"/>
      <c r="Y483" s="101"/>
      <c r="Z483" s="101"/>
    </row>
    <row r="484">
      <c r="A484" s="101"/>
      <c r="B484" s="101"/>
      <c r="C484" s="101" t="str">
        <f>IFERROR(__xludf.DUMMYFUNCTION("""COMPUTED_VALUE"""),"REBECCA MARIA DA CRUZ OLIVEIRA")</f>
        <v>REBECCA MARIA DA CRUZ OLIVEIRA</v>
      </c>
      <c r="D484" s="101" t="str">
        <f>IFERROR(__xludf.DUMMYFUNCTION("""COMPUTED_VALUE"""),"403.***.***-20")</f>
        <v>403.***.***-20</v>
      </c>
      <c r="E484" s="101">
        <f>IFERROR(__xludf.DUMMYFUNCTION("""COMPUTED_VALUE"""),10.0)</f>
        <v>10</v>
      </c>
      <c r="F484" s="101" t="str">
        <f>IFERROR(__xludf.DUMMYFUNCTION("""COMPUTED_VALUE"""),"403.754.658-20")</f>
        <v>403.754.658-20</v>
      </c>
      <c r="G484" s="101"/>
      <c r="H484" s="101"/>
      <c r="I484" s="101"/>
      <c r="J484" s="101"/>
      <c r="K484" s="101"/>
      <c r="L484" s="101"/>
      <c r="M484" s="101"/>
      <c r="N484" s="101"/>
      <c r="O484" s="101"/>
      <c r="P484" s="101"/>
      <c r="Q484" s="101"/>
      <c r="R484" s="101"/>
      <c r="S484" s="101"/>
      <c r="T484" s="101"/>
      <c r="U484" s="101"/>
      <c r="V484" s="101"/>
      <c r="W484" s="101"/>
      <c r="X484" s="101"/>
      <c r="Y484" s="101"/>
      <c r="Z484" s="101"/>
    </row>
    <row r="485">
      <c r="A485" s="101"/>
      <c r="B485" s="101"/>
      <c r="C485" s="101" t="str">
        <f>IFERROR(__xludf.DUMMYFUNCTION("""COMPUTED_VALUE"""),"ANA CAROLINE DIAS ARAUJO")</f>
        <v>ANA CAROLINE DIAS ARAUJO</v>
      </c>
      <c r="D485" s="101" t="str">
        <f>IFERROR(__xludf.DUMMYFUNCTION("""COMPUTED_VALUE"""),"448.***.***-80")</f>
        <v>448.***.***-80</v>
      </c>
      <c r="E485" s="101">
        <f>IFERROR(__xludf.DUMMYFUNCTION("""COMPUTED_VALUE"""),1.0)</f>
        <v>1</v>
      </c>
      <c r="F485" s="101" t="str">
        <f>IFERROR(__xludf.DUMMYFUNCTION("""COMPUTED_VALUE"""),"448.301.368-80")</f>
        <v>448.301.368-80</v>
      </c>
      <c r="G485" s="101"/>
      <c r="H485" s="101"/>
      <c r="I485" s="101"/>
      <c r="J485" s="101"/>
      <c r="K485" s="101"/>
      <c r="L485" s="101"/>
      <c r="M485" s="101"/>
      <c r="N485" s="101"/>
      <c r="O485" s="101"/>
      <c r="P485" s="101"/>
      <c r="Q485" s="101"/>
      <c r="R485" s="101"/>
      <c r="S485" s="101"/>
      <c r="T485" s="101"/>
      <c r="U485" s="101"/>
      <c r="V485" s="101"/>
      <c r="W485" s="101"/>
      <c r="X485" s="101"/>
      <c r="Y485" s="101"/>
      <c r="Z485" s="101"/>
    </row>
    <row r="486">
      <c r="A486" s="101"/>
      <c r="B486" s="101"/>
      <c r="C486" s="101" t="str">
        <f>IFERROR(__xludf.DUMMYFUNCTION("""COMPUTED_VALUE"""),"CLARA MARIA GOMES FREIRE")</f>
        <v>CLARA MARIA GOMES FREIRE</v>
      </c>
      <c r="D486" s="101" t="str">
        <f>IFERROR(__xludf.DUMMYFUNCTION("""COMPUTED_VALUE"""),"487.***.***-31")</f>
        <v>487.***.***-31</v>
      </c>
      <c r="E486" s="101">
        <f>IFERROR(__xludf.DUMMYFUNCTION("""COMPUTED_VALUE"""),3.0)</f>
        <v>3</v>
      </c>
      <c r="F486" s="101" t="str">
        <f>IFERROR(__xludf.DUMMYFUNCTION("""COMPUTED_VALUE"""),"487.069.278-31")</f>
        <v>487.069.278-31</v>
      </c>
      <c r="G486" s="101"/>
      <c r="H486" s="101"/>
      <c r="I486" s="101"/>
      <c r="J486" s="101"/>
      <c r="K486" s="101"/>
      <c r="L486" s="101"/>
      <c r="M486" s="101"/>
      <c r="N486" s="101"/>
      <c r="O486" s="101"/>
      <c r="P486" s="101"/>
      <c r="Q486" s="101"/>
      <c r="R486" s="101"/>
      <c r="S486" s="101"/>
      <c r="T486" s="101"/>
      <c r="U486" s="101"/>
      <c r="V486" s="101"/>
      <c r="W486" s="101"/>
      <c r="X486" s="101"/>
      <c r="Y486" s="101"/>
      <c r="Z486" s="101"/>
    </row>
    <row r="487">
      <c r="A487" s="101"/>
      <c r="B487" s="101"/>
      <c r="C487" s="101" t="str">
        <f>IFERROR(__xludf.DUMMYFUNCTION("""COMPUTED_VALUE"""),"MARIA VITÓRIA DO NASCIMENTO")</f>
        <v>MARIA VITÓRIA DO NASCIMENTO</v>
      </c>
      <c r="D487" s="101" t="str">
        <f>IFERROR(__xludf.DUMMYFUNCTION("""COMPUTED_VALUE"""),"471.***.***-09")</f>
        <v>471.***.***-09</v>
      </c>
      <c r="E487" s="101">
        <f>IFERROR(__xludf.DUMMYFUNCTION("""COMPUTED_VALUE"""),8.0)</f>
        <v>8</v>
      </c>
      <c r="F487" s="101" t="str">
        <f>IFERROR(__xludf.DUMMYFUNCTION("""COMPUTED_VALUE"""),"471.224.438-09")</f>
        <v>471.224.438-09</v>
      </c>
      <c r="G487" s="101"/>
      <c r="H487" s="101"/>
      <c r="I487" s="101"/>
      <c r="J487" s="101"/>
      <c r="K487" s="101"/>
      <c r="L487" s="101"/>
      <c r="M487" s="101"/>
      <c r="N487" s="101"/>
      <c r="O487" s="101"/>
      <c r="P487" s="101"/>
      <c r="Q487" s="101"/>
      <c r="R487" s="101"/>
      <c r="S487" s="101"/>
      <c r="T487" s="101"/>
      <c r="U487" s="101"/>
      <c r="V487" s="101"/>
      <c r="W487" s="101"/>
      <c r="X487" s="101"/>
      <c r="Y487" s="101"/>
      <c r="Z487" s="101"/>
    </row>
    <row r="488">
      <c r="A488" s="101"/>
      <c r="B488" s="101"/>
      <c r="C488" s="101" t="str">
        <f>IFERROR(__xludf.DUMMYFUNCTION("""COMPUTED_VALUE"""),"JACKELYNE CABRAL DE MOURA")</f>
        <v>JACKELYNE CABRAL DE MOURA</v>
      </c>
      <c r="D488" s="101" t="str">
        <f>IFERROR(__xludf.DUMMYFUNCTION("""COMPUTED_VALUE"""),"479.***.***-66")</f>
        <v>479.***.***-66</v>
      </c>
      <c r="E488" s="101">
        <f>IFERROR(__xludf.DUMMYFUNCTION("""COMPUTED_VALUE"""),7.0)</f>
        <v>7</v>
      </c>
      <c r="F488" s="101" t="str">
        <f>IFERROR(__xludf.DUMMYFUNCTION("""COMPUTED_VALUE"""),"479.128.788-66")</f>
        <v>479.128.788-66</v>
      </c>
      <c r="G488" s="101"/>
      <c r="H488" s="101"/>
      <c r="I488" s="101"/>
      <c r="J488" s="101"/>
      <c r="K488" s="101"/>
      <c r="L488" s="101"/>
      <c r="M488" s="101"/>
      <c r="N488" s="101"/>
      <c r="O488" s="101"/>
      <c r="P488" s="101"/>
      <c r="Q488" s="101"/>
      <c r="R488" s="101"/>
      <c r="S488" s="101"/>
      <c r="T488" s="101"/>
      <c r="U488" s="101"/>
      <c r="V488" s="101"/>
      <c r="W488" s="101"/>
      <c r="X488" s="101"/>
      <c r="Y488" s="101"/>
      <c r="Z488" s="101"/>
    </row>
    <row r="489">
      <c r="A489" s="101"/>
      <c r="B489" s="101"/>
      <c r="C489" s="101" t="str">
        <f>IFERROR(__xludf.DUMMYFUNCTION("""COMPUTED_VALUE"""),"GIOVANNA DA SILVA EUGENIO")</f>
        <v>GIOVANNA DA SILVA EUGENIO</v>
      </c>
      <c r="D489" s="101" t="str">
        <f>IFERROR(__xludf.DUMMYFUNCTION("""COMPUTED_VALUE"""),"239.***.***-00")</f>
        <v>239.***.***-00</v>
      </c>
      <c r="E489" s="101">
        <f>IFERROR(__xludf.DUMMYFUNCTION("""COMPUTED_VALUE"""),6.0)</f>
        <v>6</v>
      </c>
      <c r="F489" s="101" t="str">
        <f>IFERROR(__xludf.DUMMYFUNCTION("""COMPUTED_VALUE"""),"239.692.978-00")</f>
        <v>239.692.978-00</v>
      </c>
      <c r="G489" s="101"/>
      <c r="H489" s="101"/>
      <c r="I489" s="101"/>
      <c r="J489" s="101"/>
      <c r="K489" s="101"/>
      <c r="L489" s="101"/>
      <c r="M489" s="101"/>
      <c r="N489" s="101"/>
      <c r="O489" s="101"/>
      <c r="P489" s="101"/>
      <c r="Q489" s="101"/>
      <c r="R489" s="101"/>
      <c r="S489" s="101"/>
      <c r="T489" s="101"/>
      <c r="U489" s="101"/>
      <c r="V489" s="101"/>
      <c r="W489" s="101"/>
      <c r="X489" s="101"/>
      <c r="Y489" s="101"/>
      <c r="Z489" s="101"/>
    </row>
    <row r="490">
      <c r="A490" s="101"/>
      <c r="B490" s="101"/>
      <c r="C490" s="101" t="str">
        <f>IFERROR(__xludf.DUMMYFUNCTION("""COMPUTED_VALUE"""),"CATERINE REIS DE SOUZA")</f>
        <v>CATERINE REIS DE SOUZA</v>
      </c>
      <c r="D490" s="101" t="str">
        <f>IFERROR(__xludf.DUMMYFUNCTION("""COMPUTED_VALUE"""),"450.***.***-17")</f>
        <v>450.***.***-17</v>
      </c>
      <c r="E490" s="101">
        <f>IFERROR(__xludf.DUMMYFUNCTION("""COMPUTED_VALUE"""),14.0)</f>
        <v>14</v>
      </c>
      <c r="F490" s="101" t="str">
        <f>IFERROR(__xludf.DUMMYFUNCTION("""COMPUTED_VALUE"""),"450.475.308-17")</f>
        <v>450.475.308-17</v>
      </c>
      <c r="G490" s="101"/>
      <c r="H490" s="101"/>
      <c r="I490" s="101"/>
      <c r="J490" s="101"/>
      <c r="K490" s="101"/>
      <c r="L490" s="101"/>
      <c r="M490" s="101"/>
      <c r="N490" s="101"/>
      <c r="O490" s="101"/>
      <c r="P490" s="101"/>
      <c r="Q490" s="101"/>
      <c r="R490" s="101"/>
      <c r="S490" s="101"/>
      <c r="T490" s="101"/>
      <c r="U490" s="101"/>
      <c r="V490" s="101"/>
      <c r="W490" s="101"/>
      <c r="X490" s="101"/>
      <c r="Y490" s="101"/>
      <c r="Z490" s="101"/>
    </row>
    <row r="491">
      <c r="A491" s="101"/>
      <c r="B491" s="101"/>
      <c r="C491" s="101" t="str">
        <f>IFERROR(__xludf.DUMMYFUNCTION("""COMPUTED_VALUE"""),"RAI DIAS DE FIGUEIREDO")</f>
        <v>RAI DIAS DE FIGUEIREDO</v>
      </c>
      <c r="D491" s="101" t="str">
        <f>IFERROR(__xludf.DUMMYFUNCTION("""COMPUTED_VALUE"""),"502.***.***-38")</f>
        <v>502.***.***-38</v>
      </c>
      <c r="E491" s="101">
        <f>IFERROR(__xludf.DUMMYFUNCTION("""COMPUTED_VALUE"""),9.0)</f>
        <v>9</v>
      </c>
      <c r="F491" s="101" t="str">
        <f>IFERROR(__xludf.DUMMYFUNCTION("""COMPUTED_VALUE"""),"502.152.378-38")</f>
        <v>502.152.378-38</v>
      </c>
      <c r="G491" s="101"/>
      <c r="H491" s="101"/>
      <c r="I491" s="101"/>
      <c r="J491" s="101"/>
      <c r="K491" s="101"/>
      <c r="L491" s="101"/>
      <c r="M491" s="101"/>
      <c r="N491" s="101"/>
      <c r="O491" s="101"/>
      <c r="P491" s="101"/>
      <c r="Q491" s="101"/>
      <c r="R491" s="101"/>
      <c r="S491" s="101"/>
      <c r="T491" s="101"/>
      <c r="U491" s="101"/>
      <c r="V491" s="101"/>
      <c r="W491" s="101"/>
      <c r="X491" s="101"/>
      <c r="Y491" s="101"/>
      <c r="Z491" s="101"/>
    </row>
    <row r="492">
      <c r="A492" s="101"/>
      <c r="B492" s="101"/>
      <c r="C492" s="101" t="str">
        <f>IFERROR(__xludf.DUMMYFUNCTION("""COMPUTED_VALUE"""),"BEATRIZ APARECIDA TEIXEIRA")</f>
        <v>BEATRIZ APARECIDA TEIXEIRA</v>
      </c>
      <c r="D492" s="101" t="str">
        <f>IFERROR(__xludf.DUMMYFUNCTION("""COMPUTED_VALUE"""),"502.***.***-92")</f>
        <v>502.***.***-92</v>
      </c>
      <c r="E492" s="101">
        <f>IFERROR(__xludf.DUMMYFUNCTION("""COMPUTED_VALUE"""),2.0)</f>
        <v>2</v>
      </c>
      <c r="F492" s="101" t="str">
        <f>IFERROR(__xludf.DUMMYFUNCTION("""COMPUTED_VALUE"""),"502.491.878-92")</f>
        <v>502.491.878-92</v>
      </c>
      <c r="G492" s="101"/>
      <c r="H492" s="101"/>
      <c r="I492" s="101"/>
      <c r="J492" s="101"/>
      <c r="K492" s="101"/>
      <c r="L492" s="101"/>
      <c r="M492" s="101"/>
      <c r="N492" s="101"/>
      <c r="O492" s="101"/>
      <c r="P492" s="101"/>
      <c r="Q492" s="101"/>
      <c r="R492" s="101"/>
      <c r="S492" s="101"/>
      <c r="T492" s="101"/>
      <c r="U492" s="101"/>
      <c r="V492" s="101"/>
      <c r="W492" s="101"/>
      <c r="X492" s="101"/>
      <c r="Y492" s="101"/>
      <c r="Z492" s="101"/>
    </row>
    <row r="493">
      <c r="A493" s="101"/>
      <c r="B493" s="101"/>
      <c r="C493" s="101" t="str">
        <f>IFERROR(__xludf.DUMMYFUNCTION("""COMPUTED_VALUE"""),"ISABELLA BIANCA REGO SILVA")</f>
        <v>ISABELLA BIANCA REGO SILVA</v>
      </c>
      <c r="D493" s="101" t="str">
        <f>IFERROR(__xludf.DUMMYFUNCTION("""COMPUTED_VALUE"""),"524.***.***-21")</f>
        <v>524.***.***-21</v>
      </c>
      <c r="E493" s="101">
        <f>IFERROR(__xludf.DUMMYFUNCTION("""COMPUTED_VALUE"""),7.0)</f>
        <v>7</v>
      </c>
      <c r="F493" s="101" t="str">
        <f>IFERROR(__xludf.DUMMYFUNCTION("""COMPUTED_VALUE"""),"524.346.098-21")</f>
        <v>524.346.098-21</v>
      </c>
      <c r="G493" s="101"/>
      <c r="H493" s="101"/>
      <c r="I493" s="101"/>
      <c r="J493" s="101"/>
      <c r="K493" s="101"/>
      <c r="L493" s="101"/>
      <c r="M493" s="101"/>
      <c r="N493" s="101"/>
      <c r="O493" s="101"/>
      <c r="P493" s="101"/>
      <c r="Q493" s="101"/>
      <c r="R493" s="101"/>
      <c r="S493" s="101"/>
      <c r="T493" s="101"/>
      <c r="U493" s="101"/>
      <c r="V493" s="101"/>
      <c r="W493" s="101"/>
      <c r="X493" s="101"/>
      <c r="Y493" s="101"/>
      <c r="Z493" s="101"/>
    </row>
    <row r="494">
      <c r="A494" s="101"/>
      <c r="B494" s="101"/>
      <c r="C494" s="101" t="str">
        <f>IFERROR(__xludf.DUMMYFUNCTION("""COMPUTED_VALUE"""),"NATALIA RODRIGUES ALVES DE SOUZA")</f>
        <v>NATALIA RODRIGUES ALVES DE SOUZA</v>
      </c>
      <c r="D494" s="101" t="str">
        <f>IFERROR(__xludf.DUMMYFUNCTION("""COMPUTED_VALUE"""),"428.***.***-80")</f>
        <v>428.***.***-80</v>
      </c>
      <c r="E494" s="101">
        <f>IFERROR(__xludf.DUMMYFUNCTION("""COMPUTED_VALUE"""),13.0)</f>
        <v>13</v>
      </c>
      <c r="F494" s="101" t="str">
        <f>IFERROR(__xludf.DUMMYFUNCTION("""COMPUTED_VALUE"""),"428.569.978-80")</f>
        <v>428.569.978-80</v>
      </c>
      <c r="G494" s="101"/>
      <c r="H494" s="101"/>
      <c r="I494" s="101"/>
      <c r="J494" s="101"/>
      <c r="K494" s="101"/>
      <c r="L494" s="101"/>
      <c r="M494" s="101"/>
      <c r="N494" s="101"/>
      <c r="O494" s="101"/>
      <c r="P494" s="101"/>
      <c r="Q494" s="101"/>
      <c r="R494" s="101"/>
      <c r="S494" s="101"/>
      <c r="T494" s="101"/>
      <c r="U494" s="101"/>
      <c r="V494" s="101"/>
      <c r="W494" s="101"/>
      <c r="X494" s="101"/>
      <c r="Y494" s="101"/>
      <c r="Z494" s="101"/>
    </row>
    <row r="495">
      <c r="A495" s="101"/>
      <c r="B495" s="101"/>
      <c r="C495" s="101" t="str">
        <f>IFERROR(__xludf.DUMMYFUNCTION("""COMPUTED_VALUE"""),"RAFAELA LOPES DA SILVA")</f>
        <v>RAFAELA LOPES DA SILVA</v>
      </c>
      <c r="D495" s="101" t="str">
        <f>IFERROR(__xludf.DUMMYFUNCTION("""COMPUTED_VALUE"""),"527.***.***-60")</f>
        <v>527.***.***-60</v>
      </c>
      <c r="E495" s="101">
        <f>IFERROR(__xludf.DUMMYFUNCTION("""COMPUTED_VALUE"""),9.0)</f>
        <v>9</v>
      </c>
      <c r="F495" s="101" t="str">
        <f>IFERROR(__xludf.DUMMYFUNCTION("""COMPUTED_VALUE"""),"527.052.468-60")</f>
        <v>527.052.468-60</v>
      </c>
      <c r="G495" s="101"/>
      <c r="H495" s="101"/>
      <c r="I495" s="101"/>
      <c r="J495" s="101"/>
      <c r="K495" s="101"/>
      <c r="L495" s="101"/>
      <c r="M495" s="101"/>
      <c r="N495" s="101"/>
      <c r="O495" s="101"/>
      <c r="P495" s="101"/>
      <c r="Q495" s="101"/>
      <c r="R495" s="101"/>
      <c r="S495" s="101"/>
      <c r="T495" s="101"/>
      <c r="U495" s="101"/>
      <c r="V495" s="101"/>
      <c r="W495" s="101"/>
      <c r="X495" s="101"/>
      <c r="Y495" s="101"/>
      <c r="Z495" s="101"/>
    </row>
    <row r="496">
      <c r="A496" s="101"/>
      <c r="B496" s="101"/>
      <c r="C496" s="101" t="str">
        <f>IFERROR(__xludf.DUMMYFUNCTION("""COMPUTED_VALUE"""),"LUCAS DA CRUZ RIBEIRO")</f>
        <v>LUCAS DA CRUZ RIBEIRO</v>
      </c>
      <c r="D496" s="101" t="str">
        <f>IFERROR(__xludf.DUMMYFUNCTION("""COMPUTED_VALUE"""),"396.***.***-63")</f>
        <v>396.***.***-63</v>
      </c>
      <c r="E496" s="101">
        <f>IFERROR(__xludf.DUMMYFUNCTION("""COMPUTED_VALUE"""),11.0)</f>
        <v>11</v>
      </c>
      <c r="F496" s="101" t="str">
        <f>IFERROR(__xludf.DUMMYFUNCTION("""COMPUTED_VALUE"""),"396.181.468-63")</f>
        <v>396.181.468-63</v>
      </c>
      <c r="G496" s="101"/>
      <c r="H496" s="101"/>
      <c r="I496" s="101"/>
      <c r="J496" s="101"/>
      <c r="K496" s="101"/>
      <c r="L496" s="101"/>
      <c r="M496" s="101"/>
      <c r="N496" s="101"/>
      <c r="O496" s="101"/>
      <c r="P496" s="101"/>
      <c r="Q496" s="101"/>
      <c r="R496" s="101"/>
      <c r="S496" s="101"/>
      <c r="T496" s="101"/>
      <c r="U496" s="101"/>
      <c r="V496" s="101"/>
      <c r="W496" s="101"/>
      <c r="X496" s="101"/>
      <c r="Y496" s="101"/>
      <c r="Z496" s="101"/>
    </row>
    <row r="497">
      <c r="A497" s="101"/>
      <c r="B497" s="101"/>
      <c r="C497" s="101" t="str">
        <f>IFERROR(__xludf.DUMMYFUNCTION("""COMPUTED_VALUE"""),"TAISA GABRIELLE ALBUQUERQUE GENDA")</f>
        <v>TAISA GABRIELLE ALBUQUERQUE GENDA</v>
      </c>
      <c r="D497" s="101" t="str">
        <f>IFERROR(__xludf.DUMMYFUNCTION("""COMPUTED_VALUE"""),"507.***.***-32")</f>
        <v>507.***.***-32</v>
      </c>
      <c r="E497" s="101">
        <f>IFERROR(__xludf.DUMMYFUNCTION("""COMPUTED_VALUE"""),9.0)</f>
        <v>9</v>
      </c>
      <c r="F497" s="101" t="str">
        <f>IFERROR(__xludf.DUMMYFUNCTION("""COMPUTED_VALUE"""),"507.717.408-32")</f>
        <v>507.717.408-32</v>
      </c>
      <c r="G497" s="101"/>
      <c r="H497" s="101"/>
      <c r="I497" s="101"/>
      <c r="J497" s="101"/>
      <c r="K497" s="101"/>
      <c r="L497" s="101"/>
      <c r="M497" s="101"/>
      <c r="N497" s="101"/>
      <c r="O497" s="101"/>
      <c r="P497" s="101"/>
      <c r="Q497" s="101"/>
      <c r="R497" s="101"/>
      <c r="S497" s="101"/>
      <c r="T497" s="101"/>
      <c r="U497" s="101"/>
      <c r="V497" s="101"/>
      <c r="W497" s="101"/>
      <c r="X497" s="101"/>
      <c r="Y497" s="101"/>
      <c r="Z497" s="101"/>
    </row>
    <row r="498">
      <c r="A498" s="101"/>
      <c r="B498" s="101"/>
      <c r="C498" s="101" t="str">
        <f>IFERROR(__xludf.DUMMYFUNCTION("""COMPUTED_VALUE"""),"DENER DE JESUS ALVARES")</f>
        <v>DENER DE JESUS ALVARES</v>
      </c>
      <c r="D498" s="101" t="str">
        <f>IFERROR(__xludf.DUMMYFUNCTION("""COMPUTED_VALUE"""),"468.***.***-54")</f>
        <v>468.***.***-54</v>
      </c>
      <c r="E498" s="101">
        <f>IFERROR(__xludf.DUMMYFUNCTION("""COMPUTED_VALUE"""),3.0)</f>
        <v>3</v>
      </c>
      <c r="F498" s="101" t="str">
        <f>IFERROR(__xludf.DUMMYFUNCTION("""COMPUTED_VALUE"""),"468.687.738-54")</f>
        <v>468.687.738-54</v>
      </c>
      <c r="G498" s="101"/>
      <c r="H498" s="101"/>
      <c r="I498" s="101"/>
      <c r="J498" s="101"/>
      <c r="K498" s="101"/>
      <c r="L498" s="101"/>
      <c r="M498" s="101"/>
      <c r="N498" s="101"/>
      <c r="O498" s="101"/>
      <c r="P498" s="101"/>
      <c r="Q498" s="101"/>
      <c r="R498" s="101"/>
      <c r="S498" s="101"/>
      <c r="T498" s="101"/>
      <c r="U498" s="101"/>
      <c r="V498" s="101"/>
      <c r="W498" s="101"/>
      <c r="X498" s="101"/>
      <c r="Y498" s="101"/>
      <c r="Z498" s="101"/>
    </row>
    <row r="499">
      <c r="A499" s="101"/>
      <c r="B499" s="101"/>
      <c r="C499" s="101" t="str">
        <f>IFERROR(__xludf.DUMMYFUNCTION("""COMPUTED_VALUE"""),"JENIFFER MARIA RAMOS")</f>
        <v>JENIFFER MARIA RAMOS</v>
      </c>
      <c r="D499" s="101" t="str">
        <f>IFERROR(__xludf.DUMMYFUNCTION("""COMPUTED_VALUE"""),"575.***.***-62")</f>
        <v>575.***.***-62</v>
      </c>
      <c r="E499" s="101">
        <f>IFERROR(__xludf.DUMMYFUNCTION("""COMPUTED_VALUE"""),5.0)</f>
        <v>5</v>
      </c>
      <c r="F499" s="101" t="str">
        <f>IFERROR(__xludf.DUMMYFUNCTION("""COMPUTED_VALUE"""),"575.555.078-62")</f>
        <v>575.555.078-62</v>
      </c>
      <c r="G499" s="101"/>
      <c r="H499" s="101"/>
      <c r="I499" s="101"/>
      <c r="J499" s="101"/>
      <c r="K499" s="101"/>
      <c r="L499" s="101"/>
      <c r="M499" s="101"/>
      <c r="N499" s="101"/>
      <c r="O499" s="101"/>
      <c r="P499" s="101"/>
      <c r="Q499" s="101"/>
      <c r="R499" s="101"/>
      <c r="S499" s="101"/>
      <c r="T499" s="101"/>
      <c r="U499" s="101"/>
      <c r="V499" s="101"/>
      <c r="W499" s="101"/>
      <c r="X499" s="101"/>
      <c r="Y499" s="101"/>
      <c r="Z499" s="101"/>
    </row>
    <row r="500">
      <c r="A500" s="101"/>
      <c r="B500" s="101"/>
      <c r="C500" s="101" t="str">
        <f>IFERROR(__xludf.DUMMYFUNCTION("""COMPUTED_VALUE"""),"BRUNA STEPHANI LESSA DAS VIRGENS")</f>
        <v>BRUNA STEPHANI LESSA DAS VIRGENS</v>
      </c>
      <c r="D500" s="101" t="str">
        <f>IFERROR(__xludf.DUMMYFUNCTION("""COMPUTED_VALUE"""),"488.***.***-09")</f>
        <v>488.***.***-09</v>
      </c>
      <c r="E500" s="101">
        <f>IFERROR(__xludf.DUMMYFUNCTION("""COMPUTED_VALUE"""),2.0)</f>
        <v>2</v>
      </c>
      <c r="F500" s="101" t="str">
        <f>IFERROR(__xludf.DUMMYFUNCTION("""COMPUTED_VALUE"""),"488.644.788-09")</f>
        <v>488.644.788-09</v>
      </c>
      <c r="G500" s="101"/>
      <c r="H500" s="101"/>
      <c r="I500" s="101"/>
      <c r="J500" s="101"/>
      <c r="K500" s="101"/>
      <c r="L500" s="101"/>
      <c r="M500" s="101"/>
      <c r="N500" s="101"/>
      <c r="O500" s="101"/>
      <c r="P500" s="101"/>
      <c r="Q500" s="101"/>
      <c r="R500" s="101"/>
      <c r="S500" s="101"/>
      <c r="T500" s="101"/>
      <c r="U500" s="101"/>
      <c r="V500" s="101"/>
      <c r="W500" s="101"/>
      <c r="X500" s="101"/>
      <c r="Y500" s="101"/>
      <c r="Z500" s="101"/>
    </row>
    <row r="501">
      <c r="A501" s="101"/>
      <c r="B501" s="101"/>
      <c r="C501" s="101" t="str">
        <f>IFERROR(__xludf.DUMMYFUNCTION("""COMPUTED_VALUE"""),"MARINA RODRIGUES DA SILVA")</f>
        <v>MARINA RODRIGUES DA SILVA</v>
      </c>
      <c r="D501" s="101" t="str">
        <f>IFERROR(__xludf.DUMMYFUNCTION("""COMPUTED_VALUE"""),"457.***.***-23")</f>
        <v>457.***.***-23</v>
      </c>
      <c r="E501" s="101">
        <f>IFERROR(__xludf.DUMMYFUNCTION("""COMPUTED_VALUE"""),12.0)</f>
        <v>12</v>
      </c>
      <c r="F501" s="101" t="str">
        <f>IFERROR(__xludf.DUMMYFUNCTION("""COMPUTED_VALUE"""),"457.646.198-23")</f>
        <v>457.646.198-23</v>
      </c>
      <c r="G501" s="101"/>
      <c r="H501" s="101"/>
      <c r="I501" s="101"/>
      <c r="J501" s="101"/>
      <c r="K501" s="101"/>
      <c r="L501" s="101"/>
      <c r="M501" s="101"/>
      <c r="N501" s="101"/>
      <c r="O501" s="101"/>
      <c r="P501" s="101"/>
      <c r="Q501" s="101"/>
      <c r="R501" s="101"/>
      <c r="S501" s="101"/>
      <c r="T501" s="101"/>
      <c r="U501" s="101"/>
      <c r="V501" s="101"/>
      <c r="W501" s="101"/>
      <c r="X501" s="101"/>
      <c r="Y501" s="101"/>
      <c r="Z501" s="101"/>
    </row>
    <row r="502">
      <c r="A502" s="101"/>
      <c r="B502" s="101"/>
      <c r="C502" s="101" t="str">
        <f>IFERROR(__xludf.DUMMYFUNCTION("""COMPUTED_VALUE"""),"LENISE DOS SANTOS MONTEIRO")</f>
        <v>LENISE DOS SANTOS MONTEIRO</v>
      </c>
      <c r="D502" s="101" t="str">
        <f>IFERROR(__xludf.DUMMYFUNCTION("""COMPUTED_VALUE"""),"370.***.***-22")</f>
        <v>370.***.***-22</v>
      </c>
      <c r="E502" s="101">
        <f>IFERROR(__xludf.DUMMYFUNCTION("""COMPUTED_VALUE"""),10.0)</f>
        <v>10</v>
      </c>
      <c r="F502" s="101" t="str">
        <f>IFERROR(__xludf.DUMMYFUNCTION("""COMPUTED_VALUE"""),"370.172.398-22")</f>
        <v>370.172.398-22</v>
      </c>
      <c r="G502" s="101"/>
      <c r="H502" s="101"/>
      <c r="I502" s="101"/>
      <c r="J502" s="101"/>
      <c r="K502" s="101"/>
      <c r="L502" s="101"/>
      <c r="M502" s="101"/>
      <c r="N502" s="101"/>
      <c r="O502" s="101"/>
      <c r="P502" s="101"/>
      <c r="Q502" s="101"/>
      <c r="R502" s="101"/>
      <c r="S502" s="101"/>
      <c r="T502" s="101"/>
      <c r="U502" s="101"/>
      <c r="V502" s="101"/>
      <c r="W502" s="101"/>
      <c r="X502" s="101"/>
      <c r="Y502" s="101"/>
      <c r="Z502" s="101"/>
    </row>
    <row r="503">
      <c r="A503" s="101"/>
      <c r="B503" s="101"/>
      <c r="C503" s="101" t="str">
        <f>IFERROR(__xludf.DUMMYFUNCTION("""COMPUTED_VALUE"""),"MAIARA NATALY DA SILVA OLIVEIRA")</f>
        <v>MAIARA NATALY DA SILVA OLIVEIRA</v>
      </c>
      <c r="D503" s="101" t="str">
        <f>IFERROR(__xludf.DUMMYFUNCTION("""COMPUTED_VALUE"""),"540.***.***-03")</f>
        <v>540.***.***-03</v>
      </c>
      <c r="E503" s="101">
        <f>IFERROR(__xludf.DUMMYFUNCTION("""COMPUTED_VALUE"""),11.0)</f>
        <v>11</v>
      </c>
      <c r="F503" s="101" t="str">
        <f>IFERROR(__xludf.DUMMYFUNCTION("""COMPUTED_VALUE"""),"540.358.708-03")</f>
        <v>540.358.708-03</v>
      </c>
      <c r="G503" s="101"/>
      <c r="H503" s="101"/>
      <c r="I503" s="101"/>
      <c r="J503" s="101"/>
      <c r="K503" s="101"/>
      <c r="L503" s="101"/>
      <c r="M503" s="101"/>
      <c r="N503" s="101"/>
      <c r="O503" s="101"/>
      <c r="P503" s="101"/>
      <c r="Q503" s="101"/>
      <c r="R503" s="101"/>
      <c r="S503" s="101"/>
      <c r="T503" s="101"/>
      <c r="U503" s="101"/>
      <c r="V503" s="101"/>
      <c r="W503" s="101"/>
      <c r="X503" s="101"/>
      <c r="Y503" s="101"/>
      <c r="Z503" s="101"/>
    </row>
    <row r="504">
      <c r="A504" s="101"/>
      <c r="B504" s="101"/>
      <c r="C504" s="101" t="str">
        <f>IFERROR(__xludf.DUMMYFUNCTION("""COMPUTED_VALUE"""),"MOARA IBOTIRA MUNIS ALMEIDA")</f>
        <v>MOARA IBOTIRA MUNIS ALMEIDA</v>
      </c>
      <c r="D504" s="101" t="str">
        <f>IFERROR(__xludf.DUMMYFUNCTION("""COMPUTED_VALUE"""),"527.***.***-09")</f>
        <v>527.***.***-09</v>
      </c>
      <c r="E504" s="101">
        <f>IFERROR(__xludf.DUMMYFUNCTION("""COMPUTED_VALUE"""),4.0)</f>
        <v>4</v>
      </c>
      <c r="F504" s="101" t="str">
        <f>IFERROR(__xludf.DUMMYFUNCTION("""COMPUTED_VALUE"""),"527.899.818-09")</f>
        <v>527.899.818-09</v>
      </c>
      <c r="G504" s="101"/>
      <c r="H504" s="101"/>
      <c r="I504" s="101"/>
      <c r="J504" s="101"/>
      <c r="K504" s="101"/>
      <c r="L504" s="101"/>
      <c r="M504" s="101"/>
      <c r="N504" s="101"/>
      <c r="O504" s="101"/>
      <c r="P504" s="101"/>
      <c r="Q504" s="101"/>
      <c r="R504" s="101"/>
      <c r="S504" s="101"/>
      <c r="T504" s="101"/>
      <c r="U504" s="101"/>
      <c r="V504" s="101"/>
      <c r="W504" s="101"/>
      <c r="X504" s="101"/>
      <c r="Y504" s="101"/>
      <c r="Z504" s="101"/>
    </row>
    <row r="505">
      <c r="A505" s="101"/>
      <c r="B505" s="101"/>
      <c r="C505" s="101" t="str">
        <f>IFERROR(__xludf.DUMMYFUNCTION("""COMPUTED_VALUE"""),"GIOVANA DE SOUZA BORGES")</f>
        <v>GIOVANA DE SOUZA BORGES</v>
      </c>
      <c r="D505" s="101" t="str">
        <f>IFERROR(__xludf.DUMMYFUNCTION("""COMPUTED_VALUE"""),"511.***.***-08")</f>
        <v>511.***.***-08</v>
      </c>
      <c r="E505" s="101">
        <f>IFERROR(__xludf.DUMMYFUNCTION("""COMPUTED_VALUE"""),4.0)</f>
        <v>4</v>
      </c>
      <c r="F505" s="101" t="str">
        <f>IFERROR(__xludf.DUMMYFUNCTION("""COMPUTED_VALUE"""),"511.490.258-08")</f>
        <v>511.490.258-08</v>
      </c>
      <c r="G505" s="101"/>
      <c r="H505" s="101"/>
      <c r="I505" s="101"/>
      <c r="J505" s="101"/>
      <c r="K505" s="101"/>
      <c r="L505" s="101"/>
      <c r="M505" s="101"/>
      <c r="N505" s="101"/>
      <c r="O505" s="101"/>
      <c r="P505" s="101"/>
      <c r="Q505" s="101"/>
      <c r="R505" s="101"/>
      <c r="S505" s="101"/>
      <c r="T505" s="101"/>
      <c r="U505" s="101"/>
      <c r="V505" s="101"/>
      <c r="W505" s="101"/>
      <c r="X505" s="101"/>
      <c r="Y505" s="101"/>
      <c r="Z505" s="101"/>
    </row>
    <row r="506">
      <c r="A506" s="101"/>
      <c r="B506" s="101"/>
      <c r="C506" s="101" t="str">
        <f>IFERROR(__xludf.DUMMYFUNCTION("""COMPUTED_VALUE"""),"AGATHA MUTINHO GONCALVEZ")</f>
        <v>AGATHA MUTINHO GONCALVEZ</v>
      </c>
      <c r="D506" s="101" t="str">
        <f>IFERROR(__xludf.DUMMYFUNCTION("""COMPUTED_VALUE"""),"524.***.***-95")</f>
        <v>524.***.***-95</v>
      </c>
      <c r="E506" s="101">
        <f>IFERROR(__xludf.DUMMYFUNCTION("""COMPUTED_VALUE"""),1.0)</f>
        <v>1</v>
      </c>
      <c r="F506" s="101" t="str">
        <f>IFERROR(__xludf.DUMMYFUNCTION("""COMPUTED_VALUE"""),"524.571.818-95")</f>
        <v>524.571.818-95</v>
      </c>
      <c r="G506" s="101"/>
      <c r="H506" s="101"/>
      <c r="I506" s="101"/>
      <c r="J506" s="101"/>
      <c r="K506" s="101"/>
      <c r="L506" s="101"/>
      <c r="M506" s="101"/>
      <c r="N506" s="101"/>
      <c r="O506" s="101"/>
      <c r="P506" s="101"/>
      <c r="Q506" s="101"/>
      <c r="R506" s="101"/>
      <c r="S506" s="101"/>
      <c r="T506" s="101"/>
      <c r="U506" s="101"/>
      <c r="V506" s="101"/>
      <c r="W506" s="101"/>
      <c r="X506" s="101"/>
      <c r="Y506" s="101"/>
      <c r="Z506" s="101"/>
    </row>
    <row r="507">
      <c r="A507" s="101"/>
      <c r="B507" s="101"/>
      <c r="C507" s="101" t="str">
        <f>IFERROR(__xludf.DUMMYFUNCTION("""COMPUTED_VALUE"""),"THIAGO DE JESUS BASTOS")</f>
        <v>THIAGO DE JESUS BASTOS</v>
      </c>
      <c r="D507" s="101" t="str">
        <f>IFERROR(__xludf.DUMMYFUNCTION("""COMPUTED_VALUE"""),"457.***.***-21")</f>
        <v>457.***.***-21</v>
      </c>
      <c r="E507" s="101">
        <f>IFERROR(__xludf.DUMMYFUNCTION("""COMPUTED_VALUE"""),11.0)</f>
        <v>11</v>
      </c>
      <c r="F507" s="101" t="str">
        <f>IFERROR(__xludf.DUMMYFUNCTION("""COMPUTED_VALUE"""),"457.257.688-21")</f>
        <v>457.257.688-21</v>
      </c>
      <c r="G507" s="101"/>
      <c r="H507" s="101"/>
      <c r="I507" s="101"/>
      <c r="J507" s="101"/>
      <c r="K507" s="101"/>
      <c r="L507" s="101"/>
      <c r="M507" s="101"/>
      <c r="N507" s="101"/>
      <c r="O507" s="101"/>
      <c r="P507" s="101"/>
      <c r="Q507" s="101"/>
      <c r="R507" s="101"/>
      <c r="S507" s="101"/>
      <c r="T507" s="101"/>
      <c r="U507" s="101"/>
      <c r="V507" s="101"/>
      <c r="W507" s="101"/>
      <c r="X507" s="101"/>
      <c r="Y507" s="101"/>
      <c r="Z507" s="101"/>
    </row>
    <row r="508">
      <c r="A508" s="101"/>
      <c r="B508" s="101"/>
      <c r="C508" s="101" t="str">
        <f>IFERROR(__xludf.DUMMYFUNCTION("""COMPUTED_VALUE"""),"GABRIEL PEDRO FARIA")</f>
        <v>GABRIEL PEDRO FARIA</v>
      </c>
      <c r="D508" s="101" t="str">
        <f>IFERROR(__xludf.DUMMYFUNCTION("""COMPUTED_VALUE"""),"481.***.***-60")</f>
        <v>481.***.***-60</v>
      </c>
      <c r="E508" s="101">
        <f>IFERROR(__xludf.DUMMYFUNCTION("""COMPUTED_VALUE"""),4.0)</f>
        <v>4</v>
      </c>
      <c r="F508" s="101" t="str">
        <f>IFERROR(__xludf.DUMMYFUNCTION("""COMPUTED_VALUE"""),"481.749.268-60")</f>
        <v>481.749.268-60</v>
      </c>
      <c r="G508" s="101"/>
      <c r="H508" s="101"/>
      <c r="I508" s="101"/>
      <c r="J508" s="101"/>
      <c r="K508" s="101"/>
      <c r="L508" s="101"/>
      <c r="M508" s="101"/>
      <c r="N508" s="101"/>
      <c r="O508" s="101"/>
      <c r="P508" s="101"/>
      <c r="Q508" s="101"/>
      <c r="R508" s="101"/>
      <c r="S508" s="101"/>
      <c r="T508" s="101"/>
      <c r="U508" s="101"/>
      <c r="V508" s="101"/>
      <c r="W508" s="101"/>
      <c r="X508" s="101"/>
      <c r="Y508" s="101"/>
      <c r="Z508" s="101"/>
    </row>
    <row r="509">
      <c r="A509" s="101"/>
      <c r="B509" s="101"/>
      <c r="C509" s="101" t="str">
        <f>IFERROR(__xludf.DUMMYFUNCTION("""COMPUTED_VALUE"""),"ROGERIO MOTA SANTOS")</f>
        <v>ROGERIO MOTA SANTOS</v>
      </c>
      <c r="D509" s="101" t="str">
        <f>IFERROR(__xludf.DUMMYFUNCTION("""COMPUTED_VALUE"""),"399.***.***-92")</f>
        <v>399.***.***-92</v>
      </c>
      <c r="E509" s="101">
        <f>IFERROR(__xludf.DUMMYFUNCTION("""COMPUTED_VALUE"""),10.0)</f>
        <v>10</v>
      </c>
      <c r="F509" s="101" t="str">
        <f>IFERROR(__xludf.DUMMYFUNCTION("""COMPUTED_VALUE"""),"399.213.548-92")</f>
        <v>399.213.548-92</v>
      </c>
      <c r="G509" s="101"/>
      <c r="H509" s="101"/>
      <c r="I509" s="101"/>
      <c r="J509" s="101"/>
      <c r="K509" s="101"/>
      <c r="L509" s="101"/>
      <c r="M509" s="101"/>
      <c r="N509" s="101"/>
      <c r="O509" s="101"/>
      <c r="P509" s="101"/>
      <c r="Q509" s="101"/>
      <c r="R509" s="101"/>
      <c r="S509" s="101"/>
      <c r="T509" s="101"/>
      <c r="U509" s="101"/>
      <c r="V509" s="101"/>
      <c r="W509" s="101"/>
      <c r="X509" s="101"/>
      <c r="Y509" s="101"/>
      <c r="Z509" s="101"/>
    </row>
    <row r="510">
      <c r="A510" s="101"/>
      <c r="B510" s="101"/>
      <c r="C510" s="101" t="str">
        <f>IFERROR(__xludf.DUMMYFUNCTION("""COMPUTED_VALUE"""),"KARINA ERNESTINA DE SOUZA DE  OLIVEIRA")</f>
        <v>KARINA ERNESTINA DE SOUZA DE  OLIVEIRA</v>
      </c>
      <c r="D510" s="101" t="str">
        <f>IFERROR(__xludf.DUMMYFUNCTION("""COMPUTED_VALUE"""),"453.***.***-58")</f>
        <v>453.***.***-58</v>
      </c>
      <c r="E510" s="101">
        <f>IFERROR(__xludf.DUMMYFUNCTION("""COMPUTED_VALUE"""),9.0)</f>
        <v>9</v>
      </c>
      <c r="F510" s="101" t="str">
        <f>IFERROR(__xludf.DUMMYFUNCTION("""COMPUTED_VALUE"""),"453.998.078-58")</f>
        <v>453.998.078-58</v>
      </c>
      <c r="G510" s="101"/>
      <c r="H510" s="101"/>
      <c r="I510" s="101"/>
      <c r="J510" s="101"/>
      <c r="K510" s="101"/>
      <c r="L510" s="101"/>
      <c r="M510" s="101"/>
      <c r="N510" s="101"/>
      <c r="O510" s="101"/>
      <c r="P510" s="101"/>
      <c r="Q510" s="101"/>
      <c r="R510" s="101"/>
      <c r="S510" s="101"/>
      <c r="T510" s="101"/>
      <c r="U510" s="101"/>
      <c r="V510" s="101"/>
      <c r="W510" s="101"/>
      <c r="X510" s="101"/>
      <c r="Y510" s="101"/>
      <c r="Z510" s="101"/>
    </row>
    <row r="511">
      <c r="A511" s="101"/>
      <c r="B511" s="101"/>
      <c r="C511" s="101" t="str">
        <f>IFERROR(__xludf.DUMMYFUNCTION("""COMPUTED_VALUE"""),"KAUE RODRIGUES SIQUEIRA")</f>
        <v>KAUE RODRIGUES SIQUEIRA</v>
      </c>
      <c r="D511" s="101" t="str">
        <f>IFERROR(__xludf.DUMMYFUNCTION("""COMPUTED_VALUE"""),"445.***.***-76")</f>
        <v>445.***.***-76</v>
      </c>
      <c r="E511" s="101">
        <f>IFERROR(__xludf.DUMMYFUNCTION("""COMPUTED_VALUE"""),4.0)</f>
        <v>4</v>
      </c>
      <c r="F511" s="101" t="str">
        <f>IFERROR(__xludf.DUMMYFUNCTION("""COMPUTED_VALUE"""),"445.612.938-76")</f>
        <v>445.612.938-76</v>
      </c>
      <c r="G511" s="101"/>
      <c r="H511" s="101"/>
      <c r="I511" s="101"/>
      <c r="J511" s="101"/>
      <c r="K511" s="101"/>
      <c r="L511" s="101"/>
      <c r="M511" s="101"/>
      <c r="N511" s="101"/>
      <c r="O511" s="101"/>
      <c r="P511" s="101"/>
      <c r="Q511" s="101"/>
      <c r="R511" s="101"/>
      <c r="S511" s="101"/>
      <c r="T511" s="101"/>
      <c r="U511" s="101"/>
      <c r="V511" s="101"/>
      <c r="W511" s="101"/>
      <c r="X511" s="101"/>
      <c r="Y511" s="101"/>
      <c r="Z511" s="101"/>
    </row>
    <row r="512">
      <c r="A512" s="101"/>
      <c r="B512" s="101"/>
      <c r="C512" s="101" t="str">
        <f>IFERROR(__xludf.DUMMYFUNCTION("""COMPUTED_VALUE"""),"ZILMARC GONÇALVES PAULINODE SOUSA FILHO")</f>
        <v>ZILMARC GONÇALVES PAULINODE SOUSA FILHO</v>
      </c>
      <c r="D512" s="101" t="str">
        <f>IFERROR(__xludf.DUMMYFUNCTION("""COMPUTED_VALUE"""),"106.***.***-13")</f>
        <v>106.***.***-13</v>
      </c>
      <c r="E512" s="101">
        <f>IFERROR(__xludf.DUMMYFUNCTION("""COMPUTED_VALUE"""),18.0)</f>
        <v>18</v>
      </c>
      <c r="F512" s="101" t="str">
        <f>IFERROR(__xludf.DUMMYFUNCTION("""COMPUTED_VALUE"""),"106.389.184-13")</f>
        <v>106.389.184-13</v>
      </c>
      <c r="G512" s="101"/>
      <c r="H512" s="101"/>
      <c r="I512" s="101"/>
      <c r="J512" s="101"/>
      <c r="K512" s="101"/>
      <c r="L512" s="101"/>
      <c r="M512" s="101"/>
      <c r="N512" s="101"/>
      <c r="O512" s="101"/>
      <c r="P512" s="101"/>
      <c r="Q512" s="101"/>
      <c r="R512" s="101"/>
      <c r="S512" s="101"/>
      <c r="T512" s="101"/>
      <c r="U512" s="101"/>
      <c r="V512" s="101"/>
      <c r="W512" s="101"/>
      <c r="X512" s="101"/>
      <c r="Y512" s="101"/>
      <c r="Z512" s="101"/>
    </row>
    <row r="513">
      <c r="A513" s="101"/>
      <c r="B513" s="101"/>
      <c r="C513" s="101" t="str">
        <f>IFERROR(__xludf.DUMMYFUNCTION("""COMPUTED_VALUE"""),"JOSIMARA SILVA DA COSTA")</f>
        <v>JOSIMARA SILVA DA COSTA</v>
      </c>
      <c r="D513" s="101" t="str">
        <f>IFERROR(__xludf.DUMMYFUNCTION("""COMPUTED_VALUE"""),"069.***.***-56")</f>
        <v>069.***.***-56</v>
      </c>
      <c r="E513" s="101">
        <f>IFERROR(__xludf.DUMMYFUNCTION("""COMPUTED_VALUE"""),3.0)</f>
        <v>3</v>
      </c>
      <c r="F513" s="101" t="str">
        <f>IFERROR(__xludf.DUMMYFUNCTION("""COMPUTED_VALUE"""),"069.381.033-56")</f>
        <v>069.381.033-56</v>
      </c>
      <c r="G513" s="101"/>
      <c r="H513" s="101"/>
      <c r="I513" s="101"/>
      <c r="J513" s="101"/>
      <c r="K513" s="101"/>
      <c r="L513" s="101"/>
      <c r="M513" s="101"/>
      <c r="N513" s="101"/>
      <c r="O513" s="101"/>
      <c r="P513" s="101"/>
      <c r="Q513" s="101"/>
      <c r="R513" s="101"/>
      <c r="S513" s="101"/>
      <c r="T513" s="101"/>
      <c r="U513" s="101"/>
      <c r="V513" s="101"/>
      <c r="W513" s="101"/>
      <c r="X513" s="101"/>
      <c r="Y513" s="101"/>
      <c r="Z513" s="101"/>
    </row>
    <row r="514">
      <c r="A514" s="101"/>
      <c r="B514" s="101"/>
      <c r="C514" s="101" t="str">
        <f>IFERROR(__xludf.DUMMYFUNCTION("""COMPUTED_VALUE"""),"YASMIN AIRES CAVALCANTI MOREIRA")</f>
        <v>YASMIN AIRES CAVALCANTI MOREIRA</v>
      </c>
      <c r="D514" s="101" t="str">
        <f>IFERROR(__xludf.DUMMYFUNCTION("""COMPUTED_VALUE"""),"427.***.***-67")</f>
        <v>427.***.***-67</v>
      </c>
      <c r="E514" s="101">
        <f>IFERROR(__xludf.DUMMYFUNCTION("""COMPUTED_VALUE"""),18.0)</f>
        <v>18</v>
      </c>
      <c r="F514" s="101" t="str">
        <f>IFERROR(__xludf.DUMMYFUNCTION("""COMPUTED_VALUE"""),"427.620.208-67")</f>
        <v>427.620.208-67</v>
      </c>
      <c r="G514" s="101"/>
      <c r="H514" s="101"/>
      <c r="I514" s="101"/>
      <c r="J514" s="101"/>
      <c r="K514" s="101"/>
      <c r="L514" s="101"/>
      <c r="M514" s="101"/>
      <c r="N514" s="101"/>
      <c r="O514" s="101"/>
      <c r="P514" s="101"/>
      <c r="Q514" s="101"/>
      <c r="R514" s="101"/>
      <c r="S514" s="101"/>
      <c r="T514" s="101"/>
      <c r="U514" s="101"/>
      <c r="V514" s="101"/>
      <c r="W514" s="101"/>
      <c r="X514" s="101"/>
      <c r="Y514" s="101"/>
      <c r="Z514" s="101"/>
    </row>
    <row r="515">
      <c r="A515" s="101"/>
      <c r="B515" s="101"/>
      <c r="C515" s="101" t="str">
        <f>IFERROR(__xludf.DUMMYFUNCTION("""COMPUTED_VALUE"""),"MARIA ISABEL SILVA DOS SANTOS")</f>
        <v>MARIA ISABEL SILVA DOS SANTOS</v>
      </c>
      <c r="D515" s="101" t="str">
        <f>IFERROR(__xludf.DUMMYFUNCTION("""COMPUTED_VALUE"""),"418.***.***-95")</f>
        <v>418.***.***-95</v>
      </c>
      <c r="E515" s="101">
        <f>IFERROR(__xludf.DUMMYFUNCTION("""COMPUTED_VALUE"""),12.0)</f>
        <v>12</v>
      </c>
      <c r="F515" s="101" t="str">
        <f>IFERROR(__xludf.DUMMYFUNCTION("""COMPUTED_VALUE"""),"418.629.778-95")</f>
        <v>418.629.778-95</v>
      </c>
      <c r="G515" s="101"/>
      <c r="H515" s="101"/>
      <c r="I515" s="101"/>
      <c r="J515" s="101"/>
      <c r="K515" s="101"/>
      <c r="L515" s="101"/>
      <c r="M515" s="101"/>
      <c r="N515" s="101"/>
      <c r="O515" s="101"/>
      <c r="P515" s="101"/>
      <c r="Q515" s="101"/>
      <c r="R515" s="101"/>
      <c r="S515" s="101"/>
      <c r="T515" s="101"/>
      <c r="U515" s="101"/>
      <c r="V515" s="101"/>
      <c r="W515" s="101"/>
      <c r="X515" s="101"/>
      <c r="Y515" s="101"/>
      <c r="Z515" s="101"/>
    </row>
    <row r="516">
      <c r="A516" s="101"/>
      <c r="B516" s="101"/>
      <c r="C516" s="101" t="str">
        <f>IFERROR(__xludf.DUMMYFUNCTION("""COMPUTED_VALUE"""),"JHENYCE DE JESUS ROCHA DO PATROCINIO")</f>
        <v>JHENYCE DE JESUS ROCHA DO PATROCINIO</v>
      </c>
      <c r="D516" s="101" t="str">
        <f>IFERROR(__xludf.DUMMYFUNCTION("""COMPUTED_VALUE"""),"439.***.***-39")</f>
        <v>439.***.***-39</v>
      </c>
      <c r="E516" s="101">
        <f>IFERROR(__xludf.DUMMYFUNCTION("""COMPUTED_VALUE"""),8.0)</f>
        <v>8</v>
      </c>
      <c r="F516" s="101" t="str">
        <f>IFERROR(__xludf.DUMMYFUNCTION("""COMPUTED_VALUE"""),"439.062.568-39")</f>
        <v>439.062.568-39</v>
      </c>
      <c r="G516" s="101"/>
      <c r="H516" s="101"/>
      <c r="I516" s="101"/>
      <c r="J516" s="101"/>
      <c r="K516" s="101"/>
      <c r="L516" s="101"/>
      <c r="M516" s="101"/>
      <c r="N516" s="101"/>
      <c r="O516" s="101"/>
      <c r="P516" s="101"/>
      <c r="Q516" s="101"/>
      <c r="R516" s="101"/>
      <c r="S516" s="101"/>
      <c r="T516" s="101"/>
      <c r="U516" s="101"/>
      <c r="V516" s="101"/>
      <c r="W516" s="101"/>
      <c r="X516" s="101"/>
      <c r="Y516" s="101"/>
      <c r="Z516" s="101"/>
    </row>
    <row r="517">
      <c r="A517" s="101"/>
      <c r="B517" s="101"/>
      <c r="C517" s="101" t="str">
        <f>IFERROR(__xludf.DUMMYFUNCTION("""COMPUTED_VALUE"""),"VICTORIA MENEZES BARRETO")</f>
        <v>VICTORIA MENEZES BARRETO</v>
      </c>
      <c r="D517" s="101" t="str">
        <f>IFERROR(__xludf.DUMMYFUNCTION("""COMPUTED_VALUE"""),"508.***.***-06")</f>
        <v>508.***.***-06</v>
      </c>
      <c r="E517" s="101">
        <f>IFERROR(__xludf.DUMMYFUNCTION("""COMPUTED_VALUE"""),11.0)</f>
        <v>11</v>
      </c>
      <c r="F517" s="101" t="str">
        <f>IFERROR(__xludf.DUMMYFUNCTION("""COMPUTED_VALUE"""),"508.412.908-06")</f>
        <v>508.412.908-06</v>
      </c>
      <c r="G517" s="101"/>
      <c r="H517" s="101"/>
      <c r="I517" s="101"/>
      <c r="J517" s="101"/>
      <c r="K517" s="101"/>
      <c r="L517" s="101"/>
      <c r="M517" s="101"/>
      <c r="N517" s="101"/>
      <c r="O517" s="101"/>
      <c r="P517" s="101"/>
      <c r="Q517" s="101"/>
      <c r="R517" s="101"/>
      <c r="S517" s="101"/>
      <c r="T517" s="101"/>
      <c r="U517" s="101"/>
      <c r="V517" s="101"/>
      <c r="W517" s="101"/>
      <c r="X517" s="101"/>
      <c r="Y517" s="101"/>
      <c r="Z517" s="101"/>
    </row>
    <row r="518">
      <c r="A518" s="101"/>
      <c r="B518" s="101"/>
      <c r="C518" s="101" t="str">
        <f>IFERROR(__xludf.DUMMYFUNCTION("""COMPUTED_VALUE"""),"DANILO SILVA DOS ANJOS")</f>
        <v>DANILO SILVA DOS ANJOS</v>
      </c>
      <c r="D518" s="101" t="str">
        <f>IFERROR(__xludf.DUMMYFUNCTION("""COMPUTED_VALUE"""),"399.***.***-07")</f>
        <v>399.***.***-07</v>
      </c>
      <c r="E518" s="101">
        <f>IFERROR(__xludf.DUMMYFUNCTION("""COMPUTED_VALUE"""),3.0)</f>
        <v>3</v>
      </c>
      <c r="F518" s="101" t="str">
        <f>IFERROR(__xludf.DUMMYFUNCTION("""COMPUTED_VALUE"""),"399.596.468-07")</f>
        <v>399.596.468-07</v>
      </c>
      <c r="G518" s="101"/>
      <c r="H518" s="101"/>
      <c r="I518" s="101"/>
      <c r="J518" s="101"/>
      <c r="K518" s="101"/>
      <c r="L518" s="101"/>
      <c r="M518" s="101"/>
      <c r="N518" s="101"/>
      <c r="O518" s="101"/>
      <c r="P518" s="101"/>
      <c r="Q518" s="101"/>
      <c r="R518" s="101"/>
      <c r="S518" s="101"/>
      <c r="T518" s="101"/>
      <c r="U518" s="101"/>
      <c r="V518" s="101"/>
      <c r="W518" s="101"/>
      <c r="X518" s="101"/>
      <c r="Y518" s="101"/>
      <c r="Z518" s="101"/>
    </row>
    <row r="519">
      <c r="A519" s="101"/>
      <c r="B519" s="101"/>
      <c r="C519" s="101" t="str">
        <f>IFERROR(__xludf.DUMMYFUNCTION("""COMPUTED_VALUE"""),"JOAO PEDRO SOUZA ALEVATO ALVIM")</f>
        <v>JOAO PEDRO SOUZA ALEVATO ALVIM</v>
      </c>
      <c r="D519" s="101" t="str">
        <f>IFERROR(__xludf.DUMMYFUNCTION("""COMPUTED_VALUE"""),"509.***.***-40")</f>
        <v>509.***.***-40</v>
      </c>
      <c r="E519" s="101">
        <f>IFERROR(__xludf.DUMMYFUNCTION("""COMPUTED_VALUE"""),6.0)</f>
        <v>6</v>
      </c>
      <c r="F519" s="101" t="str">
        <f>IFERROR(__xludf.DUMMYFUNCTION("""COMPUTED_VALUE"""),"509.887.618-40")</f>
        <v>509.887.618-40</v>
      </c>
      <c r="G519" s="101"/>
      <c r="H519" s="101"/>
      <c r="I519" s="101"/>
      <c r="J519" s="101"/>
      <c r="K519" s="101"/>
      <c r="L519" s="101"/>
      <c r="M519" s="101"/>
      <c r="N519" s="101"/>
      <c r="O519" s="101"/>
      <c r="P519" s="101"/>
      <c r="Q519" s="101"/>
      <c r="R519" s="101"/>
      <c r="S519" s="101"/>
      <c r="T519" s="101"/>
      <c r="U519" s="101"/>
      <c r="V519" s="101"/>
      <c r="W519" s="101"/>
      <c r="X519" s="101"/>
      <c r="Y519" s="101"/>
      <c r="Z519" s="101"/>
    </row>
    <row r="520">
      <c r="A520" s="101"/>
      <c r="B520" s="101"/>
      <c r="C520" s="101" t="str">
        <f>IFERROR(__xludf.DUMMYFUNCTION("""COMPUTED_VALUE"""),"MISU")</f>
        <v>MISU</v>
      </c>
      <c r="D520" s="101" t="str">
        <f>IFERROR(__xludf.DUMMYFUNCTION("""COMPUTED_VALUE"""),"501.***.***-76")</f>
        <v>501.***.***-76</v>
      </c>
      <c r="E520" s="101">
        <f>IFERROR(__xludf.DUMMYFUNCTION("""COMPUTED_VALUE"""),10.0)</f>
        <v>10</v>
      </c>
      <c r="F520" s="101" t="str">
        <f>IFERROR(__xludf.DUMMYFUNCTION("""COMPUTED_VALUE"""),"501.232.198-76")</f>
        <v>501.232.198-76</v>
      </c>
      <c r="G520" s="101"/>
      <c r="H520" s="101"/>
      <c r="I520" s="101"/>
      <c r="J520" s="101"/>
      <c r="K520" s="101"/>
      <c r="L520" s="101"/>
      <c r="M520" s="101"/>
      <c r="N520" s="101"/>
      <c r="O520" s="101"/>
      <c r="P520" s="101"/>
      <c r="Q520" s="101"/>
      <c r="R520" s="101"/>
      <c r="S520" s="101"/>
      <c r="T520" s="101"/>
      <c r="U520" s="101"/>
      <c r="V520" s="101"/>
      <c r="W520" s="101"/>
      <c r="X520" s="101"/>
      <c r="Y520" s="101"/>
      <c r="Z520" s="101"/>
    </row>
    <row r="521">
      <c r="A521" s="101"/>
      <c r="B521" s="101"/>
      <c r="C521" s="101" t="str">
        <f>IFERROR(__xludf.DUMMYFUNCTION("""COMPUTED_VALUE"""),"PAULO VICTOR RODRIGUES DA SILVA")</f>
        <v>PAULO VICTOR RODRIGUES DA SILVA</v>
      </c>
      <c r="D521" s="101" t="str">
        <f>IFERROR(__xludf.DUMMYFUNCTION("""COMPUTED_VALUE"""),"494.***.***-58")</f>
        <v>494.***.***-58</v>
      </c>
      <c r="E521" s="101">
        <f>IFERROR(__xludf.DUMMYFUNCTION("""COMPUTED_VALUE"""),10.0)</f>
        <v>10</v>
      </c>
      <c r="F521" s="101" t="str">
        <f>IFERROR(__xludf.DUMMYFUNCTION("""COMPUTED_VALUE"""),"494.653.598-58")</f>
        <v>494.653.598-58</v>
      </c>
      <c r="G521" s="101"/>
      <c r="H521" s="101"/>
      <c r="I521" s="101"/>
      <c r="J521" s="101"/>
      <c r="K521" s="101"/>
      <c r="L521" s="101"/>
      <c r="M521" s="101"/>
      <c r="N521" s="101"/>
      <c r="O521" s="101"/>
      <c r="P521" s="101"/>
      <c r="Q521" s="101"/>
      <c r="R521" s="101"/>
      <c r="S521" s="101"/>
      <c r="T521" s="101"/>
      <c r="U521" s="101"/>
      <c r="V521" s="101"/>
      <c r="W521" s="101"/>
      <c r="X521" s="101"/>
      <c r="Y521" s="101"/>
      <c r="Z521" s="101"/>
    </row>
    <row r="522">
      <c r="A522" s="101"/>
      <c r="B522" s="101"/>
      <c r="C522" s="101" t="str">
        <f>IFERROR(__xludf.DUMMYFUNCTION("""COMPUTED_VALUE"""),"ELIVELTON LEONEL DA SILVA")</f>
        <v>ELIVELTON LEONEL DA SILVA</v>
      </c>
      <c r="D522" s="101" t="str">
        <f>IFERROR(__xludf.DUMMYFUNCTION("""COMPUTED_VALUE"""),"492.***.***-07")</f>
        <v>492.***.***-07</v>
      </c>
      <c r="E522" s="101">
        <f>IFERROR(__xludf.DUMMYFUNCTION("""COMPUTED_VALUE"""),2.0)</f>
        <v>2</v>
      </c>
      <c r="F522" s="101" t="str">
        <f>IFERROR(__xludf.DUMMYFUNCTION("""COMPUTED_VALUE"""),"492.211.198-07")</f>
        <v>492.211.198-07</v>
      </c>
      <c r="G522" s="101"/>
      <c r="H522" s="101"/>
      <c r="I522" s="101"/>
      <c r="J522" s="101"/>
      <c r="K522" s="101"/>
      <c r="L522" s="101"/>
      <c r="M522" s="101"/>
      <c r="N522" s="101"/>
      <c r="O522" s="101"/>
      <c r="P522" s="101"/>
      <c r="Q522" s="101"/>
      <c r="R522" s="101"/>
      <c r="S522" s="101"/>
      <c r="T522" s="101"/>
      <c r="U522" s="101"/>
      <c r="V522" s="101"/>
      <c r="W522" s="101"/>
      <c r="X522" s="101"/>
      <c r="Y522" s="101"/>
      <c r="Z522" s="101"/>
    </row>
    <row r="523">
      <c r="A523" s="101"/>
      <c r="B523" s="101"/>
      <c r="C523" s="101" t="str">
        <f>IFERROR(__xludf.DUMMYFUNCTION("""COMPUTED_VALUE"""),"LUIZ AUGUSTO SANTOS ALMEIDA")</f>
        <v>LUIZ AUGUSTO SANTOS ALMEIDA</v>
      </c>
      <c r="D523" s="101" t="str">
        <f>IFERROR(__xludf.DUMMYFUNCTION("""COMPUTED_VALUE"""),"063.***.***-11")</f>
        <v>063.***.***-11</v>
      </c>
      <c r="E523" s="101">
        <f>IFERROR(__xludf.DUMMYFUNCTION("""COMPUTED_VALUE"""),11.0)</f>
        <v>11</v>
      </c>
      <c r="F523" s="101" t="str">
        <f>IFERROR(__xludf.DUMMYFUNCTION("""COMPUTED_VALUE"""),"063.308.895-11")</f>
        <v>063.308.895-11</v>
      </c>
      <c r="G523" s="101"/>
      <c r="H523" s="101"/>
      <c r="I523" s="101"/>
      <c r="J523" s="101"/>
      <c r="K523" s="101"/>
      <c r="L523" s="101"/>
      <c r="M523" s="101"/>
      <c r="N523" s="101"/>
      <c r="O523" s="101"/>
      <c r="P523" s="101"/>
      <c r="Q523" s="101"/>
      <c r="R523" s="101"/>
      <c r="S523" s="101"/>
      <c r="T523" s="101"/>
      <c r="U523" s="101"/>
      <c r="V523" s="101"/>
      <c r="W523" s="101"/>
      <c r="X523" s="101"/>
      <c r="Y523" s="101"/>
      <c r="Z523" s="101"/>
    </row>
    <row r="524">
      <c r="A524" s="101"/>
      <c r="B524" s="101"/>
      <c r="C524" s="101" t="str">
        <f>IFERROR(__xludf.DUMMYFUNCTION("""COMPUTED_VALUE"""),"GLEICE ESPINDOLA BARBOSA")</f>
        <v>GLEICE ESPINDOLA BARBOSA</v>
      </c>
      <c r="D524" s="101" t="str">
        <f>IFERROR(__xludf.DUMMYFUNCTION("""COMPUTED_VALUE"""),"482.***.***-81")</f>
        <v>482.***.***-81</v>
      </c>
      <c r="E524" s="101">
        <f>IFERROR(__xludf.DUMMYFUNCTION("""COMPUTED_VALUE"""),6.0)</f>
        <v>6</v>
      </c>
      <c r="F524" s="101" t="str">
        <f>IFERROR(__xludf.DUMMYFUNCTION("""COMPUTED_VALUE"""),"482.963.248-81")</f>
        <v>482.963.248-81</v>
      </c>
      <c r="G524" s="101"/>
      <c r="H524" s="101"/>
      <c r="I524" s="101"/>
      <c r="J524" s="101"/>
      <c r="K524" s="101"/>
      <c r="L524" s="101"/>
      <c r="M524" s="101"/>
      <c r="N524" s="101"/>
      <c r="O524" s="101"/>
      <c r="P524" s="101"/>
      <c r="Q524" s="101"/>
      <c r="R524" s="101"/>
      <c r="S524" s="101"/>
      <c r="T524" s="101"/>
      <c r="U524" s="101"/>
      <c r="V524" s="101"/>
      <c r="W524" s="101"/>
      <c r="X524" s="101"/>
      <c r="Y524" s="101"/>
      <c r="Z524" s="101"/>
    </row>
    <row r="525">
      <c r="A525" s="101"/>
      <c r="B525" s="101"/>
      <c r="C525" s="101" t="str">
        <f>IFERROR(__xludf.DUMMYFUNCTION("""COMPUTED_VALUE"""),"CAROLINE FRANÇA DA SILVA")</f>
        <v>CAROLINE FRANÇA DA SILVA</v>
      </c>
      <c r="D525" s="101" t="str">
        <f>IFERROR(__xludf.DUMMYFUNCTION("""COMPUTED_VALUE"""),"489.***.***-80")</f>
        <v>489.***.***-80</v>
      </c>
      <c r="E525" s="101">
        <f>IFERROR(__xludf.DUMMYFUNCTION("""COMPUTED_VALUE"""),2.0)</f>
        <v>2</v>
      </c>
      <c r="F525" s="101" t="str">
        <f>IFERROR(__xludf.DUMMYFUNCTION("""COMPUTED_VALUE"""),"489.453.618-80")</f>
        <v>489.453.618-80</v>
      </c>
      <c r="G525" s="101"/>
      <c r="H525" s="101"/>
      <c r="I525" s="101"/>
      <c r="J525" s="101"/>
      <c r="K525" s="101"/>
      <c r="L525" s="101"/>
      <c r="M525" s="101"/>
      <c r="N525" s="101"/>
      <c r="O525" s="101"/>
      <c r="P525" s="101"/>
      <c r="Q525" s="101"/>
      <c r="R525" s="101"/>
      <c r="S525" s="101"/>
      <c r="T525" s="101"/>
      <c r="U525" s="101"/>
      <c r="V525" s="101"/>
      <c r="W525" s="101"/>
      <c r="X525" s="101"/>
      <c r="Y525" s="101"/>
      <c r="Z525" s="101"/>
    </row>
    <row r="526">
      <c r="A526" s="101"/>
      <c r="B526" s="101"/>
      <c r="C526" s="101" t="str">
        <f>IFERROR(__xludf.DUMMYFUNCTION("""COMPUTED_VALUE"""),"RUI FRANÇA TAVARES")</f>
        <v>RUI FRANÇA TAVARES</v>
      </c>
      <c r="D526" s="101" t="str">
        <f>IFERROR(__xludf.DUMMYFUNCTION("""COMPUTED_VALUE"""),"519.***.***-17")</f>
        <v>519.***.***-17</v>
      </c>
      <c r="E526" s="101">
        <f>IFERROR(__xludf.DUMMYFUNCTION("""COMPUTED_VALUE"""),11.0)</f>
        <v>11</v>
      </c>
      <c r="F526" s="101" t="str">
        <f>IFERROR(__xludf.DUMMYFUNCTION("""COMPUTED_VALUE"""),"519.910.598-17")</f>
        <v>519.910.598-17</v>
      </c>
      <c r="G526" s="101"/>
      <c r="H526" s="101"/>
      <c r="I526" s="101"/>
      <c r="J526" s="101"/>
      <c r="K526" s="101"/>
      <c r="L526" s="101"/>
      <c r="M526" s="101"/>
      <c r="N526" s="101"/>
      <c r="O526" s="101"/>
      <c r="P526" s="101"/>
      <c r="Q526" s="101"/>
      <c r="R526" s="101"/>
      <c r="S526" s="101"/>
      <c r="T526" s="101"/>
      <c r="U526" s="101"/>
      <c r="V526" s="101"/>
      <c r="W526" s="101"/>
      <c r="X526" s="101"/>
      <c r="Y526" s="101"/>
      <c r="Z526" s="101"/>
    </row>
    <row r="527">
      <c r="A527" s="101"/>
      <c r="B527" s="101"/>
      <c r="C527" s="101" t="str">
        <f>IFERROR(__xludf.DUMMYFUNCTION("""COMPUTED_VALUE"""),"THAMYRES DA SILVA OLIVEIRA")</f>
        <v>THAMYRES DA SILVA OLIVEIRA</v>
      </c>
      <c r="D527" s="101" t="str">
        <f>IFERROR(__xludf.DUMMYFUNCTION("""COMPUTED_VALUE"""),"405.***.***-62")</f>
        <v>405.***.***-62</v>
      </c>
      <c r="E527" s="101">
        <f>IFERROR(__xludf.DUMMYFUNCTION("""COMPUTED_VALUE"""),11.0)</f>
        <v>11</v>
      </c>
      <c r="F527" s="101" t="str">
        <f>IFERROR(__xludf.DUMMYFUNCTION("""COMPUTED_VALUE"""),"405.581.418-62")</f>
        <v>405.581.418-62</v>
      </c>
      <c r="G527" s="101"/>
      <c r="H527" s="101"/>
      <c r="I527" s="101"/>
      <c r="J527" s="101"/>
      <c r="K527" s="101"/>
      <c r="L527" s="101"/>
      <c r="M527" s="101"/>
      <c r="N527" s="101"/>
      <c r="O527" s="101"/>
      <c r="P527" s="101"/>
      <c r="Q527" s="101"/>
      <c r="R527" s="101"/>
      <c r="S527" s="101"/>
      <c r="T527" s="101"/>
      <c r="U527" s="101"/>
      <c r="V527" s="101"/>
      <c r="W527" s="101"/>
      <c r="X527" s="101"/>
      <c r="Y527" s="101"/>
      <c r="Z527" s="101"/>
    </row>
    <row r="528">
      <c r="A528" s="101"/>
      <c r="B528" s="101"/>
      <c r="C528" s="101" t="str">
        <f>IFERROR(__xludf.DUMMYFUNCTION("""COMPUTED_VALUE"""),"BIANCA DA SILVA COELHO")</f>
        <v>BIANCA DA SILVA COELHO</v>
      </c>
      <c r="D528" s="101" t="str">
        <f>IFERROR(__xludf.DUMMYFUNCTION("""COMPUTED_VALUE"""),"544.***.***-64")</f>
        <v>544.***.***-64</v>
      </c>
      <c r="E528" s="101">
        <f>IFERROR(__xludf.DUMMYFUNCTION("""COMPUTED_VALUE"""),2.0)</f>
        <v>2</v>
      </c>
      <c r="F528" s="101" t="str">
        <f>IFERROR(__xludf.DUMMYFUNCTION("""COMPUTED_VALUE"""),"544.548.438-64")</f>
        <v>544.548.438-64</v>
      </c>
      <c r="G528" s="101"/>
      <c r="H528" s="101"/>
      <c r="I528" s="101"/>
      <c r="J528" s="101"/>
      <c r="K528" s="101"/>
      <c r="L528" s="101"/>
      <c r="M528" s="101"/>
      <c r="N528" s="101"/>
      <c r="O528" s="101"/>
      <c r="P528" s="101"/>
      <c r="Q528" s="101"/>
      <c r="R528" s="101"/>
      <c r="S528" s="101"/>
      <c r="T528" s="101"/>
      <c r="U528" s="101"/>
      <c r="V528" s="101"/>
      <c r="W528" s="101"/>
      <c r="X528" s="101"/>
      <c r="Y528" s="101"/>
      <c r="Z528" s="101"/>
    </row>
    <row r="529">
      <c r="A529" s="101"/>
      <c r="B529" s="101"/>
      <c r="C529" s="101" t="str">
        <f>IFERROR(__xludf.DUMMYFUNCTION("""COMPUTED_VALUE"""),"JULIA SANTOS ARAUJO")</f>
        <v>JULIA SANTOS ARAUJO</v>
      </c>
      <c r="D529" s="101" t="str">
        <f>IFERROR(__xludf.DUMMYFUNCTION("""COMPUTED_VALUE"""),"564.***.***-38")</f>
        <v>564.***.***-38</v>
      </c>
      <c r="E529" s="101">
        <f>IFERROR(__xludf.DUMMYFUNCTION("""COMPUTED_VALUE"""),6.0)</f>
        <v>6</v>
      </c>
      <c r="F529" s="101" t="str">
        <f>IFERROR(__xludf.DUMMYFUNCTION("""COMPUTED_VALUE"""),"564.784.858-38")</f>
        <v>564.784.858-38</v>
      </c>
      <c r="G529" s="101"/>
      <c r="H529" s="101"/>
      <c r="I529" s="101"/>
      <c r="J529" s="101"/>
      <c r="K529" s="101"/>
      <c r="L529" s="101"/>
      <c r="M529" s="101"/>
      <c r="N529" s="101"/>
      <c r="O529" s="101"/>
      <c r="P529" s="101"/>
      <c r="Q529" s="101"/>
      <c r="R529" s="101"/>
      <c r="S529" s="101"/>
      <c r="T529" s="101"/>
      <c r="U529" s="101"/>
      <c r="V529" s="101"/>
      <c r="W529" s="101"/>
      <c r="X529" s="101"/>
      <c r="Y529" s="101"/>
      <c r="Z529" s="101"/>
    </row>
    <row r="530">
      <c r="A530" s="101"/>
      <c r="B530" s="101"/>
      <c r="C530" s="101" t="str">
        <f>IFERROR(__xludf.DUMMYFUNCTION("""COMPUTED_VALUE"""),"SABRINA SANTANA DE JESUS")</f>
        <v>SABRINA SANTANA DE JESUS</v>
      </c>
      <c r="D530" s="101" t="str">
        <f>IFERROR(__xludf.DUMMYFUNCTION("""COMPUTED_VALUE"""),"439.***.***-03")</f>
        <v>439.***.***-03</v>
      </c>
      <c r="E530" s="101">
        <f>IFERROR(__xludf.DUMMYFUNCTION("""COMPUTED_VALUE"""),11.0)</f>
        <v>11</v>
      </c>
      <c r="F530" s="101" t="str">
        <f>IFERROR(__xludf.DUMMYFUNCTION("""COMPUTED_VALUE"""),"439.318.968-03")</f>
        <v>439.318.968-03</v>
      </c>
      <c r="G530" s="101"/>
      <c r="H530" s="101"/>
      <c r="I530" s="101"/>
      <c r="J530" s="101"/>
      <c r="K530" s="101"/>
      <c r="L530" s="101"/>
      <c r="M530" s="101"/>
      <c r="N530" s="101"/>
      <c r="O530" s="101"/>
      <c r="P530" s="101"/>
      <c r="Q530" s="101"/>
      <c r="R530" s="101"/>
      <c r="S530" s="101"/>
      <c r="T530" s="101"/>
      <c r="U530" s="101"/>
      <c r="V530" s="101"/>
      <c r="W530" s="101"/>
      <c r="X530" s="101"/>
      <c r="Y530" s="101"/>
      <c r="Z530" s="101"/>
    </row>
    <row r="531">
      <c r="A531" s="101"/>
      <c r="B531" s="101"/>
      <c r="C531" s="101" t="str">
        <f>IFERROR(__xludf.DUMMYFUNCTION("""COMPUTED_VALUE"""),"GUSTAVO TIGRE DA SILVA")</f>
        <v>GUSTAVO TIGRE DA SILVA</v>
      </c>
      <c r="D531" s="101" t="str">
        <f>IFERROR(__xludf.DUMMYFUNCTION("""COMPUTED_VALUE"""),"427.***.***-33")</f>
        <v>427.***.***-33</v>
      </c>
      <c r="E531" s="101">
        <f>IFERROR(__xludf.DUMMYFUNCTION("""COMPUTED_VALUE"""),5.0)</f>
        <v>5</v>
      </c>
      <c r="F531" s="101" t="str">
        <f>IFERROR(__xludf.DUMMYFUNCTION("""COMPUTED_VALUE"""),"427.255.328-33")</f>
        <v>427.255.328-33</v>
      </c>
      <c r="G531" s="101"/>
      <c r="H531" s="101"/>
      <c r="I531" s="101"/>
      <c r="J531" s="101"/>
      <c r="K531" s="101"/>
      <c r="L531" s="101"/>
      <c r="M531" s="101"/>
      <c r="N531" s="101"/>
      <c r="O531" s="101"/>
      <c r="P531" s="101"/>
      <c r="Q531" s="101"/>
      <c r="R531" s="101"/>
      <c r="S531" s="101"/>
      <c r="T531" s="101"/>
      <c r="U531" s="101"/>
      <c r="V531" s="101"/>
      <c r="W531" s="101"/>
      <c r="X531" s="101"/>
      <c r="Y531" s="101"/>
      <c r="Z531" s="101"/>
    </row>
    <row r="532">
      <c r="A532" s="101"/>
      <c r="B532" s="101"/>
      <c r="C532" s="101" t="str">
        <f>IFERROR(__xludf.DUMMYFUNCTION("""COMPUTED_VALUE"""),"RICHARD  MAXUWEL DOS  SANTOS  GERALDO")</f>
        <v>RICHARD  MAXUWEL DOS  SANTOS  GERALDO</v>
      </c>
      <c r="D532" s="101" t="str">
        <f>IFERROR(__xludf.DUMMYFUNCTION("""COMPUTED_VALUE"""),"448.***.***-88")</f>
        <v>448.***.***-88</v>
      </c>
      <c r="E532" s="101">
        <f>IFERROR(__xludf.DUMMYFUNCTION("""COMPUTED_VALUE"""),15.0)</f>
        <v>15</v>
      </c>
      <c r="F532" s="101" t="str">
        <f>IFERROR(__xludf.DUMMYFUNCTION("""COMPUTED_VALUE"""),"448.407.318-88")</f>
        <v>448.407.318-88</v>
      </c>
      <c r="G532" s="101"/>
      <c r="H532" s="101"/>
      <c r="I532" s="101"/>
      <c r="J532" s="101"/>
      <c r="K532" s="101"/>
      <c r="L532" s="101"/>
      <c r="M532" s="101"/>
      <c r="N532" s="101"/>
      <c r="O532" s="101"/>
      <c r="P532" s="101"/>
      <c r="Q532" s="101"/>
      <c r="R532" s="101"/>
      <c r="S532" s="101"/>
      <c r="T532" s="101"/>
      <c r="U532" s="101"/>
      <c r="V532" s="101"/>
      <c r="W532" s="101"/>
      <c r="X532" s="101"/>
      <c r="Y532" s="101"/>
      <c r="Z532" s="101"/>
    </row>
    <row r="533">
      <c r="A533" s="101"/>
      <c r="B533" s="101"/>
      <c r="C533" s="101" t="str">
        <f>IFERROR(__xludf.DUMMYFUNCTION("""COMPUTED_VALUE"""),"SABRINA CORREIA DE MELLO")</f>
        <v>SABRINA CORREIA DE MELLO</v>
      </c>
      <c r="D533" s="101" t="str">
        <f>IFERROR(__xludf.DUMMYFUNCTION("""COMPUTED_VALUE"""),"464.***.***-20")</f>
        <v>464.***.***-20</v>
      </c>
      <c r="E533" s="101">
        <f>IFERROR(__xludf.DUMMYFUNCTION("""COMPUTED_VALUE"""),15.0)</f>
        <v>15</v>
      </c>
      <c r="F533" s="101" t="str">
        <f>IFERROR(__xludf.DUMMYFUNCTION("""COMPUTED_VALUE"""),"464.435.358-20")</f>
        <v>464.435.358-20</v>
      </c>
      <c r="G533" s="101"/>
      <c r="H533" s="101"/>
      <c r="I533" s="101"/>
      <c r="J533" s="101"/>
      <c r="K533" s="101"/>
      <c r="L533" s="101"/>
      <c r="M533" s="101"/>
      <c r="N533" s="101"/>
      <c r="O533" s="101"/>
      <c r="P533" s="101"/>
      <c r="Q533" s="101"/>
      <c r="R533" s="101"/>
      <c r="S533" s="101"/>
      <c r="T533" s="101"/>
      <c r="U533" s="101"/>
      <c r="V533" s="101"/>
      <c r="W533" s="101"/>
      <c r="X533" s="101"/>
      <c r="Y533" s="101"/>
      <c r="Z533" s="101"/>
    </row>
    <row r="534">
      <c r="A534" s="101"/>
      <c r="B534" s="101"/>
      <c r="C534" s="101" t="str">
        <f>IFERROR(__xludf.DUMMYFUNCTION("""COMPUTED_VALUE"""),"ANA CLARA BORSETTO PEREIRA")</f>
        <v>ANA CLARA BORSETTO PEREIRA</v>
      </c>
      <c r="D534" s="101" t="str">
        <f>IFERROR(__xludf.DUMMYFUNCTION("""COMPUTED_VALUE"""),"487.***.***-99")</f>
        <v>487.***.***-99</v>
      </c>
      <c r="E534" s="101">
        <f>IFERROR(__xludf.DUMMYFUNCTION("""COMPUTED_VALUE"""),1.0)</f>
        <v>1</v>
      </c>
      <c r="F534" s="101" t="str">
        <f>IFERROR(__xludf.DUMMYFUNCTION("""COMPUTED_VALUE"""),"487.706.178-99")</f>
        <v>487.706.178-99</v>
      </c>
      <c r="G534" s="101"/>
      <c r="H534" s="101"/>
      <c r="I534" s="101"/>
      <c r="J534" s="101"/>
      <c r="K534" s="101"/>
      <c r="L534" s="101"/>
      <c r="M534" s="101"/>
      <c r="N534" s="101"/>
      <c r="O534" s="101"/>
      <c r="P534" s="101"/>
      <c r="Q534" s="101"/>
      <c r="R534" s="101"/>
      <c r="S534" s="101"/>
      <c r="T534" s="101"/>
      <c r="U534" s="101"/>
      <c r="V534" s="101"/>
      <c r="W534" s="101"/>
      <c r="X534" s="101"/>
      <c r="Y534" s="101"/>
      <c r="Z534" s="101"/>
    </row>
    <row r="535">
      <c r="A535" s="101"/>
      <c r="B535" s="101"/>
      <c r="C535" s="101" t="str">
        <f>IFERROR(__xludf.DUMMYFUNCTION("""COMPUTED_VALUE"""),"ANNA BEATRIZ GONCALVES ROMAO")</f>
        <v>ANNA BEATRIZ GONCALVES ROMAO</v>
      </c>
      <c r="D535" s="101" t="str">
        <f>IFERROR(__xludf.DUMMYFUNCTION("""COMPUTED_VALUE"""),"538.***.***-44")</f>
        <v>538.***.***-44</v>
      </c>
      <c r="E535" s="101">
        <f>IFERROR(__xludf.DUMMYFUNCTION("""COMPUTED_VALUE"""),2.0)</f>
        <v>2</v>
      </c>
      <c r="F535" s="101" t="str">
        <f>IFERROR(__xludf.DUMMYFUNCTION("""COMPUTED_VALUE"""),"538.641.758-44")</f>
        <v>538.641.758-44</v>
      </c>
      <c r="G535" s="101"/>
      <c r="H535" s="101"/>
      <c r="I535" s="101"/>
      <c r="J535" s="101"/>
      <c r="K535" s="101"/>
      <c r="L535" s="101"/>
      <c r="M535" s="101"/>
      <c r="N535" s="101"/>
      <c r="O535" s="101"/>
      <c r="P535" s="101"/>
      <c r="Q535" s="101"/>
      <c r="R535" s="101"/>
      <c r="S535" s="101"/>
      <c r="T535" s="101"/>
      <c r="U535" s="101"/>
      <c r="V535" s="101"/>
      <c r="W535" s="101"/>
      <c r="X535" s="101"/>
      <c r="Y535" s="101"/>
      <c r="Z535" s="101"/>
    </row>
    <row r="536">
      <c r="A536" s="101"/>
      <c r="B536" s="101"/>
      <c r="C536" s="101" t="str">
        <f>IFERROR(__xludf.DUMMYFUNCTION("""COMPUTED_VALUE"""),"IVY SOPHIA GOMES AMORIM")</f>
        <v>IVY SOPHIA GOMES AMORIM</v>
      </c>
      <c r="D536" s="101" t="str">
        <f>IFERROR(__xludf.DUMMYFUNCTION("""COMPUTED_VALUE"""),"063.***.***-75")</f>
        <v>063.***.***-75</v>
      </c>
      <c r="E536" s="101">
        <f>IFERROR(__xludf.DUMMYFUNCTION("""COMPUTED_VALUE"""),7.0)</f>
        <v>7</v>
      </c>
      <c r="F536" s="101" t="str">
        <f>IFERROR(__xludf.DUMMYFUNCTION("""COMPUTED_VALUE"""),"063.396.844-75")</f>
        <v>063.396.844-75</v>
      </c>
      <c r="G536" s="101"/>
      <c r="H536" s="101"/>
      <c r="I536" s="101"/>
      <c r="J536" s="101"/>
      <c r="K536" s="101"/>
      <c r="L536" s="101"/>
      <c r="M536" s="101"/>
      <c r="N536" s="101"/>
      <c r="O536" s="101"/>
      <c r="P536" s="101"/>
      <c r="Q536" s="101"/>
      <c r="R536" s="101"/>
      <c r="S536" s="101"/>
      <c r="T536" s="101"/>
      <c r="U536" s="101"/>
      <c r="V536" s="101"/>
      <c r="W536" s="101"/>
      <c r="X536" s="101"/>
      <c r="Y536" s="101"/>
      <c r="Z536" s="101"/>
    </row>
    <row r="537">
      <c r="A537" s="101"/>
      <c r="B537" s="101"/>
      <c r="C537" s="101" t="str">
        <f>IFERROR(__xludf.DUMMYFUNCTION("""COMPUTED_VALUE"""),"MARIANA ISABEL VIEIRA DA SILVA LYRA")</f>
        <v>MARIANA ISABEL VIEIRA DA SILVA LYRA</v>
      </c>
      <c r="D537" s="101" t="str">
        <f>IFERROR(__xludf.DUMMYFUNCTION("""COMPUTED_VALUE"""),"484.***.***-60")</f>
        <v>484.***.***-60</v>
      </c>
      <c r="E537" s="101">
        <f>IFERROR(__xludf.DUMMYFUNCTION("""COMPUTED_VALUE"""),12.0)</f>
        <v>12</v>
      </c>
      <c r="F537" s="101" t="str">
        <f>IFERROR(__xludf.DUMMYFUNCTION("""COMPUTED_VALUE"""),"484.055.968-60")</f>
        <v>484.055.968-60</v>
      </c>
      <c r="G537" s="101"/>
      <c r="H537" s="101"/>
      <c r="I537" s="101"/>
      <c r="J537" s="101"/>
      <c r="K537" s="101"/>
      <c r="L537" s="101"/>
      <c r="M537" s="101"/>
      <c r="N537" s="101"/>
      <c r="O537" s="101"/>
      <c r="P537" s="101"/>
      <c r="Q537" s="101"/>
      <c r="R537" s="101"/>
      <c r="S537" s="101"/>
      <c r="T537" s="101"/>
      <c r="U537" s="101"/>
      <c r="V537" s="101"/>
      <c r="W537" s="101"/>
      <c r="X537" s="101"/>
      <c r="Y537" s="101"/>
      <c r="Z537" s="101"/>
    </row>
    <row r="538">
      <c r="A538" s="101"/>
      <c r="B538" s="101"/>
      <c r="C538" s="101" t="str">
        <f>IFERROR(__xludf.DUMMYFUNCTION("""COMPUTED_VALUE"""),"LAIS ESTELA FONTANA")</f>
        <v>LAIS ESTELA FONTANA</v>
      </c>
      <c r="D538" s="101" t="str">
        <f>IFERROR(__xludf.DUMMYFUNCTION("""COMPUTED_VALUE"""),"526.***.***-85")</f>
        <v>526.***.***-85</v>
      </c>
      <c r="E538" s="101">
        <f>IFERROR(__xludf.DUMMYFUNCTION("""COMPUTED_VALUE"""),7.0)</f>
        <v>7</v>
      </c>
      <c r="F538" s="101" t="str">
        <f>IFERROR(__xludf.DUMMYFUNCTION("""COMPUTED_VALUE"""),"526.249.158-85")</f>
        <v>526.249.158-85</v>
      </c>
      <c r="G538" s="101"/>
      <c r="H538" s="101"/>
      <c r="I538" s="101"/>
      <c r="J538" s="101"/>
      <c r="K538" s="101"/>
      <c r="L538" s="101"/>
      <c r="M538" s="101"/>
      <c r="N538" s="101"/>
      <c r="O538" s="101"/>
      <c r="P538" s="101"/>
      <c r="Q538" s="101"/>
      <c r="R538" s="101"/>
      <c r="S538" s="101"/>
      <c r="T538" s="101"/>
      <c r="U538" s="101"/>
      <c r="V538" s="101"/>
      <c r="W538" s="101"/>
      <c r="X538" s="101"/>
      <c r="Y538" s="101"/>
      <c r="Z538" s="101"/>
    </row>
    <row r="539">
      <c r="A539" s="101"/>
      <c r="B539" s="101"/>
      <c r="C539" s="101" t="str">
        <f>IFERROR(__xludf.DUMMYFUNCTION("""COMPUTED_VALUE"""),"GUILHERME ALEXANDRE RODRIGUES DA SILVA")</f>
        <v>GUILHERME ALEXANDRE RODRIGUES DA SILVA</v>
      </c>
      <c r="D539" s="101" t="str">
        <f>IFERROR(__xludf.DUMMYFUNCTION("""COMPUTED_VALUE"""),"510.***.***-76")</f>
        <v>510.***.***-76</v>
      </c>
      <c r="E539" s="101">
        <f>IFERROR(__xludf.DUMMYFUNCTION("""COMPUTED_VALUE"""),6.0)</f>
        <v>6</v>
      </c>
      <c r="F539" s="101" t="str">
        <f>IFERROR(__xludf.DUMMYFUNCTION("""COMPUTED_VALUE"""),"510.264.978-76")</f>
        <v>510.264.978-76</v>
      </c>
      <c r="G539" s="101"/>
      <c r="H539" s="101"/>
      <c r="I539" s="101"/>
      <c r="J539" s="101"/>
      <c r="K539" s="101"/>
      <c r="L539" s="101"/>
      <c r="M539" s="101"/>
      <c r="N539" s="101"/>
      <c r="O539" s="101"/>
      <c r="P539" s="101"/>
      <c r="Q539" s="101"/>
      <c r="R539" s="101"/>
      <c r="S539" s="101"/>
      <c r="T539" s="101"/>
      <c r="U539" s="101"/>
      <c r="V539" s="101"/>
      <c r="W539" s="101"/>
      <c r="X539" s="101"/>
      <c r="Y539" s="101"/>
      <c r="Z539" s="101"/>
    </row>
    <row r="540">
      <c r="A540" s="101"/>
      <c r="B540" s="101"/>
      <c r="C540" s="101" t="str">
        <f>IFERROR(__xludf.DUMMYFUNCTION("""COMPUTED_VALUE"""),"HELENA GUNDIM MULLER")</f>
        <v>HELENA GUNDIM MULLER</v>
      </c>
      <c r="D540" s="101" t="str">
        <f>IFERROR(__xludf.DUMMYFUNCTION("""COMPUTED_VALUE"""),"418.***.***-51")</f>
        <v>418.***.***-51</v>
      </c>
      <c r="E540" s="101">
        <f>IFERROR(__xludf.DUMMYFUNCTION("""COMPUTED_VALUE"""),5.0)</f>
        <v>5</v>
      </c>
      <c r="F540" s="101" t="str">
        <f>IFERROR(__xludf.DUMMYFUNCTION("""COMPUTED_VALUE"""),"418.019.348-51")</f>
        <v>418.019.348-51</v>
      </c>
      <c r="G540" s="101"/>
      <c r="H540" s="101"/>
      <c r="I540" s="101"/>
      <c r="J540" s="101"/>
      <c r="K540" s="101"/>
      <c r="L540" s="101"/>
      <c r="M540" s="101"/>
      <c r="N540" s="101"/>
      <c r="O540" s="101"/>
      <c r="P540" s="101"/>
      <c r="Q540" s="101"/>
      <c r="R540" s="101"/>
      <c r="S540" s="101"/>
      <c r="T540" s="101"/>
      <c r="U540" s="101"/>
      <c r="V540" s="101"/>
      <c r="W540" s="101"/>
      <c r="X540" s="101"/>
      <c r="Y540" s="101"/>
      <c r="Z540" s="101"/>
    </row>
    <row r="541">
      <c r="A541" s="101"/>
      <c r="B541" s="101"/>
      <c r="C541" s="101" t="str">
        <f>IFERROR(__xludf.DUMMYFUNCTION("""COMPUTED_VALUE"""),"LETÍCIA ALVES DA SILVA")</f>
        <v>LETÍCIA ALVES DA SILVA</v>
      </c>
      <c r="D541" s="101" t="str">
        <f>IFERROR(__xludf.DUMMYFUNCTION("""COMPUTED_VALUE"""),"461.***.***-65")</f>
        <v>461.***.***-65</v>
      </c>
      <c r="E541" s="101">
        <f>IFERROR(__xludf.DUMMYFUNCTION("""COMPUTED_VALUE"""),7.0)</f>
        <v>7</v>
      </c>
      <c r="F541" s="101" t="str">
        <f>IFERROR(__xludf.DUMMYFUNCTION("""COMPUTED_VALUE"""),"461.813.208-65")</f>
        <v>461.813.208-65</v>
      </c>
      <c r="G541" s="101"/>
      <c r="H541" s="101"/>
      <c r="I541" s="101"/>
      <c r="J541" s="101"/>
      <c r="K541" s="101"/>
      <c r="L541" s="101"/>
      <c r="M541" s="101"/>
      <c r="N541" s="101"/>
      <c r="O541" s="101"/>
      <c r="P541" s="101"/>
      <c r="Q541" s="101"/>
      <c r="R541" s="101"/>
      <c r="S541" s="101"/>
      <c r="T541" s="101"/>
      <c r="U541" s="101"/>
      <c r="V541" s="101"/>
      <c r="W541" s="101"/>
      <c r="X541" s="101"/>
      <c r="Y541" s="101"/>
      <c r="Z541" s="101"/>
    </row>
    <row r="542">
      <c r="A542" s="101"/>
      <c r="B542" s="101"/>
      <c r="C542" s="101" t="str">
        <f>IFERROR(__xludf.DUMMYFUNCTION("""COMPUTED_VALUE"""),"VINICIUS GOMES SILVA")</f>
        <v>VINICIUS GOMES SILVA</v>
      </c>
      <c r="D542" s="101" t="str">
        <f>IFERROR(__xludf.DUMMYFUNCTION("""COMPUTED_VALUE"""),"237.***.***-85")</f>
        <v>237.***.***-85</v>
      </c>
      <c r="E542" s="101">
        <f>IFERROR(__xludf.DUMMYFUNCTION("""COMPUTED_VALUE"""),12.0)</f>
        <v>12</v>
      </c>
      <c r="F542" s="101" t="str">
        <f>IFERROR(__xludf.DUMMYFUNCTION("""COMPUTED_VALUE"""),"237.391.818-85")</f>
        <v>237.391.818-85</v>
      </c>
      <c r="G542" s="101"/>
      <c r="H542" s="101"/>
      <c r="I542" s="101"/>
      <c r="J542" s="101"/>
      <c r="K542" s="101"/>
      <c r="L542" s="101"/>
      <c r="M542" s="101"/>
      <c r="N542" s="101"/>
      <c r="O542" s="101"/>
      <c r="P542" s="101"/>
      <c r="Q542" s="101"/>
      <c r="R542" s="101"/>
      <c r="S542" s="101"/>
      <c r="T542" s="101"/>
      <c r="U542" s="101"/>
      <c r="V542" s="101"/>
      <c r="W542" s="101"/>
      <c r="X542" s="101"/>
      <c r="Y542" s="101"/>
      <c r="Z542" s="101"/>
    </row>
    <row r="543">
      <c r="A543" s="101"/>
      <c r="B543" s="101"/>
      <c r="C543" s="101" t="str">
        <f>IFERROR(__xludf.DUMMYFUNCTION("""COMPUTED_VALUE"""),"GIOVANA CHAMAS VILLEGAS CARVALHO")</f>
        <v>GIOVANA CHAMAS VILLEGAS CARVALHO</v>
      </c>
      <c r="D543" s="101" t="str">
        <f>IFERROR(__xludf.DUMMYFUNCTION("""COMPUTED_VALUE"""),"424.***.***-85")</f>
        <v>424.***.***-85</v>
      </c>
      <c r="E543" s="101">
        <f>IFERROR(__xludf.DUMMYFUNCTION("""COMPUTED_VALUE"""),5.0)</f>
        <v>5</v>
      </c>
      <c r="F543" s="101" t="str">
        <f>IFERROR(__xludf.DUMMYFUNCTION("""COMPUTED_VALUE"""),"424.540.228-85")</f>
        <v>424.540.228-85</v>
      </c>
      <c r="G543" s="101"/>
      <c r="H543" s="101"/>
      <c r="I543" s="101"/>
      <c r="J543" s="101"/>
      <c r="K543" s="101"/>
      <c r="L543" s="101"/>
      <c r="M543" s="101"/>
      <c r="N543" s="101"/>
      <c r="O543" s="101"/>
      <c r="P543" s="101"/>
      <c r="Q543" s="101"/>
      <c r="R543" s="101"/>
      <c r="S543" s="101"/>
      <c r="T543" s="101"/>
      <c r="U543" s="101"/>
      <c r="V543" s="101"/>
      <c r="W543" s="101"/>
      <c r="X543" s="101"/>
      <c r="Y543" s="101"/>
      <c r="Z543" s="101"/>
    </row>
    <row r="544">
      <c r="A544" s="101"/>
      <c r="B544" s="101"/>
      <c r="C544" s="101" t="str">
        <f>IFERROR(__xludf.DUMMYFUNCTION("""COMPUTED_VALUE"""),"GABRIEL NOGUEIRA SANTOS")</f>
        <v>GABRIEL NOGUEIRA SANTOS</v>
      </c>
      <c r="D544" s="101" t="str">
        <f>IFERROR(__xludf.DUMMYFUNCTION("""COMPUTED_VALUE"""),"577.***.***-50")</f>
        <v>577.***.***-50</v>
      </c>
      <c r="E544" s="101">
        <f>IFERROR(__xludf.DUMMYFUNCTION("""COMPUTED_VALUE"""),5.0)</f>
        <v>5</v>
      </c>
      <c r="F544" s="101" t="str">
        <f>IFERROR(__xludf.DUMMYFUNCTION("""COMPUTED_VALUE"""),"577.091.688-50")</f>
        <v>577.091.688-50</v>
      </c>
      <c r="G544" s="101"/>
      <c r="H544" s="101"/>
      <c r="I544" s="101"/>
      <c r="J544" s="101"/>
      <c r="K544" s="101"/>
      <c r="L544" s="101"/>
      <c r="M544" s="101"/>
      <c r="N544" s="101"/>
      <c r="O544" s="101"/>
      <c r="P544" s="101"/>
      <c r="Q544" s="101"/>
      <c r="R544" s="101"/>
      <c r="S544" s="101"/>
      <c r="T544" s="101"/>
      <c r="U544" s="101"/>
      <c r="V544" s="101"/>
      <c r="W544" s="101"/>
      <c r="X544" s="101"/>
      <c r="Y544" s="101"/>
      <c r="Z544" s="101"/>
    </row>
    <row r="545">
      <c r="A545" s="101"/>
      <c r="B545" s="101"/>
      <c r="C545" s="101" t="str">
        <f>IFERROR(__xludf.DUMMYFUNCTION("""COMPUTED_VALUE"""),"LEONARDO RODRIGUES OLIVEIRA")</f>
        <v>LEONARDO RODRIGUES OLIVEIRA</v>
      </c>
      <c r="D545" s="101" t="str">
        <f>IFERROR(__xludf.DUMMYFUNCTION("""COMPUTED_VALUE"""),"546.***.***-17")</f>
        <v>546.***.***-17</v>
      </c>
      <c r="E545" s="101">
        <f>IFERROR(__xludf.DUMMYFUNCTION("""COMPUTED_VALUE"""),10.0)</f>
        <v>10</v>
      </c>
      <c r="F545" s="101" t="str">
        <f>IFERROR(__xludf.DUMMYFUNCTION("""COMPUTED_VALUE"""),"546.936.608-17")</f>
        <v>546.936.608-17</v>
      </c>
      <c r="G545" s="101"/>
      <c r="H545" s="101"/>
      <c r="I545" s="101"/>
      <c r="J545" s="101"/>
      <c r="K545" s="101"/>
      <c r="L545" s="101"/>
      <c r="M545" s="101"/>
      <c r="N545" s="101"/>
      <c r="O545" s="101"/>
      <c r="P545" s="101"/>
      <c r="Q545" s="101"/>
      <c r="R545" s="101"/>
      <c r="S545" s="101"/>
      <c r="T545" s="101"/>
      <c r="U545" s="101"/>
      <c r="V545" s="101"/>
      <c r="W545" s="101"/>
      <c r="X545" s="101"/>
      <c r="Y545" s="101"/>
      <c r="Z545" s="101"/>
    </row>
    <row r="546">
      <c r="A546" s="101"/>
      <c r="B546" s="101"/>
      <c r="C546" s="101" t="str">
        <f>IFERROR(__xludf.DUMMYFUNCTION("""COMPUTED_VALUE"""),"ELLEN CAMPOS JACINTO")</f>
        <v>ELLEN CAMPOS JACINTO</v>
      </c>
      <c r="D546" s="101" t="str">
        <f>IFERROR(__xludf.DUMMYFUNCTION("""COMPUTED_VALUE"""),"426.***.***-23")</f>
        <v>426.***.***-23</v>
      </c>
      <c r="E546" s="101">
        <f>IFERROR(__xludf.DUMMYFUNCTION("""COMPUTED_VALUE"""),2.0)</f>
        <v>2</v>
      </c>
      <c r="F546" s="101" t="str">
        <f>IFERROR(__xludf.DUMMYFUNCTION("""COMPUTED_VALUE"""),"426.233.568-23")</f>
        <v>426.233.568-23</v>
      </c>
      <c r="G546" s="101"/>
      <c r="H546" s="101"/>
      <c r="I546" s="101"/>
      <c r="J546" s="101"/>
      <c r="K546" s="101"/>
      <c r="L546" s="101"/>
      <c r="M546" s="101"/>
      <c r="N546" s="101"/>
      <c r="O546" s="101"/>
      <c r="P546" s="101"/>
      <c r="Q546" s="101"/>
      <c r="R546" s="101"/>
      <c r="S546" s="101"/>
      <c r="T546" s="101"/>
      <c r="U546" s="101"/>
      <c r="V546" s="101"/>
      <c r="W546" s="101"/>
      <c r="X546" s="101"/>
      <c r="Y546" s="101"/>
      <c r="Z546" s="101"/>
    </row>
    <row r="547">
      <c r="A547" s="101"/>
      <c r="B547" s="101"/>
      <c r="C547" s="101" t="str">
        <f>IFERROR(__xludf.DUMMYFUNCTION("""COMPUTED_VALUE"""),"AMANDA RODRIGUES FERREIRA ")</f>
        <v>AMANDA RODRIGUES FERREIRA </v>
      </c>
      <c r="D547" s="101" t="str">
        <f>IFERROR(__xludf.DUMMYFUNCTION("""COMPUTED_VALUE"""),"515.***.***-45")</f>
        <v>515.***.***-45</v>
      </c>
      <c r="E547" s="101">
        <f>IFERROR(__xludf.DUMMYFUNCTION("""COMPUTED_VALUE"""),1.0)</f>
        <v>1</v>
      </c>
      <c r="F547" s="101" t="str">
        <f>IFERROR(__xludf.DUMMYFUNCTION("""COMPUTED_VALUE"""),"515.087.488-45")</f>
        <v>515.087.488-45</v>
      </c>
      <c r="G547" s="101"/>
      <c r="H547" s="101"/>
      <c r="I547" s="101"/>
      <c r="J547" s="101"/>
      <c r="K547" s="101"/>
      <c r="L547" s="101"/>
      <c r="M547" s="101"/>
      <c r="N547" s="101"/>
      <c r="O547" s="101"/>
      <c r="P547" s="101"/>
      <c r="Q547" s="101"/>
      <c r="R547" s="101"/>
      <c r="S547" s="101"/>
      <c r="T547" s="101"/>
      <c r="U547" s="101"/>
      <c r="V547" s="101"/>
      <c r="W547" s="101"/>
      <c r="X547" s="101"/>
      <c r="Y547" s="101"/>
      <c r="Z547" s="101"/>
    </row>
    <row r="548">
      <c r="A548" s="101"/>
      <c r="B548" s="101"/>
      <c r="C548" s="101" t="str">
        <f>IFERROR(__xludf.DUMMYFUNCTION("""COMPUTED_VALUE"""),"SARA CRISTINA ELIAS PORFIRIO")</f>
        <v>SARA CRISTINA ELIAS PORFIRIO</v>
      </c>
      <c r="D548" s="101" t="str">
        <f>IFERROR(__xludf.DUMMYFUNCTION("""COMPUTED_VALUE"""),"431.***.***-27")</f>
        <v>431.***.***-27</v>
      </c>
      <c r="E548" s="101">
        <f>IFERROR(__xludf.DUMMYFUNCTION("""COMPUTED_VALUE"""),16.0)</f>
        <v>16</v>
      </c>
      <c r="F548" s="101" t="str">
        <f>IFERROR(__xludf.DUMMYFUNCTION("""COMPUTED_VALUE"""),"431.786.638-27")</f>
        <v>431.786.638-27</v>
      </c>
      <c r="G548" s="101"/>
      <c r="H548" s="101"/>
      <c r="I548" s="101"/>
      <c r="J548" s="101"/>
      <c r="K548" s="101"/>
      <c r="L548" s="101"/>
      <c r="M548" s="101"/>
      <c r="N548" s="101"/>
      <c r="O548" s="101"/>
      <c r="P548" s="101"/>
      <c r="Q548" s="101"/>
      <c r="R548" s="101"/>
      <c r="S548" s="101"/>
      <c r="T548" s="101"/>
      <c r="U548" s="101"/>
      <c r="V548" s="101"/>
      <c r="W548" s="101"/>
      <c r="X548" s="101"/>
      <c r="Y548" s="101"/>
      <c r="Z548" s="101"/>
    </row>
    <row r="549">
      <c r="A549" s="101"/>
      <c r="B549" s="101"/>
      <c r="C549" s="101" t="str">
        <f>IFERROR(__xludf.DUMMYFUNCTION("""COMPUTED_VALUE"""),"ANDREIA BEL SIMO")</f>
        <v>ANDREIA BEL SIMO</v>
      </c>
      <c r="D549" s="101" t="str">
        <f>IFERROR(__xludf.DUMMYFUNCTION("""COMPUTED_VALUE"""),"400.***.***-43")</f>
        <v>400.***.***-43</v>
      </c>
      <c r="E549" s="101">
        <f>IFERROR(__xludf.DUMMYFUNCTION("""COMPUTED_VALUE"""),1.0)</f>
        <v>1</v>
      </c>
      <c r="F549" s="101" t="str">
        <f>IFERROR(__xludf.DUMMYFUNCTION("""COMPUTED_VALUE"""),"400.785.148-43")</f>
        <v>400.785.148-43</v>
      </c>
      <c r="G549" s="101"/>
      <c r="H549" s="101"/>
      <c r="I549" s="101"/>
      <c r="J549" s="101"/>
      <c r="K549" s="101"/>
      <c r="L549" s="101"/>
      <c r="M549" s="101"/>
      <c r="N549" s="101"/>
      <c r="O549" s="101"/>
      <c r="P549" s="101"/>
      <c r="Q549" s="101"/>
      <c r="R549" s="101"/>
      <c r="S549" s="101"/>
      <c r="T549" s="101"/>
      <c r="U549" s="101"/>
      <c r="V549" s="101"/>
      <c r="W549" s="101"/>
      <c r="X549" s="101"/>
      <c r="Y549" s="101"/>
      <c r="Z549" s="101"/>
    </row>
    <row r="550">
      <c r="A550" s="101"/>
      <c r="B550" s="101"/>
      <c r="C550" s="101" t="str">
        <f>IFERROR(__xludf.DUMMYFUNCTION("""COMPUTED_VALUE"""),"KAROLINE RODRIGUES CARVALHO")</f>
        <v>KAROLINE RODRIGUES CARVALHO</v>
      </c>
      <c r="D550" s="101" t="str">
        <f>IFERROR(__xludf.DUMMYFUNCTION("""COMPUTED_VALUE"""),"514.***.***-61")</f>
        <v>514.***.***-61</v>
      </c>
      <c r="E550" s="101">
        <f>IFERROR(__xludf.DUMMYFUNCTION("""COMPUTED_VALUE"""),6.0)</f>
        <v>6</v>
      </c>
      <c r="F550" s="101" t="str">
        <f>IFERROR(__xludf.DUMMYFUNCTION("""COMPUTED_VALUE"""),"514.908.948-61")</f>
        <v>514.908.948-61</v>
      </c>
      <c r="G550" s="101"/>
      <c r="H550" s="101"/>
      <c r="I550" s="101"/>
      <c r="J550" s="101"/>
      <c r="K550" s="101"/>
      <c r="L550" s="101"/>
      <c r="M550" s="101"/>
      <c r="N550" s="101"/>
      <c r="O550" s="101"/>
      <c r="P550" s="101"/>
      <c r="Q550" s="101"/>
      <c r="R550" s="101"/>
      <c r="S550" s="101"/>
      <c r="T550" s="101"/>
      <c r="U550" s="101"/>
      <c r="V550" s="101"/>
      <c r="W550" s="101"/>
      <c r="X550" s="101"/>
      <c r="Y550" s="101"/>
      <c r="Z550" s="101"/>
    </row>
    <row r="551">
      <c r="A551" s="101"/>
      <c r="B551" s="101"/>
      <c r="C551" s="101" t="str">
        <f>IFERROR(__xludf.DUMMYFUNCTION("""COMPUTED_VALUE"""),"KARINA DOS  SANTOS  DA  SILVA")</f>
        <v>KARINA DOS  SANTOS  DA  SILVA</v>
      </c>
      <c r="D551" s="101" t="str">
        <f>IFERROR(__xludf.DUMMYFUNCTION("""COMPUTED_VALUE"""),"359.***.***-59")</f>
        <v>359.***.***-59</v>
      </c>
      <c r="E551" s="101">
        <f>IFERROR(__xludf.DUMMYFUNCTION("""COMPUTED_VALUE"""),9.0)</f>
        <v>9</v>
      </c>
      <c r="F551" s="101" t="str">
        <f>IFERROR(__xludf.DUMMYFUNCTION("""COMPUTED_VALUE"""),"359.139.688-59")</f>
        <v>359.139.688-59</v>
      </c>
      <c r="G551" s="101"/>
      <c r="H551" s="101"/>
      <c r="I551" s="101"/>
      <c r="J551" s="101"/>
      <c r="K551" s="101"/>
      <c r="L551" s="101"/>
      <c r="M551" s="101"/>
      <c r="N551" s="101"/>
      <c r="O551" s="101"/>
      <c r="P551" s="101"/>
      <c r="Q551" s="101"/>
      <c r="R551" s="101"/>
      <c r="S551" s="101"/>
      <c r="T551" s="101"/>
      <c r="U551" s="101"/>
      <c r="V551" s="101"/>
      <c r="W551" s="101"/>
      <c r="X551" s="101"/>
      <c r="Y551" s="101"/>
      <c r="Z551" s="101"/>
    </row>
    <row r="552">
      <c r="A552" s="101"/>
      <c r="B552" s="101"/>
      <c r="C552" s="101" t="str">
        <f>IFERROR(__xludf.DUMMYFUNCTION("""COMPUTED_VALUE"""),"NATALIA ARAUJO FREITAS")</f>
        <v>NATALIA ARAUJO FREITAS</v>
      </c>
      <c r="D552" s="101" t="str">
        <f>IFERROR(__xludf.DUMMYFUNCTION("""COMPUTED_VALUE"""),"528.***.***-83")</f>
        <v>528.***.***-83</v>
      </c>
      <c r="E552" s="101">
        <f>IFERROR(__xludf.DUMMYFUNCTION("""COMPUTED_VALUE"""),9.0)</f>
        <v>9</v>
      </c>
      <c r="F552" s="101" t="str">
        <f>IFERROR(__xludf.DUMMYFUNCTION("""COMPUTED_VALUE"""),"528.580.178-83")</f>
        <v>528.580.178-83</v>
      </c>
      <c r="G552" s="101"/>
      <c r="H552" s="101"/>
      <c r="I552" s="101"/>
      <c r="J552" s="101"/>
      <c r="K552" s="101"/>
      <c r="L552" s="101"/>
      <c r="M552" s="101"/>
      <c r="N552" s="101"/>
      <c r="O552" s="101"/>
      <c r="P552" s="101"/>
      <c r="Q552" s="101"/>
      <c r="R552" s="101"/>
      <c r="S552" s="101"/>
      <c r="T552" s="101"/>
      <c r="U552" s="101"/>
      <c r="V552" s="101"/>
      <c r="W552" s="101"/>
      <c r="X552" s="101"/>
      <c r="Y552" s="101"/>
      <c r="Z552" s="101"/>
    </row>
    <row r="553">
      <c r="A553" s="101"/>
      <c r="B553" s="101"/>
      <c r="C553" s="101" t="str">
        <f>IFERROR(__xludf.DUMMYFUNCTION("""COMPUTED_VALUE"""),"JOAO VITOR FERREIRA DE MACEDO")</f>
        <v>JOAO VITOR FERREIRA DE MACEDO</v>
      </c>
      <c r="D553" s="101" t="str">
        <f>IFERROR(__xludf.DUMMYFUNCTION("""COMPUTED_VALUE"""),"438.***.***-22")</f>
        <v>438.***.***-22</v>
      </c>
      <c r="E553" s="101">
        <f>IFERROR(__xludf.DUMMYFUNCTION("""COMPUTED_VALUE"""),6.0)</f>
        <v>6</v>
      </c>
      <c r="F553" s="101" t="str">
        <f>IFERROR(__xludf.DUMMYFUNCTION("""COMPUTED_VALUE"""),"438.580.968-22")</f>
        <v>438.580.968-22</v>
      </c>
      <c r="G553" s="101"/>
      <c r="H553" s="101"/>
      <c r="I553" s="101"/>
      <c r="J553" s="101"/>
      <c r="K553" s="101"/>
      <c r="L553" s="101"/>
      <c r="M553" s="101"/>
      <c r="N553" s="101"/>
      <c r="O553" s="101"/>
      <c r="P553" s="101"/>
      <c r="Q553" s="101"/>
      <c r="R553" s="101"/>
      <c r="S553" s="101"/>
      <c r="T553" s="101"/>
      <c r="U553" s="101"/>
      <c r="V553" s="101"/>
      <c r="W553" s="101"/>
      <c r="X553" s="101"/>
      <c r="Y553" s="101"/>
      <c r="Z553" s="101"/>
    </row>
    <row r="554">
      <c r="A554" s="101"/>
      <c r="B554" s="101"/>
      <c r="C554" s="101" t="str">
        <f>IFERROR(__xludf.DUMMYFUNCTION("""COMPUTED_VALUE"""),"JAQUELINE FERNANDES DA SILVA")</f>
        <v>JAQUELINE FERNANDES DA SILVA</v>
      </c>
      <c r="D554" s="101" t="str">
        <f>IFERROR(__xludf.DUMMYFUNCTION("""COMPUTED_VALUE"""),"452.***.***-23")</f>
        <v>452.***.***-23</v>
      </c>
      <c r="E554" s="101">
        <f>IFERROR(__xludf.DUMMYFUNCTION("""COMPUTED_VALUE"""),2.0)</f>
        <v>2</v>
      </c>
      <c r="F554" s="101" t="str">
        <f>IFERROR(__xludf.DUMMYFUNCTION("""COMPUTED_VALUE"""),"452.414.388-23")</f>
        <v>452.414.388-23</v>
      </c>
      <c r="G554" s="101"/>
      <c r="H554" s="101"/>
      <c r="I554" s="101"/>
      <c r="J554" s="101"/>
      <c r="K554" s="101"/>
      <c r="L554" s="101"/>
      <c r="M554" s="101"/>
      <c r="N554" s="101"/>
      <c r="O554" s="101"/>
      <c r="P554" s="101"/>
      <c r="Q554" s="101"/>
      <c r="R554" s="101"/>
      <c r="S554" s="101"/>
      <c r="T554" s="101"/>
      <c r="U554" s="101"/>
      <c r="V554" s="101"/>
      <c r="W554" s="101"/>
      <c r="X554" s="101"/>
      <c r="Y554" s="101"/>
      <c r="Z554" s="101"/>
    </row>
    <row r="555">
      <c r="A555" s="101"/>
      <c r="B555" s="101"/>
      <c r="C555" s="101" t="str">
        <f>IFERROR(__xludf.DUMMYFUNCTION("""COMPUTED_VALUE"""),"LETICIA FURLAN NUNES")</f>
        <v>LETICIA FURLAN NUNES</v>
      </c>
      <c r="D555" s="101" t="str">
        <f>IFERROR(__xludf.DUMMYFUNCTION("""COMPUTED_VALUE"""),"516.***.***-00")</f>
        <v>516.***.***-00</v>
      </c>
      <c r="E555" s="101">
        <f>IFERROR(__xludf.DUMMYFUNCTION("""COMPUTED_VALUE"""),3.0)</f>
        <v>3</v>
      </c>
      <c r="F555" s="101" t="str">
        <f>IFERROR(__xludf.DUMMYFUNCTION("""COMPUTED_VALUE"""),"516.288.328-00")</f>
        <v>516.288.328-00</v>
      </c>
      <c r="G555" s="101"/>
      <c r="H555" s="101"/>
      <c r="I555" s="101"/>
      <c r="J555" s="101"/>
      <c r="K555" s="101"/>
      <c r="L555" s="101"/>
      <c r="M555" s="101"/>
      <c r="N555" s="101"/>
      <c r="O555" s="101"/>
      <c r="P555" s="101"/>
      <c r="Q555" s="101"/>
      <c r="R555" s="101"/>
      <c r="S555" s="101"/>
      <c r="T555" s="101"/>
      <c r="U555" s="101"/>
      <c r="V555" s="101"/>
      <c r="W555" s="101"/>
      <c r="X555" s="101"/>
      <c r="Y555" s="101"/>
      <c r="Z555" s="101"/>
    </row>
    <row r="556">
      <c r="A556" s="101"/>
      <c r="B556" s="101"/>
      <c r="C556" s="101" t="str">
        <f>IFERROR(__xludf.DUMMYFUNCTION("""COMPUTED_VALUE"""),"WENDY LIN MONTEIRO SOARES")</f>
        <v>WENDY LIN MONTEIRO SOARES</v>
      </c>
      <c r="D556" s="101" t="str">
        <f>IFERROR(__xludf.DUMMYFUNCTION("""COMPUTED_VALUE"""),"431.***.***-20")</f>
        <v>431.***.***-20</v>
      </c>
      <c r="E556" s="101">
        <f>IFERROR(__xludf.DUMMYFUNCTION("""COMPUTED_VALUE"""),18.0)</f>
        <v>18</v>
      </c>
      <c r="F556" s="101" t="str">
        <f>IFERROR(__xludf.DUMMYFUNCTION("""COMPUTED_VALUE"""),"431.046.328-20")</f>
        <v>431.046.328-20</v>
      </c>
      <c r="G556" s="101"/>
      <c r="H556" s="101"/>
      <c r="I556" s="101"/>
      <c r="J556" s="101"/>
      <c r="K556" s="101"/>
      <c r="L556" s="101"/>
      <c r="M556" s="101"/>
      <c r="N556" s="101"/>
      <c r="O556" s="101"/>
      <c r="P556" s="101"/>
      <c r="Q556" s="101"/>
      <c r="R556" s="101"/>
      <c r="S556" s="101"/>
      <c r="T556" s="101"/>
      <c r="U556" s="101"/>
      <c r="V556" s="101"/>
      <c r="W556" s="101"/>
      <c r="X556" s="101"/>
      <c r="Y556" s="101"/>
      <c r="Z556" s="101"/>
    </row>
    <row r="557">
      <c r="A557" s="101"/>
      <c r="B557" s="101"/>
      <c r="C557" s="101" t="str">
        <f>IFERROR(__xludf.DUMMYFUNCTION("""COMPUTED_VALUE"""),"KEVIN NASCIMENTO SANTOS DE ALMEIDA")</f>
        <v>KEVIN NASCIMENTO SANTOS DE ALMEIDA</v>
      </c>
      <c r="D557" s="101" t="str">
        <f>IFERROR(__xludf.DUMMYFUNCTION("""COMPUTED_VALUE"""),"448.***.***-58")</f>
        <v>448.***.***-58</v>
      </c>
      <c r="E557" s="101">
        <f>IFERROR(__xludf.DUMMYFUNCTION("""COMPUTED_VALUE"""),6.0)</f>
        <v>6</v>
      </c>
      <c r="F557" s="101" t="str">
        <f>IFERROR(__xludf.DUMMYFUNCTION("""COMPUTED_VALUE"""),"448.173.708-58")</f>
        <v>448.173.708-58</v>
      </c>
      <c r="G557" s="101"/>
      <c r="H557" s="101"/>
      <c r="I557" s="101"/>
      <c r="J557" s="101"/>
      <c r="K557" s="101"/>
      <c r="L557" s="101"/>
      <c r="M557" s="101"/>
      <c r="N557" s="101"/>
      <c r="O557" s="101"/>
      <c r="P557" s="101"/>
      <c r="Q557" s="101"/>
      <c r="R557" s="101"/>
      <c r="S557" s="101"/>
      <c r="T557" s="101"/>
      <c r="U557" s="101"/>
      <c r="V557" s="101"/>
      <c r="W557" s="101"/>
      <c r="X557" s="101"/>
      <c r="Y557" s="101"/>
      <c r="Z557" s="101"/>
    </row>
    <row r="558">
      <c r="A558" s="101"/>
      <c r="B558" s="101"/>
      <c r="C558" s="101" t="str">
        <f>IFERROR(__xludf.DUMMYFUNCTION("""COMPUTED_VALUE"""),"SABRINA DA ROCHA SOUSA")</f>
        <v>SABRINA DA ROCHA SOUSA</v>
      </c>
      <c r="D558" s="101" t="str">
        <f>IFERROR(__xludf.DUMMYFUNCTION("""COMPUTED_VALUE"""),"475.***.***-33")</f>
        <v>475.***.***-33</v>
      </c>
      <c r="E558" s="101">
        <f>IFERROR(__xludf.DUMMYFUNCTION("""COMPUTED_VALUE"""),16.0)</f>
        <v>16</v>
      </c>
      <c r="F558" s="101" t="str">
        <f>IFERROR(__xludf.DUMMYFUNCTION("""COMPUTED_VALUE"""),"475.684.438-33")</f>
        <v>475.684.438-33</v>
      </c>
      <c r="G558" s="101"/>
      <c r="H558" s="101"/>
      <c r="I558" s="101"/>
      <c r="J558" s="101"/>
      <c r="K558" s="101"/>
      <c r="L558" s="101"/>
      <c r="M558" s="101"/>
      <c r="N558" s="101"/>
      <c r="O558" s="101"/>
      <c r="P558" s="101"/>
      <c r="Q558" s="101"/>
      <c r="R558" s="101"/>
      <c r="S558" s="101"/>
      <c r="T558" s="101"/>
      <c r="U558" s="101"/>
      <c r="V558" s="101"/>
      <c r="W558" s="101"/>
      <c r="X558" s="101"/>
      <c r="Y558" s="101"/>
      <c r="Z558" s="101"/>
    </row>
    <row r="559">
      <c r="A559" s="101"/>
      <c r="B559" s="101"/>
      <c r="C559" s="101" t="str">
        <f>IFERROR(__xludf.DUMMYFUNCTION("""COMPUTED_VALUE"""),"LAVINIA FERREIRA DOS SANTOS")</f>
        <v>LAVINIA FERREIRA DOS SANTOS</v>
      </c>
      <c r="D559" s="101" t="str">
        <f>IFERROR(__xludf.DUMMYFUNCTION("""COMPUTED_VALUE"""),"529.***.***-01")</f>
        <v>529.***.***-01</v>
      </c>
      <c r="E559" s="101">
        <f>IFERROR(__xludf.DUMMYFUNCTION("""COMPUTED_VALUE"""),10.0)</f>
        <v>10</v>
      </c>
      <c r="F559" s="101" t="str">
        <f>IFERROR(__xludf.DUMMYFUNCTION("""COMPUTED_VALUE"""),"529.905.968-01")</f>
        <v>529.905.968-01</v>
      </c>
      <c r="G559" s="101"/>
      <c r="H559" s="101"/>
      <c r="I559" s="101"/>
      <c r="J559" s="101"/>
      <c r="K559" s="101"/>
      <c r="L559" s="101"/>
      <c r="M559" s="101"/>
      <c r="N559" s="101"/>
      <c r="O559" s="101"/>
      <c r="P559" s="101"/>
      <c r="Q559" s="101"/>
      <c r="R559" s="101"/>
      <c r="S559" s="101"/>
      <c r="T559" s="101"/>
      <c r="U559" s="101"/>
      <c r="V559" s="101"/>
      <c r="W559" s="101"/>
      <c r="X559" s="101"/>
      <c r="Y559" s="101"/>
      <c r="Z559" s="101"/>
    </row>
    <row r="560">
      <c r="A560" s="101"/>
      <c r="B560" s="101"/>
      <c r="C560" s="101" t="str">
        <f>IFERROR(__xludf.DUMMYFUNCTION("""COMPUTED_VALUE"""),"EMMANUELLY BERBEL DOS SANTOS")</f>
        <v>EMMANUELLY BERBEL DOS SANTOS</v>
      </c>
      <c r="D560" s="101" t="str">
        <f>IFERROR(__xludf.DUMMYFUNCTION("""COMPUTED_VALUE"""),"459.***.***-06")</f>
        <v>459.***.***-06</v>
      </c>
      <c r="E560" s="101">
        <f>IFERROR(__xludf.DUMMYFUNCTION("""COMPUTED_VALUE"""),3.0)</f>
        <v>3</v>
      </c>
      <c r="F560" s="101" t="str">
        <f>IFERROR(__xludf.DUMMYFUNCTION("""COMPUTED_VALUE"""),"459.501.418-06")</f>
        <v>459.501.418-06</v>
      </c>
      <c r="G560" s="101"/>
      <c r="H560" s="101"/>
      <c r="I560" s="101"/>
      <c r="J560" s="101"/>
      <c r="K560" s="101"/>
      <c r="L560" s="101"/>
      <c r="M560" s="101"/>
      <c r="N560" s="101"/>
      <c r="O560" s="101"/>
      <c r="P560" s="101"/>
      <c r="Q560" s="101"/>
      <c r="R560" s="101"/>
      <c r="S560" s="101"/>
      <c r="T560" s="101"/>
      <c r="U560" s="101"/>
      <c r="V560" s="101"/>
      <c r="W560" s="101"/>
      <c r="X560" s="101"/>
      <c r="Y560" s="101"/>
      <c r="Z560" s="101"/>
    </row>
    <row r="561">
      <c r="A561" s="101"/>
      <c r="B561" s="101"/>
      <c r="C561" s="101" t="str">
        <f>IFERROR(__xludf.DUMMYFUNCTION("""COMPUTED_VALUE"""),"GABRIEL ALVES OLIVEIRA")</f>
        <v>GABRIEL ALVES OLIVEIRA</v>
      </c>
      <c r="D561" s="101" t="str">
        <f>IFERROR(__xludf.DUMMYFUNCTION("""COMPUTED_VALUE"""),"408.***.***-08")</f>
        <v>408.***.***-08</v>
      </c>
      <c r="E561" s="101">
        <f>IFERROR(__xludf.DUMMYFUNCTION("""COMPUTED_VALUE"""),5.0)</f>
        <v>5</v>
      </c>
      <c r="F561" s="101" t="str">
        <f>IFERROR(__xludf.DUMMYFUNCTION("""COMPUTED_VALUE"""),"408.213.288-08")</f>
        <v>408.213.288-08</v>
      </c>
      <c r="G561" s="101"/>
      <c r="H561" s="101"/>
      <c r="I561" s="101"/>
      <c r="J561" s="101"/>
      <c r="K561" s="101"/>
      <c r="L561" s="101"/>
      <c r="M561" s="101"/>
      <c r="N561" s="101"/>
      <c r="O561" s="101"/>
      <c r="P561" s="101"/>
      <c r="Q561" s="101"/>
      <c r="R561" s="101"/>
      <c r="S561" s="101"/>
      <c r="T561" s="101"/>
      <c r="U561" s="101"/>
      <c r="V561" s="101"/>
      <c r="W561" s="101"/>
      <c r="X561" s="101"/>
      <c r="Y561" s="101"/>
      <c r="Z561" s="101"/>
    </row>
    <row r="562">
      <c r="A562" s="101"/>
      <c r="B562" s="101"/>
      <c r="C562" s="101" t="str">
        <f>IFERROR(__xludf.DUMMYFUNCTION("""COMPUTED_VALUE"""),"WALISON MOURA BRAZ")</f>
        <v>WALISON MOURA BRAZ</v>
      </c>
      <c r="D562" s="101" t="str">
        <f>IFERROR(__xludf.DUMMYFUNCTION("""COMPUTED_VALUE"""),"470.***.***-17")</f>
        <v>470.***.***-17</v>
      </c>
      <c r="E562" s="101">
        <f>IFERROR(__xludf.DUMMYFUNCTION("""COMPUTED_VALUE"""),10.0)</f>
        <v>10</v>
      </c>
      <c r="F562" s="101" t="str">
        <f>IFERROR(__xludf.DUMMYFUNCTION("""COMPUTED_VALUE"""),"470.567.828-17")</f>
        <v>470.567.828-17</v>
      </c>
      <c r="G562" s="101"/>
      <c r="H562" s="101"/>
      <c r="I562" s="101"/>
      <c r="J562" s="101"/>
      <c r="K562" s="101"/>
      <c r="L562" s="101"/>
      <c r="M562" s="101"/>
      <c r="N562" s="101"/>
      <c r="O562" s="101"/>
      <c r="P562" s="101"/>
      <c r="Q562" s="101"/>
      <c r="R562" s="101"/>
      <c r="S562" s="101"/>
      <c r="T562" s="101"/>
      <c r="U562" s="101"/>
      <c r="V562" s="101"/>
      <c r="W562" s="101"/>
      <c r="X562" s="101"/>
      <c r="Y562" s="101"/>
      <c r="Z562" s="101"/>
    </row>
    <row r="563">
      <c r="A563" s="101"/>
      <c r="B563" s="101"/>
      <c r="C563" s="101" t="str">
        <f>IFERROR(__xludf.DUMMYFUNCTION("""COMPUTED_VALUE"""),"ALEXANDRE DA ROCHA SANTOS")</f>
        <v>ALEXANDRE DA ROCHA SANTOS</v>
      </c>
      <c r="D563" s="101" t="str">
        <f>IFERROR(__xludf.DUMMYFUNCTION("""COMPUTED_VALUE"""),"115.***.***-30")</f>
        <v>115.***.***-30</v>
      </c>
      <c r="E563" s="101">
        <f>IFERROR(__xludf.DUMMYFUNCTION("""COMPUTED_VALUE"""),1.0)</f>
        <v>1</v>
      </c>
      <c r="F563" s="101" t="str">
        <f>IFERROR(__xludf.DUMMYFUNCTION("""COMPUTED_VALUE"""),"115.005.829-30")</f>
        <v>115.005.829-30</v>
      </c>
      <c r="G563" s="101"/>
      <c r="H563" s="101"/>
      <c r="I563" s="101"/>
      <c r="J563" s="101"/>
      <c r="K563" s="101"/>
      <c r="L563" s="101"/>
      <c r="M563" s="101"/>
      <c r="N563" s="101"/>
      <c r="O563" s="101"/>
      <c r="P563" s="101"/>
      <c r="Q563" s="101"/>
      <c r="R563" s="101"/>
      <c r="S563" s="101"/>
      <c r="T563" s="101"/>
      <c r="U563" s="101"/>
      <c r="V563" s="101"/>
      <c r="W563" s="101"/>
      <c r="X563" s="101"/>
      <c r="Y563" s="101"/>
      <c r="Z563" s="101"/>
    </row>
    <row r="564">
      <c r="A564" s="101"/>
      <c r="B564" s="101"/>
      <c r="C564" s="101" t="str">
        <f>IFERROR(__xludf.DUMMYFUNCTION("""COMPUTED_VALUE"""),"CAROLINA DAVID SALICINI")</f>
        <v>CAROLINA DAVID SALICINI</v>
      </c>
      <c r="D564" s="101" t="str">
        <f>IFERROR(__xludf.DUMMYFUNCTION("""COMPUTED_VALUE"""),"367.***.***-81")</f>
        <v>367.***.***-81</v>
      </c>
      <c r="E564" s="101">
        <f>IFERROR(__xludf.DUMMYFUNCTION("""COMPUTED_VALUE"""),2.0)</f>
        <v>2</v>
      </c>
      <c r="F564" s="101" t="str">
        <f>IFERROR(__xludf.DUMMYFUNCTION("""COMPUTED_VALUE"""),"367.312.418-81")</f>
        <v>367.312.418-81</v>
      </c>
      <c r="G564" s="101"/>
      <c r="H564" s="101"/>
      <c r="I564" s="101"/>
      <c r="J564" s="101"/>
      <c r="K564" s="101"/>
      <c r="L564" s="101"/>
      <c r="M564" s="101"/>
      <c r="N564" s="101"/>
      <c r="O564" s="101"/>
      <c r="P564" s="101"/>
      <c r="Q564" s="101"/>
      <c r="R564" s="101"/>
      <c r="S564" s="101"/>
      <c r="T564" s="101"/>
      <c r="U564" s="101"/>
      <c r="V564" s="101"/>
      <c r="W564" s="101"/>
      <c r="X564" s="101"/>
      <c r="Y564" s="101"/>
      <c r="Z564" s="101"/>
    </row>
    <row r="565">
      <c r="A565" s="101"/>
      <c r="B565" s="101"/>
      <c r="C565" s="101" t="str">
        <f>IFERROR(__xludf.DUMMYFUNCTION("""COMPUTED_VALUE"""),"TAWANE SILVA RAMOS")</f>
        <v>TAWANE SILVA RAMOS</v>
      </c>
      <c r="D565" s="101" t="str">
        <f>IFERROR(__xludf.DUMMYFUNCTION("""COMPUTED_VALUE"""),"500.***.***-58")</f>
        <v>500.***.***-58</v>
      </c>
      <c r="E565" s="101">
        <f>IFERROR(__xludf.DUMMYFUNCTION("""COMPUTED_VALUE"""),11.0)</f>
        <v>11</v>
      </c>
      <c r="F565" s="101" t="str">
        <f>IFERROR(__xludf.DUMMYFUNCTION("""COMPUTED_VALUE"""),"500.848.278-58")</f>
        <v>500.848.278-58</v>
      </c>
      <c r="G565" s="101"/>
      <c r="H565" s="101"/>
      <c r="I565" s="101"/>
      <c r="J565" s="101"/>
      <c r="K565" s="101"/>
      <c r="L565" s="101"/>
      <c r="M565" s="101"/>
      <c r="N565" s="101"/>
      <c r="O565" s="101"/>
      <c r="P565" s="101"/>
      <c r="Q565" s="101"/>
      <c r="R565" s="101"/>
      <c r="S565" s="101"/>
      <c r="T565" s="101"/>
      <c r="U565" s="101"/>
      <c r="V565" s="101"/>
      <c r="W565" s="101"/>
      <c r="X565" s="101"/>
      <c r="Y565" s="101"/>
      <c r="Z565" s="101"/>
    </row>
    <row r="566">
      <c r="A566" s="101"/>
      <c r="B566" s="101"/>
      <c r="C566" s="101" t="str">
        <f>IFERROR(__xludf.DUMMYFUNCTION("""COMPUTED_VALUE"""),"LUANA MELINKA CARCAMO ARANDA")</f>
        <v>LUANA MELINKA CARCAMO ARANDA</v>
      </c>
      <c r="D566" s="101" t="str">
        <f>IFERROR(__xludf.DUMMYFUNCTION("""COMPUTED_VALUE"""),"413.***.***-09")</f>
        <v>413.***.***-09</v>
      </c>
      <c r="E566" s="101">
        <f>IFERROR(__xludf.DUMMYFUNCTION("""COMPUTED_VALUE"""),8.0)</f>
        <v>8</v>
      </c>
      <c r="F566" s="101" t="str">
        <f>IFERROR(__xludf.DUMMYFUNCTION("""COMPUTED_VALUE"""),"413.212.858-09")</f>
        <v>413.212.858-09</v>
      </c>
      <c r="G566" s="101"/>
      <c r="H566" s="101"/>
      <c r="I566" s="101"/>
      <c r="J566" s="101"/>
      <c r="K566" s="101"/>
      <c r="L566" s="101"/>
      <c r="M566" s="101"/>
      <c r="N566" s="101"/>
      <c r="O566" s="101"/>
      <c r="P566" s="101"/>
      <c r="Q566" s="101"/>
      <c r="R566" s="101"/>
      <c r="S566" s="101"/>
      <c r="T566" s="101"/>
      <c r="U566" s="101"/>
      <c r="V566" s="101"/>
      <c r="W566" s="101"/>
      <c r="X566" s="101"/>
      <c r="Y566" s="101"/>
      <c r="Z566" s="101"/>
    </row>
    <row r="567">
      <c r="A567" s="101"/>
      <c r="B567" s="101"/>
      <c r="C567" s="101" t="str">
        <f>IFERROR(__xludf.DUMMYFUNCTION("""COMPUTED_VALUE"""),"VICTOR BARTHOLOMEU DA CRUZ LIMA MEDEIROS")</f>
        <v>VICTOR BARTHOLOMEU DA CRUZ LIMA MEDEIROS</v>
      </c>
      <c r="D567" s="101" t="str">
        <f>IFERROR(__xludf.DUMMYFUNCTION("""COMPUTED_VALUE"""),"123.***.***-98")</f>
        <v>123.***.***-98</v>
      </c>
      <c r="E567" s="101">
        <f>IFERROR(__xludf.DUMMYFUNCTION("""COMPUTED_VALUE"""),11.0)</f>
        <v>11</v>
      </c>
      <c r="F567" s="101" t="str">
        <f>IFERROR(__xludf.DUMMYFUNCTION("""COMPUTED_VALUE"""),"123.538.286-98")</f>
        <v>123.538.286-98</v>
      </c>
      <c r="G567" s="101"/>
      <c r="H567" s="101"/>
      <c r="I567" s="101"/>
      <c r="J567" s="101"/>
      <c r="K567" s="101"/>
      <c r="L567" s="101"/>
      <c r="M567" s="101"/>
      <c r="N567" s="101"/>
      <c r="O567" s="101"/>
      <c r="P567" s="101"/>
      <c r="Q567" s="101"/>
      <c r="R567" s="101"/>
      <c r="S567" s="101"/>
      <c r="T567" s="101"/>
      <c r="U567" s="101"/>
      <c r="V567" s="101"/>
      <c r="W567" s="101"/>
      <c r="X567" s="101"/>
      <c r="Y567" s="101"/>
      <c r="Z567" s="101"/>
    </row>
    <row r="568">
      <c r="A568" s="101"/>
      <c r="B568" s="101"/>
      <c r="C568" s="101" t="str">
        <f>IFERROR(__xludf.DUMMYFUNCTION("""COMPUTED_VALUE"""),"FELIPE IVO DE SALES")</f>
        <v>FELIPE IVO DE SALES</v>
      </c>
      <c r="D568" s="101" t="str">
        <f>IFERROR(__xludf.DUMMYFUNCTION("""COMPUTED_VALUE"""),"489.***.***-60")</f>
        <v>489.***.***-60</v>
      </c>
      <c r="E568" s="101">
        <f>IFERROR(__xludf.DUMMYFUNCTION("""COMPUTED_VALUE"""),3.0)</f>
        <v>3</v>
      </c>
      <c r="F568" s="101" t="str">
        <f>IFERROR(__xludf.DUMMYFUNCTION("""COMPUTED_VALUE"""),"489.113.788-60")</f>
        <v>489.113.788-60</v>
      </c>
      <c r="G568" s="101"/>
      <c r="H568" s="101"/>
      <c r="I568" s="101"/>
      <c r="J568" s="101"/>
      <c r="K568" s="101"/>
      <c r="L568" s="101"/>
      <c r="M568" s="101"/>
      <c r="N568" s="101"/>
      <c r="O568" s="101"/>
      <c r="P568" s="101"/>
      <c r="Q568" s="101"/>
      <c r="R568" s="101"/>
      <c r="S568" s="101"/>
      <c r="T568" s="101"/>
      <c r="U568" s="101"/>
      <c r="V568" s="101"/>
      <c r="W568" s="101"/>
      <c r="X568" s="101"/>
      <c r="Y568" s="101"/>
      <c r="Z568" s="101"/>
    </row>
    <row r="569">
      <c r="A569" s="101"/>
      <c r="B569" s="101"/>
      <c r="C569" s="101" t="str">
        <f>IFERROR(__xludf.DUMMYFUNCTION("""COMPUTED_VALUE"""),"EDUARDO GONCALVES MARQUES SILVA")</f>
        <v>EDUARDO GONCALVES MARQUES SILVA</v>
      </c>
      <c r="D569" s="101" t="str">
        <f>IFERROR(__xludf.DUMMYFUNCTION("""COMPUTED_VALUE"""),"325.***.***-96")</f>
        <v>325.***.***-96</v>
      </c>
      <c r="E569" s="101">
        <f>IFERROR(__xludf.DUMMYFUNCTION("""COMPUTED_VALUE"""),2.0)</f>
        <v>2</v>
      </c>
      <c r="F569" s="101" t="str">
        <f>IFERROR(__xludf.DUMMYFUNCTION("""COMPUTED_VALUE"""),"325.274.458-96")</f>
        <v>325.274.458-96</v>
      </c>
      <c r="G569" s="101"/>
      <c r="H569" s="101"/>
      <c r="I569" s="101"/>
      <c r="J569" s="101"/>
      <c r="K569" s="101"/>
      <c r="L569" s="101"/>
      <c r="M569" s="101"/>
      <c r="N569" s="101"/>
      <c r="O569" s="101"/>
      <c r="P569" s="101"/>
      <c r="Q569" s="101"/>
      <c r="R569" s="101"/>
      <c r="S569" s="101"/>
      <c r="T569" s="101"/>
      <c r="U569" s="101"/>
      <c r="V569" s="101"/>
      <c r="W569" s="101"/>
      <c r="X569" s="101"/>
      <c r="Y569" s="101"/>
      <c r="Z569" s="101"/>
    </row>
    <row r="570">
      <c r="A570" s="101"/>
      <c r="B570" s="101"/>
      <c r="C570" s="101" t="str">
        <f>IFERROR(__xludf.DUMMYFUNCTION("""COMPUTED_VALUE"""),"JOÃO PEDRO  CARDOSO  DA SILVA")</f>
        <v>JOÃO PEDRO  CARDOSO  DA SILVA</v>
      </c>
      <c r="D570" s="101" t="str">
        <f>IFERROR(__xludf.DUMMYFUNCTION("""COMPUTED_VALUE"""),"239.***.***-02")</f>
        <v>239.***.***-02</v>
      </c>
      <c r="E570" s="101">
        <f>IFERROR(__xludf.DUMMYFUNCTION("""COMPUTED_VALUE"""),8.0)</f>
        <v>8</v>
      </c>
      <c r="F570" s="101" t="str">
        <f>IFERROR(__xludf.DUMMYFUNCTION("""COMPUTED_VALUE"""),"239.677.378-02")</f>
        <v>239.677.378-02</v>
      </c>
      <c r="G570" s="101"/>
      <c r="H570" s="101"/>
      <c r="I570" s="101"/>
      <c r="J570" s="101"/>
      <c r="K570" s="101"/>
      <c r="L570" s="101"/>
      <c r="M570" s="101"/>
      <c r="N570" s="101"/>
      <c r="O570" s="101"/>
      <c r="P570" s="101"/>
      <c r="Q570" s="101"/>
      <c r="R570" s="101"/>
      <c r="S570" s="101"/>
      <c r="T570" s="101"/>
      <c r="U570" s="101"/>
      <c r="V570" s="101"/>
      <c r="W570" s="101"/>
      <c r="X570" s="101"/>
      <c r="Y570" s="101"/>
      <c r="Z570" s="101"/>
    </row>
    <row r="571">
      <c r="A571" s="101"/>
      <c r="B571" s="101"/>
      <c r="C571" s="101" t="str">
        <f>IFERROR(__xludf.DUMMYFUNCTION("""COMPUTED_VALUE"""),"ELISA MAYARA DA SILVA OLIVEIRA")</f>
        <v>ELISA MAYARA DA SILVA OLIVEIRA</v>
      </c>
      <c r="D571" s="101" t="str">
        <f>IFERROR(__xludf.DUMMYFUNCTION("""COMPUTED_VALUE"""),"444.***.***-36")</f>
        <v>444.***.***-36</v>
      </c>
      <c r="E571" s="101">
        <f>IFERROR(__xludf.DUMMYFUNCTION("""COMPUTED_VALUE"""),3.0)</f>
        <v>3</v>
      </c>
      <c r="F571" s="101" t="str">
        <f>IFERROR(__xludf.DUMMYFUNCTION("""COMPUTED_VALUE"""),"444.153.158-36")</f>
        <v>444.153.158-36</v>
      </c>
      <c r="G571" s="101"/>
      <c r="H571" s="101"/>
      <c r="I571" s="101"/>
      <c r="J571" s="101"/>
      <c r="K571" s="101"/>
      <c r="L571" s="101"/>
      <c r="M571" s="101"/>
      <c r="N571" s="101"/>
      <c r="O571" s="101"/>
      <c r="P571" s="101"/>
      <c r="Q571" s="101"/>
      <c r="R571" s="101"/>
      <c r="S571" s="101"/>
      <c r="T571" s="101"/>
      <c r="U571" s="101"/>
      <c r="V571" s="101"/>
      <c r="W571" s="101"/>
      <c r="X571" s="101"/>
      <c r="Y571" s="101"/>
      <c r="Z571" s="101"/>
    </row>
    <row r="572">
      <c r="A572" s="101"/>
      <c r="B572" s="101"/>
      <c r="C572" s="101" t="str">
        <f>IFERROR(__xludf.DUMMYFUNCTION("""COMPUTED_VALUE"""),"JULYA CRISTINA NASCIMENTO DE GOES")</f>
        <v>JULYA CRISTINA NASCIMENTO DE GOES</v>
      </c>
      <c r="D572" s="101" t="str">
        <f>IFERROR(__xludf.DUMMYFUNCTION("""COMPUTED_VALUE"""),"506.***.***-47")</f>
        <v>506.***.***-47</v>
      </c>
      <c r="E572" s="101">
        <f>IFERROR(__xludf.DUMMYFUNCTION("""COMPUTED_VALUE"""),6.0)</f>
        <v>6</v>
      </c>
      <c r="F572" s="101" t="str">
        <f>IFERROR(__xludf.DUMMYFUNCTION("""COMPUTED_VALUE"""),"506.574.098-47")</f>
        <v>506.574.098-47</v>
      </c>
      <c r="G572" s="101"/>
      <c r="H572" s="101"/>
      <c r="I572" s="101"/>
      <c r="J572" s="101"/>
      <c r="K572" s="101"/>
      <c r="L572" s="101"/>
      <c r="M572" s="101"/>
      <c r="N572" s="101"/>
      <c r="O572" s="101"/>
      <c r="P572" s="101"/>
      <c r="Q572" s="101"/>
      <c r="R572" s="101"/>
      <c r="S572" s="101"/>
      <c r="T572" s="101"/>
      <c r="U572" s="101"/>
      <c r="V572" s="101"/>
      <c r="W572" s="101"/>
      <c r="X572" s="101"/>
      <c r="Y572" s="101"/>
      <c r="Z572" s="101"/>
    </row>
    <row r="573">
      <c r="A573" s="101"/>
      <c r="B573" s="101"/>
      <c r="C573" s="101" t="str">
        <f>IFERROR(__xludf.DUMMYFUNCTION("""COMPUTED_VALUE"""),"PEDRO DE MOURA MENDES")</f>
        <v>PEDRO DE MOURA MENDES</v>
      </c>
      <c r="D573" s="101" t="str">
        <f>IFERROR(__xludf.DUMMYFUNCTION("""COMPUTED_VALUE"""),"425.***.***-85")</f>
        <v>425.***.***-85</v>
      </c>
      <c r="E573" s="101">
        <f>IFERROR(__xludf.DUMMYFUNCTION("""COMPUTED_VALUE"""),14.0)</f>
        <v>14</v>
      </c>
      <c r="F573" s="101" t="str">
        <f>IFERROR(__xludf.DUMMYFUNCTION("""COMPUTED_VALUE"""),"425.346.468-85")</f>
        <v>425.346.468-85</v>
      </c>
      <c r="G573" s="101"/>
      <c r="H573" s="101"/>
      <c r="I573" s="101"/>
      <c r="J573" s="101"/>
      <c r="K573" s="101"/>
      <c r="L573" s="101"/>
      <c r="M573" s="101"/>
      <c r="N573" s="101"/>
      <c r="O573" s="101"/>
      <c r="P573" s="101"/>
      <c r="Q573" s="101"/>
      <c r="R573" s="101"/>
      <c r="S573" s="101"/>
      <c r="T573" s="101"/>
      <c r="U573" s="101"/>
      <c r="V573" s="101"/>
      <c r="W573" s="101"/>
      <c r="X573" s="101"/>
      <c r="Y573" s="101"/>
      <c r="Z573" s="101"/>
    </row>
    <row r="574">
      <c r="A574" s="101"/>
      <c r="B574" s="101"/>
      <c r="C574" s="101" t="str">
        <f>IFERROR(__xludf.DUMMYFUNCTION("""COMPUTED_VALUE"""),"LETICIA CRISTINA DA SILVA")</f>
        <v>LETICIA CRISTINA DA SILVA</v>
      </c>
      <c r="D574" s="101" t="str">
        <f>IFERROR(__xludf.DUMMYFUNCTION("""COMPUTED_VALUE"""),"436.***.***-39")</f>
        <v>436.***.***-39</v>
      </c>
      <c r="E574" s="101">
        <f>IFERROR(__xludf.DUMMYFUNCTION("""COMPUTED_VALUE"""),11.0)</f>
        <v>11</v>
      </c>
      <c r="F574" s="101" t="str">
        <f>IFERROR(__xludf.DUMMYFUNCTION("""COMPUTED_VALUE"""),"436.106.408-39")</f>
        <v>436.106.408-39</v>
      </c>
      <c r="G574" s="101"/>
      <c r="H574" s="101"/>
      <c r="I574" s="101"/>
      <c r="J574" s="101"/>
      <c r="K574" s="101"/>
      <c r="L574" s="101"/>
      <c r="M574" s="101"/>
      <c r="N574" s="101"/>
      <c r="O574" s="101"/>
      <c r="P574" s="101"/>
      <c r="Q574" s="101"/>
      <c r="R574" s="101"/>
      <c r="S574" s="101"/>
      <c r="T574" s="101"/>
      <c r="U574" s="101"/>
      <c r="V574" s="101"/>
      <c r="W574" s="101"/>
      <c r="X574" s="101"/>
      <c r="Y574" s="101"/>
      <c r="Z574" s="101"/>
    </row>
    <row r="575">
      <c r="A575" s="101"/>
      <c r="B575" s="101"/>
      <c r="C575" s="101" t="str">
        <f>IFERROR(__xludf.DUMMYFUNCTION("""COMPUTED_VALUE"""),"VITORIA DELLEVEDOVE MOREIRA")</f>
        <v>VITORIA DELLEVEDOVE MOREIRA</v>
      </c>
      <c r="D575" s="101" t="str">
        <f>IFERROR(__xludf.DUMMYFUNCTION("""COMPUTED_VALUE"""),"381.***.***-82")</f>
        <v>381.***.***-82</v>
      </c>
      <c r="E575" s="101">
        <f>IFERROR(__xludf.DUMMYFUNCTION("""COMPUTED_VALUE"""),12.0)</f>
        <v>12</v>
      </c>
      <c r="F575" s="101" t="str">
        <f>IFERROR(__xludf.DUMMYFUNCTION("""COMPUTED_VALUE"""),"381.079.548-82")</f>
        <v>381.079.548-82</v>
      </c>
      <c r="G575" s="101"/>
      <c r="H575" s="101"/>
      <c r="I575" s="101"/>
      <c r="J575" s="101"/>
      <c r="K575" s="101"/>
      <c r="L575" s="101"/>
      <c r="M575" s="101"/>
      <c r="N575" s="101"/>
      <c r="O575" s="101"/>
      <c r="P575" s="101"/>
      <c r="Q575" s="101"/>
      <c r="R575" s="101"/>
      <c r="S575" s="101"/>
      <c r="T575" s="101"/>
      <c r="U575" s="101"/>
      <c r="V575" s="101"/>
      <c r="W575" s="101"/>
      <c r="X575" s="101"/>
      <c r="Y575" s="101"/>
      <c r="Z575" s="101"/>
    </row>
    <row r="576">
      <c r="A576" s="101"/>
      <c r="B576" s="101"/>
      <c r="C576" s="101" t="str">
        <f>IFERROR(__xludf.DUMMYFUNCTION("""COMPUTED_VALUE"""),"Stephanie Barros Silva")</f>
        <v>Stephanie Barros Silva</v>
      </c>
      <c r="D576" s="101" t="str">
        <f>IFERROR(__xludf.DUMMYFUNCTION("""COMPUTED_VALUE"""),"422.***.***-07")</f>
        <v>422.***.***-07</v>
      </c>
      <c r="E576" s="101">
        <f>IFERROR(__xludf.DUMMYFUNCTION("""COMPUTED_VALUE"""),4.0)</f>
        <v>4</v>
      </c>
      <c r="F576" s="101" t="str">
        <f>IFERROR(__xludf.DUMMYFUNCTION("""COMPUTED_VALUE"""),"422.060.958-07")</f>
        <v>422.060.958-07</v>
      </c>
      <c r="G576" s="101"/>
      <c r="H576" s="101"/>
      <c r="I576" s="101"/>
      <c r="J576" s="101"/>
      <c r="K576" s="101"/>
      <c r="L576" s="101"/>
      <c r="M576" s="101"/>
      <c r="N576" s="101"/>
      <c r="O576" s="101"/>
      <c r="P576" s="101"/>
      <c r="Q576" s="101"/>
      <c r="R576" s="101"/>
      <c r="S576" s="101"/>
      <c r="T576" s="101"/>
      <c r="U576" s="101"/>
      <c r="V576" s="101"/>
      <c r="W576" s="101"/>
      <c r="X576" s="101"/>
      <c r="Y576" s="101"/>
      <c r="Z576" s="101"/>
    </row>
    <row r="577">
      <c r="A577" s="101"/>
      <c r="B577" s="101"/>
      <c r="C577" s="101" t="str">
        <f>IFERROR(__xludf.DUMMYFUNCTION("""COMPUTED_VALUE"""),"MARIA EDUARDA ALVES CIPRIANO")</f>
        <v>MARIA EDUARDA ALVES CIPRIANO</v>
      </c>
      <c r="D577" s="101" t="str">
        <f>IFERROR(__xludf.DUMMYFUNCTION("""COMPUTED_VALUE"""),"424.***.***-38")</f>
        <v>424.***.***-38</v>
      </c>
      <c r="E577" s="101">
        <f>IFERROR(__xludf.DUMMYFUNCTION("""COMPUTED_VALUE"""),12.0)</f>
        <v>12</v>
      </c>
      <c r="F577" s="101" t="str">
        <f>IFERROR(__xludf.DUMMYFUNCTION("""COMPUTED_VALUE"""),"424.710.258-38")</f>
        <v>424.710.258-38</v>
      </c>
      <c r="G577" s="101"/>
      <c r="H577" s="101"/>
      <c r="I577" s="101"/>
      <c r="J577" s="101"/>
      <c r="K577" s="101"/>
      <c r="L577" s="101"/>
      <c r="M577" s="101"/>
      <c r="N577" s="101"/>
      <c r="O577" s="101"/>
      <c r="P577" s="101"/>
      <c r="Q577" s="101"/>
      <c r="R577" s="101"/>
      <c r="S577" s="101"/>
      <c r="T577" s="101"/>
      <c r="U577" s="101"/>
      <c r="V577" s="101"/>
      <c r="W577" s="101"/>
      <c r="X577" s="101"/>
      <c r="Y577" s="101"/>
      <c r="Z577" s="101"/>
    </row>
    <row r="578">
      <c r="A578" s="101"/>
      <c r="B578" s="101"/>
      <c r="C578" s="101" t="str">
        <f>IFERROR(__xludf.DUMMYFUNCTION("""COMPUTED_VALUE"""),"JULIANA MENDES SANTIAGO")</f>
        <v>JULIANA MENDES SANTIAGO</v>
      </c>
      <c r="D578" s="101" t="str">
        <f>IFERROR(__xludf.DUMMYFUNCTION("""COMPUTED_VALUE"""),"403.***.***-71")</f>
        <v>403.***.***-71</v>
      </c>
      <c r="E578" s="101">
        <f>IFERROR(__xludf.DUMMYFUNCTION("""COMPUTED_VALUE"""),6.0)</f>
        <v>6</v>
      </c>
      <c r="F578" s="101" t="str">
        <f>IFERROR(__xludf.DUMMYFUNCTION("""COMPUTED_VALUE"""),"403.631.298-71")</f>
        <v>403.631.298-71</v>
      </c>
      <c r="G578" s="101"/>
      <c r="H578" s="101"/>
      <c r="I578" s="101"/>
      <c r="J578" s="101"/>
      <c r="K578" s="101"/>
      <c r="L578" s="101"/>
      <c r="M578" s="101"/>
      <c r="N578" s="101"/>
      <c r="O578" s="101"/>
      <c r="P578" s="101"/>
      <c r="Q578" s="101"/>
      <c r="R578" s="101"/>
      <c r="S578" s="101"/>
      <c r="T578" s="101"/>
      <c r="U578" s="101"/>
      <c r="V578" s="101"/>
      <c r="W578" s="101"/>
      <c r="X578" s="101"/>
      <c r="Y578" s="101"/>
      <c r="Z578" s="101"/>
    </row>
    <row r="579">
      <c r="A579" s="101"/>
      <c r="B579" s="101"/>
      <c r="C579" s="101" t="str">
        <f>IFERROR(__xludf.DUMMYFUNCTION("""COMPUTED_VALUE"""),"LUCA MARTINS PALHARES")</f>
        <v>LUCA MARTINS PALHARES</v>
      </c>
      <c r="D579" s="101" t="str">
        <f>IFERROR(__xludf.DUMMYFUNCTION("""COMPUTED_VALUE"""),"538.***.***-88")</f>
        <v>538.***.***-88</v>
      </c>
      <c r="E579" s="101">
        <f>IFERROR(__xludf.DUMMYFUNCTION("""COMPUTED_VALUE"""),1.0)</f>
        <v>1</v>
      </c>
      <c r="F579" s="101" t="str">
        <f>IFERROR(__xludf.DUMMYFUNCTION("""COMPUTED_VALUE"""),"538.135.988-88")</f>
        <v>538.135.988-88</v>
      </c>
      <c r="G579" s="101"/>
      <c r="H579" s="101"/>
      <c r="I579" s="101"/>
      <c r="J579" s="101"/>
      <c r="K579" s="101"/>
      <c r="L579" s="101"/>
      <c r="M579" s="101"/>
      <c r="N579" s="101"/>
      <c r="O579" s="101"/>
      <c r="P579" s="101"/>
      <c r="Q579" s="101"/>
      <c r="R579" s="101"/>
      <c r="S579" s="101"/>
      <c r="T579" s="101"/>
      <c r="U579" s="101"/>
      <c r="V579" s="101"/>
      <c r="W579" s="101"/>
      <c r="X579" s="101"/>
      <c r="Y579" s="101"/>
      <c r="Z579" s="101"/>
    </row>
    <row r="580">
      <c r="A580" s="101"/>
      <c r="B580" s="101"/>
      <c r="C580" s="101" t="str">
        <f>IFERROR(__xludf.DUMMYFUNCTION("""COMPUTED_VALUE"""),"LEONARDO CARNEIRO DE LIMA")</f>
        <v>LEONARDO CARNEIRO DE LIMA</v>
      </c>
      <c r="D580" s="101" t="str">
        <f>IFERROR(__xludf.DUMMYFUNCTION("""COMPUTED_VALUE"""),"424.***.***-93")</f>
        <v>424.***.***-93</v>
      </c>
      <c r="E580" s="101">
        <f>IFERROR(__xludf.DUMMYFUNCTION("""COMPUTED_VALUE"""),10.0)</f>
        <v>10</v>
      </c>
      <c r="F580" s="101" t="str">
        <f>IFERROR(__xludf.DUMMYFUNCTION("""COMPUTED_VALUE"""),"424.655.368-93")</f>
        <v>424.655.368-93</v>
      </c>
      <c r="G580" s="101"/>
      <c r="H580" s="101"/>
      <c r="I580" s="101"/>
      <c r="J580" s="101"/>
      <c r="K580" s="101"/>
      <c r="L580" s="101"/>
      <c r="M580" s="101"/>
      <c r="N580" s="101"/>
      <c r="O580" s="101"/>
      <c r="P580" s="101"/>
      <c r="Q580" s="101"/>
      <c r="R580" s="101"/>
      <c r="S580" s="101"/>
      <c r="T580" s="101"/>
      <c r="U580" s="101"/>
      <c r="V580" s="101"/>
      <c r="W580" s="101"/>
      <c r="X580" s="101"/>
      <c r="Y580" s="101"/>
      <c r="Z580" s="101"/>
    </row>
    <row r="581">
      <c r="A581" s="101"/>
      <c r="B581" s="101"/>
      <c r="C581" s="101" t="str">
        <f>IFERROR(__xludf.DUMMYFUNCTION("""COMPUTED_VALUE"""),"LUIZA CAMARGO DE ASSIS")</f>
        <v>LUIZA CAMARGO DE ASSIS</v>
      </c>
      <c r="D581" s="101" t="str">
        <f>IFERROR(__xludf.DUMMYFUNCTION("""COMPUTED_VALUE"""),"516.***.***-06")</f>
        <v>516.***.***-06</v>
      </c>
      <c r="E581" s="101">
        <f>IFERROR(__xludf.DUMMYFUNCTION("""COMPUTED_VALUE"""),11.0)</f>
        <v>11</v>
      </c>
      <c r="F581" s="101" t="str">
        <f>IFERROR(__xludf.DUMMYFUNCTION("""COMPUTED_VALUE"""),"516.670.978-06")</f>
        <v>516.670.978-06</v>
      </c>
      <c r="G581" s="101"/>
      <c r="H581" s="101"/>
      <c r="I581" s="101"/>
      <c r="J581" s="101"/>
      <c r="K581" s="101"/>
      <c r="L581" s="101"/>
      <c r="M581" s="101"/>
      <c r="N581" s="101"/>
      <c r="O581" s="101"/>
      <c r="P581" s="101"/>
      <c r="Q581" s="101"/>
      <c r="R581" s="101"/>
      <c r="S581" s="101"/>
      <c r="T581" s="101"/>
      <c r="U581" s="101"/>
      <c r="V581" s="101"/>
      <c r="W581" s="101"/>
      <c r="X581" s="101"/>
      <c r="Y581" s="101"/>
      <c r="Z581" s="101"/>
    </row>
    <row r="582">
      <c r="A582" s="101"/>
      <c r="B582" s="101"/>
      <c r="C582" s="101" t="str">
        <f>IFERROR(__xludf.DUMMYFUNCTION("""COMPUTED_VALUE"""),"BRENO MAXIMO DOS SANTOS VIEIRA")</f>
        <v>BRENO MAXIMO DOS SANTOS VIEIRA</v>
      </c>
      <c r="D582" s="101" t="str">
        <f>IFERROR(__xludf.DUMMYFUNCTION("""COMPUTED_VALUE"""),"527.***.***-06")</f>
        <v>527.***.***-06</v>
      </c>
      <c r="E582" s="101">
        <f>IFERROR(__xludf.DUMMYFUNCTION("""COMPUTED_VALUE"""),2.0)</f>
        <v>2</v>
      </c>
      <c r="F582" s="101" t="str">
        <f>IFERROR(__xludf.DUMMYFUNCTION("""COMPUTED_VALUE"""),"527.644.398-06")</f>
        <v>527.644.398-06</v>
      </c>
      <c r="G582" s="101"/>
      <c r="H582" s="101"/>
      <c r="I582" s="101"/>
      <c r="J582" s="101"/>
      <c r="K582" s="101"/>
      <c r="L582" s="101"/>
      <c r="M582" s="101"/>
      <c r="N582" s="101"/>
      <c r="O582" s="101"/>
      <c r="P582" s="101"/>
      <c r="Q582" s="101"/>
      <c r="R582" s="101"/>
      <c r="S582" s="101"/>
      <c r="T582" s="101"/>
      <c r="U582" s="101"/>
      <c r="V582" s="101"/>
      <c r="W582" s="101"/>
      <c r="X582" s="101"/>
      <c r="Y582" s="101"/>
      <c r="Z582" s="101"/>
    </row>
    <row r="583">
      <c r="A583" s="101"/>
      <c r="B583" s="101"/>
      <c r="C583" s="101" t="str">
        <f>IFERROR(__xludf.DUMMYFUNCTION("""COMPUTED_VALUE"""),"JOSE ARAUJO DOMINGOS")</f>
        <v>JOSE ARAUJO DOMINGOS</v>
      </c>
      <c r="D583" s="101" t="str">
        <f>IFERROR(__xludf.DUMMYFUNCTION("""COMPUTED_VALUE"""),"465.***.***-41")</f>
        <v>465.***.***-41</v>
      </c>
      <c r="E583" s="101">
        <f>IFERROR(__xludf.DUMMYFUNCTION("""COMPUTED_VALUE"""),8.0)</f>
        <v>8</v>
      </c>
      <c r="F583" s="101" t="str">
        <f>IFERROR(__xludf.DUMMYFUNCTION("""COMPUTED_VALUE"""),"465.728.198-41")</f>
        <v>465.728.198-41</v>
      </c>
      <c r="G583" s="101"/>
      <c r="H583" s="101"/>
      <c r="I583" s="101"/>
      <c r="J583" s="101"/>
      <c r="K583" s="101"/>
      <c r="L583" s="101"/>
      <c r="M583" s="101"/>
      <c r="N583" s="101"/>
      <c r="O583" s="101"/>
      <c r="P583" s="101"/>
      <c r="Q583" s="101"/>
      <c r="R583" s="101"/>
      <c r="S583" s="101"/>
      <c r="T583" s="101"/>
      <c r="U583" s="101"/>
      <c r="V583" s="101"/>
      <c r="W583" s="101"/>
      <c r="X583" s="101"/>
      <c r="Y583" s="101"/>
      <c r="Z583" s="101"/>
    </row>
    <row r="584">
      <c r="A584" s="101"/>
      <c r="B584" s="101"/>
      <c r="C584" s="101" t="str">
        <f>IFERROR(__xludf.DUMMYFUNCTION("""COMPUTED_VALUE"""),"CATARINA VICTORIA REIS DE LIMA")</f>
        <v>CATARINA VICTORIA REIS DE LIMA</v>
      </c>
      <c r="D584" s="101" t="str">
        <f>IFERROR(__xludf.DUMMYFUNCTION("""COMPUTED_VALUE"""),"423.***.***-38")</f>
        <v>423.***.***-38</v>
      </c>
      <c r="E584" s="101">
        <f>IFERROR(__xludf.DUMMYFUNCTION("""COMPUTED_VALUE"""),2.0)</f>
        <v>2</v>
      </c>
      <c r="F584" s="101" t="str">
        <f>IFERROR(__xludf.DUMMYFUNCTION("""COMPUTED_VALUE"""),"423.792.188-38")</f>
        <v>423.792.188-38</v>
      </c>
      <c r="G584" s="101"/>
      <c r="H584" s="101"/>
      <c r="I584" s="101"/>
      <c r="J584" s="101"/>
      <c r="K584" s="101"/>
      <c r="L584" s="101"/>
      <c r="M584" s="101"/>
      <c r="N584" s="101"/>
      <c r="O584" s="101"/>
      <c r="P584" s="101"/>
      <c r="Q584" s="101"/>
      <c r="R584" s="101"/>
      <c r="S584" s="101"/>
      <c r="T584" s="101"/>
      <c r="U584" s="101"/>
      <c r="V584" s="101"/>
      <c r="W584" s="101"/>
      <c r="X584" s="101"/>
      <c r="Y584" s="101"/>
      <c r="Z584" s="101"/>
    </row>
    <row r="585">
      <c r="A585" s="101"/>
      <c r="B585" s="101"/>
      <c r="C585" s="101" t="str">
        <f>IFERROR(__xludf.DUMMYFUNCTION("""COMPUTED_VALUE"""),"YASMIN MAGALHAES DOS SANTOS OLIVEIRA")</f>
        <v>YASMIN MAGALHAES DOS SANTOS OLIVEIRA</v>
      </c>
      <c r="D585" s="101" t="str">
        <f>IFERROR(__xludf.DUMMYFUNCTION("""COMPUTED_VALUE"""),"456.***.***-23")</f>
        <v>456.***.***-23</v>
      </c>
      <c r="E585" s="101">
        <f>IFERROR(__xludf.DUMMYFUNCTION("""COMPUTED_VALUE"""),10.0)</f>
        <v>10</v>
      </c>
      <c r="F585" s="101" t="str">
        <f>IFERROR(__xludf.DUMMYFUNCTION("""COMPUTED_VALUE"""),"456.396.368-23")</f>
        <v>456.396.368-23</v>
      </c>
      <c r="G585" s="101"/>
      <c r="H585" s="101"/>
      <c r="I585" s="101"/>
      <c r="J585" s="101"/>
      <c r="K585" s="101"/>
      <c r="L585" s="101"/>
      <c r="M585" s="101"/>
      <c r="N585" s="101"/>
      <c r="O585" s="101"/>
      <c r="P585" s="101"/>
      <c r="Q585" s="101"/>
      <c r="R585" s="101"/>
      <c r="S585" s="101"/>
      <c r="T585" s="101"/>
      <c r="U585" s="101"/>
      <c r="V585" s="101"/>
      <c r="W585" s="101"/>
      <c r="X585" s="101"/>
      <c r="Y585" s="101"/>
      <c r="Z585" s="101"/>
    </row>
    <row r="586">
      <c r="A586" s="101"/>
      <c r="B586" s="101"/>
      <c r="C586" s="101" t="str">
        <f>IFERROR(__xludf.DUMMYFUNCTION("""COMPUTED_VALUE"""),"LAYLA CESARE TRINDADE")</f>
        <v>LAYLA CESARE TRINDADE</v>
      </c>
      <c r="D586" s="101" t="str">
        <f>IFERROR(__xludf.DUMMYFUNCTION("""COMPUTED_VALUE"""),"475.***.***-99")</f>
        <v>475.***.***-99</v>
      </c>
      <c r="E586" s="101">
        <f>IFERROR(__xludf.DUMMYFUNCTION("""COMPUTED_VALUE"""),6.0)</f>
        <v>6</v>
      </c>
      <c r="F586" s="101" t="str">
        <f>IFERROR(__xludf.DUMMYFUNCTION("""COMPUTED_VALUE"""),"475.672.818-99")</f>
        <v>475.672.818-99</v>
      </c>
      <c r="G586" s="101"/>
      <c r="H586" s="101"/>
      <c r="I586" s="101"/>
      <c r="J586" s="101"/>
      <c r="K586" s="101"/>
      <c r="L586" s="101"/>
      <c r="M586" s="101"/>
      <c r="N586" s="101"/>
      <c r="O586" s="101"/>
      <c r="P586" s="101"/>
      <c r="Q586" s="101"/>
      <c r="R586" s="101"/>
      <c r="S586" s="101"/>
      <c r="T586" s="101"/>
      <c r="U586" s="101"/>
      <c r="V586" s="101"/>
      <c r="W586" s="101"/>
      <c r="X586" s="101"/>
      <c r="Y586" s="101"/>
      <c r="Z586" s="101"/>
    </row>
    <row r="587">
      <c r="A587" s="101"/>
      <c r="B587" s="101"/>
      <c r="C587" s="101" t="str">
        <f>IFERROR(__xludf.DUMMYFUNCTION("""COMPUTED_VALUE"""),"THIAGO MACEDO DE QUEIROZ SILVA")</f>
        <v>THIAGO MACEDO DE QUEIROZ SILVA</v>
      </c>
      <c r="D587" s="101" t="str">
        <f>IFERROR(__xludf.DUMMYFUNCTION("""COMPUTED_VALUE"""),"524.***.***-65")</f>
        <v>524.***.***-65</v>
      </c>
      <c r="E587" s="101">
        <f>IFERROR(__xludf.DUMMYFUNCTION("""COMPUTED_VALUE"""),10.0)</f>
        <v>10</v>
      </c>
      <c r="F587" s="101" t="str">
        <f>IFERROR(__xludf.DUMMYFUNCTION("""COMPUTED_VALUE"""),"524.220.918-65")</f>
        <v>524.220.918-65</v>
      </c>
      <c r="G587" s="101"/>
      <c r="H587" s="101"/>
      <c r="I587" s="101"/>
      <c r="J587" s="101"/>
      <c r="K587" s="101"/>
      <c r="L587" s="101"/>
      <c r="M587" s="101"/>
      <c r="N587" s="101"/>
      <c r="O587" s="101"/>
      <c r="P587" s="101"/>
      <c r="Q587" s="101"/>
      <c r="R587" s="101"/>
      <c r="S587" s="101"/>
      <c r="T587" s="101"/>
      <c r="U587" s="101"/>
      <c r="V587" s="101"/>
      <c r="W587" s="101"/>
      <c r="X587" s="101"/>
      <c r="Y587" s="101"/>
      <c r="Z587" s="101"/>
    </row>
    <row r="588">
      <c r="A588" s="101"/>
      <c r="B588" s="101"/>
      <c r="C588" s="101" t="str">
        <f>IFERROR(__xludf.DUMMYFUNCTION("""COMPUTED_VALUE"""),"RAYKA ALVES HERCILIO SILVA")</f>
        <v>RAYKA ALVES HERCILIO SILVA</v>
      </c>
      <c r="D588" s="101" t="str">
        <f>IFERROR(__xludf.DUMMYFUNCTION("""COMPUTED_VALUE"""),"542.***.***-51")</f>
        <v>542.***.***-51</v>
      </c>
      <c r="E588" s="101">
        <f>IFERROR(__xludf.DUMMYFUNCTION("""COMPUTED_VALUE"""),15.0)</f>
        <v>15</v>
      </c>
      <c r="F588" s="101" t="str">
        <f>IFERROR(__xludf.DUMMYFUNCTION("""COMPUTED_VALUE"""),"542.311.128-51")</f>
        <v>542.311.128-51</v>
      </c>
      <c r="G588" s="101"/>
      <c r="H588" s="101"/>
      <c r="I588" s="101"/>
      <c r="J588" s="101"/>
      <c r="K588" s="101"/>
      <c r="L588" s="101"/>
      <c r="M588" s="101"/>
      <c r="N588" s="101"/>
      <c r="O588" s="101"/>
      <c r="P588" s="101"/>
      <c r="Q588" s="101"/>
      <c r="R588" s="101"/>
      <c r="S588" s="101"/>
      <c r="T588" s="101"/>
      <c r="U588" s="101"/>
      <c r="V588" s="101"/>
      <c r="W588" s="101"/>
      <c r="X588" s="101"/>
      <c r="Y588" s="101"/>
      <c r="Z588" s="101"/>
    </row>
    <row r="589">
      <c r="A589" s="101"/>
      <c r="B589" s="101"/>
      <c r="C589" s="101" t="str">
        <f>IFERROR(__xludf.DUMMYFUNCTION("""COMPUTED_VALUE"""),"MICHELLY SOARES RODRIGUES")</f>
        <v>MICHELLY SOARES RODRIGUES</v>
      </c>
      <c r="D589" s="101" t="str">
        <f>IFERROR(__xludf.DUMMYFUNCTION("""COMPUTED_VALUE"""),"536.***.***-12")</f>
        <v>536.***.***-12</v>
      </c>
      <c r="E589" s="101">
        <f>IFERROR(__xludf.DUMMYFUNCTION("""COMPUTED_VALUE"""),13.0)</f>
        <v>13</v>
      </c>
      <c r="F589" s="101" t="str">
        <f>IFERROR(__xludf.DUMMYFUNCTION("""COMPUTED_VALUE"""),"536.179.028-12")</f>
        <v>536.179.028-12</v>
      </c>
      <c r="G589" s="101"/>
      <c r="H589" s="101"/>
      <c r="I589" s="101"/>
      <c r="J589" s="101"/>
      <c r="K589" s="101"/>
      <c r="L589" s="101"/>
      <c r="M589" s="101"/>
      <c r="N589" s="101"/>
      <c r="O589" s="101"/>
      <c r="P589" s="101"/>
      <c r="Q589" s="101"/>
      <c r="R589" s="101"/>
      <c r="S589" s="101"/>
      <c r="T589" s="101"/>
      <c r="U589" s="101"/>
      <c r="V589" s="101"/>
      <c r="W589" s="101"/>
      <c r="X589" s="101"/>
      <c r="Y589" s="101"/>
      <c r="Z589" s="101"/>
    </row>
    <row r="590">
      <c r="A590" s="101"/>
      <c r="B590" s="101"/>
      <c r="C590" s="101" t="str">
        <f>IFERROR(__xludf.DUMMYFUNCTION("""COMPUTED_VALUE"""),"ANANDA GREGIO CAPALBO")</f>
        <v>ANANDA GREGIO CAPALBO</v>
      </c>
      <c r="D590" s="101" t="str">
        <f>IFERROR(__xludf.DUMMYFUNCTION("""COMPUTED_VALUE"""),"483.***.***-10")</f>
        <v>483.***.***-10</v>
      </c>
      <c r="E590" s="101">
        <f>IFERROR(__xludf.DUMMYFUNCTION("""COMPUTED_VALUE"""),1.0)</f>
        <v>1</v>
      </c>
      <c r="F590" s="101" t="str">
        <f>IFERROR(__xludf.DUMMYFUNCTION("""COMPUTED_VALUE"""),"483.394.148-10")</f>
        <v>483.394.148-10</v>
      </c>
      <c r="G590" s="101"/>
      <c r="H590" s="101"/>
      <c r="I590" s="101"/>
      <c r="J590" s="101"/>
      <c r="K590" s="101"/>
      <c r="L590" s="101"/>
      <c r="M590" s="101"/>
      <c r="N590" s="101"/>
      <c r="O590" s="101"/>
      <c r="P590" s="101"/>
      <c r="Q590" s="101"/>
      <c r="R590" s="101"/>
      <c r="S590" s="101"/>
      <c r="T590" s="101"/>
      <c r="U590" s="101"/>
      <c r="V590" s="101"/>
      <c r="W590" s="101"/>
      <c r="X590" s="101"/>
      <c r="Y590" s="101"/>
      <c r="Z590" s="101"/>
    </row>
    <row r="591">
      <c r="A591" s="101"/>
      <c r="B591" s="101"/>
      <c r="C591" s="101" t="str">
        <f>IFERROR(__xludf.DUMMYFUNCTION("""COMPUTED_VALUE"""),"ISADORA OLIVEIRA AMORIM")</f>
        <v>ISADORA OLIVEIRA AMORIM</v>
      </c>
      <c r="D591" s="101" t="str">
        <f>IFERROR(__xludf.DUMMYFUNCTION("""COMPUTED_VALUE"""),"504.***.***-70")</f>
        <v>504.***.***-70</v>
      </c>
      <c r="E591" s="101">
        <f>IFERROR(__xludf.DUMMYFUNCTION("""COMPUTED_VALUE"""),7.0)</f>
        <v>7</v>
      </c>
      <c r="F591" s="101" t="str">
        <f>IFERROR(__xludf.DUMMYFUNCTION("""COMPUTED_VALUE"""),"504.043.128-70")</f>
        <v>504.043.128-70</v>
      </c>
      <c r="G591" s="101"/>
      <c r="H591" s="101"/>
      <c r="I591" s="101"/>
      <c r="J591" s="101"/>
      <c r="K591" s="101"/>
      <c r="L591" s="101"/>
      <c r="M591" s="101"/>
      <c r="N591" s="101"/>
      <c r="O591" s="101"/>
      <c r="P591" s="101"/>
      <c r="Q591" s="101"/>
      <c r="R591" s="101"/>
      <c r="S591" s="101"/>
      <c r="T591" s="101"/>
      <c r="U591" s="101"/>
      <c r="V591" s="101"/>
      <c r="W591" s="101"/>
      <c r="X591" s="101"/>
      <c r="Y591" s="101"/>
      <c r="Z591" s="101"/>
    </row>
    <row r="592">
      <c r="A592" s="101"/>
      <c r="B592" s="101"/>
      <c r="C592" s="101" t="str">
        <f>IFERROR(__xludf.DUMMYFUNCTION("""COMPUTED_VALUE"""),"JULIANA ANDREZ SILVA")</f>
        <v>JULIANA ANDREZ SILVA</v>
      </c>
      <c r="D592" s="101" t="str">
        <f>IFERROR(__xludf.DUMMYFUNCTION("""COMPUTED_VALUE"""),"507.***.***-30")</f>
        <v>507.***.***-30</v>
      </c>
      <c r="E592" s="101">
        <f>IFERROR(__xludf.DUMMYFUNCTION("""COMPUTED_VALUE"""),9.0)</f>
        <v>9</v>
      </c>
      <c r="F592" s="101" t="str">
        <f>IFERROR(__xludf.DUMMYFUNCTION("""COMPUTED_VALUE"""),"507.097.238-30")</f>
        <v>507.097.238-30</v>
      </c>
      <c r="G592" s="101"/>
      <c r="H592" s="101"/>
      <c r="I592" s="101"/>
      <c r="J592" s="101"/>
      <c r="K592" s="101"/>
      <c r="L592" s="101"/>
      <c r="M592" s="101"/>
      <c r="N592" s="101"/>
      <c r="O592" s="101"/>
      <c r="P592" s="101"/>
      <c r="Q592" s="101"/>
      <c r="R592" s="101"/>
      <c r="S592" s="101"/>
      <c r="T592" s="101"/>
      <c r="U592" s="101"/>
      <c r="V592" s="101"/>
      <c r="W592" s="101"/>
      <c r="X592" s="101"/>
      <c r="Y592" s="101"/>
      <c r="Z592" s="101"/>
    </row>
    <row r="593">
      <c r="A593" s="101"/>
      <c r="B593" s="101"/>
      <c r="C593" s="101" t="str">
        <f>IFERROR(__xludf.DUMMYFUNCTION("""COMPUTED_VALUE"""),"LUCAS SILVA DA COSTA ")</f>
        <v>LUCAS SILVA DA COSTA </v>
      </c>
      <c r="D593" s="101" t="str">
        <f>IFERROR(__xludf.DUMMYFUNCTION("""COMPUTED_VALUE"""),"427.***.***-06")</f>
        <v>427.***.***-06</v>
      </c>
      <c r="E593" s="101">
        <f>IFERROR(__xludf.DUMMYFUNCTION("""COMPUTED_VALUE"""),7.0)</f>
        <v>7</v>
      </c>
      <c r="F593" s="101" t="str">
        <f>IFERROR(__xludf.DUMMYFUNCTION("""COMPUTED_VALUE"""),"427.992.998-06")</f>
        <v>427.992.998-06</v>
      </c>
      <c r="G593" s="101"/>
      <c r="H593" s="101"/>
      <c r="I593" s="101"/>
      <c r="J593" s="101"/>
      <c r="K593" s="101"/>
      <c r="L593" s="101"/>
      <c r="M593" s="101"/>
      <c r="N593" s="101"/>
      <c r="O593" s="101"/>
      <c r="P593" s="101"/>
      <c r="Q593" s="101"/>
      <c r="R593" s="101"/>
      <c r="S593" s="101"/>
      <c r="T593" s="101"/>
      <c r="U593" s="101"/>
      <c r="V593" s="101"/>
      <c r="W593" s="101"/>
      <c r="X593" s="101"/>
      <c r="Y593" s="101"/>
      <c r="Z593" s="101"/>
    </row>
    <row r="594">
      <c r="A594" s="101"/>
      <c r="B594" s="101"/>
      <c r="C594" s="101" t="str">
        <f>IFERROR(__xludf.DUMMYFUNCTION("""COMPUTED_VALUE"""),"MATHEUS LUCENA ADY DOS SANTOS")</f>
        <v>MATHEUS LUCENA ADY DOS SANTOS</v>
      </c>
      <c r="D594" s="101" t="str">
        <f>IFERROR(__xludf.DUMMYFUNCTION("""COMPUTED_VALUE"""),"478.***.***-96")</f>
        <v>478.***.***-96</v>
      </c>
      <c r="E594" s="101">
        <f>IFERROR(__xludf.DUMMYFUNCTION("""COMPUTED_VALUE"""),3.0)</f>
        <v>3</v>
      </c>
      <c r="F594" s="101" t="str">
        <f>IFERROR(__xludf.DUMMYFUNCTION("""COMPUTED_VALUE"""),"478.711.048-96")</f>
        <v>478.711.048-96</v>
      </c>
      <c r="G594" s="101"/>
      <c r="H594" s="101"/>
      <c r="I594" s="101"/>
      <c r="J594" s="101"/>
      <c r="K594" s="101"/>
      <c r="L594" s="101"/>
      <c r="M594" s="101"/>
      <c r="N594" s="101"/>
      <c r="O594" s="101"/>
      <c r="P594" s="101"/>
      <c r="Q594" s="101"/>
      <c r="R594" s="101"/>
      <c r="S594" s="101"/>
      <c r="T594" s="101"/>
      <c r="U594" s="101"/>
      <c r="V594" s="101"/>
      <c r="W594" s="101"/>
      <c r="X594" s="101"/>
      <c r="Y594" s="101"/>
      <c r="Z594" s="101"/>
    </row>
    <row r="595">
      <c r="A595" s="101"/>
      <c r="B595" s="101"/>
      <c r="C595" s="101" t="str">
        <f>IFERROR(__xludf.DUMMYFUNCTION("""COMPUTED_VALUE"""),"PENELLOPE CARVALHO NYFFENEGGER SANTOS")</f>
        <v>PENELLOPE CARVALHO NYFFENEGGER SANTOS</v>
      </c>
      <c r="D595" s="101" t="str">
        <f>IFERROR(__xludf.DUMMYFUNCTION("""COMPUTED_VALUE"""),"405.***.***-62")</f>
        <v>405.***.***-62</v>
      </c>
      <c r="E595" s="101">
        <f>IFERROR(__xludf.DUMMYFUNCTION("""COMPUTED_VALUE"""),10.0)</f>
        <v>10</v>
      </c>
      <c r="F595" s="101" t="str">
        <f>IFERROR(__xludf.DUMMYFUNCTION("""COMPUTED_VALUE"""),"405.891.018-62")</f>
        <v>405.891.018-62</v>
      </c>
      <c r="G595" s="101"/>
      <c r="H595" s="101"/>
      <c r="I595" s="101"/>
      <c r="J595" s="101"/>
      <c r="K595" s="101"/>
      <c r="L595" s="101"/>
      <c r="M595" s="101"/>
      <c r="N595" s="101"/>
      <c r="O595" s="101"/>
      <c r="P595" s="101"/>
      <c r="Q595" s="101"/>
      <c r="R595" s="101"/>
      <c r="S595" s="101"/>
      <c r="T595" s="101"/>
      <c r="U595" s="101"/>
      <c r="V595" s="101"/>
      <c r="W595" s="101"/>
      <c r="X595" s="101"/>
      <c r="Y595" s="101"/>
      <c r="Z595" s="101"/>
    </row>
    <row r="596">
      <c r="A596" s="101"/>
      <c r="B596" s="101"/>
      <c r="C596" s="101" t="str">
        <f>IFERROR(__xludf.DUMMYFUNCTION("""COMPUTED_VALUE"""),"CARINA GIOVANA SANTOS")</f>
        <v>CARINA GIOVANA SANTOS</v>
      </c>
      <c r="D596" s="101" t="str">
        <f>IFERROR(__xludf.DUMMYFUNCTION("""COMPUTED_VALUE"""),"455.***.***-88")</f>
        <v>455.***.***-88</v>
      </c>
      <c r="E596" s="101">
        <f>IFERROR(__xludf.DUMMYFUNCTION("""COMPUTED_VALUE"""),3.0)</f>
        <v>3</v>
      </c>
      <c r="F596" s="101" t="str">
        <f>IFERROR(__xludf.DUMMYFUNCTION("""COMPUTED_VALUE"""),"455.877.898-88")</f>
        <v>455.877.898-88</v>
      </c>
      <c r="G596" s="101"/>
      <c r="H596" s="101"/>
      <c r="I596" s="101"/>
      <c r="J596" s="101"/>
      <c r="K596" s="101"/>
      <c r="L596" s="101"/>
      <c r="M596" s="101"/>
      <c r="N596" s="101"/>
      <c r="O596" s="101"/>
      <c r="P596" s="101"/>
      <c r="Q596" s="101"/>
      <c r="R596" s="101"/>
      <c r="S596" s="101"/>
      <c r="T596" s="101"/>
      <c r="U596" s="101"/>
      <c r="V596" s="101"/>
      <c r="W596" s="101"/>
      <c r="X596" s="101"/>
      <c r="Y596" s="101"/>
      <c r="Z596" s="101"/>
    </row>
    <row r="597">
      <c r="A597" s="101"/>
      <c r="B597" s="101"/>
      <c r="C597" s="101" t="str">
        <f>IFERROR(__xludf.DUMMYFUNCTION("""COMPUTED_VALUE"""),"LYVIA EMANUELLY SOUZA ALVES")</f>
        <v>LYVIA EMANUELLY SOUZA ALVES</v>
      </c>
      <c r="D597" s="101" t="str">
        <f>IFERROR(__xludf.DUMMYFUNCTION("""COMPUTED_VALUE"""),"057.***.***-32")</f>
        <v>057.***.***-32</v>
      </c>
      <c r="E597" s="101">
        <f>IFERROR(__xludf.DUMMYFUNCTION("""COMPUTED_VALUE"""),11.0)</f>
        <v>11</v>
      </c>
      <c r="F597" s="101" t="str">
        <f>IFERROR(__xludf.DUMMYFUNCTION("""COMPUTED_VALUE"""),"057.961.281-32")</f>
        <v>057.961.281-32</v>
      </c>
      <c r="G597" s="101"/>
      <c r="H597" s="101"/>
      <c r="I597" s="101"/>
      <c r="J597" s="101"/>
      <c r="K597" s="101"/>
      <c r="L597" s="101"/>
      <c r="M597" s="101"/>
      <c r="N597" s="101"/>
      <c r="O597" s="101"/>
      <c r="P597" s="101"/>
      <c r="Q597" s="101"/>
      <c r="R597" s="101"/>
      <c r="S597" s="101"/>
      <c r="T597" s="101"/>
      <c r="U597" s="101"/>
      <c r="V597" s="101"/>
      <c r="W597" s="101"/>
      <c r="X597" s="101"/>
      <c r="Y597" s="101"/>
      <c r="Z597" s="101"/>
    </row>
    <row r="598">
      <c r="A598" s="101"/>
      <c r="B598" s="101"/>
      <c r="C598" s="101" t="str">
        <f>IFERROR(__xludf.DUMMYFUNCTION("""COMPUTED_VALUE"""),"GABRIEL CERQUEIRA EMIDIO")</f>
        <v>GABRIEL CERQUEIRA EMIDIO</v>
      </c>
      <c r="D598" s="101" t="str">
        <f>IFERROR(__xludf.DUMMYFUNCTION("""COMPUTED_VALUE"""),"488.***.***-23")</f>
        <v>488.***.***-23</v>
      </c>
      <c r="E598" s="101">
        <f>IFERROR(__xludf.DUMMYFUNCTION("""COMPUTED_VALUE"""),3.0)</f>
        <v>3</v>
      </c>
      <c r="F598" s="101" t="str">
        <f>IFERROR(__xludf.DUMMYFUNCTION("""COMPUTED_VALUE"""),"488.535.908-23")</f>
        <v>488.535.908-23</v>
      </c>
      <c r="G598" s="101"/>
      <c r="H598" s="101"/>
      <c r="I598" s="101"/>
      <c r="J598" s="101"/>
      <c r="K598" s="101"/>
      <c r="L598" s="101"/>
      <c r="M598" s="101"/>
      <c r="N598" s="101"/>
      <c r="O598" s="101"/>
      <c r="P598" s="101"/>
      <c r="Q598" s="101"/>
      <c r="R598" s="101"/>
      <c r="S598" s="101"/>
      <c r="T598" s="101"/>
      <c r="U598" s="101"/>
      <c r="V598" s="101"/>
      <c r="W598" s="101"/>
      <c r="X598" s="101"/>
      <c r="Y598" s="101"/>
      <c r="Z598" s="101"/>
    </row>
    <row r="599">
      <c r="A599" s="101"/>
      <c r="B599" s="101"/>
      <c r="C599" s="101" t="str">
        <f>IFERROR(__xludf.DUMMYFUNCTION("""COMPUTED_VALUE"""),"MÊNADE ANASTÁCIO EDUARDO")</f>
        <v>MÊNADE ANASTÁCIO EDUARDO</v>
      </c>
      <c r="D599" s="101" t="str">
        <f>IFERROR(__xludf.DUMMYFUNCTION("""COMPUTED_VALUE"""),"506.***.***-47")</f>
        <v>506.***.***-47</v>
      </c>
      <c r="E599" s="101">
        <f>IFERROR(__xludf.DUMMYFUNCTION("""COMPUTED_VALUE"""),4.0)</f>
        <v>4</v>
      </c>
      <c r="F599" s="101" t="str">
        <f>IFERROR(__xludf.DUMMYFUNCTION("""COMPUTED_VALUE"""),"506.297.078-47")</f>
        <v>506.297.078-47</v>
      </c>
      <c r="G599" s="101"/>
      <c r="H599" s="101"/>
      <c r="I599" s="101"/>
      <c r="J599" s="101"/>
      <c r="K599" s="101"/>
      <c r="L599" s="101"/>
      <c r="M599" s="101"/>
      <c r="N599" s="101"/>
      <c r="O599" s="101"/>
      <c r="P599" s="101"/>
      <c r="Q599" s="101"/>
      <c r="R599" s="101"/>
      <c r="S599" s="101"/>
      <c r="T599" s="101"/>
      <c r="U599" s="101"/>
      <c r="V599" s="101"/>
      <c r="W599" s="101"/>
      <c r="X599" s="101"/>
      <c r="Y599" s="101"/>
      <c r="Z599" s="101"/>
    </row>
    <row r="600">
      <c r="A600" s="101"/>
      <c r="B600" s="101"/>
      <c r="C600" s="101" t="str">
        <f>IFERROR(__xludf.DUMMYFUNCTION("""COMPUTED_VALUE"""),"MARCELLO LIMA")</f>
        <v>MARCELLO LIMA</v>
      </c>
      <c r="D600" s="101" t="str">
        <f>IFERROR(__xludf.DUMMYFUNCTION("""COMPUTED_VALUE"""),"496.***.***-44")</f>
        <v>496.***.***-44</v>
      </c>
      <c r="E600" s="101">
        <f>IFERROR(__xludf.DUMMYFUNCTION("""COMPUTED_VALUE"""),12.0)</f>
        <v>12</v>
      </c>
      <c r="F600" s="101" t="str">
        <f>IFERROR(__xludf.DUMMYFUNCTION("""COMPUTED_VALUE"""),"496.245.728-44")</f>
        <v>496.245.728-44</v>
      </c>
      <c r="G600" s="101"/>
      <c r="H600" s="101"/>
      <c r="I600" s="101"/>
      <c r="J600" s="101"/>
      <c r="K600" s="101"/>
      <c r="L600" s="101"/>
      <c r="M600" s="101"/>
      <c r="N600" s="101"/>
      <c r="O600" s="101"/>
      <c r="P600" s="101"/>
      <c r="Q600" s="101"/>
      <c r="R600" s="101"/>
      <c r="S600" s="101"/>
      <c r="T600" s="101"/>
      <c r="U600" s="101"/>
      <c r="V600" s="101"/>
      <c r="W600" s="101"/>
      <c r="X600" s="101"/>
      <c r="Y600" s="101"/>
      <c r="Z600" s="101"/>
    </row>
    <row r="601">
      <c r="A601" s="101"/>
      <c r="B601" s="101"/>
      <c r="C601" s="101" t="str">
        <f>IFERROR(__xludf.DUMMYFUNCTION("""COMPUTED_VALUE"""),"JUAN MATIAS DE LUCENA PEDROZO")</f>
        <v>JUAN MATIAS DE LUCENA PEDROZO</v>
      </c>
      <c r="D601" s="101" t="str">
        <f>IFERROR(__xludf.DUMMYFUNCTION("""COMPUTED_VALUE"""),"498.***.***-75")</f>
        <v>498.***.***-75</v>
      </c>
      <c r="E601" s="101">
        <f>IFERROR(__xludf.DUMMYFUNCTION("""COMPUTED_VALUE"""),6.0)</f>
        <v>6</v>
      </c>
      <c r="F601" s="101" t="str">
        <f>IFERROR(__xludf.DUMMYFUNCTION("""COMPUTED_VALUE"""),"498.368.178-75")</f>
        <v>498.368.178-75</v>
      </c>
      <c r="G601" s="101"/>
      <c r="H601" s="101"/>
      <c r="I601" s="101"/>
      <c r="J601" s="101"/>
      <c r="K601" s="101"/>
      <c r="L601" s="101"/>
      <c r="M601" s="101"/>
      <c r="N601" s="101"/>
      <c r="O601" s="101"/>
      <c r="P601" s="101"/>
      <c r="Q601" s="101"/>
      <c r="R601" s="101"/>
      <c r="S601" s="101"/>
      <c r="T601" s="101"/>
      <c r="U601" s="101"/>
      <c r="V601" s="101"/>
      <c r="W601" s="101"/>
      <c r="X601" s="101"/>
      <c r="Y601" s="101"/>
      <c r="Z601" s="101"/>
    </row>
    <row r="602">
      <c r="A602" s="101"/>
      <c r="B602" s="101"/>
      <c r="C602" s="101" t="str">
        <f>IFERROR(__xludf.DUMMYFUNCTION("""COMPUTED_VALUE"""),"FERNANDO NOBRE CANDIDO")</f>
        <v>FERNANDO NOBRE CANDIDO</v>
      </c>
      <c r="D602" s="101" t="str">
        <f>IFERROR(__xludf.DUMMYFUNCTION("""COMPUTED_VALUE"""),"432.***.***-98")</f>
        <v>432.***.***-98</v>
      </c>
      <c r="E602" s="101">
        <f>IFERROR(__xludf.DUMMYFUNCTION("""COMPUTED_VALUE"""),3.0)</f>
        <v>3</v>
      </c>
      <c r="F602" s="101" t="str">
        <f>IFERROR(__xludf.DUMMYFUNCTION("""COMPUTED_VALUE"""),"432.756.598-98")</f>
        <v>432.756.598-98</v>
      </c>
      <c r="G602" s="101"/>
      <c r="H602" s="101"/>
      <c r="I602" s="101"/>
      <c r="J602" s="101"/>
      <c r="K602" s="101"/>
      <c r="L602" s="101"/>
      <c r="M602" s="101"/>
      <c r="N602" s="101"/>
      <c r="O602" s="101"/>
      <c r="P602" s="101"/>
      <c r="Q602" s="101"/>
      <c r="R602" s="101"/>
      <c r="S602" s="101"/>
      <c r="T602" s="101"/>
      <c r="U602" s="101"/>
      <c r="V602" s="101"/>
      <c r="W602" s="101"/>
      <c r="X602" s="101"/>
      <c r="Y602" s="101"/>
      <c r="Z602" s="101"/>
    </row>
    <row r="603">
      <c r="A603" s="101"/>
      <c r="B603" s="101"/>
      <c r="C603" s="101" t="str">
        <f>IFERROR(__xludf.DUMMYFUNCTION("""COMPUTED_VALUE"""),"CAROLINA MARIA DOS SANTOS LOPES")</f>
        <v>CAROLINA MARIA DOS SANTOS LOPES</v>
      </c>
      <c r="D603" s="101" t="str">
        <f>IFERROR(__xludf.DUMMYFUNCTION("""COMPUTED_VALUE"""),"401.***.***-05")</f>
        <v>401.***.***-05</v>
      </c>
      <c r="E603" s="101">
        <f>IFERROR(__xludf.DUMMYFUNCTION("""COMPUTED_VALUE"""),2.0)</f>
        <v>2</v>
      </c>
      <c r="F603" s="101" t="str">
        <f>IFERROR(__xludf.DUMMYFUNCTION("""COMPUTED_VALUE"""),"401.779.498-05")</f>
        <v>401.779.498-05</v>
      </c>
      <c r="G603" s="101"/>
      <c r="H603" s="101"/>
      <c r="I603" s="101"/>
      <c r="J603" s="101"/>
      <c r="K603" s="101"/>
      <c r="L603" s="101"/>
      <c r="M603" s="101"/>
      <c r="N603" s="101"/>
      <c r="O603" s="101"/>
      <c r="P603" s="101"/>
      <c r="Q603" s="101"/>
      <c r="R603" s="101"/>
      <c r="S603" s="101"/>
      <c r="T603" s="101"/>
      <c r="U603" s="101"/>
      <c r="V603" s="101"/>
      <c r="W603" s="101"/>
      <c r="X603" s="101"/>
      <c r="Y603" s="101"/>
      <c r="Z603" s="101"/>
    </row>
    <row r="604">
      <c r="A604" s="101"/>
      <c r="B604" s="101"/>
      <c r="C604" s="101" t="str">
        <f>IFERROR(__xludf.DUMMYFUNCTION("""COMPUTED_VALUE"""),"VINICIUS ARMANDO GONZALES DO NASCIMENTO")</f>
        <v>VINICIUS ARMANDO GONZALES DO NASCIMENTO</v>
      </c>
      <c r="D604" s="101" t="str">
        <f>IFERROR(__xludf.DUMMYFUNCTION("""COMPUTED_VALUE"""),"503.***.***-50")</f>
        <v>503.***.***-50</v>
      </c>
      <c r="E604" s="101">
        <f>IFERROR(__xludf.DUMMYFUNCTION("""COMPUTED_VALUE"""),10.0)</f>
        <v>10</v>
      </c>
      <c r="F604" s="101" t="str">
        <f>IFERROR(__xludf.DUMMYFUNCTION("""COMPUTED_VALUE"""),"503.350.418-50")</f>
        <v>503.350.418-50</v>
      </c>
      <c r="G604" s="101"/>
      <c r="H604" s="101"/>
      <c r="I604" s="101"/>
      <c r="J604" s="101"/>
      <c r="K604" s="101"/>
      <c r="L604" s="101"/>
      <c r="M604" s="101"/>
      <c r="N604" s="101"/>
      <c r="O604" s="101"/>
      <c r="P604" s="101"/>
      <c r="Q604" s="101"/>
      <c r="R604" s="101"/>
      <c r="S604" s="101"/>
      <c r="T604" s="101"/>
      <c r="U604" s="101"/>
      <c r="V604" s="101"/>
      <c r="W604" s="101"/>
      <c r="X604" s="101"/>
      <c r="Y604" s="101"/>
      <c r="Z604" s="101"/>
    </row>
    <row r="605">
      <c r="A605" s="101"/>
      <c r="B605" s="101"/>
      <c r="C605" s="101" t="str">
        <f>IFERROR(__xludf.DUMMYFUNCTION("""COMPUTED_VALUE"""),"LUCAS VILLACA DA SILVA")</f>
        <v>LUCAS VILLACA DA SILVA</v>
      </c>
      <c r="D605" s="101" t="str">
        <f>IFERROR(__xludf.DUMMYFUNCTION("""COMPUTED_VALUE"""),"410.***.***-10")</f>
        <v>410.***.***-10</v>
      </c>
      <c r="E605" s="101">
        <f>IFERROR(__xludf.DUMMYFUNCTION("""COMPUTED_VALUE"""),11.0)</f>
        <v>11</v>
      </c>
      <c r="F605" s="101" t="str">
        <f>IFERROR(__xludf.DUMMYFUNCTION("""COMPUTED_VALUE"""),"410.562.068-10")</f>
        <v>410.562.068-10</v>
      </c>
      <c r="G605" s="101"/>
      <c r="H605" s="101"/>
      <c r="I605" s="101"/>
      <c r="J605" s="101"/>
      <c r="K605" s="101"/>
      <c r="L605" s="101"/>
      <c r="M605" s="101"/>
      <c r="N605" s="101"/>
      <c r="O605" s="101"/>
      <c r="P605" s="101"/>
      <c r="Q605" s="101"/>
      <c r="R605" s="101"/>
      <c r="S605" s="101"/>
      <c r="T605" s="101"/>
      <c r="U605" s="101"/>
      <c r="V605" s="101"/>
      <c r="W605" s="101"/>
      <c r="X605" s="101"/>
      <c r="Y605" s="101"/>
      <c r="Z605" s="101"/>
    </row>
    <row r="606">
      <c r="A606" s="101"/>
      <c r="B606" s="101"/>
      <c r="C606" s="101" t="str">
        <f>IFERROR(__xludf.DUMMYFUNCTION("""COMPUTED_VALUE"""),"PAULO HENRIQUE CORREA AZEVEDO")</f>
        <v>PAULO HENRIQUE CORREA AZEVEDO</v>
      </c>
      <c r="D606" s="101" t="str">
        <f>IFERROR(__xludf.DUMMYFUNCTION("""COMPUTED_VALUE"""),"349.***.***-09")</f>
        <v>349.***.***-09</v>
      </c>
      <c r="E606" s="101">
        <f>IFERROR(__xludf.DUMMYFUNCTION("""COMPUTED_VALUE"""),4.0)</f>
        <v>4</v>
      </c>
      <c r="F606" s="101" t="str">
        <f>IFERROR(__xludf.DUMMYFUNCTION("""COMPUTED_VALUE"""),"349.694.028-09")</f>
        <v>349.694.028-09</v>
      </c>
      <c r="G606" s="101"/>
      <c r="H606" s="101"/>
      <c r="I606" s="101"/>
      <c r="J606" s="101"/>
      <c r="K606" s="101"/>
      <c r="L606" s="101"/>
      <c r="M606" s="101"/>
      <c r="N606" s="101"/>
      <c r="O606" s="101"/>
      <c r="P606" s="101"/>
      <c r="Q606" s="101"/>
      <c r="R606" s="101"/>
      <c r="S606" s="101"/>
      <c r="T606" s="101"/>
      <c r="U606" s="101"/>
      <c r="V606" s="101"/>
      <c r="W606" s="101"/>
      <c r="X606" s="101"/>
      <c r="Y606" s="101"/>
      <c r="Z606" s="101"/>
    </row>
    <row r="607">
      <c r="A607" s="101"/>
      <c r="B607" s="101"/>
      <c r="C607" s="101" t="str">
        <f>IFERROR(__xludf.DUMMYFUNCTION("""COMPUTED_VALUE"""),"RAPHAELLA CRISTINA  NASCIMENTO DE  MELLO")</f>
        <v>RAPHAELLA CRISTINA  NASCIMENTO DE  MELLO</v>
      </c>
      <c r="D607" s="101" t="str">
        <f>IFERROR(__xludf.DUMMYFUNCTION("""COMPUTED_VALUE"""),"496.***.***-31")</f>
        <v>496.***.***-31</v>
      </c>
      <c r="E607" s="101">
        <f>IFERROR(__xludf.DUMMYFUNCTION("""COMPUTED_VALUE"""),15.0)</f>
        <v>15</v>
      </c>
      <c r="F607" s="101" t="str">
        <f>IFERROR(__xludf.DUMMYFUNCTION("""COMPUTED_VALUE"""),"496.684.338-31")</f>
        <v>496.684.338-31</v>
      </c>
      <c r="G607" s="101"/>
      <c r="H607" s="101"/>
      <c r="I607" s="101"/>
      <c r="J607" s="101"/>
      <c r="K607" s="101"/>
      <c r="L607" s="101"/>
      <c r="M607" s="101"/>
      <c r="N607" s="101"/>
      <c r="O607" s="101"/>
      <c r="P607" s="101"/>
      <c r="Q607" s="101"/>
      <c r="R607" s="101"/>
      <c r="S607" s="101"/>
      <c r="T607" s="101"/>
      <c r="U607" s="101"/>
      <c r="V607" s="101"/>
      <c r="W607" s="101"/>
      <c r="X607" s="101"/>
      <c r="Y607" s="101"/>
      <c r="Z607" s="101"/>
    </row>
    <row r="608">
      <c r="A608" s="101"/>
      <c r="B608" s="101"/>
      <c r="C608" s="101" t="str">
        <f>IFERROR(__xludf.DUMMYFUNCTION("""COMPUTED_VALUE"""),"JESSICA DE  JESUS  NASCIMENTO")</f>
        <v>JESSICA DE  JESUS  NASCIMENTO</v>
      </c>
      <c r="D608" s="101" t="str">
        <f>IFERROR(__xludf.DUMMYFUNCTION("""COMPUTED_VALUE"""),"468.***.***-22")</f>
        <v>468.***.***-22</v>
      </c>
      <c r="E608" s="101">
        <f>IFERROR(__xludf.DUMMYFUNCTION("""COMPUTED_VALUE"""),8.0)</f>
        <v>8</v>
      </c>
      <c r="F608" s="101" t="str">
        <f>IFERROR(__xludf.DUMMYFUNCTION("""COMPUTED_VALUE"""),"468.972.708-22")</f>
        <v>468.972.708-22</v>
      </c>
      <c r="G608" s="101"/>
      <c r="H608" s="101"/>
      <c r="I608" s="101"/>
      <c r="J608" s="101"/>
      <c r="K608" s="101"/>
      <c r="L608" s="101"/>
      <c r="M608" s="101"/>
      <c r="N608" s="101"/>
      <c r="O608" s="101"/>
      <c r="P608" s="101"/>
      <c r="Q608" s="101"/>
      <c r="R608" s="101"/>
      <c r="S608" s="101"/>
      <c r="T608" s="101"/>
      <c r="U608" s="101"/>
      <c r="V608" s="101"/>
      <c r="W608" s="101"/>
      <c r="X608" s="101"/>
      <c r="Y608" s="101"/>
      <c r="Z608" s="101"/>
    </row>
    <row r="609">
      <c r="A609" s="101"/>
      <c r="B609" s="101"/>
      <c r="C609" s="101" t="str">
        <f>IFERROR(__xludf.DUMMYFUNCTION("""COMPUTED_VALUE"""),"GABRIEL MENDONÇA SANTOS")</f>
        <v>GABRIEL MENDONÇA SANTOS</v>
      </c>
      <c r="D609" s="101" t="str">
        <f>IFERROR(__xludf.DUMMYFUNCTION("""COMPUTED_VALUE"""),"498.***.***-07")</f>
        <v>498.***.***-07</v>
      </c>
      <c r="E609" s="101">
        <f>IFERROR(__xludf.DUMMYFUNCTION("""COMPUTED_VALUE"""),4.0)</f>
        <v>4</v>
      </c>
      <c r="F609" s="101" t="str">
        <f>IFERROR(__xludf.DUMMYFUNCTION("""COMPUTED_VALUE"""),"498.862.778-07")</f>
        <v>498.862.778-07</v>
      </c>
      <c r="G609" s="101"/>
      <c r="H609" s="101"/>
      <c r="I609" s="101"/>
      <c r="J609" s="101"/>
      <c r="K609" s="101"/>
      <c r="L609" s="101"/>
      <c r="M609" s="101"/>
      <c r="N609" s="101"/>
      <c r="O609" s="101"/>
      <c r="P609" s="101"/>
      <c r="Q609" s="101"/>
      <c r="R609" s="101"/>
      <c r="S609" s="101"/>
      <c r="T609" s="101"/>
      <c r="U609" s="101"/>
      <c r="V609" s="101"/>
      <c r="W609" s="101"/>
      <c r="X609" s="101"/>
      <c r="Y609" s="101"/>
      <c r="Z609" s="101"/>
    </row>
    <row r="610">
      <c r="A610" s="101"/>
      <c r="B610" s="101"/>
      <c r="C610" s="101" t="str">
        <f>IFERROR(__xludf.DUMMYFUNCTION("""COMPUTED_VALUE"""),"GABRIEL ALVES DA  SILVA  BARROS")</f>
        <v>GABRIEL ALVES DA  SILVA  BARROS</v>
      </c>
      <c r="D610" s="101" t="str">
        <f>IFERROR(__xludf.DUMMYFUNCTION("""COMPUTED_VALUE"""),"504.***.***-81")</f>
        <v>504.***.***-81</v>
      </c>
      <c r="E610" s="101">
        <f>IFERROR(__xludf.DUMMYFUNCTION("""COMPUTED_VALUE"""),5.0)</f>
        <v>5</v>
      </c>
      <c r="F610" s="101" t="str">
        <f>IFERROR(__xludf.DUMMYFUNCTION("""COMPUTED_VALUE"""),"504.457.498-81")</f>
        <v>504.457.498-81</v>
      </c>
      <c r="G610" s="101"/>
      <c r="H610" s="101"/>
      <c r="I610" s="101"/>
      <c r="J610" s="101"/>
      <c r="K610" s="101"/>
      <c r="L610" s="101"/>
      <c r="M610" s="101"/>
      <c r="N610" s="101"/>
      <c r="O610" s="101"/>
      <c r="P610" s="101"/>
      <c r="Q610" s="101"/>
      <c r="R610" s="101"/>
      <c r="S610" s="101"/>
      <c r="T610" s="101"/>
      <c r="U610" s="101"/>
      <c r="V610" s="101"/>
      <c r="W610" s="101"/>
      <c r="X610" s="101"/>
      <c r="Y610" s="101"/>
      <c r="Z610" s="101"/>
    </row>
    <row r="611">
      <c r="A611" s="101"/>
      <c r="B611" s="101"/>
      <c r="C611" s="101" t="str">
        <f>IFERROR(__xludf.DUMMYFUNCTION("""COMPUTED_VALUE"""),"RENATO BRITO GAMA")</f>
        <v>RENATO BRITO GAMA</v>
      </c>
      <c r="D611" s="101" t="str">
        <f>IFERROR(__xludf.DUMMYFUNCTION("""COMPUTED_VALUE"""),"494.***.***-90")</f>
        <v>494.***.***-90</v>
      </c>
      <c r="E611" s="101">
        <f>IFERROR(__xludf.DUMMYFUNCTION("""COMPUTED_VALUE"""),15.0)</f>
        <v>15</v>
      </c>
      <c r="F611" s="101" t="str">
        <f>IFERROR(__xludf.DUMMYFUNCTION("""COMPUTED_VALUE"""),"494.571.268-90")</f>
        <v>494.571.268-90</v>
      </c>
      <c r="G611" s="101"/>
      <c r="H611" s="101"/>
      <c r="I611" s="101"/>
      <c r="J611" s="101"/>
      <c r="K611" s="101"/>
      <c r="L611" s="101"/>
      <c r="M611" s="101"/>
      <c r="N611" s="101"/>
      <c r="O611" s="101"/>
      <c r="P611" s="101"/>
      <c r="Q611" s="101"/>
      <c r="R611" s="101"/>
      <c r="S611" s="101"/>
      <c r="T611" s="101"/>
      <c r="U611" s="101"/>
      <c r="V611" s="101"/>
      <c r="W611" s="101"/>
      <c r="X611" s="101"/>
      <c r="Y611" s="101"/>
      <c r="Z611" s="101"/>
    </row>
    <row r="612">
      <c r="A612" s="101"/>
      <c r="B612" s="101"/>
      <c r="C612" s="101" t="str">
        <f>IFERROR(__xludf.DUMMYFUNCTION("""COMPUTED_VALUE"""),"JONATHAN DUTRA DANTAS DA SILVA")</f>
        <v>JONATHAN DUTRA DANTAS DA SILVA</v>
      </c>
      <c r="D612" s="101" t="str">
        <f>IFERROR(__xludf.DUMMYFUNCTION("""COMPUTED_VALUE"""),"481.***.***-90")</f>
        <v>481.***.***-90</v>
      </c>
      <c r="E612" s="101">
        <f>IFERROR(__xludf.DUMMYFUNCTION("""COMPUTED_VALUE"""),6.0)</f>
        <v>6</v>
      </c>
      <c r="F612" s="101" t="str">
        <f>IFERROR(__xludf.DUMMYFUNCTION("""COMPUTED_VALUE"""),"481.560.318-90")</f>
        <v>481.560.318-90</v>
      </c>
      <c r="G612" s="101"/>
      <c r="H612" s="101"/>
      <c r="I612" s="101"/>
      <c r="J612" s="101"/>
      <c r="K612" s="101"/>
      <c r="L612" s="101"/>
      <c r="M612" s="101"/>
      <c r="N612" s="101"/>
      <c r="O612" s="101"/>
      <c r="P612" s="101"/>
      <c r="Q612" s="101"/>
      <c r="R612" s="101"/>
      <c r="S612" s="101"/>
      <c r="T612" s="101"/>
      <c r="U612" s="101"/>
      <c r="V612" s="101"/>
      <c r="W612" s="101"/>
      <c r="X612" s="101"/>
      <c r="Y612" s="101"/>
      <c r="Z612" s="101"/>
    </row>
    <row r="613">
      <c r="A613" s="101"/>
      <c r="B613" s="101"/>
      <c r="C613" s="101" t="str">
        <f>IFERROR(__xludf.DUMMYFUNCTION("""COMPUTED_VALUE"""),"MARIA PAULA COCCI MUFFATO")</f>
        <v>MARIA PAULA COCCI MUFFATO</v>
      </c>
      <c r="D613" s="101" t="str">
        <f>IFERROR(__xludf.DUMMYFUNCTION("""COMPUTED_VALUE"""),"488.***.***-70")</f>
        <v>488.***.***-70</v>
      </c>
      <c r="E613" s="101">
        <f>IFERROR(__xludf.DUMMYFUNCTION("""COMPUTED_VALUE"""),3.0)</f>
        <v>3</v>
      </c>
      <c r="F613" s="101" t="str">
        <f>IFERROR(__xludf.DUMMYFUNCTION("""COMPUTED_VALUE"""),"488.974.658-70")</f>
        <v>488.974.658-70</v>
      </c>
      <c r="G613" s="101"/>
      <c r="H613" s="101"/>
      <c r="I613" s="101"/>
      <c r="J613" s="101"/>
      <c r="K613" s="101"/>
      <c r="L613" s="101"/>
      <c r="M613" s="101"/>
      <c r="N613" s="101"/>
      <c r="O613" s="101"/>
      <c r="P613" s="101"/>
      <c r="Q613" s="101"/>
      <c r="R613" s="101"/>
      <c r="S613" s="101"/>
      <c r="T613" s="101"/>
      <c r="U613" s="101"/>
      <c r="V613" s="101"/>
      <c r="W613" s="101"/>
      <c r="X613" s="101"/>
      <c r="Y613" s="101"/>
      <c r="Z613" s="101"/>
    </row>
    <row r="614">
      <c r="A614" s="101"/>
      <c r="B614" s="101"/>
      <c r="C614" s="101" t="str">
        <f>IFERROR(__xludf.DUMMYFUNCTION("""COMPUTED_VALUE"""),"MYA JOAQUIM")</f>
        <v>MYA JOAQUIM</v>
      </c>
      <c r="D614" s="101" t="str">
        <f>IFERROR(__xludf.DUMMYFUNCTION("""COMPUTED_VALUE"""),"537.***.***-14")</f>
        <v>537.***.***-14</v>
      </c>
      <c r="E614" s="101">
        <f>IFERROR(__xludf.DUMMYFUNCTION("""COMPUTED_VALUE"""),4.0)</f>
        <v>4</v>
      </c>
      <c r="F614" s="101" t="str">
        <f>IFERROR(__xludf.DUMMYFUNCTION("""COMPUTED_VALUE"""),"537.126.078-14")</f>
        <v>537.126.078-14</v>
      </c>
      <c r="G614" s="101"/>
      <c r="H614" s="101"/>
      <c r="I614" s="101"/>
      <c r="J614" s="101"/>
      <c r="K614" s="101"/>
      <c r="L614" s="101"/>
      <c r="M614" s="101"/>
      <c r="N614" s="101"/>
      <c r="O614" s="101"/>
      <c r="P614" s="101"/>
      <c r="Q614" s="101"/>
      <c r="R614" s="101"/>
      <c r="S614" s="101"/>
      <c r="T614" s="101"/>
      <c r="U614" s="101"/>
      <c r="V614" s="101"/>
      <c r="W614" s="101"/>
      <c r="X614" s="101"/>
      <c r="Y614" s="101"/>
      <c r="Z614" s="101"/>
    </row>
    <row r="615">
      <c r="A615" s="101"/>
      <c r="B615" s="101"/>
      <c r="C615" s="101" t="str">
        <f>IFERROR(__xludf.DUMMYFUNCTION("""COMPUTED_VALUE"""),"LUCIA ROSA DA SILVA")</f>
        <v>LUCIA ROSA DA SILVA</v>
      </c>
      <c r="D615" s="101" t="str">
        <f>IFERROR(__xludf.DUMMYFUNCTION("""COMPUTED_VALUE"""),"044.***.***-41")</f>
        <v>044.***.***-41</v>
      </c>
      <c r="E615" s="101">
        <f>IFERROR(__xludf.DUMMYFUNCTION("""COMPUTED_VALUE"""),3.0)</f>
        <v>3</v>
      </c>
      <c r="F615" s="101" t="str">
        <f>IFERROR(__xludf.DUMMYFUNCTION("""COMPUTED_VALUE"""),"044.546.131-41")</f>
        <v>044.546.131-41</v>
      </c>
      <c r="G615" s="101"/>
      <c r="H615" s="101"/>
      <c r="I615" s="101"/>
      <c r="J615" s="101"/>
      <c r="K615" s="101"/>
      <c r="L615" s="101"/>
      <c r="M615" s="101"/>
      <c r="N615" s="101"/>
      <c r="O615" s="101"/>
      <c r="P615" s="101"/>
      <c r="Q615" s="101"/>
      <c r="R615" s="101"/>
      <c r="S615" s="101"/>
      <c r="T615" s="101"/>
      <c r="U615" s="101"/>
      <c r="V615" s="101"/>
      <c r="W615" s="101"/>
      <c r="X615" s="101"/>
      <c r="Y615" s="101"/>
      <c r="Z615" s="101"/>
    </row>
    <row r="616">
      <c r="A616" s="101"/>
      <c r="B616" s="101"/>
      <c r="C616" s="101" t="str">
        <f>IFERROR(__xludf.DUMMYFUNCTION("""COMPUTED_VALUE"""),"ADRIELLY RODRIGUES DE QUEIROZ")</f>
        <v>ADRIELLY RODRIGUES DE QUEIROZ</v>
      </c>
      <c r="D616" s="101" t="str">
        <f>IFERROR(__xludf.DUMMYFUNCTION("""COMPUTED_VALUE"""),"469.***.***-24")</f>
        <v>469.***.***-24</v>
      </c>
      <c r="E616" s="101">
        <f>IFERROR(__xludf.DUMMYFUNCTION("""COMPUTED_VALUE"""),1.0)</f>
        <v>1</v>
      </c>
      <c r="F616" s="101" t="str">
        <f>IFERROR(__xludf.DUMMYFUNCTION("""COMPUTED_VALUE"""),"469.318.558-24")</f>
        <v>469.318.558-24</v>
      </c>
      <c r="G616" s="101"/>
      <c r="H616" s="101"/>
      <c r="I616" s="101"/>
      <c r="J616" s="101"/>
      <c r="K616" s="101"/>
      <c r="L616" s="101"/>
      <c r="M616" s="101"/>
      <c r="N616" s="101"/>
      <c r="O616" s="101"/>
      <c r="P616" s="101"/>
      <c r="Q616" s="101"/>
      <c r="R616" s="101"/>
      <c r="S616" s="101"/>
      <c r="T616" s="101"/>
      <c r="U616" s="101"/>
      <c r="V616" s="101"/>
      <c r="W616" s="101"/>
      <c r="X616" s="101"/>
      <c r="Y616" s="101"/>
      <c r="Z616" s="101"/>
    </row>
    <row r="617">
      <c r="A617" s="101"/>
      <c r="B617" s="101"/>
      <c r="C617" s="101" t="str">
        <f>IFERROR(__xludf.DUMMYFUNCTION("""COMPUTED_VALUE"""),"JOÃO DE ARAUJO CORDEIRO")</f>
        <v>JOÃO DE ARAUJO CORDEIRO</v>
      </c>
      <c r="D617" s="101" t="str">
        <f>IFERROR(__xludf.DUMMYFUNCTION("""COMPUTED_VALUE"""),"484.***.***-50")</f>
        <v>484.***.***-50</v>
      </c>
      <c r="E617" s="101">
        <f>IFERROR(__xludf.DUMMYFUNCTION("""COMPUTED_VALUE"""),8.0)</f>
        <v>8</v>
      </c>
      <c r="F617" s="101" t="str">
        <f>IFERROR(__xludf.DUMMYFUNCTION("""COMPUTED_VALUE"""),"484.682.288-50")</f>
        <v>484.682.288-50</v>
      </c>
      <c r="G617" s="101"/>
      <c r="H617" s="101"/>
      <c r="I617" s="101"/>
      <c r="J617" s="101"/>
      <c r="K617" s="101"/>
      <c r="L617" s="101"/>
      <c r="M617" s="101"/>
      <c r="N617" s="101"/>
      <c r="O617" s="101"/>
      <c r="P617" s="101"/>
      <c r="Q617" s="101"/>
      <c r="R617" s="101"/>
      <c r="S617" s="101"/>
      <c r="T617" s="101"/>
      <c r="U617" s="101"/>
      <c r="V617" s="101"/>
      <c r="W617" s="101"/>
      <c r="X617" s="101"/>
      <c r="Y617" s="101"/>
      <c r="Z617" s="101"/>
    </row>
    <row r="618">
      <c r="A618" s="101"/>
      <c r="B618" s="101"/>
      <c r="C618" s="101" t="str">
        <f>IFERROR(__xludf.DUMMYFUNCTION("""COMPUTED_VALUE"""),"LETICIA DOS SANTOS GARCIA")</f>
        <v>LETICIA DOS SANTOS GARCIA</v>
      </c>
      <c r="D618" s="101" t="str">
        <f>IFERROR(__xludf.DUMMYFUNCTION("""COMPUTED_VALUE"""),"441.***.***-70")</f>
        <v>441.***.***-70</v>
      </c>
      <c r="E618" s="101">
        <f>IFERROR(__xludf.DUMMYFUNCTION("""COMPUTED_VALUE"""),7.0)</f>
        <v>7</v>
      </c>
      <c r="F618" s="101" t="str">
        <f>IFERROR(__xludf.DUMMYFUNCTION("""COMPUTED_VALUE"""),"441.865.118-70")</f>
        <v>441.865.118-70</v>
      </c>
      <c r="G618" s="101"/>
      <c r="H618" s="101"/>
      <c r="I618" s="101"/>
      <c r="J618" s="101"/>
      <c r="K618" s="101"/>
      <c r="L618" s="101"/>
      <c r="M618" s="101"/>
      <c r="N618" s="101"/>
      <c r="O618" s="101"/>
      <c r="P618" s="101"/>
      <c r="Q618" s="101"/>
      <c r="R618" s="101"/>
      <c r="S618" s="101"/>
      <c r="T618" s="101"/>
      <c r="U618" s="101"/>
      <c r="V618" s="101"/>
      <c r="W618" s="101"/>
      <c r="X618" s="101"/>
      <c r="Y618" s="101"/>
      <c r="Z618" s="101"/>
    </row>
    <row r="619">
      <c r="A619" s="101"/>
      <c r="B619" s="101"/>
      <c r="C619" s="101" t="str">
        <f>IFERROR(__xludf.DUMMYFUNCTION("""COMPUTED_VALUE"""),"JAYRA JULIA OLIVEIRA DE SOUZA")</f>
        <v>JAYRA JULIA OLIVEIRA DE SOUZA</v>
      </c>
      <c r="D619" s="101" t="str">
        <f>IFERROR(__xludf.DUMMYFUNCTION("""COMPUTED_VALUE"""),"503.***.***-44")</f>
        <v>503.***.***-44</v>
      </c>
      <c r="E619" s="101">
        <f>IFERROR(__xludf.DUMMYFUNCTION("""COMPUTED_VALUE"""),2.0)</f>
        <v>2</v>
      </c>
      <c r="F619" s="101" t="str">
        <f>IFERROR(__xludf.DUMMYFUNCTION("""COMPUTED_VALUE"""),"503.920.278-44")</f>
        <v>503.920.278-44</v>
      </c>
      <c r="G619" s="101"/>
      <c r="H619" s="101"/>
      <c r="I619" s="101"/>
      <c r="J619" s="101"/>
      <c r="K619" s="101"/>
      <c r="L619" s="101"/>
      <c r="M619" s="101"/>
      <c r="N619" s="101"/>
      <c r="O619" s="101"/>
      <c r="P619" s="101"/>
      <c r="Q619" s="101"/>
      <c r="R619" s="101"/>
      <c r="S619" s="101"/>
      <c r="T619" s="101"/>
      <c r="U619" s="101"/>
      <c r="V619" s="101"/>
      <c r="W619" s="101"/>
      <c r="X619" s="101"/>
      <c r="Y619" s="101"/>
      <c r="Z619" s="101"/>
    </row>
    <row r="620">
      <c r="A620" s="101"/>
      <c r="B620" s="101"/>
      <c r="C620" s="101" t="str">
        <f>IFERROR(__xludf.DUMMYFUNCTION("""COMPUTED_VALUE"""),"CAROLINA THAIS MARIA RODRIGUES ASSUNCAO")</f>
        <v>CAROLINA THAIS MARIA RODRIGUES ASSUNCAO</v>
      </c>
      <c r="D620" s="101" t="str">
        <f>IFERROR(__xludf.DUMMYFUNCTION("""COMPUTED_VALUE"""),"340.***.***-02")</f>
        <v>340.***.***-02</v>
      </c>
      <c r="E620" s="101">
        <f>IFERROR(__xludf.DUMMYFUNCTION("""COMPUTED_VALUE"""),2.0)</f>
        <v>2</v>
      </c>
      <c r="F620" s="101" t="str">
        <f>IFERROR(__xludf.DUMMYFUNCTION("""COMPUTED_VALUE"""),"340.441.528-02")</f>
        <v>340.441.528-02</v>
      </c>
      <c r="G620" s="101"/>
      <c r="H620" s="101"/>
      <c r="I620" s="101"/>
      <c r="J620" s="101"/>
      <c r="K620" s="101"/>
      <c r="L620" s="101"/>
      <c r="M620" s="101"/>
      <c r="N620" s="101"/>
      <c r="O620" s="101"/>
      <c r="P620" s="101"/>
      <c r="Q620" s="101"/>
      <c r="R620" s="101"/>
      <c r="S620" s="101"/>
      <c r="T620" s="101"/>
      <c r="U620" s="101"/>
      <c r="V620" s="101"/>
      <c r="W620" s="101"/>
      <c r="X620" s="101"/>
      <c r="Y620" s="101"/>
      <c r="Z620" s="101"/>
    </row>
    <row r="621">
      <c r="A621" s="101"/>
      <c r="B621" s="101"/>
      <c r="C621" s="101" t="str">
        <f>IFERROR(__xludf.DUMMYFUNCTION("""COMPUTED_VALUE"""),"EDUARDO SENNA DA FONSECA")</f>
        <v>EDUARDO SENNA DA FONSECA</v>
      </c>
      <c r="D621" s="101" t="str">
        <f>IFERROR(__xludf.DUMMYFUNCTION("""COMPUTED_VALUE"""),"472.***.***-30")</f>
        <v>472.***.***-30</v>
      </c>
      <c r="E621" s="101">
        <f>IFERROR(__xludf.DUMMYFUNCTION("""COMPUTED_VALUE"""),3.0)</f>
        <v>3</v>
      </c>
      <c r="F621" s="101" t="str">
        <f>IFERROR(__xludf.DUMMYFUNCTION("""COMPUTED_VALUE"""),"472.078.798-30")</f>
        <v>472.078.798-30</v>
      </c>
      <c r="G621" s="101"/>
      <c r="H621" s="101"/>
      <c r="I621" s="101"/>
      <c r="J621" s="101"/>
      <c r="K621" s="101"/>
      <c r="L621" s="101"/>
      <c r="M621" s="101"/>
      <c r="N621" s="101"/>
      <c r="O621" s="101"/>
      <c r="P621" s="101"/>
      <c r="Q621" s="101"/>
      <c r="R621" s="101"/>
      <c r="S621" s="101"/>
      <c r="T621" s="101"/>
      <c r="U621" s="101"/>
      <c r="V621" s="101"/>
      <c r="W621" s="101"/>
      <c r="X621" s="101"/>
      <c r="Y621" s="101"/>
      <c r="Z621" s="101"/>
    </row>
    <row r="622">
      <c r="A622" s="101"/>
      <c r="B622" s="101"/>
      <c r="C622" s="101" t="str">
        <f>IFERROR(__xludf.DUMMYFUNCTION("""COMPUTED_VALUE"""),"TIAGO NOVAIS SOUZA")</f>
        <v>TIAGO NOVAIS SOUZA</v>
      </c>
      <c r="D622" s="101" t="str">
        <f>IFERROR(__xludf.DUMMYFUNCTION("""COMPUTED_VALUE"""),"457.***.***-83")</f>
        <v>457.***.***-83</v>
      </c>
      <c r="E622" s="101">
        <f>IFERROR(__xludf.DUMMYFUNCTION("""COMPUTED_VALUE"""),17.0)</f>
        <v>17</v>
      </c>
      <c r="F622" s="101" t="str">
        <f>IFERROR(__xludf.DUMMYFUNCTION("""COMPUTED_VALUE"""),"457.862.788-83")</f>
        <v>457.862.788-83</v>
      </c>
      <c r="G622" s="101"/>
      <c r="H622" s="101"/>
      <c r="I622" s="101"/>
      <c r="J622" s="101"/>
      <c r="K622" s="101"/>
      <c r="L622" s="101"/>
      <c r="M622" s="101"/>
      <c r="N622" s="101"/>
      <c r="O622" s="101"/>
      <c r="P622" s="101"/>
      <c r="Q622" s="101"/>
      <c r="R622" s="101"/>
      <c r="S622" s="101"/>
      <c r="T622" s="101"/>
      <c r="U622" s="101"/>
      <c r="V622" s="101"/>
      <c r="W622" s="101"/>
      <c r="X622" s="101"/>
      <c r="Y622" s="101"/>
      <c r="Z622" s="101"/>
    </row>
    <row r="623">
      <c r="A623" s="101"/>
      <c r="B623" s="101"/>
      <c r="C623" s="101" t="str">
        <f>IFERROR(__xludf.DUMMYFUNCTION("""COMPUTED_VALUE"""),"LIVIA VITORIA DOS SANTOS BARBOSA")</f>
        <v>LIVIA VITORIA DOS SANTOS BARBOSA</v>
      </c>
      <c r="D623" s="101" t="str">
        <f>IFERROR(__xludf.DUMMYFUNCTION("""COMPUTED_VALUE"""),"444.***.***-41")</f>
        <v>444.***.***-41</v>
      </c>
      <c r="E623" s="101">
        <f>IFERROR(__xludf.DUMMYFUNCTION("""COMPUTED_VALUE"""),11.0)</f>
        <v>11</v>
      </c>
      <c r="F623" s="101" t="str">
        <f>IFERROR(__xludf.DUMMYFUNCTION("""COMPUTED_VALUE"""),"444.625.608-41")</f>
        <v>444.625.608-41</v>
      </c>
      <c r="G623" s="101"/>
      <c r="H623" s="101"/>
      <c r="I623" s="101"/>
      <c r="J623" s="101"/>
      <c r="K623" s="101"/>
      <c r="L623" s="101"/>
      <c r="M623" s="101"/>
      <c r="N623" s="101"/>
      <c r="O623" s="101"/>
      <c r="P623" s="101"/>
      <c r="Q623" s="101"/>
      <c r="R623" s="101"/>
      <c r="S623" s="101"/>
      <c r="T623" s="101"/>
      <c r="U623" s="101"/>
      <c r="V623" s="101"/>
      <c r="W623" s="101"/>
      <c r="X623" s="101"/>
      <c r="Y623" s="101"/>
      <c r="Z623" s="101"/>
    </row>
    <row r="624">
      <c r="A624" s="101"/>
      <c r="B624" s="101"/>
      <c r="C624" s="101" t="str">
        <f>IFERROR(__xludf.DUMMYFUNCTION("""COMPUTED_VALUE"""),"LETICIA OLIVEIRA LIMA ")</f>
        <v>LETICIA OLIVEIRA LIMA </v>
      </c>
      <c r="D624" s="101" t="str">
        <f>IFERROR(__xludf.DUMMYFUNCTION("""COMPUTED_VALUE"""),"352.***.***-22")</f>
        <v>352.***.***-22</v>
      </c>
      <c r="E624" s="101">
        <f>IFERROR(__xludf.DUMMYFUNCTION("""COMPUTED_VALUE"""),7.0)</f>
        <v>7</v>
      </c>
      <c r="F624" s="101" t="str">
        <f>IFERROR(__xludf.DUMMYFUNCTION("""COMPUTED_VALUE"""),"352.499.658-22")</f>
        <v>352.499.658-22</v>
      </c>
      <c r="G624" s="101"/>
      <c r="H624" s="101"/>
      <c r="I624" s="101"/>
      <c r="J624" s="101"/>
      <c r="K624" s="101"/>
      <c r="L624" s="101"/>
      <c r="M624" s="101"/>
      <c r="N624" s="101"/>
      <c r="O624" s="101"/>
      <c r="P624" s="101"/>
      <c r="Q624" s="101"/>
      <c r="R624" s="101"/>
      <c r="S624" s="101"/>
      <c r="T624" s="101"/>
      <c r="U624" s="101"/>
      <c r="V624" s="101"/>
      <c r="W624" s="101"/>
      <c r="X624" s="101"/>
      <c r="Y624" s="101"/>
      <c r="Z624" s="101"/>
    </row>
    <row r="625">
      <c r="A625" s="101"/>
      <c r="B625" s="101"/>
      <c r="C625" s="101" t="str">
        <f>IFERROR(__xludf.DUMMYFUNCTION("""COMPUTED_VALUE"""),"JULIUS VINICIUS DE CARVALHO ALVES")</f>
        <v>JULIUS VINICIUS DE CARVALHO ALVES</v>
      </c>
      <c r="D625" s="101" t="str">
        <f>IFERROR(__xludf.DUMMYFUNCTION("""COMPUTED_VALUE"""),"435.***.***-80")</f>
        <v>435.***.***-80</v>
      </c>
      <c r="E625" s="101">
        <f>IFERROR(__xludf.DUMMYFUNCTION("""COMPUTED_VALUE"""),9.0)</f>
        <v>9</v>
      </c>
      <c r="F625" s="101" t="str">
        <f>IFERROR(__xludf.DUMMYFUNCTION("""COMPUTED_VALUE"""),"435.624.318-80")</f>
        <v>435.624.318-80</v>
      </c>
      <c r="G625" s="101"/>
      <c r="H625" s="101"/>
      <c r="I625" s="101"/>
      <c r="J625" s="101"/>
      <c r="K625" s="101"/>
      <c r="L625" s="101"/>
      <c r="M625" s="101"/>
      <c r="N625" s="101"/>
      <c r="O625" s="101"/>
      <c r="P625" s="101"/>
      <c r="Q625" s="101"/>
      <c r="R625" s="101"/>
      <c r="S625" s="101"/>
      <c r="T625" s="101"/>
      <c r="U625" s="101"/>
      <c r="V625" s="101"/>
      <c r="W625" s="101"/>
      <c r="X625" s="101"/>
      <c r="Y625" s="101"/>
      <c r="Z625" s="101"/>
    </row>
    <row r="626">
      <c r="A626" s="101"/>
      <c r="B626" s="101"/>
      <c r="C626" s="101" t="str">
        <f>IFERROR(__xludf.DUMMYFUNCTION("""COMPUTED_VALUE"""),"DIEGO SOUZA GAMA")</f>
        <v>DIEGO SOUZA GAMA</v>
      </c>
      <c r="D626" s="101" t="str">
        <f>IFERROR(__xludf.DUMMYFUNCTION("""COMPUTED_VALUE"""),"424.***.***-76")</f>
        <v>424.***.***-76</v>
      </c>
      <c r="E626" s="101">
        <f>IFERROR(__xludf.DUMMYFUNCTION("""COMPUTED_VALUE"""),3.0)</f>
        <v>3</v>
      </c>
      <c r="F626" s="101" t="str">
        <f>IFERROR(__xludf.DUMMYFUNCTION("""COMPUTED_VALUE"""),"424.567.518-76")</f>
        <v>424.567.518-76</v>
      </c>
      <c r="G626" s="101"/>
      <c r="H626" s="101"/>
      <c r="I626" s="101"/>
      <c r="J626" s="101"/>
      <c r="K626" s="101"/>
      <c r="L626" s="101"/>
      <c r="M626" s="101"/>
      <c r="N626" s="101"/>
      <c r="O626" s="101"/>
      <c r="P626" s="101"/>
      <c r="Q626" s="101"/>
      <c r="R626" s="101"/>
      <c r="S626" s="101"/>
      <c r="T626" s="101"/>
      <c r="U626" s="101"/>
      <c r="V626" s="101"/>
      <c r="W626" s="101"/>
      <c r="X626" s="101"/>
      <c r="Y626" s="101"/>
      <c r="Z626" s="101"/>
    </row>
    <row r="627">
      <c r="A627" s="101"/>
      <c r="B627" s="101"/>
      <c r="C627" s="101" t="str">
        <f>IFERROR(__xludf.DUMMYFUNCTION("""COMPUTED_VALUE"""),"JULIANA ARAUJO SILVA")</f>
        <v>JULIANA ARAUJO SILVA</v>
      </c>
      <c r="D627" s="101" t="str">
        <f>IFERROR(__xludf.DUMMYFUNCTION("""COMPUTED_VALUE"""),"476.***.***-59")</f>
        <v>476.***.***-59</v>
      </c>
      <c r="E627" s="101">
        <f>IFERROR(__xludf.DUMMYFUNCTION("""COMPUTED_VALUE"""),6.0)</f>
        <v>6</v>
      </c>
      <c r="F627" s="101" t="str">
        <f>IFERROR(__xludf.DUMMYFUNCTION("""COMPUTED_VALUE"""),"476.679.328-59")</f>
        <v>476.679.328-59</v>
      </c>
      <c r="G627" s="101"/>
      <c r="H627" s="101"/>
      <c r="I627" s="101"/>
      <c r="J627" s="101"/>
      <c r="K627" s="101"/>
      <c r="L627" s="101"/>
      <c r="M627" s="101"/>
      <c r="N627" s="101"/>
      <c r="O627" s="101"/>
      <c r="P627" s="101"/>
      <c r="Q627" s="101"/>
      <c r="R627" s="101"/>
      <c r="S627" s="101"/>
      <c r="T627" s="101"/>
      <c r="U627" s="101"/>
      <c r="V627" s="101"/>
      <c r="W627" s="101"/>
      <c r="X627" s="101"/>
      <c r="Y627" s="101"/>
      <c r="Z627" s="101"/>
    </row>
    <row r="628">
      <c r="A628" s="101"/>
      <c r="B628" s="101"/>
      <c r="C628" s="101" t="str">
        <f>IFERROR(__xludf.DUMMYFUNCTION("""COMPUTED_VALUE"""),"BARBARA STEFANY TAVARES DOS SANTOS")</f>
        <v>BARBARA STEFANY TAVARES DOS SANTOS</v>
      </c>
      <c r="D628" s="101" t="str">
        <f>IFERROR(__xludf.DUMMYFUNCTION("""COMPUTED_VALUE"""),"487.***.***-50")</f>
        <v>487.***.***-50</v>
      </c>
      <c r="E628" s="101">
        <f>IFERROR(__xludf.DUMMYFUNCTION("""COMPUTED_VALUE"""),2.0)</f>
        <v>2</v>
      </c>
      <c r="F628" s="101" t="str">
        <f>IFERROR(__xludf.DUMMYFUNCTION("""COMPUTED_VALUE"""),"487.884.868-50")</f>
        <v>487.884.868-50</v>
      </c>
      <c r="G628" s="101"/>
      <c r="H628" s="101"/>
      <c r="I628" s="101"/>
      <c r="J628" s="101"/>
      <c r="K628" s="101"/>
      <c r="L628" s="101"/>
      <c r="M628" s="101"/>
      <c r="N628" s="101"/>
      <c r="O628" s="101"/>
      <c r="P628" s="101"/>
      <c r="Q628" s="101"/>
      <c r="R628" s="101"/>
      <c r="S628" s="101"/>
      <c r="T628" s="101"/>
      <c r="U628" s="101"/>
      <c r="V628" s="101"/>
      <c r="W628" s="101"/>
      <c r="X628" s="101"/>
      <c r="Y628" s="101"/>
      <c r="Z628" s="101"/>
    </row>
    <row r="629">
      <c r="A629" s="101"/>
      <c r="B629" s="101"/>
      <c r="C629" s="101" t="str">
        <f>IFERROR(__xludf.DUMMYFUNCTION("""COMPUTED_VALUE"""),"GUILHERME RODRIGUES DE SOUZA")</f>
        <v>GUILHERME RODRIGUES DE SOUZA</v>
      </c>
      <c r="D629" s="101" t="str">
        <f>IFERROR(__xludf.DUMMYFUNCTION("""COMPUTED_VALUE"""),"488.***.***-61")</f>
        <v>488.***.***-61</v>
      </c>
      <c r="E629" s="101">
        <f>IFERROR(__xludf.DUMMYFUNCTION("""COMPUTED_VALUE"""),2.0)</f>
        <v>2</v>
      </c>
      <c r="F629" s="101" t="str">
        <f>IFERROR(__xludf.DUMMYFUNCTION("""COMPUTED_VALUE"""),"488.363.358-61")</f>
        <v>488.363.358-61</v>
      </c>
      <c r="G629" s="101"/>
      <c r="H629" s="101"/>
      <c r="I629" s="101"/>
      <c r="J629" s="101"/>
      <c r="K629" s="101"/>
      <c r="L629" s="101"/>
      <c r="M629" s="101"/>
      <c r="N629" s="101"/>
      <c r="O629" s="101"/>
      <c r="P629" s="101"/>
      <c r="Q629" s="101"/>
      <c r="R629" s="101"/>
      <c r="S629" s="101"/>
      <c r="T629" s="101"/>
      <c r="U629" s="101"/>
      <c r="V629" s="101"/>
      <c r="W629" s="101"/>
      <c r="X629" s="101"/>
      <c r="Y629" s="101"/>
      <c r="Z629" s="101"/>
    </row>
    <row r="630">
      <c r="A630" s="101"/>
      <c r="B630" s="101"/>
      <c r="C630" s="101" t="str">
        <f>IFERROR(__xludf.DUMMYFUNCTION("""COMPUTED_VALUE"""),"ALASKA ASSIS")</f>
        <v>ALASKA ASSIS</v>
      </c>
      <c r="D630" s="101" t="str">
        <f>IFERROR(__xludf.DUMMYFUNCTION("""COMPUTED_VALUE"""),"460.***.***-80")</f>
        <v>460.***.***-80</v>
      </c>
      <c r="E630" s="101">
        <f>IFERROR(__xludf.DUMMYFUNCTION("""COMPUTED_VALUE"""),1.0)</f>
        <v>1</v>
      </c>
      <c r="F630" s="101" t="str">
        <f>IFERROR(__xludf.DUMMYFUNCTION("""COMPUTED_VALUE"""),"460.710.388-80")</f>
        <v>460.710.388-80</v>
      </c>
      <c r="G630" s="101"/>
      <c r="H630" s="101"/>
      <c r="I630" s="101"/>
      <c r="J630" s="101"/>
      <c r="K630" s="101"/>
      <c r="L630" s="101"/>
      <c r="M630" s="101"/>
      <c r="N630" s="101"/>
      <c r="O630" s="101"/>
      <c r="P630" s="101"/>
      <c r="Q630" s="101"/>
      <c r="R630" s="101"/>
      <c r="S630" s="101"/>
      <c r="T630" s="101"/>
      <c r="U630" s="101"/>
      <c r="V630" s="101"/>
      <c r="W630" s="101"/>
      <c r="X630" s="101"/>
      <c r="Y630" s="101"/>
      <c r="Z630" s="101"/>
    </row>
    <row r="631">
      <c r="A631" s="101"/>
      <c r="B631" s="101"/>
      <c r="C631" s="101" t="str">
        <f>IFERROR(__xludf.DUMMYFUNCTION("""COMPUTED_VALUE"""),"LUIZA BEATRIZ MASIERO DE CASTRO")</f>
        <v>LUIZA BEATRIZ MASIERO DE CASTRO</v>
      </c>
      <c r="D631" s="101" t="str">
        <f>IFERROR(__xludf.DUMMYFUNCTION("""COMPUTED_VALUE"""),"441.***.***-22")</f>
        <v>441.***.***-22</v>
      </c>
      <c r="E631" s="101">
        <f>IFERROR(__xludf.DUMMYFUNCTION("""COMPUTED_VALUE"""),8.0)</f>
        <v>8</v>
      </c>
      <c r="F631" s="101" t="str">
        <f>IFERROR(__xludf.DUMMYFUNCTION("""COMPUTED_VALUE"""),"441.502.328-22")</f>
        <v>441.502.328-22</v>
      </c>
      <c r="G631" s="101"/>
      <c r="H631" s="101"/>
      <c r="I631" s="101"/>
      <c r="J631" s="101"/>
      <c r="K631" s="101"/>
      <c r="L631" s="101"/>
      <c r="M631" s="101"/>
      <c r="N631" s="101"/>
      <c r="O631" s="101"/>
      <c r="P631" s="101"/>
      <c r="Q631" s="101"/>
      <c r="R631" s="101"/>
      <c r="S631" s="101"/>
      <c r="T631" s="101"/>
      <c r="U631" s="101"/>
      <c r="V631" s="101"/>
      <c r="W631" s="101"/>
      <c r="X631" s="101"/>
      <c r="Y631" s="101"/>
      <c r="Z631" s="101"/>
    </row>
    <row r="632">
      <c r="A632" s="101"/>
      <c r="B632" s="101"/>
      <c r="C632" s="101" t="str">
        <f>IFERROR(__xludf.DUMMYFUNCTION("""COMPUTED_VALUE"""),"AMOREYRA MOREIRA")</f>
        <v>AMOREYRA MOREIRA</v>
      </c>
      <c r="D632" s="101" t="str">
        <f>IFERROR(__xludf.DUMMYFUNCTION("""COMPUTED_VALUE"""),"145.***.***-97")</f>
        <v>145.***.***-97</v>
      </c>
      <c r="E632" s="101">
        <f>IFERROR(__xludf.DUMMYFUNCTION("""COMPUTED_VALUE"""),1.0)</f>
        <v>1</v>
      </c>
      <c r="F632" s="101" t="str">
        <f>IFERROR(__xludf.DUMMYFUNCTION("""COMPUTED_VALUE"""),"145.244.667-97")</f>
        <v>145.244.667-97</v>
      </c>
      <c r="G632" s="101"/>
      <c r="H632" s="101"/>
      <c r="I632" s="101"/>
      <c r="J632" s="101"/>
      <c r="K632" s="101"/>
      <c r="L632" s="101"/>
      <c r="M632" s="101"/>
      <c r="N632" s="101"/>
      <c r="O632" s="101"/>
      <c r="P632" s="101"/>
      <c r="Q632" s="101"/>
      <c r="R632" s="101"/>
      <c r="S632" s="101"/>
      <c r="T632" s="101"/>
      <c r="U632" s="101"/>
      <c r="V632" s="101"/>
      <c r="W632" s="101"/>
      <c r="X632" s="101"/>
      <c r="Y632" s="101"/>
      <c r="Z632" s="101"/>
    </row>
    <row r="633">
      <c r="A633" s="101"/>
      <c r="B633" s="101"/>
      <c r="C633" s="101" t="str">
        <f>IFERROR(__xludf.DUMMYFUNCTION("""COMPUTED_VALUE"""),"RODRIGO DA SILVA SANTOS")</f>
        <v>RODRIGO DA SILVA SANTOS</v>
      </c>
      <c r="D633" s="101" t="str">
        <f>IFERROR(__xludf.DUMMYFUNCTION("""COMPUTED_VALUE"""),"456.***.***-12")</f>
        <v>456.***.***-12</v>
      </c>
      <c r="E633" s="101">
        <f>IFERROR(__xludf.DUMMYFUNCTION("""COMPUTED_VALUE"""),15.0)</f>
        <v>15</v>
      </c>
      <c r="F633" s="101" t="str">
        <f>IFERROR(__xludf.DUMMYFUNCTION("""COMPUTED_VALUE"""),"456.492.218-12")</f>
        <v>456.492.218-12</v>
      </c>
      <c r="G633" s="101"/>
      <c r="H633" s="101"/>
      <c r="I633" s="101"/>
      <c r="J633" s="101"/>
      <c r="K633" s="101"/>
      <c r="L633" s="101"/>
      <c r="M633" s="101"/>
      <c r="N633" s="101"/>
      <c r="O633" s="101"/>
      <c r="P633" s="101"/>
      <c r="Q633" s="101"/>
      <c r="R633" s="101"/>
      <c r="S633" s="101"/>
      <c r="T633" s="101"/>
      <c r="U633" s="101"/>
      <c r="V633" s="101"/>
      <c r="W633" s="101"/>
      <c r="X633" s="101"/>
      <c r="Y633" s="101"/>
      <c r="Z633" s="101"/>
    </row>
    <row r="634">
      <c r="A634" s="101"/>
      <c r="B634" s="101"/>
      <c r="C634" s="101" t="str">
        <f>IFERROR(__xludf.DUMMYFUNCTION("""COMPUTED_VALUE"""),"ARTEMIZ DOS ANJOS VICTOR")</f>
        <v>ARTEMIZ DOS ANJOS VICTOR</v>
      </c>
      <c r="D634" s="101" t="str">
        <f>IFERROR(__xludf.DUMMYFUNCTION("""COMPUTED_VALUE"""),"545.***.***-76")</f>
        <v>545.***.***-76</v>
      </c>
      <c r="E634" s="101">
        <f>IFERROR(__xludf.DUMMYFUNCTION("""COMPUTED_VALUE"""),4.0)</f>
        <v>4</v>
      </c>
      <c r="F634" s="101" t="str">
        <f>IFERROR(__xludf.DUMMYFUNCTION("""COMPUTED_VALUE"""),"545.749.838-76")</f>
        <v>545.749.838-76</v>
      </c>
      <c r="G634" s="101"/>
      <c r="H634" s="101"/>
      <c r="I634" s="101"/>
      <c r="J634" s="101"/>
      <c r="K634" s="101"/>
      <c r="L634" s="101"/>
      <c r="M634" s="101"/>
      <c r="N634" s="101"/>
      <c r="O634" s="101"/>
      <c r="P634" s="101"/>
      <c r="Q634" s="101"/>
      <c r="R634" s="101"/>
      <c r="S634" s="101"/>
      <c r="T634" s="101"/>
      <c r="U634" s="101"/>
      <c r="V634" s="101"/>
      <c r="W634" s="101"/>
      <c r="X634" s="101"/>
      <c r="Y634" s="101"/>
      <c r="Z634" s="101"/>
    </row>
    <row r="635">
      <c r="A635" s="101"/>
      <c r="B635" s="101"/>
      <c r="C635" s="101" t="str">
        <f>IFERROR(__xludf.DUMMYFUNCTION("""COMPUTED_VALUE"""),"NAIARA MOURA DA CUNHA")</f>
        <v>NAIARA MOURA DA CUNHA</v>
      </c>
      <c r="D635" s="101" t="str">
        <f>IFERROR(__xludf.DUMMYFUNCTION("""COMPUTED_VALUE"""),"241.***.***-41")</f>
        <v>241.***.***-41</v>
      </c>
      <c r="E635" s="101">
        <f>IFERROR(__xludf.DUMMYFUNCTION("""COMPUTED_VALUE"""),13.0)</f>
        <v>13</v>
      </c>
      <c r="F635" s="101" t="str">
        <f>IFERROR(__xludf.DUMMYFUNCTION("""COMPUTED_VALUE"""),"241.147.108-41")</f>
        <v>241.147.108-41</v>
      </c>
      <c r="G635" s="101"/>
      <c r="H635" s="101"/>
      <c r="I635" s="101"/>
      <c r="J635" s="101"/>
      <c r="K635" s="101"/>
      <c r="L635" s="101"/>
      <c r="M635" s="101"/>
      <c r="N635" s="101"/>
      <c r="O635" s="101"/>
      <c r="P635" s="101"/>
      <c r="Q635" s="101"/>
      <c r="R635" s="101"/>
      <c r="S635" s="101"/>
      <c r="T635" s="101"/>
      <c r="U635" s="101"/>
      <c r="V635" s="101"/>
      <c r="W635" s="101"/>
      <c r="X635" s="101"/>
      <c r="Y635" s="101"/>
      <c r="Z635" s="101"/>
    </row>
    <row r="636">
      <c r="A636" s="101"/>
      <c r="B636" s="101"/>
      <c r="C636" s="101" t="str">
        <f>IFERROR(__xludf.DUMMYFUNCTION("""COMPUTED_VALUE"""),"ALEX")</f>
        <v>ALEX</v>
      </c>
      <c r="D636" s="101" t="str">
        <f>IFERROR(__xludf.DUMMYFUNCTION("""COMPUTED_VALUE"""),"510.***.***-62")</f>
        <v>510.***.***-62</v>
      </c>
      <c r="E636" s="101">
        <f>IFERROR(__xludf.DUMMYFUNCTION("""COMPUTED_VALUE"""),1.0)</f>
        <v>1</v>
      </c>
      <c r="F636" s="101" t="str">
        <f>IFERROR(__xludf.DUMMYFUNCTION("""COMPUTED_VALUE"""),"510.963.228-62")</f>
        <v>510.963.228-62</v>
      </c>
      <c r="G636" s="101"/>
      <c r="H636" s="101"/>
      <c r="I636" s="101"/>
      <c r="J636" s="101"/>
      <c r="K636" s="101"/>
      <c r="L636" s="101"/>
      <c r="M636" s="101"/>
      <c r="N636" s="101"/>
      <c r="O636" s="101"/>
      <c r="P636" s="101"/>
      <c r="Q636" s="101"/>
      <c r="R636" s="101"/>
      <c r="S636" s="101"/>
      <c r="T636" s="101"/>
      <c r="U636" s="101"/>
      <c r="V636" s="101"/>
      <c r="W636" s="101"/>
      <c r="X636" s="101"/>
      <c r="Y636" s="101"/>
      <c r="Z636" s="101"/>
    </row>
    <row r="637">
      <c r="A637" s="101"/>
      <c r="B637" s="101"/>
      <c r="C637" s="101" t="str">
        <f>IFERROR(__xludf.DUMMYFUNCTION("""COMPUTED_VALUE"""),"NATHAN SOARES CALDAS")</f>
        <v>NATHAN SOARES CALDAS</v>
      </c>
      <c r="D637" s="101" t="str">
        <f>IFERROR(__xludf.DUMMYFUNCTION("""COMPUTED_VALUE"""),"426.***.***-10")</f>
        <v>426.***.***-10</v>
      </c>
      <c r="E637" s="101"/>
      <c r="F637" s="101" t="str">
        <f>IFERROR(__xludf.DUMMYFUNCTION("""COMPUTED_VALUE"""),"426.747.798-10")</f>
        <v>426.747.798-10</v>
      </c>
      <c r="G637" s="101"/>
      <c r="H637" s="101"/>
      <c r="I637" s="101"/>
      <c r="J637" s="101"/>
      <c r="K637" s="101"/>
      <c r="L637" s="101"/>
      <c r="M637" s="101"/>
      <c r="N637" s="101"/>
      <c r="O637" s="101"/>
      <c r="P637" s="101"/>
      <c r="Q637" s="101"/>
      <c r="R637" s="101"/>
      <c r="S637" s="101"/>
      <c r="T637" s="101"/>
      <c r="U637" s="101"/>
      <c r="V637" s="101"/>
      <c r="W637" s="101"/>
      <c r="X637" s="101"/>
      <c r="Y637" s="101"/>
      <c r="Z637" s="101"/>
    </row>
    <row r="638">
      <c r="A638" s="101"/>
      <c r="B638" s="101"/>
      <c r="C638" s="101" t="str">
        <f>IFERROR(__xludf.DUMMYFUNCTION("""COMPUTED_VALUE"""),"SABRINA SANTANA DA SILVA")</f>
        <v>SABRINA SANTANA DA SILVA</v>
      </c>
      <c r="D638" s="101" t="str">
        <f>IFERROR(__xludf.DUMMYFUNCTION("""COMPUTED_VALUE"""),"109.***.***-16")</f>
        <v>109.***.***-16</v>
      </c>
      <c r="E638" s="101">
        <f>IFERROR(__xludf.DUMMYFUNCTION("""COMPUTED_VALUE"""),13.0)</f>
        <v>13</v>
      </c>
      <c r="F638" s="101" t="str">
        <f>IFERROR(__xludf.DUMMYFUNCTION("""COMPUTED_VALUE"""),"109.375.705-16")</f>
        <v>109.375.705-16</v>
      </c>
      <c r="G638" s="101"/>
      <c r="H638" s="101"/>
      <c r="I638" s="101"/>
      <c r="J638" s="101"/>
      <c r="K638" s="101"/>
      <c r="L638" s="101"/>
      <c r="M638" s="101"/>
      <c r="N638" s="101"/>
      <c r="O638" s="101"/>
      <c r="P638" s="101"/>
      <c r="Q638" s="101"/>
      <c r="R638" s="101"/>
      <c r="S638" s="101"/>
      <c r="T638" s="101"/>
      <c r="U638" s="101"/>
      <c r="V638" s="101"/>
      <c r="W638" s="101"/>
      <c r="X638" s="101"/>
      <c r="Y638" s="101"/>
      <c r="Z638" s="101"/>
    </row>
    <row r="639">
      <c r="A639" s="101"/>
      <c r="B639" s="101"/>
      <c r="C639" s="101" t="str">
        <f>IFERROR(__xludf.DUMMYFUNCTION("""COMPUTED_VALUE"""),"BRUNA ALEXANDRE DA SILVA")</f>
        <v>BRUNA ALEXANDRE DA SILVA</v>
      </c>
      <c r="D639" s="101" t="str">
        <f>IFERROR(__xludf.DUMMYFUNCTION("""COMPUTED_VALUE"""),"455.***.***-69")</f>
        <v>455.***.***-69</v>
      </c>
      <c r="E639" s="101">
        <f>IFERROR(__xludf.DUMMYFUNCTION("""COMPUTED_VALUE"""),2.0)</f>
        <v>2</v>
      </c>
      <c r="F639" s="101" t="str">
        <f>IFERROR(__xludf.DUMMYFUNCTION("""COMPUTED_VALUE"""),"455.459.388-69")</f>
        <v>455.459.388-69</v>
      </c>
      <c r="G639" s="101"/>
      <c r="H639" s="101"/>
      <c r="I639" s="101"/>
      <c r="J639" s="101"/>
      <c r="K639" s="101"/>
      <c r="L639" s="101"/>
      <c r="M639" s="101"/>
      <c r="N639" s="101"/>
      <c r="O639" s="101"/>
      <c r="P639" s="101"/>
      <c r="Q639" s="101"/>
      <c r="R639" s="101"/>
      <c r="S639" s="101"/>
      <c r="T639" s="101"/>
      <c r="U639" s="101"/>
      <c r="V639" s="101"/>
      <c r="W639" s="101"/>
      <c r="X639" s="101"/>
      <c r="Y639" s="101"/>
      <c r="Z639" s="101"/>
    </row>
    <row r="640">
      <c r="A640" s="101"/>
      <c r="B640" s="101"/>
      <c r="C640" s="101" t="str">
        <f>IFERROR(__xludf.DUMMYFUNCTION("""COMPUTED_VALUE"""),"YAN MACHADO RUFFO")</f>
        <v>YAN MACHADO RUFFO</v>
      </c>
      <c r="D640" s="101" t="str">
        <f>IFERROR(__xludf.DUMMYFUNCTION("""COMPUTED_VALUE"""),"415.***.***-37")</f>
        <v>415.***.***-37</v>
      </c>
      <c r="E640" s="101">
        <f>IFERROR(__xludf.DUMMYFUNCTION("""COMPUTED_VALUE"""),12.0)</f>
        <v>12</v>
      </c>
      <c r="F640" s="101" t="str">
        <f>IFERROR(__xludf.DUMMYFUNCTION("""COMPUTED_VALUE"""),"415.307.518-37")</f>
        <v>415.307.518-37</v>
      </c>
      <c r="G640" s="101"/>
      <c r="H640" s="101"/>
      <c r="I640" s="101"/>
      <c r="J640" s="101"/>
      <c r="K640" s="101"/>
      <c r="L640" s="101"/>
      <c r="M640" s="101"/>
      <c r="N640" s="101"/>
      <c r="O640" s="101"/>
      <c r="P640" s="101"/>
      <c r="Q640" s="101"/>
      <c r="R640" s="101"/>
      <c r="S640" s="101"/>
      <c r="T640" s="101"/>
      <c r="U640" s="101"/>
      <c r="V640" s="101"/>
      <c r="W640" s="101"/>
      <c r="X640" s="101"/>
      <c r="Y640" s="101"/>
      <c r="Z640" s="101"/>
    </row>
    <row r="641">
      <c r="A641" s="101"/>
      <c r="B641" s="101"/>
      <c r="C641" s="101" t="str">
        <f>IFERROR(__xludf.DUMMYFUNCTION("""COMPUTED_VALUE"""),"RAFAELA THAIS RIBEIRO NOGUEIRA")</f>
        <v>RAFAELA THAIS RIBEIRO NOGUEIRA</v>
      </c>
      <c r="D641" s="101" t="str">
        <f>IFERROR(__xludf.DUMMYFUNCTION("""COMPUTED_VALUE"""),"456.***.***-12")</f>
        <v>456.***.***-12</v>
      </c>
      <c r="E641" s="101">
        <f>IFERROR(__xludf.DUMMYFUNCTION("""COMPUTED_VALUE"""),9.0)</f>
        <v>9</v>
      </c>
      <c r="F641" s="101" t="str">
        <f>IFERROR(__xludf.DUMMYFUNCTION("""COMPUTED_VALUE"""),"456.797.248-12")</f>
        <v>456.797.248-12</v>
      </c>
      <c r="G641" s="101"/>
      <c r="H641" s="101"/>
      <c r="I641" s="101"/>
      <c r="J641" s="101"/>
      <c r="K641" s="101"/>
      <c r="L641" s="101"/>
      <c r="M641" s="101"/>
      <c r="N641" s="101"/>
      <c r="O641" s="101"/>
      <c r="P641" s="101"/>
      <c r="Q641" s="101"/>
      <c r="R641" s="101"/>
      <c r="S641" s="101"/>
      <c r="T641" s="101"/>
      <c r="U641" s="101"/>
      <c r="V641" s="101"/>
      <c r="W641" s="101"/>
      <c r="X641" s="101"/>
      <c r="Y641" s="101"/>
      <c r="Z641" s="101"/>
    </row>
    <row r="642">
      <c r="A642" s="101"/>
      <c r="B642" s="101"/>
      <c r="C642" s="101" t="str">
        <f>IFERROR(__xludf.DUMMYFUNCTION("""COMPUTED_VALUE"""),"GABRIELE MIRANDA SILVA")</f>
        <v>GABRIELE MIRANDA SILVA</v>
      </c>
      <c r="D642" s="101" t="str">
        <f>IFERROR(__xludf.DUMMYFUNCTION("""COMPUTED_VALUE"""),"435.***.***-95")</f>
        <v>435.***.***-95</v>
      </c>
      <c r="E642" s="101">
        <f>IFERROR(__xludf.DUMMYFUNCTION("""COMPUTED_VALUE"""),4.0)</f>
        <v>4</v>
      </c>
      <c r="F642" s="101" t="str">
        <f>IFERROR(__xludf.DUMMYFUNCTION("""COMPUTED_VALUE"""),"435.121.248-95")</f>
        <v>435.121.248-95</v>
      </c>
      <c r="G642" s="101"/>
      <c r="H642" s="101"/>
      <c r="I642" s="101"/>
      <c r="J642" s="101"/>
      <c r="K642" s="101"/>
      <c r="L642" s="101"/>
      <c r="M642" s="101"/>
      <c r="N642" s="101"/>
      <c r="O642" s="101"/>
      <c r="P642" s="101"/>
      <c r="Q642" s="101"/>
      <c r="R642" s="101"/>
      <c r="S642" s="101"/>
      <c r="T642" s="101"/>
      <c r="U642" s="101"/>
      <c r="V642" s="101"/>
      <c r="W642" s="101"/>
      <c r="X642" s="101"/>
      <c r="Y642" s="101"/>
      <c r="Z642" s="101"/>
    </row>
    <row r="643">
      <c r="A643" s="101"/>
      <c r="B643" s="101"/>
      <c r="C643" s="101" t="str">
        <f>IFERROR(__xludf.DUMMYFUNCTION("""COMPUTED_VALUE"""),"GAL RODRIGUES")</f>
        <v>GAL RODRIGUES</v>
      </c>
      <c r="D643" s="101" t="str">
        <f>IFERROR(__xludf.DUMMYFUNCTION("""COMPUTED_VALUE"""),"437.***.***-05")</f>
        <v>437.***.***-05</v>
      </c>
      <c r="E643" s="101">
        <f>IFERROR(__xludf.DUMMYFUNCTION("""COMPUTED_VALUE"""),2.0)</f>
        <v>2</v>
      </c>
      <c r="F643" s="101" t="str">
        <f>IFERROR(__xludf.DUMMYFUNCTION("""COMPUTED_VALUE"""),"437.517.408-05")</f>
        <v>437.517.408-05</v>
      </c>
      <c r="G643" s="101"/>
      <c r="H643" s="101"/>
      <c r="I643" s="101"/>
      <c r="J643" s="101"/>
      <c r="K643" s="101"/>
      <c r="L643" s="101"/>
      <c r="M643" s="101"/>
      <c r="N643" s="101"/>
      <c r="O643" s="101"/>
      <c r="P643" s="101"/>
      <c r="Q643" s="101"/>
      <c r="R643" s="101"/>
      <c r="S643" s="101"/>
      <c r="T643" s="101"/>
      <c r="U643" s="101"/>
      <c r="V643" s="101"/>
      <c r="W643" s="101"/>
      <c r="X643" s="101"/>
      <c r="Y643" s="101"/>
      <c r="Z643" s="101"/>
    </row>
    <row r="644">
      <c r="A644" s="101"/>
      <c r="B644" s="101"/>
      <c r="C644" s="101" t="str">
        <f>IFERROR(__xludf.DUMMYFUNCTION("""COMPUTED_VALUE"""),"ARTHUR NASCIMENTO ASSAD")</f>
        <v>ARTHUR NASCIMENTO ASSAD</v>
      </c>
      <c r="D644" s="101" t="str">
        <f>IFERROR(__xludf.DUMMYFUNCTION("""COMPUTED_VALUE"""),"525.***.***-04")</f>
        <v>525.***.***-04</v>
      </c>
      <c r="E644" s="101">
        <f>IFERROR(__xludf.DUMMYFUNCTION("""COMPUTED_VALUE"""),1.0)</f>
        <v>1</v>
      </c>
      <c r="F644" s="101" t="str">
        <f>IFERROR(__xludf.DUMMYFUNCTION("""COMPUTED_VALUE"""),"525.362.278-04")</f>
        <v>525.362.278-04</v>
      </c>
      <c r="G644" s="101"/>
      <c r="H644" s="101"/>
      <c r="I644" s="101"/>
      <c r="J644" s="101"/>
      <c r="K644" s="101"/>
      <c r="L644" s="101"/>
      <c r="M644" s="101"/>
      <c r="N644" s="101"/>
      <c r="O644" s="101"/>
      <c r="P644" s="101"/>
      <c r="Q644" s="101"/>
      <c r="R644" s="101"/>
      <c r="S644" s="101"/>
      <c r="T644" s="101"/>
      <c r="U644" s="101"/>
      <c r="V644" s="101"/>
      <c r="W644" s="101"/>
      <c r="X644" s="101"/>
      <c r="Y644" s="101"/>
      <c r="Z644" s="101"/>
    </row>
    <row r="645">
      <c r="A645" s="101"/>
      <c r="B645" s="101"/>
      <c r="C645" s="101" t="str">
        <f>IFERROR(__xludf.DUMMYFUNCTION("""COMPUTED_VALUE"""),"AURORA CAPPELLO VINCI DE MORAES")</f>
        <v>AURORA CAPPELLO VINCI DE MORAES</v>
      </c>
      <c r="D645" s="101" t="str">
        <f>IFERROR(__xludf.DUMMYFUNCTION("""COMPUTED_VALUE"""),"112.***.***-14")</f>
        <v>112.***.***-14</v>
      </c>
      <c r="E645" s="101">
        <f>IFERROR(__xludf.DUMMYFUNCTION("""COMPUTED_VALUE"""),2.0)</f>
        <v>2</v>
      </c>
      <c r="F645" s="101" t="str">
        <f>IFERROR(__xludf.DUMMYFUNCTION("""COMPUTED_VALUE"""),"112.919.999-14")</f>
        <v>112.919.999-14</v>
      </c>
      <c r="G645" s="101"/>
      <c r="H645" s="101"/>
      <c r="I645" s="101"/>
      <c r="J645" s="101"/>
      <c r="K645" s="101"/>
      <c r="L645" s="101"/>
      <c r="M645" s="101"/>
      <c r="N645" s="101"/>
      <c r="O645" s="101"/>
      <c r="P645" s="101"/>
      <c r="Q645" s="101"/>
      <c r="R645" s="101"/>
      <c r="S645" s="101"/>
      <c r="T645" s="101"/>
      <c r="U645" s="101"/>
      <c r="V645" s="101"/>
      <c r="W645" s="101"/>
      <c r="X645" s="101"/>
      <c r="Y645" s="101"/>
      <c r="Z645" s="101"/>
    </row>
    <row r="646">
      <c r="A646" s="101"/>
      <c r="B646" s="101"/>
      <c r="C646" s="101" t="str">
        <f>IFERROR(__xludf.DUMMYFUNCTION("""COMPUTED_VALUE"""),"CLAUDIO MOISES MUTOMBO LEKADIANO")</f>
        <v>CLAUDIO MOISES MUTOMBO LEKADIANO</v>
      </c>
      <c r="D646" s="101" t="str">
        <f>IFERROR(__xludf.DUMMYFUNCTION("""COMPUTED_VALUE"""),"242.***.***-71")</f>
        <v>242.***.***-71</v>
      </c>
      <c r="E646" s="101">
        <f>IFERROR(__xludf.DUMMYFUNCTION("""COMPUTED_VALUE"""),3.0)</f>
        <v>3</v>
      </c>
      <c r="F646" s="101" t="str">
        <f>IFERROR(__xludf.DUMMYFUNCTION("""COMPUTED_VALUE"""),"242.677.658-71")</f>
        <v>242.677.658-71</v>
      </c>
      <c r="G646" s="101"/>
      <c r="H646" s="101"/>
      <c r="I646" s="101"/>
      <c r="J646" s="101"/>
      <c r="K646" s="101"/>
      <c r="L646" s="101"/>
      <c r="M646" s="101"/>
      <c r="N646" s="101"/>
      <c r="O646" s="101"/>
      <c r="P646" s="101"/>
      <c r="Q646" s="101"/>
      <c r="R646" s="101"/>
      <c r="S646" s="101"/>
      <c r="T646" s="101"/>
      <c r="U646" s="101"/>
      <c r="V646" s="101"/>
      <c r="W646" s="101"/>
      <c r="X646" s="101"/>
      <c r="Y646" s="101"/>
      <c r="Z646" s="101"/>
    </row>
    <row r="647">
      <c r="A647" s="101"/>
      <c r="B647" s="101"/>
      <c r="C647" s="101" t="str">
        <f>IFERROR(__xludf.DUMMYFUNCTION("""COMPUTED_VALUE"""),"PEDRO SOARES DE SANTANA")</f>
        <v>PEDRO SOARES DE SANTANA</v>
      </c>
      <c r="D647" s="101" t="str">
        <f>IFERROR(__xludf.DUMMYFUNCTION("""COMPUTED_VALUE"""),"343.***.***-07")</f>
        <v>343.***.***-07</v>
      </c>
      <c r="E647" s="101">
        <f>IFERROR(__xludf.DUMMYFUNCTION("""COMPUTED_VALUE"""),4.0)</f>
        <v>4</v>
      </c>
      <c r="F647" s="101" t="str">
        <f>IFERROR(__xludf.DUMMYFUNCTION("""COMPUTED_VALUE"""),"343.345.518-07")</f>
        <v>343.345.518-07</v>
      </c>
      <c r="G647" s="101"/>
      <c r="H647" s="101"/>
      <c r="I647" s="101"/>
      <c r="J647" s="101"/>
      <c r="K647" s="101"/>
      <c r="L647" s="101"/>
      <c r="M647" s="101"/>
      <c r="N647" s="101"/>
      <c r="O647" s="101"/>
      <c r="P647" s="101"/>
      <c r="Q647" s="101"/>
      <c r="R647" s="101"/>
      <c r="S647" s="101"/>
      <c r="T647" s="101"/>
      <c r="U647" s="101"/>
      <c r="V647" s="101"/>
      <c r="W647" s="101"/>
      <c r="X647" s="101"/>
      <c r="Y647" s="101"/>
      <c r="Z647" s="101"/>
    </row>
    <row r="648">
      <c r="A648" s="101"/>
      <c r="B648" s="101"/>
      <c r="C648" s="101" t="str">
        <f>IFERROR(__xludf.DUMMYFUNCTION("""COMPUTED_VALUE"""),"ANDREIA VITORIA DOS SANTOS DA SILVA")</f>
        <v>ANDREIA VITORIA DOS SANTOS DA SILVA</v>
      </c>
      <c r="D648" s="101" t="str">
        <f>IFERROR(__xludf.DUMMYFUNCTION("""COMPUTED_VALUE"""),"447.***.***-50")</f>
        <v>447.***.***-50</v>
      </c>
      <c r="E648" s="101">
        <f>IFERROR(__xludf.DUMMYFUNCTION("""COMPUTED_VALUE"""),1.0)</f>
        <v>1</v>
      </c>
      <c r="F648" s="101" t="str">
        <f>IFERROR(__xludf.DUMMYFUNCTION("""COMPUTED_VALUE"""),"447.936.638-50")</f>
        <v>447.936.638-50</v>
      </c>
      <c r="G648" s="101"/>
      <c r="H648" s="101"/>
      <c r="I648" s="101"/>
      <c r="J648" s="101"/>
      <c r="K648" s="101"/>
      <c r="L648" s="101"/>
      <c r="M648" s="101"/>
      <c r="N648" s="101"/>
      <c r="O648" s="101"/>
      <c r="P648" s="101"/>
      <c r="Q648" s="101"/>
      <c r="R648" s="101"/>
      <c r="S648" s="101"/>
      <c r="T648" s="101"/>
      <c r="U648" s="101"/>
      <c r="V648" s="101"/>
      <c r="W648" s="101"/>
      <c r="X648" s="101"/>
      <c r="Y648" s="101"/>
      <c r="Z648" s="101"/>
    </row>
    <row r="649">
      <c r="A649" s="101"/>
      <c r="B649" s="101"/>
      <c r="C649" s="101" t="str">
        <f>IFERROR(__xludf.DUMMYFUNCTION("""COMPUTED_VALUE"""),"MONICA ISABELA MAIA")</f>
        <v>MONICA ISABELA MAIA</v>
      </c>
      <c r="D649" s="101" t="str">
        <f>IFERROR(__xludf.DUMMYFUNCTION("""COMPUTED_VALUE"""),"465.***.***-01")</f>
        <v>465.***.***-01</v>
      </c>
      <c r="E649" s="101">
        <f>IFERROR(__xludf.DUMMYFUNCTION("""COMPUTED_VALUE"""),9.0)</f>
        <v>9</v>
      </c>
      <c r="F649" s="101" t="str">
        <f>IFERROR(__xludf.DUMMYFUNCTION("""COMPUTED_VALUE"""),"465.169.318-01")</f>
        <v>465.169.318-01</v>
      </c>
      <c r="G649" s="101"/>
      <c r="H649" s="101"/>
      <c r="I649" s="101"/>
      <c r="J649" s="101"/>
      <c r="K649" s="101"/>
      <c r="L649" s="101"/>
      <c r="M649" s="101"/>
      <c r="N649" s="101"/>
      <c r="O649" s="101"/>
      <c r="P649" s="101"/>
      <c r="Q649" s="101"/>
      <c r="R649" s="101"/>
      <c r="S649" s="101"/>
      <c r="T649" s="101"/>
      <c r="U649" s="101"/>
      <c r="V649" s="101"/>
      <c r="W649" s="101"/>
      <c r="X649" s="101"/>
      <c r="Y649" s="101"/>
      <c r="Z649" s="101"/>
    </row>
    <row r="650">
      <c r="A650" s="101"/>
      <c r="B650" s="101"/>
      <c r="C650" s="101" t="str">
        <f>IFERROR(__xludf.DUMMYFUNCTION("""COMPUTED_VALUE"""),"LAYS OLIVEIRA COSTA VENANCIO")</f>
        <v>LAYS OLIVEIRA COSTA VENANCIO</v>
      </c>
      <c r="D650" s="101" t="str">
        <f>IFERROR(__xludf.DUMMYFUNCTION("""COMPUTED_VALUE"""),"132.***.***-31")</f>
        <v>132.***.***-31</v>
      </c>
      <c r="E650" s="101">
        <f>IFERROR(__xludf.DUMMYFUNCTION("""COMPUTED_VALUE"""),7.0)</f>
        <v>7</v>
      </c>
      <c r="F650" s="101" t="str">
        <f>IFERROR(__xludf.DUMMYFUNCTION("""COMPUTED_VALUE"""),"132.984.076-31")</f>
        <v>132.984.076-31</v>
      </c>
      <c r="G650" s="101"/>
      <c r="H650" s="101"/>
      <c r="I650" s="101"/>
      <c r="J650" s="101"/>
      <c r="K650" s="101"/>
      <c r="L650" s="101"/>
      <c r="M650" s="101"/>
      <c r="N650" s="101"/>
      <c r="O650" s="101"/>
      <c r="P650" s="101"/>
      <c r="Q650" s="101"/>
      <c r="R650" s="101"/>
      <c r="S650" s="101"/>
      <c r="T650" s="101"/>
      <c r="U650" s="101"/>
      <c r="V650" s="101"/>
      <c r="W650" s="101"/>
      <c r="X650" s="101"/>
      <c r="Y650" s="101"/>
      <c r="Z650" s="101"/>
    </row>
    <row r="651">
      <c r="A651" s="101"/>
      <c r="B651" s="101"/>
      <c r="C651" s="101" t="str">
        <f>IFERROR(__xludf.DUMMYFUNCTION("""COMPUTED_VALUE"""),"VITORIA REGINA FERREIRA MARTINS")</f>
        <v>VITORIA REGINA FERREIRA MARTINS</v>
      </c>
      <c r="D651" s="101" t="str">
        <f>IFERROR(__xludf.DUMMYFUNCTION("""COMPUTED_VALUE"""),"376.***.***-66")</f>
        <v>376.***.***-66</v>
      </c>
      <c r="E651" s="101">
        <f>IFERROR(__xludf.DUMMYFUNCTION("""COMPUTED_VALUE"""),4.0)</f>
        <v>4</v>
      </c>
      <c r="F651" s="101" t="str">
        <f>IFERROR(__xludf.DUMMYFUNCTION("""COMPUTED_VALUE"""),"376.784.658-66")</f>
        <v>376.784.658-66</v>
      </c>
      <c r="G651" s="101"/>
      <c r="H651" s="101"/>
      <c r="I651" s="101"/>
      <c r="J651" s="101"/>
      <c r="K651" s="101"/>
      <c r="L651" s="101"/>
      <c r="M651" s="101"/>
      <c r="N651" s="101"/>
      <c r="O651" s="101"/>
      <c r="P651" s="101"/>
      <c r="Q651" s="101"/>
      <c r="R651" s="101"/>
      <c r="S651" s="101"/>
      <c r="T651" s="101"/>
      <c r="U651" s="101"/>
      <c r="V651" s="101"/>
      <c r="W651" s="101"/>
      <c r="X651" s="101"/>
      <c r="Y651" s="101"/>
      <c r="Z651" s="101"/>
    </row>
    <row r="652">
      <c r="A652" s="101"/>
      <c r="B652" s="101"/>
      <c r="C652" s="101" t="str">
        <f>IFERROR(__xludf.DUMMYFUNCTION("""COMPUTED_VALUE"""),"SABRINA DE SOUZA CAVALCANTE")</f>
        <v>SABRINA DE SOUZA CAVALCANTE</v>
      </c>
      <c r="D652" s="101" t="str">
        <f>IFERROR(__xludf.DUMMYFUNCTION("""COMPUTED_VALUE"""),"426.***.***-01")</f>
        <v>426.***.***-01</v>
      </c>
      <c r="E652" s="101">
        <f>IFERROR(__xludf.DUMMYFUNCTION("""COMPUTED_VALUE"""),16.0)</f>
        <v>16</v>
      </c>
      <c r="F652" s="101" t="str">
        <f>IFERROR(__xludf.DUMMYFUNCTION("""COMPUTED_VALUE"""),"426.030.908-01")</f>
        <v>426.030.908-01</v>
      </c>
      <c r="G652" s="101"/>
      <c r="H652" s="101"/>
      <c r="I652" s="101"/>
      <c r="J652" s="101"/>
      <c r="K652" s="101"/>
      <c r="L652" s="101"/>
      <c r="M652" s="101"/>
      <c r="N652" s="101"/>
      <c r="O652" s="101"/>
      <c r="P652" s="101"/>
      <c r="Q652" s="101"/>
      <c r="R652" s="101"/>
      <c r="S652" s="101"/>
      <c r="T652" s="101"/>
      <c r="U652" s="101"/>
      <c r="V652" s="101"/>
      <c r="W652" s="101"/>
      <c r="X652" s="101"/>
      <c r="Y652" s="101"/>
      <c r="Z652" s="101"/>
    </row>
    <row r="653">
      <c r="A653" s="101"/>
      <c r="B653" s="101"/>
      <c r="C653" s="101" t="str">
        <f>IFERROR(__xludf.DUMMYFUNCTION("""COMPUTED_VALUE"""),"THIAGO LUIZ COSTA COELHO")</f>
        <v>THIAGO LUIZ COSTA COELHO</v>
      </c>
      <c r="D653" s="101" t="str">
        <f>IFERROR(__xludf.DUMMYFUNCTION("""COMPUTED_VALUE"""),"529.***.***-03")</f>
        <v>529.***.***-03</v>
      </c>
      <c r="E653" s="101">
        <f>IFERROR(__xludf.DUMMYFUNCTION("""COMPUTED_VALUE"""),10.0)</f>
        <v>10</v>
      </c>
      <c r="F653" s="101" t="str">
        <f>IFERROR(__xludf.DUMMYFUNCTION("""COMPUTED_VALUE"""),"529.989.578-03")</f>
        <v>529.989.578-03</v>
      </c>
      <c r="G653" s="101"/>
      <c r="H653" s="101"/>
      <c r="I653" s="101"/>
      <c r="J653" s="101"/>
      <c r="K653" s="101"/>
      <c r="L653" s="101"/>
      <c r="M653" s="101"/>
      <c r="N653" s="101"/>
      <c r="O653" s="101"/>
      <c r="P653" s="101"/>
      <c r="Q653" s="101"/>
      <c r="R653" s="101"/>
      <c r="S653" s="101"/>
      <c r="T653" s="101"/>
      <c r="U653" s="101"/>
      <c r="V653" s="101"/>
      <c r="W653" s="101"/>
      <c r="X653" s="101"/>
      <c r="Y653" s="101"/>
      <c r="Z653" s="101"/>
    </row>
    <row r="654">
      <c r="A654" s="101"/>
      <c r="B654" s="101"/>
      <c r="C654" s="101" t="str">
        <f>IFERROR(__xludf.DUMMYFUNCTION("""COMPUTED_VALUE"""),"GRAZIELE DE LIMA")</f>
        <v>GRAZIELE DE LIMA</v>
      </c>
      <c r="D654" s="101" t="str">
        <f>IFERROR(__xludf.DUMMYFUNCTION("""COMPUTED_VALUE"""),"479.***.***-89")</f>
        <v>479.***.***-89</v>
      </c>
      <c r="E654" s="101">
        <f>IFERROR(__xludf.DUMMYFUNCTION("""COMPUTED_VALUE"""),6.0)</f>
        <v>6</v>
      </c>
      <c r="F654" s="101" t="str">
        <f>IFERROR(__xludf.DUMMYFUNCTION("""COMPUTED_VALUE"""),"479.848.848-89")</f>
        <v>479.848.848-89</v>
      </c>
      <c r="G654" s="101"/>
      <c r="H654" s="101"/>
      <c r="I654" s="101"/>
      <c r="J654" s="101"/>
      <c r="K654" s="101"/>
      <c r="L654" s="101"/>
      <c r="M654" s="101"/>
      <c r="N654" s="101"/>
      <c r="O654" s="101"/>
      <c r="P654" s="101"/>
      <c r="Q654" s="101"/>
      <c r="R654" s="101"/>
      <c r="S654" s="101"/>
      <c r="T654" s="101"/>
      <c r="U654" s="101"/>
      <c r="V654" s="101"/>
      <c r="W654" s="101"/>
      <c r="X654" s="101"/>
      <c r="Y654" s="101"/>
      <c r="Z654" s="101"/>
    </row>
    <row r="655">
      <c r="A655" s="101"/>
      <c r="B655" s="101"/>
      <c r="C655" s="101" t="str">
        <f>IFERROR(__xludf.DUMMYFUNCTION("""COMPUTED_VALUE"""),"RAUL OLIVEIRA ARAUJO DA SILVA")</f>
        <v>RAUL OLIVEIRA ARAUJO DA SILVA</v>
      </c>
      <c r="D655" s="101" t="str">
        <f>IFERROR(__xludf.DUMMYFUNCTION("""COMPUTED_VALUE"""),"480.***.***-54")</f>
        <v>480.***.***-54</v>
      </c>
      <c r="E655" s="101">
        <f>IFERROR(__xludf.DUMMYFUNCTION("""COMPUTED_VALUE"""),10.0)</f>
        <v>10</v>
      </c>
      <c r="F655" s="101" t="str">
        <f>IFERROR(__xludf.DUMMYFUNCTION("""COMPUTED_VALUE"""),"480.686.428-54")</f>
        <v>480.686.428-54</v>
      </c>
      <c r="G655" s="101"/>
      <c r="H655" s="101"/>
      <c r="I655" s="101"/>
      <c r="J655" s="101"/>
      <c r="K655" s="101"/>
      <c r="L655" s="101"/>
      <c r="M655" s="101"/>
      <c r="N655" s="101"/>
      <c r="O655" s="101"/>
      <c r="P655" s="101"/>
      <c r="Q655" s="101"/>
      <c r="R655" s="101"/>
      <c r="S655" s="101"/>
      <c r="T655" s="101"/>
      <c r="U655" s="101"/>
      <c r="V655" s="101"/>
      <c r="W655" s="101"/>
      <c r="X655" s="101"/>
      <c r="Y655" s="101"/>
      <c r="Z655" s="101"/>
    </row>
    <row r="656">
      <c r="A656" s="101"/>
      <c r="B656" s="101"/>
      <c r="C656" s="101" t="str">
        <f>IFERROR(__xludf.DUMMYFUNCTION("""COMPUTED_VALUE"""),"GABRIELLA CARLI MENDES")</f>
        <v>GABRIELLA CARLI MENDES</v>
      </c>
      <c r="D656" s="101" t="str">
        <f>IFERROR(__xludf.DUMMYFUNCTION("""COMPUTED_VALUE"""),"119.***.***-40")</f>
        <v>119.***.***-40</v>
      </c>
      <c r="E656" s="101">
        <f>IFERROR(__xludf.DUMMYFUNCTION("""COMPUTED_VALUE"""),2.0)</f>
        <v>2</v>
      </c>
      <c r="F656" s="101" t="str">
        <f>IFERROR(__xludf.DUMMYFUNCTION("""COMPUTED_VALUE"""),"119.689.846-40")</f>
        <v>119.689.846-40</v>
      </c>
      <c r="G656" s="101"/>
      <c r="H656" s="101"/>
      <c r="I656" s="101"/>
      <c r="J656" s="101"/>
      <c r="K656" s="101"/>
      <c r="L656" s="101"/>
      <c r="M656" s="101"/>
      <c r="N656" s="101"/>
      <c r="O656" s="101"/>
      <c r="P656" s="101"/>
      <c r="Q656" s="101"/>
      <c r="R656" s="101"/>
      <c r="S656" s="101"/>
      <c r="T656" s="101"/>
      <c r="U656" s="101"/>
      <c r="V656" s="101"/>
      <c r="W656" s="101"/>
      <c r="X656" s="101"/>
      <c r="Y656" s="101"/>
      <c r="Z656" s="101"/>
    </row>
    <row r="657">
      <c r="A657" s="101"/>
      <c r="B657" s="101"/>
      <c r="C657" s="101" t="str">
        <f>IFERROR(__xludf.DUMMYFUNCTION("""COMPUTED_VALUE"""),"BÁRBARA BEATRIZ LOW")</f>
        <v>BÁRBARA BEATRIZ LOW</v>
      </c>
      <c r="D657" s="101" t="str">
        <f>IFERROR(__xludf.DUMMYFUNCTION("""COMPUTED_VALUE"""),"476.***.***-38")</f>
        <v>476.***.***-38</v>
      </c>
      <c r="E657" s="101">
        <f>IFERROR(__xludf.DUMMYFUNCTION("""COMPUTED_VALUE"""),1.0)</f>
        <v>1</v>
      </c>
      <c r="F657" s="101" t="str">
        <f>IFERROR(__xludf.DUMMYFUNCTION("""COMPUTED_VALUE"""),"476.276.788-38")</f>
        <v>476.276.788-38</v>
      </c>
      <c r="G657" s="101"/>
      <c r="H657" s="101"/>
      <c r="I657" s="101"/>
      <c r="J657" s="101"/>
      <c r="K657" s="101"/>
      <c r="L657" s="101"/>
      <c r="M657" s="101"/>
      <c r="N657" s="101"/>
      <c r="O657" s="101"/>
      <c r="P657" s="101"/>
      <c r="Q657" s="101"/>
      <c r="R657" s="101"/>
      <c r="S657" s="101"/>
      <c r="T657" s="101"/>
      <c r="U657" s="101"/>
      <c r="V657" s="101"/>
      <c r="W657" s="101"/>
      <c r="X657" s="101"/>
      <c r="Y657" s="101"/>
      <c r="Z657" s="101"/>
    </row>
    <row r="658">
      <c r="A658" s="101"/>
      <c r="B658" s="101"/>
      <c r="C658" s="101" t="str">
        <f>IFERROR(__xludf.DUMMYFUNCTION("""COMPUTED_VALUE"""),"ALLANE RAPHAELLI ROCHA FERREIRA")</f>
        <v>ALLANE RAPHAELLI ROCHA FERREIRA</v>
      </c>
      <c r="D658" s="101" t="str">
        <f>IFERROR(__xludf.DUMMYFUNCTION("""COMPUTED_VALUE"""),"485.***.***-62")</f>
        <v>485.***.***-62</v>
      </c>
      <c r="E658" s="101">
        <f>IFERROR(__xludf.DUMMYFUNCTION("""COMPUTED_VALUE"""),1.0)</f>
        <v>1</v>
      </c>
      <c r="F658" s="101" t="str">
        <f>IFERROR(__xludf.DUMMYFUNCTION("""COMPUTED_VALUE"""),"485.465.258-62")</f>
        <v>485.465.258-62</v>
      </c>
      <c r="G658" s="101"/>
      <c r="H658" s="101"/>
      <c r="I658" s="101"/>
      <c r="J658" s="101"/>
      <c r="K658" s="101"/>
      <c r="L658" s="101"/>
      <c r="M658" s="101"/>
      <c r="N658" s="101"/>
      <c r="O658" s="101"/>
      <c r="P658" s="101"/>
      <c r="Q658" s="101"/>
      <c r="R658" s="101"/>
      <c r="S658" s="101"/>
      <c r="T658" s="101"/>
      <c r="U658" s="101"/>
      <c r="V658" s="101"/>
      <c r="W658" s="101"/>
      <c r="X658" s="101"/>
      <c r="Y658" s="101"/>
      <c r="Z658" s="101"/>
    </row>
    <row r="659">
      <c r="A659" s="101"/>
      <c r="B659" s="101"/>
      <c r="C659" s="101" t="str">
        <f>IFERROR(__xludf.DUMMYFUNCTION("""COMPUTED_VALUE"""),"PEDRO ROCHA PEREIRA NETO")</f>
        <v>PEDRO ROCHA PEREIRA NETO</v>
      </c>
      <c r="D659" s="101" t="str">
        <f>IFERROR(__xludf.DUMMYFUNCTION("""COMPUTED_VALUE"""),"529.***.***-17")</f>
        <v>529.***.***-17</v>
      </c>
      <c r="E659" s="101">
        <f>IFERROR(__xludf.DUMMYFUNCTION("""COMPUTED_VALUE"""),14.0)</f>
        <v>14</v>
      </c>
      <c r="F659" s="101" t="str">
        <f>IFERROR(__xludf.DUMMYFUNCTION("""COMPUTED_VALUE"""),"529.037.498-17")</f>
        <v>529.037.498-17</v>
      </c>
      <c r="G659" s="101"/>
      <c r="H659" s="101"/>
      <c r="I659" s="101"/>
      <c r="J659" s="101"/>
      <c r="K659" s="101"/>
      <c r="L659" s="101"/>
      <c r="M659" s="101"/>
      <c r="N659" s="101"/>
      <c r="O659" s="101"/>
      <c r="P659" s="101"/>
      <c r="Q659" s="101"/>
      <c r="R659" s="101"/>
      <c r="S659" s="101"/>
      <c r="T659" s="101"/>
      <c r="U659" s="101"/>
      <c r="V659" s="101"/>
      <c r="W659" s="101"/>
      <c r="X659" s="101"/>
      <c r="Y659" s="101"/>
      <c r="Z659" s="101"/>
    </row>
    <row r="660">
      <c r="A660" s="101"/>
      <c r="B660" s="101"/>
      <c r="C660" s="101" t="str">
        <f>IFERROR(__xludf.DUMMYFUNCTION("""COMPUTED_VALUE"""),"DIANA EULIRIO DE SOUZA")</f>
        <v>DIANA EULIRIO DE SOUZA</v>
      </c>
      <c r="D660" s="101" t="str">
        <f>IFERROR(__xludf.DUMMYFUNCTION("""COMPUTED_VALUE"""),"239.***.***-30")</f>
        <v>239.***.***-30</v>
      </c>
      <c r="E660" s="101">
        <f>IFERROR(__xludf.DUMMYFUNCTION("""COMPUTED_VALUE"""),4.0)</f>
        <v>4</v>
      </c>
      <c r="F660" s="101" t="str">
        <f>IFERROR(__xludf.DUMMYFUNCTION("""COMPUTED_VALUE"""),"239.890.778-30")</f>
        <v>239.890.778-30</v>
      </c>
      <c r="G660" s="101"/>
      <c r="H660" s="101"/>
      <c r="I660" s="101"/>
      <c r="J660" s="101"/>
      <c r="K660" s="101"/>
      <c r="L660" s="101"/>
      <c r="M660" s="101"/>
      <c r="N660" s="101"/>
      <c r="O660" s="101"/>
      <c r="P660" s="101"/>
      <c r="Q660" s="101"/>
      <c r="R660" s="101"/>
      <c r="S660" s="101"/>
      <c r="T660" s="101"/>
      <c r="U660" s="101"/>
      <c r="V660" s="101"/>
      <c r="W660" s="101"/>
      <c r="X660" s="101"/>
      <c r="Y660" s="101"/>
      <c r="Z660" s="101"/>
    </row>
    <row r="661">
      <c r="A661" s="101"/>
      <c r="B661" s="101"/>
      <c r="C661" s="101" t="str">
        <f>IFERROR(__xludf.DUMMYFUNCTION("""COMPUTED_VALUE"""),"GIOVANNA BARRILI DE  OLIVEIRA")</f>
        <v>GIOVANNA BARRILI DE  OLIVEIRA</v>
      </c>
      <c r="D661" s="101" t="str">
        <f>IFERROR(__xludf.DUMMYFUNCTION("""COMPUTED_VALUE"""),"425.***.***-10")</f>
        <v>425.***.***-10</v>
      </c>
      <c r="E661" s="101">
        <f>IFERROR(__xludf.DUMMYFUNCTION("""COMPUTED_VALUE"""),6.0)</f>
        <v>6</v>
      </c>
      <c r="F661" s="101" t="str">
        <f>IFERROR(__xludf.DUMMYFUNCTION("""COMPUTED_VALUE"""),"425.646.458-10")</f>
        <v>425.646.458-10</v>
      </c>
      <c r="G661" s="101"/>
      <c r="H661" s="101"/>
      <c r="I661" s="101"/>
      <c r="J661" s="101"/>
      <c r="K661" s="101"/>
      <c r="L661" s="101"/>
      <c r="M661" s="101"/>
      <c r="N661" s="101"/>
      <c r="O661" s="101"/>
      <c r="P661" s="101"/>
      <c r="Q661" s="101"/>
      <c r="R661" s="101"/>
      <c r="S661" s="101"/>
      <c r="T661" s="101"/>
      <c r="U661" s="101"/>
      <c r="V661" s="101"/>
      <c r="W661" s="101"/>
      <c r="X661" s="101"/>
      <c r="Y661" s="101"/>
      <c r="Z661" s="101"/>
    </row>
    <row r="662">
      <c r="A662" s="101"/>
      <c r="B662" s="101"/>
      <c r="C662" s="101" t="str">
        <f>IFERROR(__xludf.DUMMYFUNCTION("""COMPUTED_VALUE"""),"DANILO GABRIEL DE MORAES")</f>
        <v>DANILO GABRIEL DE MORAES</v>
      </c>
      <c r="D662" s="101" t="str">
        <f>IFERROR(__xludf.DUMMYFUNCTION("""COMPUTED_VALUE"""),"375.***.***-60")</f>
        <v>375.***.***-60</v>
      </c>
      <c r="E662" s="101">
        <f>IFERROR(__xludf.DUMMYFUNCTION("""COMPUTED_VALUE"""),2.0)</f>
        <v>2</v>
      </c>
      <c r="F662" s="101" t="str">
        <f>IFERROR(__xludf.DUMMYFUNCTION("""COMPUTED_VALUE"""),"375.416.888-60")</f>
        <v>375.416.888-60</v>
      </c>
      <c r="G662" s="101"/>
      <c r="H662" s="101"/>
      <c r="I662" s="101"/>
      <c r="J662" s="101"/>
      <c r="K662" s="101"/>
      <c r="L662" s="101"/>
      <c r="M662" s="101"/>
      <c r="N662" s="101"/>
      <c r="O662" s="101"/>
      <c r="P662" s="101"/>
      <c r="Q662" s="101"/>
      <c r="R662" s="101"/>
      <c r="S662" s="101"/>
      <c r="T662" s="101"/>
      <c r="U662" s="101"/>
      <c r="V662" s="101"/>
      <c r="W662" s="101"/>
      <c r="X662" s="101"/>
      <c r="Y662" s="101"/>
      <c r="Z662" s="101"/>
    </row>
    <row r="663">
      <c r="A663" s="101"/>
      <c r="B663" s="101"/>
      <c r="C663" s="101" t="str">
        <f>IFERROR(__xludf.DUMMYFUNCTION("""COMPUTED_VALUE"""),"RAMON DIEGO RODRIGUES")</f>
        <v>RAMON DIEGO RODRIGUES</v>
      </c>
      <c r="D663" s="101" t="str">
        <f>IFERROR(__xludf.DUMMYFUNCTION("""COMPUTED_VALUE"""),"123.***.***-96")</f>
        <v>123.***.***-96</v>
      </c>
      <c r="E663" s="101">
        <f>IFERROR(__xludf.DUMMYFUNCTION("""COMPUTED_VALUE"""),9.0)</f>
        <v>9</v>
      </c>
      <c r="F663" s="101" t="str">
        <f>IFERROR(__xludf.DUMMYFUNCTION("""COMPUTED_VALUE"""),"123.751.514-96")</f>
        <v>123.751.514-96</v>
      </c>
      <c r="G663" s="101"/>
      <c r="H663" s="101"/>
      <c r="I663" s="101"/>
      <c r="J663" s="101"/>
      <c r="K663" s="101"/>
      <c r="L663" s="101"/>
      <c r="M663" s="101"/>
      <c r="N663" s="101"/>
      <c r="O663" s="101"/>
      <c r="P663" s="101"/>
      <c r="Q663" s="101"/>
      <c r="R663" s="101"/>
      <c r="S663" s="101"/>
      <c r="T663" s="101"/>
      <c r="U663" s="101"/>
      <c r="V663" s="101"/>
      <c r="W663" s="101"/>
      <c r="X663" s="101"/>
      <c r="Y663" s="101"/>
      <c r="Z663" s="101"/>
    </row>
    <row r="664">
      <c r="A664" s="101"/>
      <c r="B664" s="101"/>
      <c r="C664" s="101" t="str">
        <f>IFERROR(__xludf.DUMMYFUNCTION("""COMPUTED_VALUE"""),"RAFAELA BEZERRA ALCÂNTARA FARIA")</f>
        <v>RAFAELA BEZERRA ALCÂNTARA FARIA</v>
      </c>
      <c r="D664" s="101" t="str">
        <f>IFERROR(__xludf.DUMMYFUNCTION("""COMPUTED_VALUE"""),"324.***.***-99")</f>
        <v>324.***.***-99</v>
      </c>
      <c r="E664" s="101">
        <f>IFERROR(__xludf.DUMMYFUNCTION("""COMPUTED_VALUE"""),14.0)</f>
        <v>14</v>
      </c>
      <c r="F664" s="101" t="str">
        <f>IFERROR(__xludf.DUMMYFUNCTION("""COMPUTED_VALUE"""),"324.424.378-99")</f>
        <v>324.424.378-99</v>
      </c>
      <c r="G664" s="101"/>
      <c r="H664" s="101"/>
      <c r="I664" s="101"/>
      <c r="J664" s="101"/>
      <c r="K664" s="101"/>
      <c r="L664" s="101"/>
      <c r="M664" s="101"/>
      <c r="N664" s="101"/>
      <c r="O664" s="101"/>
      <c r="P664" s="101"/>
      <c r="Q664" s="101"/>
      <c r="R664" s="101"/>
      <c r="S664" s="101"/>
      <c r="T664" s="101"/>
      <c r="U664" s="101"/>
      <c r="V664" s="101"/>
      <c r="W664" s="101"/>
      <c r="X664" s="101"/>
      <c r="Y664" s="101"/>
      <c r="Z664" s="101"/>
    </row>
    <row r="665">
      <c r="A665" s="101"/>
      <c r="B665" s="101"/>
      <c r="C665" s="101" t="str">
        <f>IFERROR(__xludf.DUMMYFUNCTION("""COMPUTED_VALUE"""),"ANTONIO ALVES DE ALMEIDA JUNIOR")</f>
        <v>ANTONIO ALVES DE ALMEIDA JUNIOR</v>
      </c>
      <c r="D665" s="101" t="str">
        <f>IFERROR(__xludf.DUMMYFUNCTION("""COMPUTED_VALUE"""),"456.***.***-66")</f>
        <v>456.***.***-66</v>
      </c>
      <c r="E665" s="101">
        <f>IFERROR(__xludf.DUMMYFUNCTION("""COMPUTED_VALUE"""),1.0)</f>
        <v>1</v>
      </c>
      <c r="F665" s="101" t="str">
        <f>IFERROR(__xludf.DUMMYFUNCTION("""COMPUTED_VALUE"""),"456.600.308-66")</f>
        <v>456.600.308-66</v>
      </c>
      <c r="G665" s="101"/>
      <c r="H665" s="101"/>
      <c r="I665" s="101"/>
      <c r="J665" s="101"/>
      <c r="K665" s="101"/>
      <c r="L665" s="101"/>
      <c r="M665" s="101"/>
      <c r="N665" s="101"/>
      <c r="O665" s="101"/>
      <c r="P665" s="101"/>
      <c r="Q665" s="101"/>
      <c r="R665" s="101"/>
      <c r="S665" s="101"/>
      <c r="T665" s="101"/>
      <c r="U665" s="101"/>
      <c r="V665" s="101"/>
      <c r="W665" s="101"/>
      <c r="X665" s="101"/>
      <c r="Y665" s="101"/>
      <c r="Z665" s="101"/>
    </row>
    <row r="666">
      <c r="A666" s="101"/>
      <c r="B666" s="101"/>
      <c r="C666" s="101" t="str">
        <f>IFERROR(__xludf.DUMMYFUNCTION("""COMPUTED_VALUE"""),"KAUÃ DO NASCIMENTO PERES")</f>
        <v>KAUÃ DO NASCIMENTO PERES</v>
      </c>
      <c r="D666" s="101" t="str">
        <f>IFERROR(__xludf.DUMMYFUNCTION("""COMPUTED_VALUE"""),"532.***.***-88")</f>
        <v>532.***.***-88</v>
      </c>
      <c r="E666" s="101">
        <f>IFERROR(__xludf.DUMMYFUNCTION("""COMPUTED_VALUE"""),9.0)</f>
        <v>9</v>
      </c>
      <c r="F666" s="101" t="str">
        <f>IFERROR(__xludf.DUMMYFUNCTION("""COMPUTED_VALUE"""),"532.105.408-88")</f>
        <v>532.105.408-88</v>
      </c>
      <c r="G666" s="101"/>
      <c r="H666" s="101"/>
      <c r="I666" s="101"/>
      <c r="J666" s="101"/>
      <c r="K666" s="101"/>
      <c r="L666" s="101"/>
      <c r="M666" s="101"/>
      <c r="N666" s="101"/>
      <c r="O666" s="101"/>
      <c r="P666" s="101"/>
      <c r="Q666" s="101"/>
      <c r="R666" s="101"/>
      <c r="S666" s="101"/>
      <c r="T666" s="101"/>
      <c r="U666" s="101"/>
      <c r="V666" s="101"/>
      <c r="W666" s="101"/>
      <c r="X666" s="101"/>
      <c r="Y666" s="101"/>
      <c r="Z666" s="101"/>
    </row>
    <row r="667">
      <c r="A667" s="101"/>
      <c r="B667" s="101"/>
      <c r="C667" s="101" t="str">
        <f>IFERROR(__xludf.DUMMYFUNCTION("""COMPUTED_VALUE"""),"CAIO MENEZES CALDAS")</f>
        <v>CAIO MENEZES CALDAS</v>
      </c>
      <c r="D667" s="101" t="str">
        <f>IFERROR(__xludf.DUMMYFUNCTION("""COMPUTED_VALUE"""),"323.***.***-03")</f>
        <v>323.***.***-03</v>
      </c>
      <c r="E667" s="101">
        <f>IFERROR(__xludf.DUMMYFUNCTION("""COMPUTED_VALUE"""),2.0)</f>
        <v>2</v>
      </c>
      <c r="F667" s="101" t="str">
        <f>IFERROR(__xludf.DUMMYFUNCTION("""COMPUTED_VALUE"""),"323.621.788-03")</f>
        <v>323.621.788-03</v>
      </c>
      <c r="G667" s="101"/>
      <c r="H667" s="101"/>
      <c r="I667" s="101"/>
      <c r="J667" s="101"/>
      <c r="K667" s="101"/>
      <c r="L667" s="101"/>
      <c r="M667" s="101"/>
      <c r="N667" s="101"/>
      <c r="O667" s="101"/>
      <c r="P667" s="101"/>
      <c r="Q667" s="101"/>
      <c r="R667" s="101"/>
      <c r="S667" s="101"/>
      <c r="T667" s="101"/>
      <c r="U667" s="101"/>
      <c r="V667" s="101"/>
      <c r="W667" s="101"/>
      <c r="X667" s="101"/>
      <c r="Y667" s="101"/>
      <c r="Z667" s="101"/>
    </row>
    <row r="668">
      <c r="A668" s="101"/>
      <c r="B668" s="101"/>
      <c r="C668" s="101" t="str">
        <f>IFERROR(__xludf.DUMMYFUNCTION("""COMPUTED_VALUE"""),"ISADORA MATIAS DE MELO")</f>
        <v>ISADORA MATIAS DE MELO</v>
      </c>
      <c r="D668" s="101" t="str">
        <f>IFERROR(__xludf.DUMMYFUNCTION("""COMPUTED_VALUE"""),"489.***.***-40")</f>
        <v>489.***.***-40</v>
      </c>
      <c r="E668" s="101">
        <f>IFERROR(__xludf.DUMMYFUNCTION("""COMPUTED_VALUE"""),7.0)</f>
        <v>7</v>
      </c>
      <c r="F668" s="101" t="str">
        <f>IFERROR(__xludf.DUMMYFUNCTION("""COMPUTED_VALUE"""),"489.789.188-40")</f>
        <v>489.789.188-40</v>
      </c>
      <c r="G668" s="101"/>
      <c r="H668" s="101"/>
      <c r="I668" s="101"/>
      <c r="J668" s="101"/>
      <c r="K668" s="101"/>
      <c r="L668" s="101"/>
      <c r="M668" s="101"/>
      <c r="N668" s="101"/>
      <c r="O668" s="101"/>
      <c r="P668" s="101"/>
      <c r="Q668" s="101"/>
      <c r="R668" s="101"/>
      <c r="S668" s="101"/>
      <c r="T668" s="101"/>
      <c r="U668" s="101"/>
      <c r="V668" s="101"/>
      <c r="W668" s="101"/>
      <c r="X668" s="101"/>
      <c r="Y668" s="101"/>
      <c r="Z668" s="101"/>
    </row>
    <row r="669">
      <c r="A669" s="101"/>
      <c r="B669" s="101"/>
      <c r="C669" s="101" t="str">
        <f>IFERROR(__xludf.DUMMYFUNCTION("""COMPUTED_VALUE"""),"GUILHERME COLLA DAMIANI")</f>
        <v>GUILHERME COLLA DAMIANI</v>
      </c>
      <c r="D669" s="101" t="str">
        <f>IFERROR(__xludf.DUMMYFUNCTION("""COMPUTED_VALUE"""),"227.***.***-88")</f>
        <v>227.***.***-88</v>
      </c>
      <c r="E669" s="101">
        <f>IFERROR(__xludf.DUMMYFUNCTION("""COMPUTED_VALUE"""),4.0)</f>
        <v>4</v>
      </c>
      <c r="F669" s="101" t="str">
        <f>IFERROR(__xludf.DUMMYFUNCTION("""COMPUTED_VALUE"""),"227.873.588-88")</f>
        <v>227.873.588-88</v>
      </c>
      <c r="G669" s="101"/>
      <c r="H669" s="101"/>
      <c r="I669" s="101"/>
      <c r="J669" s="101"/>
      <c r="K669" s="101"/>
      <c r="L669" s="101"/>
      <c r="M669" s="101"/>
      <c r="N669" s="101"/>
      <c r="O669" s="101"/>
      <c r="P669" s="101"/>
      <c r="Q669" s="101"/>
      <c r="R669" s="101"/>
      <c r="S669" s="101"/>
      <c r="T669" s="101"/>
      <c r="U669" s="101"/>
      <c r="V669" s="101"/>
      <c r="W669" s="101"/>
      <c r="X669" s="101"/>
      <c r="Y669" s="101"/>
      <c r="Z669" s="101"/>
    </row>
    <row r="670">
      <c r="A670" s="101"/>
      <c r="B670" s="101"/>
      <c r="C670" s="101" t="str">
        <f>IFERROR(__xludf.DUMMYFUNCTION("""COMPUTED_VALUE"""),"MARIA LUIZA DOS ANJOS TITO")</f>
        <v>MARIA LUIZA DOS ANJOS TITO</v>
      </c>
      <c r="D670" s="101" t="str">
        <f>IFERROR(__xludf.DUMMYFUNCTION("""COMPUTED_VALUE"""),"453.***.***-13")</f>
        <v>453.***.***-13</v>
      </c>
      <c r="E670" s="101">
        <f>IFERROR(__xludf.DUMMYFUNCTION("""COMPUTED_VALUE"""),8.0)</f>
        <v>8</v>
      </c>
      <c r="F670" s="101" t="str">
        <f>IFERROR(__xludf.DUMMYFUNCTION("""COMPUTED_VALUE"""),"453.083.458-13")</f>
        <v>453.083.458-13</v>
      </c>
      <c r="G670" s="101"/>
      <c r="H670" s="101"/>
      <c r="I670" s="101"/>
      <c r="J670" s="101"/>
      <c r="K670" s="101"/>
      <c r="L670" s="101"/>
      <c r="M670" s="101"/>
      <c r="N670" s="101"/>
      <c r="O670" s="101"/>
      <c r="P670" s="101"/>
      <c r="Q670" s="101"/>
      <c r="R670" s="101"/>
      <c r="S670" s="101"/>
      <c r="T670" s="101"/>
      <c r="U670" s="101"/>
      <c r="V670" s="101"/>
      <c r="W670" s="101"/>
      <c r="X670" s="101"/>
      <c r="Y670" s="101"/>
      <c r="Z670" s="101"/>
    </row>
    <row r="671">
      <c r="A671" s="101"/>
      <c r="B671" s="101"/>
      <c r="C671" s="101" t="str">
        <f>IFERROR(__xludf.DUMMYFUNCTION("""COMPUTED_VALUE"""),"MURILO MELLO SALAIBB DE CARVALHO")</f>
        <v>MURILO MELLO SALAIBB DE CARVALHO</v>
      </c>
      <c r="D671" s="101" t="str">
        <f>IFERROR(__xludf.DUMMYFUNCTION("""COMPUTED_VALUE"""),"542.***.***-75")</f>
        <v>542.***.***-75</v>
      </c>
      <c r="E671" s="101">
        <f>IFERROR(__xludf.DUMMYFUNCTION("""COMPUTED_VALUE"""),8.0)</f>
        <v>8</v>
      </c>
      <c r="F671" s="101" t="str">
        <f>IFERROR(__xludf.DUMMYFUNCTION("""COMPUTED_VALUE"""),"542.347.738-75")</f>
        <v>542.347.738-75</v>
      </c>
      <c r="G671" s="101"/>
      <c r="H671" s="101"/>
      <c r="I671" s="101"/>
      <c r="J671" s="101"/>
      <c r="K671" s="101"/>
      <c r="L671" s="101"/>
      <c r="M671" s="101"/>
      <c r="N671" s="101"/>
      <c r="O671" s="101"/>
      <c r="P671" s="101"/>
      <c r="Q671" s="101"/>
      <c r="R671" s="101"/>
      <c r="S671" s="101"/>
      <c r="T671" s="101"/>
      <c r="U671" s="101"/>
      <c r="V671" s="101"/>
      <c r="W671" s="101"/>
      <c r="X671" s="101"/>
      <c r="Y671" s="101"/>
      <c r="Z671" s="101"/>
    </row>
    <row r="672">
      <c r="A672" s="101"/>
      <c r="B672" s="101"/>
      <c r="C672" s="101" t="str">
        <f>IFERROR(__xludf.DUMMYFUNCTION("""COMPUTED_VALUE"""),"VITORIA MARIA LEAL DOS SANTOS")</f>
        <v>VITORIA MARIA LEAL DOS SANTOS</v>
      </c>
      <c r="D672" s="101" t="str">
        <f>IFERROR(__xludf.DUMMYFUNCTION("""COMPUTED_VALUE"""),"244.***.***-65")</f>
        <v>244.***.***-65</v>
      </c>
      <c r="E672" s="101">
        <f>IFERROR(__xludf.DUMMYFUNCTION("""COMPUTED_VALUE"""),10.0)</f>
        <v>10</v>
      </c>
      <c r="F672" s="101" t="str">
        <f>IFERROR(__xludf.DUMMYFUNCTION("""COMPUTED_VALUE"""),"244.519.298-65")</f>
        <v>244.519.298-65</v>
      </c>
      <c r="G672" s="101"/>
      <c r="H672" s="101"/>
      <c r="I672" s="101"/>
      <c r="J672" s="101"/>
      <c r="K672" s="101"/>
      <c r="L672" s="101"/>
      <c r="M672" s="101"/>
      <c r="N672" s="101"/>
      <c r="O672" s="101"/>
      <c r="P672" s="101"/>
      <c r="Q672" s="101"/>
      <c r="R672" s="101"/>
      <c r="S672" s="101"/>
      <c r="T672" s="101"/>
      <c r="U672" s="101"/>
      <c r="V672" s="101"/>
      <c r="W672" s="101"/>
      <c r="X672" s="101"/>
      <c r="Y672" s="101"/>
      <c r="Z672" s="101"/>
    </row>
    <row r="673">
      <c r="A673" s="101"/>
      <c r="B673" s="101"/>
      <c r="C673" s="101" t="str">
        <f>IFERROR(__xludf.DUMMYFUNCTION("""COMPUTED_VALUE"""),"ARUÃ LUNA MARQUES DE SOUZA")</f>
        <v>ARUÃ LUNA MARQUES DE SOUZA</v>
      </c>
      <c r="D673" s="101" t="str">
        <f>IFERROR(__xludf.DUMMYFUNCTION("""COMPUTED_VALUE"""),"122.***.***-47")</f>
        <v>122.***.***-47</v>
      </c>
      <c r="E673" s="101">
        <f>IFERROR(__xludf.DUMMYFUNCTION("""COMPUTED_VALUE"""),1.0)</f>
        <v>1</v>
      </c>
      <c r="F673" s="101" t="str">
        <f>IFERROR(__xludf.DUMMYFUNCTION("""COMPUTED_VALUE"""),"122.897.834-47")</f>
        <v>122.897.834-47</v>
      </c>
      <c r="G673" s="101"/>
      <c r="H673" s="101"/>
      <c r="I673" s="101"/>
      <c r="J673" s="101"/>
      <c r="K673" s="101"/>
      <c r="L673" s="101"/>
      <c r="M673" s="101"/>
      <c r="N673" s="101"/>
      <c r="O673" s="101"/>
      <c r="P673" s="101"/>
      <c r="Q673" s="101"/>
      <c r="R673" s="101"/>
      <c r="S673" s="101"/>
      <c r="T673" s="101"/>
      <c r="U673" s="101"/>
      <c r="V673" s="101"/>
      <c r="W673" s="101"/>
      <c r="X673" s="101"/>
      <c r="Y673" s="101"/>
      <c r="Z673" s="101"/>
    </row>
    <row r="674">
      <c r="A674" s="101"/>
      <c r="B674" s="101"/>
      <c r="C674" s="101" t="str">
        <f>IFERROR(__xludf.DUMMYFUNCTION("""COMPUTED_VALUE"""),"ALINE LUCIA DAS CHAGAS SOUSA FERREIRA")</f>
        <v>ALINE LUCIA DAS CHAGAS SOUSA FERREIRA</v>
      </c>
      <c r="D674" s="101" t="str">
        <f>IFERROR(__xludf.DUMMYFUNCTION("""COMPUTED_VALUE"""),"495.***.***-39")</f>
        <v>495.***.***-39</v>
      </c>
      <c r="E674" s="101">
        <f>IFERROR(__xludf.DUMMYFUNCTION("""COMPUTED_VALUE"""),1.0)</f>
        <v>1</v>
      </c>
      <c r="F674" s="101" t="str">
        <f>IFERROR(__xludf.DUMMYFUNCTION("""COMPUTED_VALUE"""),"495.113.938-39")</f>
        <v>495.113.938-39</v>
      </c>
      <c r="G674" s="101"/>
      <c r="H674" s="101"/>
      <c r="I674" s="101"/>
      <c r="J674" s="101"/>
      <c r="K674" s="101"/>
      <c r="L674" s="101"/>
      <c r="M674" s="101"/>
      <c r="N674" s="101"/>
      <c r="O674" s="101"/>
      <c r="P674" s="101"/>
      <c r="Q674" s="101"/>
      <c r="R674" s="101"/>
      <c r="S674" s="101"/>
      <c r="T674" s="101"/>
      <c r="U674" s="101"/>
      <c r="V674" s="101"/>
      <c r="W674" s="101"/>
      <c r="X674" s="101"/>
      <c r="Y674" s="101"/>
      <c r="Z674" s="101"/>
    </row>
    <row r="675">
      <c r="A675" s="101"/>
      <c r="B675" s="101"/>
      <c r="C675" s="101" t="str">
        <f>IFERROR(__xludf.DUMMYFUNCTION("""COMPUTED_VALUE"""),"GABRIEL DE ARAUJO LEAL SILVA")</f>
        <v>GABRIEL DE ARAUJO LEAL SILVA</v>
      </c>
      <c r="D675" s="101" t="str">
        <f>IFERROR(__xludf.DUMMYFUNCTION("""COMPUTED_VALUE"""),"449.***.***-07")</f>
        <v>449.***.***-07</v>
      </c>
      <c r="E675" s="101">
        <f>IFERROR(__xludf.DUMMYFUNCTION("""COMPUTED_VALUE"""),5.0)</f>
        <v>5</v>
      </c>
      <c r="F675" s="101" t="str">
        <f>IFERROR(__xludf.DUMMYFUNCTION("""COMPUTED_VALUE"""),"449.903.008-07")</f>
        <v>449.903.008-07</v>
      </c>
      <c r="G675" s="101"/>
      <c r="H675" s="101"/>
      <c r="I675" s="101"/>
      <c r="J675" s="101"/>
      <c r="K675" s="101"/>
      <c r="L675" s="101"/>
      <c r="M675" s="101"/>
      <c r="N675" s="101"/>
      <c r="O675" s="101"/>
      <c r="P675" s="101"/>
      <c r="Q675" s="101"/>
      <c r="R675" s="101"/>
      <c r="S675" s="101"/>
      <c r="T675" s="101"/>
      <c r="U675" s="101"/>
      <c r="V675" s="101"/>
      <c r="W675" s="101"/>
      <c r="X675" s="101"/>
      <c r="Y675" s="101"/>
      <c r="Z675" s="101"/>
    </row>
    <row r="676">
      <c r="A676" s="101"/>
      <c r="B676" s="101"/>
      <c r="C676" s="101" t="str">
        <f>IFERROR(__xludf.DUMMYFUNCTION("""COMPUTED_VALUE"""),"NYX SPINOLA")</f>
        <v>NYX SPINOLA</v>
      </c>
      <c r="D676" s="101" t="str">
        <f>IFERROR(__xludf.DUMMYFUNCTION("""COMPUTED_VALUE"""),"498.***.***-94")</f>
        <v>498.***.***-94</v>
      </c>
      <c r="E676" s="101">
        <f>IFERROR(__xludf.DUMMYFUNCTION("""COMPUTED_VALUE"""),9.0)</f>
        <v>9</v>
      </c>
      <c r="F676" s="101" t="str">
        <f>IFERROR(__xludf.DUMMYFUNCTION("""COMPUTED_VALUE"""),"498.097.718-94")</f>
        <v>498.097.718-94</v>
      </c>
      <c r="G676" s="101"/>
      <c r="H676" s="101"/>
      <c r="I676" s="101"/>
      <c r="J676" s="101"/>
      <c r="K676" s="101"/>
      <c r="L676" s="101"/>
      <c r="M676" s="101"/>
      <c r="N676" s="101"/>
      <c r="O676" s="101"/>
      <c r="P676" s="101"/>
      <c r="Q676" s="101"/>
      <c r="R676" s="101"/>
      <c r="S676" s="101"/>
      <c r="T676" s="101"/>
      <c r="U676" s="101"/>
      <c r="V676" s="101"/>
      <c r="W676" s="101"/>
      <c r="X676" s="101"/>
      <c r="Y676" s="101"/>
      <c r="Z676" s="101"/>
    </row>
    <row r="677">
      <c r="A677" s="101"/>
      <c r="B677" s="101"/>
      <c r="C677" s="101" t="str">
        <f>IFERROR(__xludf.DUMMYFUNCTION("""COMPUTED_VALUE"""),"IZABELA SOUZA ANDRADE")</f>
        <v>IZABELA SOUZA ANDRADE</v>
      </c>
      <c r="D677" s="101" t="str">
        <f>IFERROR(__xludf.DUMMYFUNCTION("""COMPUTED_VALUE"""),"507.***.***-36")</f>
        <v>507.***.***-36</v>
      </c>
      <c r="E677" s="101">
        <f>IFERROR(__xludf.DUMMYFUNCTION("""COMPUTED_VALUE"""),2.0)</f>
        <v>2</v>
      </c>
      <c r="F677" s="101" t="str">
        <f>IFERROR(__xludf.DUMMYFUNCTION("""COMPUTED_VALUE"""),"507.600.458-36")</f>
        <v>507.600.458-36</v>
      </c>
      <c r="G677" s="101"/>
      <c r="H677" s="101"/>
      <c r="I677" s="101"/>
      <c r="J677" s="101"/>
      <c r="K677" s="101"/>
      <c r="L677" s="101"/>
      <c r="M677" s="101"/>
      <c r="N677" s="101"/>
      <c r="O677" s="101"/>
      <c r="P677" s="101"/>
      <c r="Q677" s="101"/>
      <c r="R677" s="101"/>
      <c r="S677" s="101"/>
      <c r="T677" s="101"/>
      <c r="U677" s="101"/>
      <c r="V677" s="101"/>
      <c r="W677" s="101"/>
      <c r="X677" s="101"/>
      <c r="Y677" s="101"/>
      <c r="Z677" s="101"/>
    </row>
    <row r="678">
      <c r="A678" s="101"/>
      <c r="B678" s="101"/>
      <c r="C678" s="101" t="str">
        <f>IFERROR(__xludf.DUMMYFUNCTION("""COMPUTED_VALUE"""),"ANA BEATRIZ AVANTAGGIATO OLIVEIRA SILVA")</f>
        <v>ANA BEATRIZ AVANTAGGIATO OLIVEIRA SILVA</v>
      </c>
      <c r="D678" s="101" t="str">
        <f>IFERROR(__xludf.DUMMYFUNCTION("""COMPUTED_VALUE"""),"479.***.***-59")</f>
        <v>479.***.***-59</v>
      </c>
      <c r="E678" s="101">
        <f>IFERROR(__xludf.DUMMYFUNCTION("""COMPUTED_VALUE"""),1.0)</f>
        <v>1</v>
      </c>
      <c r="F678" s="101" t="str">
        <f>IFERROR(__xludf.DUMMYFUNCTION("""COMPUTED_VALUE"""),"479.979.918-59")</f>
        <v>479.979.918-59</v>
      </c>
      <c r="G678" s="101"/>
      <c r="H678" s="101"/>
      <c r="I678" s="101"/>
      <c r="J678" s="101"/>
      <c r="K678" s="101"/>
      <c r="L678" s="101"/>
      <c r="M678" s="101"/>
      <c r="N678" s="101"/>
      <c r="O678" s="101"/>
      <c r="P678" s="101"/>
      <c r="Q678" s="101"/>
      <c r="R678" s="101"/>
      <c r="S678" s="101"/>
      <c r="T678" s="101"/>
      <c r="U678" s="101"/>
      <c r="V678" s="101"/>
      <c r="W678" s="101"/>
      <c r="X678" s="101"/>
      <c r="Y678" s="101"/>
      <c r="Z678" s="101"/>
    </row>
    <row r="679">
      <c r="A679" s="101"/>
      <c r="B679" s="101"/>
      <c r="C679" s="101" t="str">
        <f>IFERROR(__xludf.DUMMYFUNCTION("""COMPUTED_VALUE"""),"ERICKSON MELGACO FERRAZ RIBEIRO")</f>
        <v>ERICKSON MELGACO FERRAZ RIBEIRO</v>
      </c>
      <c r="D679" s="101" t="str">
        <f>IFERROR(__xludf.DUMMYFUNCTION("""COMPUTED_VALUE"""),"435.***.***-11")</f>
        <v>435.***.***-11</v>
      </c>
      <c r="E679" s="101">
        <f>IFERROR(__xludf.DUMMYFUNCTION("""COMPUTED_VALUE"""),4.0)</f>
        <v>4</v>
      </c>
      <c r="F679" s="101" t="str">
        <f>IFERROR(__xludf.DUMMYFUNCTION("""COMPUTED_VALUE"""),"435.046.668-11")</f>
        <v>435.046.668-11</v>
      </c>
      <c r="G679" s="101"/>
      <c r="H679" s="101"/>
      <c r="I679" s="101"/>
      <c r="J679" s="101"/>
      <c r="K679" s="101"/>
      <c r="L679" s="101"/>
      <c r="M679" s="101"/>
      <c r="N679" s="101"/>
      <c r="O679" s="101"/>
      <c r="P679" s="101"/>
      <c r="Q679" s="101"/>
      <c r="R679" s="101"/>
      <c r="S679" s="101"/>
      <c r="T679" s="101"/>
      <c r="U679" s="101"/>
      <c r="V679" s="101"/>
      <c r="W679" s="101"/>
      <c r="X679" s="101"/>
      <c r="Y679" s="101"/>
      <c r="Z679" s="101"/>
    </row>
    <row r="680">
      <c r="A680" s="101"/>
      <c r="B680" s="101"/>
      <c r="C680" s="101" t="str">
        <f>IFERROR(__xludf.DUMMYFUNCTION("""COMPUTED_VALUE"""),"GLAUCIA DE MORAES SELOTTO")</f>
        <v>GLAUCIA DE MORAES SELOTTO</v>
      </c>
      <c r="D680" s="101" t="str">
        <f>IFERROR(__xludf.DUMMYFUNCTION("""COMPUTED_VALUE"""),"432.***.***-10")</f>
        <v>432.***.***-10</v>
      </c>
      <c r="E680" s="101">
        <f>IFERROR(__xludf.DUMMYFUNCTION("""COMPUTED_VALUE"""),6.0)</f>
        <v>6</v>
      </c>
      <c r="F680" s="101" t="str">
        <f>IFERROR(__xludf.DUMMYFUNCTION("""COMPUTED_VALUE"""),"432.784.438-10")</f>
        <v>432.784.438-10</v>
      </c>
      <c r="G680" s="101"/>
      <c r="H680" s="101"/>
      <c r="I680" s="101"/>
      <c r="J680" s="101"/>
      <c r="K680" s="101"/>
      <c r="L680" s="101"/>
      <c r="M680" s="101"/>
      <c r="N680" s="101"/>
      <c r="O680" s="101"/>
      <c r="P680" s="101"/>
      <c r="Q680" s="101"/>
      <c r="R680" s="101"/>
      <c r="S680" s="101"/>
      <c r="T680" s="101"/>
      <c r="U680" s="101"/>
      <c r="V680" s="101"/>
      <c r="W680" s="101"/>
      <c r="X680" s="101"/>
      <c r="Y680" s="101"/>
      <c r="Z680" s="101"/>
    </row>
    <row r="681">
      <c r="A681" s="101"/>
      <c r="B681" s="101"/>
      <c r="C681" s="101" t="str">
        <f>IFERROR(__xludf.DUMMYFUNCTION("""COMPUTED_VALUE"""),"GUE HENRIQUE")</f>
        <v>GUE HENRIQUE</v>
      </c>
      <c r="D681" s="101" t="str">
        <f>IFERROR(__xludf.DUMMYFUNCTION("""COMPUTED_VALUE"""),"372.***.***-64")</f>
        <v>372.***.***-64</v>
      </c>
      <c r="E681" s="101">
        <f>IFERROR(__xludf.DUMMYFUNCTION("""COMPUTED_VALUE"""),4.0)</f>
        <v>4</v>
      </c>
      <c r="F681" s="101" t="str">
        <f>IFERROR(__xludf.DUMMYFUNCTION("""COMPUTED_VALUE"""),"372.536.658-64")</f>
        <v>372.536.658-64</v>
      </c>
      <c r="G681" s="101"/>
      <c r="H681" s="101"/>
      <c r="I681" s="101"/>
      <c r="J681" s="101"/>
      <c r="K681" s="101"/>
      <c r="L681" s="101"/>
      <c r="M681" s="101"/>
      <c r="N681" s="101"/>
      <c r="O681" s="101"/>
      <c r="P681" s="101"/>
      <c r="Q681" s="101"/>
      <c r="R681" s="101"/>
      <c r="S681" s="101"/>
      <c r="T681" s="101"/>
      <c r="U681" s="101"/>
      <c r="V681" s="101"/>
      <c r="W681" s="101"/>
      <c r="X681" s="101"/>
      <c r="Y681" s="101"/>
      <c r="Z681" s="101"/>
    </row>
    <row r="682">
      <c r="A682" s="101"/>
      <c r="B682" s="101"/>
      <c r="C682" s="101" t="str">
        <f>IFERROR(__xludf.DUMMYFUNCTION("""COMPUTED_VALUE"""),"CAIO CAVALCANTE VILELA DE JESUS")</f>
        <v>CAIO CAVALCANTE VILELA DE JESUS</v>
      </c>
      <c r="D682" s="101" t="str">
        <f>IFERROR(__xludf.DUMMYFUNCTION("""COMPUTED_VALUE"""),"512.***.***-42")</f>
        <v>512.***.***-42</v>
      </c>
      <c r="E682" s="101">
        <f>IFERROR(__xludf.DUMMYFUNCTION("""COMPUTED_VALUE"""),3.0)</f>
        <v>3</v>
      </c>
      <c r="F682" s="101" t="str">
        <f>IFERROR(__xludf.DUMMYFUNCTION("""COMPUTED_VALUE"""),"512.222.888-42")</f>
        <v>512.222.888-42</v>
      </c>
      <c r="G682" s="101"/>
      <c r="H682" s="101"/>
      <c r="I682" s="101"/>
      <c r="J682" s="101"/>
      <c r="K682" s="101"/>
      <c r="L682" s="101"/>
      <c r="M682" s="101"/>
      <c r="N682" s="101"/>
      <c r="O682" s="101"/>
      <c r="P682" s="101"/>
      <c r="Q682" s="101"/>
      <c r="R682" s="101"/>
      <c r="S682" s="101"/>
      <c r="T682" s="101"/>
      <c r="U682" s="101"/>
      <c r="V682" s="101"/>
      <c r="W682" s="101"/>
      <c r="X682" s="101"/>
      <c r="Y682" s="101"/>
      <c r="Z682" s="101"/>
    </row>
    <row r="683">
      <c r="A683" s="101"/>
      <c r="B683" s="101"/>
      <c r="C683" s="101" t="str">
        <f>IFERROR(__xludf.DUMMYFUNCTION("""COMPUTED_VALUE"""),"VYTORYA MARQUES DE OLIVEIRA")</f>
        <v>VYTORYA MARQUES DE OLIVEIRA</v>
      </c>
      <c r="D683" s="101" t="str">
        <f>IFERROR(__xludf.DUMMYFUNCTION("""COMPUTED_VALUE"""),"329.***.***-06")</f>
        <v>329.***.***-06</v>
      </c>
      <c r="E683" s="101">
        <f>IFERROR(__xludf.DUMMYFUNCTION("""COMPUTED_VALUE"""),10.0)</f>
        <v>10</v>
      </c>
      <c r="F683" s="101" t="str">
        <f>IFERROR(__xludf.DUMMYFUNCTION("""COMPUTED_VALUE"""),"329.701.628-06")</f>
        <v>329.701.628-06</v>
      </c>
      <c r="G683" s="101"/>
      <c r="H683" s="101"/>
      <c r="I683" s="101"/>
      <c r="J683" s="101"/>
      <c r="K683" s="101"/>
      <c r="L683" s="101"/>
      <c r="M683" s="101"/>
      <c r="N683" s="101"/>
      <c r="O683" s="101"/>
      <c r="P683" s="101"/>
      <c r="Q683" s="101"/>
      <c r="R683" s="101"/>
      <c r="S683" s="101"/>
      <c r="T683" s="101"/>
      <c r="U683" s="101"/>
      <c r="V683" s="101"/>
      <c r="W683" s="101"/>
      <c r="X683" s="101"/>
      <c r="Y683" s="101"/>
      <c r="Z683" s="101"/>
    </row>
    <row r="684">
      <c r="A684" s="101"/>
      <c r="B684" s="101"/>
      <c r="C684" s="101" t="str">
        <f>IFERROR(__xludf.DUMMYFUNCTION("""COMPUTED_VALUE"""),"VIVIANNE DE NOVAIS PASSOS")</f>
        <v>VIVIANNE DE NOVAIS PASSOS</v>
      </c>
      <c r="D684" s="101" t="str">
        <f>IFERROR(__xludf.DUMMYFUNCTION("""COMPUTED_VALUE"""),"367.***.***-92")</f>
        <v>367.***.***-92</v>
      </c>
      <c r="E684" s="101">
        <f>IFERROR(__xludf.DUMMYFUNCTION("""COMPUTED_VALUE"""),4.0)</f>
        <v>4</v>
      </c>
      <c r="F684" s="101" t="str">
        <f>IFERROR(__xludf.DUMMYFUNCTION("""COMPUTED_VALUE"""),"367.425.728-92")</f>
        <v>367.425.728-92</v>
      </c>
      <c r="G684" s="101"/>
      <c r="H684" s="101"/>
      <c r="I684" s="101"/>
      <c r="J684" s="101"/>
      <c r="K684" s="101"/>
      <c r="L684" s="101"/>
      <c r="M684" s="101"/>
      <c r="N684" s="101"/>
      <c r="O684" s="101"/>
      <c r="P684" s="101"/>
      <c r="Q684" s="101"/>
      <c r="R684" s="101"/>
      <c r="S684" s="101"/>
      <c r="T684" s="101"/>
      <c r="U684" s="101"/>
      <c r="V684" s="101"/>
      <c r="W684" s="101"/>
      <c r="X684" s="101"/>
      <c r="Y684" s="101"/>
      <c r="Z684" s="101"/>
    </row>
    <row r="685">
      <c r="A685" s="101"/>
      <c r="B685" s="101"/>
      <c r="C685" s="101" t="str">
        <f>IFERROR(__xludf.DUMMYFUNCTION("""COMPUTED_VALUE"""),"RONATHAN ALVES OLIVEIRA DA SILVA")</f>
        <v>RONATHAN ALVES OLIVEIRA DA SILVA</v>
      </c>
      <c r="D685" s="101" t="str">
        <f>IFERROR(__xludf.DUMMYFUNCTION("""COMPUTED_VALUE"""),"022.***.***-05")</f>
        <v>022.***.***-05</v>
      </c>
      <c r="E685" s="101">
        <f>IFERROR(__xludf.DUMMYFUNCTION("""COMPUTED_VALUE"""),10.0)</f>
        <v>10</v>
      </c>
      <c r="F685" s="101" t="str">
        <f>IFERROR(__xludf.DUMMYFUNCTION("""COMPUTED_VALUE"""),"022.384.612-05")</f>
        <v>022.384.612-05</v>
      </c>
      <c r="G685" s="101"/>
      <c r="H685" s="101"/>
      <c r="I685" s="101"/>
      <c r="J685" s="101"/>
      <c r="K685" s="101"/>
      <c r="L685" s="101"/>
      <c r="M685" s="101"/>
      <c r="N685" s="101"/>
      <c r="O685" s="101"/>
      <c r="P685" s="101"/>
      <c r="Q685" s="101"/>
      <c r="R685" s="101"/>
      <c r="S685" s="101"/>
      <c r="T685" s="101"/>
      <c r="U685" s="101"/>
      <c r="V685" s="101"/>
      <c r="W685" s="101"/>
      <c r="X685" s="101"/>
      <c r="Y685" s="101"/>
      <c r="Z685" s="101"/>
    </row>
    <row r="686">
      <c r="A686" s="101"/>
      <c r="B686" s="101"/>
      <c r="C686" s="101" t="str">
        <f>IFERROR(__xludf.DUMMYFUNCTION("""COMPUTED_VALUE"""),"RAFAEL EURÍPEDES SILVA EMILIANO")</f>
        <v>RAFAEL EURÍPEDES SILVA EMILIANO</v>
      </c>
      <c r="D686" s="101" t="str">
        <f>IFERROR(__xludf.DUMMYFUNCTION("""COMPUTED_VALUE"""),"047.***.***-86")</f>
        <v>047.***.***-86</v>
      </c>
      <c r="E686" s="101">
        <f>IFERROR(__xludf.DUMMYFUNCTION("""COMPUTED_VALUE"""),4.0)</f>
        <v>4</v>
      </c>
      <c r="F686" s="101" t="str">
        <f>IFERROR(__xludf.DUMMYFUNCTION("""COMPUTED_VALUE"""),"047.900.631-86")</f>
        <v>047.900.631-86</v>
      </c>
      <c r="G686" s="101"/>
      <c r="H686" s="101"/>
      <c r="I686" s="101"/>
      <c r="J686" s="101"/>
      <c r="K686" s="101"/>
      <c r="L686" s="101"/>
      <c r="M686" s="101"/>
      <c r="N686" s="101"/>
      <c r="O686" s="101"/>
      <c r="P686" s="101"/>
      <c r="Q686" s="101"/>
      <c r="R686" s="101"/>
      <c r="S686" s="101"/>
      <c r="T686" s="101"/>
      <c r="U686" s="101"/>
      <c r="V686" s="101"/>
      <c r="W686" s="101"/>
      <c r="X686" s="101"/>
      <c r="Y686" s="101"/>
      <c r="Z686" s="101"/>
    </row>
    <row r="687">
      <c r="A687" s="101"/>
      <c r="B687" s="101"/>
      <c r="C687" s="101" t="str">
        <f>IFERROR(__xludf.DUMMYFUNCTION("""COMPUTED_VALUE"""),"MARIA VERONICA DA SILVA PACHECO")</f>
        <v>MARIA VERONICA DA SILVA PACHECO</v>
      </c>
      <c r="D687" s="101" t="str">
        <f>IFERROR(__xludf.DUMMYFUNCTION("""COMPUTED_VALUE"""),"552.***.***-28")</f>
        <v>552.***.***-28</v>
      </c>
      <c r="E687" s="101">
        <f>IFERROR(__xludf.DUMMYFUNCTION("""COMPUTED_VALUE"""),17.0)</f>
        <v>17</v>
      </c>
      <c r="F687" s="101" t="str">
        <f>IFERROR(__xludf.DUMMYFUNCTION("""COMPUTED_VALUE"""),"552.077.388-28")</f>
        <v>552.077.388-28</v>
      </c>
      <c r="G687" s="101"/>
      <c r="H687" s="101"/>
      <c r="I687" s="101"/>
      <c r="J687" s="101"/>
      <c r="K687" s="101"/>
      <c r="L687" s="101"/>
      <c r="M687" s="101"/>
      <c r="N687" s="101"/>
      <c r="O687" s="101"/>
      <c r="P687" s="101"/>
      <c r="Q687" s="101"/>
      <c r="R687" s="101"/>
      <c r="S687" s="101"/>
      <c r="T687" s="101"/>
      <c r="U687" s="101"/>
      <c r="V687" s="101"/>
      <c r="W687" s="101"/>
      <c r="X687" s="101"/>
      <c r="Y687" s="101"/>
      <c r="Z687" s="101"/>
    </row>
    <row r="688">
      <c r="A688" s="101"/>
      <c r="B688" s="101"/>
      <c r="C688" s="101" t="str">
        <f>IFERROR(__xludf.DUMMYFUNCTION("""COMPUTED_VALUE"""),"MISTY ANTONIETA AZEVEDO ABJON")</f>
        <v>MISTY ANTONIETA AZEVEDO ABJON</v>
      </c>
      <c r="D688" s="101" t="str">
        <f>IFERROR(__xludf.DUMMYFUNCTION("""COMPUTED_VALUE"""),"471.***.***-69")</f>
        <v>471.***.***-69</v>
      </c>
      <c r="E688" s="101">
        <f>IFERROR(__xludf.DUMMYFUNCTION("""COMPUTED_VALUE"""),13.0)</f>
        <v>13</v>
      </c>
      <c r="F688" s="101" t="str">
        <f>IFERROR(__xludf.DUMMYFUNCTION("""COMPUTED_VALUE"""),"471.246.628-69")</f>
        <v>471.246.628-69</v>
      </c>
      <c r="G688" s="101"/>
      <c r="H688" s="101"/>
      <c r="I688" s="101"/>
      <c r="J688" s="101"/>
      <c r="K688" s="101"/>
      <c r="L688" s="101"/>
      <c r="M688" s="101"/>
      <c r="N688" s="101"/>
      <c r="O688" s="101"/>
      <c r="P688" s="101"/>
      <c r="Q688" s="101"/>
      <c r="R688" s="101"/>
      <c r="S688" s="101"/>
      <c r="T688" s="101"/>
      <c r="U688" s="101"/>
      <c r="V688" s="101"/>
      <c r="W688" s="101"/>
      <c r="X688" s="101"/>
      <c r="Y688" s="101"/>
      <c r="Z688" s="101"/>
    </row>
    <row r="689">
      <c r="A689" s="101"/>
      <c r="B689" s="101"/>
      <c r="C689" s="101" t="str">
        <f>IFERROR(__xludf.DUMMYFUNCTION("""COMPUTED_VALUE"""),"GUSTAVO MORAIS DE LIMA")</f>
        <v>GUSTAVO MORAIS DE LIMA</v>
      </c>
      <c r="D689" s="101" t="str">
        <f>IFERROR(__xludf.DUMMYFUNCTION("""COMPUTED_VALUE"""),"435.***.***-22")</f>
        <v>435.***.***-22</v>
      </c>
      <c r="E689" s="101">
        <f>IFERROR(__xludf.DUMMYFUNCTION("""COMPUTED_VALUE"""),4.0)</f>
        <v>4</v>
      </c>
      <c r="F689" s="101" t="str">
        <f>IFERROR(__xludf.DUMMYFUNCTION("""COMPUTED_VALUE"""),"435.815.158-22")</f>
        <v>435.815.158-22</v>
      </c>
      <c r="G689" s="101"/>
      <c r="H689" s="101"/>
      <c r="I689" s="101"/>
      <c r="J689" s="101"/>
      <c r="K689" s="101"/>
      <c r="L689" s="101"/>
      <c r="M689" s="101"/>
      <c r="N689" s="101"/>
      <c r="O689" s="101"/>
      <c r="P689" s="101"/>
      <c r="Q689" s="101"/>
      <c r="R689" s="101"/>
      <c r="S689" s="101"/>
      <c r="T689" s="101"/>
      <c r="U689" s="101"/>
      <c r="V689" s="101"/>
      <c r="W689" s="101"/>
      <c r="X689" s="101"/>
      <c r="Y689" s="101"/>
      <c r="Z689" s="101"/>
    </row>
    <row r="690">
      <c r="A690" s="101"/>
      <c r="B690" s="101"/>
      <c r="C690" s="101" t="str">
        <f>IFERROR(__xludf.DUMMYFUNCTION("""COMPUTED_VALUE"""),"LUCAS JOHNATAN NEVES FEITOSA")</f>
        <v>LUCAS JOHNATAN NEVES FEITOSA</v>
      </c>
      <c r="D690" s="101" t="str">
        <f>IFERROR(__xludf.DUMMYFUNCTION("""COMPUTED_VALUE"""),"440.***.***-95")</f>
        <v>440.***.***-95</v>
      </c>
      <c r="E690" s="101">
        <f>IFERROR(__xludf.DUMMYFUNCTION("""COMPUTED_VALUE"""),8.0)</f>
        <v>8</v>
      </c>
      <c r="F690" s="101" t="str">
        <f>IFERROR(__xludf.DUMMYFUNCTION("""COMPUTED_VALUE"""),"440.885.048-95")</f>
        <v>440.885.048-95</v>
      </c>
      <c r="G690" s="101"/>
      <c r="H690" s="101"/>
      <c r="I690" s="101"/>
      <c r="J690" s="101"/>
      <c r="K690" s="101"/>
      <c r="L690" s="101"/>
      <c r="M690" s="101"/>
      <c r="N690" s="101"/>
      <c r="O690" s="101"/>
      <c r="P690" s="101"/>
      <c r="Q690" s="101"/>
      <c r="R690" s="101"/>
      <c r="S690" s="101"/>
      <c r="T690" s="101"/>
      <c r="U690" s="101"/>
      <c r="V690" s="101"/>
      <c r="W690" s="101"/>
      <c r="X690" s="101"/>
      <c r="Y690" s="101"/>
      <c r="Z690" s="101"/>
    </row>
    <row r="691">
      <c r="A691" s="101"/>
      <c r="B691" s="101"/>
      <c r="C691" s="101" t="str">
        <f>IFERROR(__xludf.DUMMYFUNCTION("""COMPUTED_VALUE"""),"MARIA DOS REMEDIOS PAIVA SANTOS")</f>
        <v>MARIA DOS REMEDIOS PAIVA SANTOS</v>
      </c>
      <c r="D691" s="101" t="str">
        <f>IFERROR(__xludf.DUMMYFUNCTION("""COMPUTED_VALUE"""),"476.***.***-66")</f>
        <v>476.***.***-66</v>
      </c>
      <c r="E691" s="101">
        <f>IFERROR(__xludf.DUMMYFUNCTION("""COMPUTED_VALUE"""),8.0)</f>
        <v>8</v>
      </c>
      <c r="F691" s="101" t="str">
        <f>IFERROR(__xludf.DUMMYFUNCTION("""COMPUTED_VALUE"""),"476.789.058-66")</f>
        <v>476.789.058-66</v>
      </c>
      <c r="G691" s="101"/>
      <c r="H691" s="101"/>
      <c r="I691" s="101"/>
      <c r="J691" s="101"/>
      <c r="K691" s="101"/>
      <c r="L691" s="101"/>
      <c r="M691" s="101"/>
      <c r="N691" s="101"/>
      <c r="O691" s="101"/>
      <c r="P691" s="101"/>
      <c r="Q691" s="101"/>
      <c r="R691" s="101"/>
      <c r="S691" s="101"/>
      <c r="T691" s="101"/>
      <c r="U691" s="101"/>
      <c r="V691" s="101"/>
      <c r="W691" s="101"/>
      <c r="X691" s="101"/>
      <c r="Y691" s="101"/>
      <c r="Z691" s="101"/>
    </row>
    <row r="692">
      <c r="A692" s="101"/>
      <c r="B692" s="101"/>
      <c r="C692" s="101" t="str">
        <f>IFERROR(__xludf.DUMMYFUNCTION("""COMPUTED_VALUE"""),"KAILANE PEREIRA SANTANA")</f>
        <v>KAILANE PEREIRA SANTANA</v>
      </c>
      <c r="D692" s="101" t="str">
        <f>IFERROR(__xludf.DUMMYFUNCTION("""COMPUTED_VALUE"""),"523.***.***-80")</f>
        <v>523.***.***-80</v>
      </c>
      <c r="E692" s="101">
        <f>IFERROR(__xludf.DUMMYFUNCTION("""COMPUTED_VALUE"""),9.0)</f>
        <v>9</v>
      </c>
      <c r="F692" s="101" t="str">
        <f>IFERROR(__xludf.DUMMYFUNCTION("""COMPUTED_VALUE"""),"523.633.068-80")</f>
        <v>523.633.068-80</v>
      </c>
      <c r="G692" s="101"/>
      <c r="H692" s="101"/>
      <c r="I692" s="101"/>
      <c r="J692" s="101"/>
      <c r="K692" s="101"/>
      <c r="L692" s="101"/>
      <c r="M692" s="101"/>
      <c r="N692" s="101"/>
      <c r="O692" s="101"/>
      <c r="P692" s="101"/>
      <c r="Q692" s="101"/>
      <c r="R692" s="101"/>
      <c r="S692" s="101"/>
      <c r="T692" s="101"/>
      <c r="U692" s="101"/>
      <c r="V692" s="101"/>
      <c r="W692" s="101"/>
      <c r="X692" s="101"/>
      <c r="Y692" s="101"/>
      <c r="Z692" s="101"/>
    </row>
    <row r="693">
      <c r="A693" s="101"/>
      <c r="B693" s="101"/>
      <c r="C693" s="101" t="str">
        <f>IFERROR(__xludf.DUMMYFUNCTION("""COMPUTED_VALUE"""),"LUIS HENRIQUE DA SILVA")</f>
        <v>LUIS HENRIQUE DA SILVA</v>
      </c>
      <c r="D693" s="101" t="str">
        <f>IFERROR(__xludf.DUMMYFUNCTION("""COMPUTED_VALUE"""),"520.***.***-64")</f>
        <v>520.***.***-64</v>
      </c>
      <c r="E693" s="101">
        <f>IFERROR(__xludf.DUMMYFUNCTION("""COMPUTED_VALUE"""),7.0)</f>
        <v>7</v>
      </c>
      <c r="F693" s="101" t="str">
        <f>IFERROR(__xludf.DUMMYFUNCTION("""COMPUTED_VALUE"""),"520.294.878-64")</f>
        <v>520.294.878-64</v>
      </c>
      <c r="G693" s="101"/>
      <c r="H693" s="101"/>
      <c r="I693" s="101"/>
      <c r="J693" s="101"/>
      <c r="K693" s="101"/>
      <c r="L693" s="101"/>
      <c r="M693" s="101"/>
      <c r="N693" s="101"/>
      <c r="O693" s="101"/>
      <c r="P693" s="101"/>
      <c r="Q693" s="101"/>
      <c r="R693" s="101"/>
      <c r="S693" s="101"/>
      <c r="T693" s="101"/>
      <c r="U693" s="101"/>
      <c r="V693" s="101"/>
      <c r="W693" s="101"/>
      <c r="X693" s="101"/>
      <c r="Y693" s="101"/>
      <c r="Z693" s="101"/>
    </row>
    <row r="694">
      <c r="A694" s="101"/>
      <c r="B694" s="101"/>
      <c r="C694" s="101" t="str">
        <f>IFERROR(__xludf.DUMMYFUNCTION("""COMPUTED_VALUE"""),"HELOISA SILVA RIBEIRO")</f>
        <v>HELOISA SILVA RIBEIRO</v>
      </c>
      <c r="D694" s="101" t="str">
        <f>IFERROR(__xludf.DUMMYFUNCTION("""COMPUTED_VALUE"""),"466.***.***-93")</f>
        <v>466.***.***-93</v>
      </c>
      <c r="E694" s="101">
        <f>IFERROR(__xludf.DUMMYFUNCTION("""COMPUTED_VALUE"""),5.0)</f>
        <v>5</v>
      </c>
      <c r="F694" s="101" t="str">
        <f>IFERROR(__xludf.DUMMYFUNCTION("""COMPUTED_VALUE"""),"466.370.728-93")</f>
        <v>466.370.728-93</v>
      </c>
      <c r="G694" s="101"/>
      <c r="H694" s="101"/>
      <c r="I694" s="101"/>
      <c r="J694" s="101"/>
      <c r="K694" s="101"/>
      <c r="L694" s="101"/>
      <c r="M694" s="101"/>
      <c r="N694" s="101"/>
      <c r="O694" s="101"/>
      <c r="P694" s="101"/>
      <c r="Q694" s="101"/>
      <c r="R694" s="101"/>
      <c r="S694" s="101"/>
      <c r="T694" s="101"/>
      <c r="U694" s="101"/>
      <c r="V694" s="101"/>
      <c r="W694" s="101"/>
      <c r="X694" s="101"/>
      <c r="Y694" s="101"/>
      <c r="Z694" s="101"/>
    </row>
    <row r="695">
      <c r="A695" s="101"/>
      <c r="B695" s="101"/>
      <c r="C695" s="101" t="str">
        <f>IFERROR(__xludf.DUMMYFUNCTION("""COMPUTED_VALUE"""),"GUSTAVO PARREIRA")</f>
        <v>GUSTAVO PARREIRA</v>
      </c>
      <c r="D695" s="101" t="str">
        <f>IFERROR(__xludf.DUMMYFUNCTION("""COMPUTED_VALUE"""),"228.***.***-08")</f>
        <v>228.***.***-08</v>
      </c>
      <c r="E695" s="101">
        <f>IFERROR(__xludf.DUMMYFUNCTION("""COMPUTED_VALUE"""),5.0)</f>
        <v>5</v>
      </c>
      <c r="F695" s="101" t="str">
        <f>IFERROR(__xludf.DUMMYFUNCTION("""COMPUTED_VALUE"""),"228.542.048-08")</f>
        <v>228.542.048-08</v>
      </c>
      <c r="G695" s="101"/>
      <c r="H695" s="101"/>
      <c r="I695" s="101"/>
      <c r="J695" s="101"/>
      <c r="K695" s="101"/>
      <c r="L695" s="101"/>
      <c r="M695" s="101"/>
      <c r="N695" s="101"/>
      <c r="O695" s="101"/>
      <c r="P695" s="101"/>
      <c r="Q695" s="101"/>
      <c r="R695" s="101"/>
      <c r="S695" s="101"/>
      <c r="T695" s="101"/>
      <c r="U695" s="101"/>
      <c r="V695" s="101"/>
      <c r="W695" s="101"/>
      <c r="X695" s="101"/>
      <c r="Y695" s="101"/>
      <c r="Z695" s="101"/>
    </row>
    <row r="696">
      <c r="A696" s="101"/>
      <c r="B696" s="101"/>
      <c r="C696" s="101" t="str">
        <f>IFERROR(__xludf.DUMMYFUNCTION("""COMPUTED_VALUE"""),"SABRINA BORGES DA COSTA")</f>
        <v>SABRINA BORGES DA COSTA</v>
      </c>
      <c r="D696" s="101" t="str">
        <f>IFERROR(__xludf.DUMMYFUNCTION("""COMPUTED_VALUE"""),"484.***.***-00")</f>
        <v>484.***.***-00</v>
      </c>
      <c r="E696" s="101">
        <f>IFERROR(__xludf.DUMMYFUNCTION("""COMPUTED_VALUE"""),11.0)</f>
        <v>11</v>
      </c>
      <c r="F696" s="101" t="str">
        <f>IFERROR(__xludf.DUMMYFUNCTION("""COMPUTED_VALUE"""),"484.778.278-00")</f>
        <v>484.778.278-00</v>
      </c>
      <c r="G696" s="101"/>
      <c r="H696" s="101"/>
      <c r="I696" s="101"/>
      <c r="J696" s="101"/>
      <c r="K696" s="101"/>
      <c r="L696" s="101"/>
      <c r="M696" s="101"/>
      <c r="N696" s="101"/>
      <c r="O696" s="101"/>
      <c r="P696" s="101"/>
      <c r="Q696" s="101"/>
      <c r="R696" s="101"/>
      <c r="S696" s="101"/>
      <c r="T696" s="101"/>
      <c r="U696" s="101"/>
      <c r="V696" s="101"/>
      <c r="W696" s="101"/>
      <c r="X696" s="101"/>
      <c r="Y696" s="101"/>
      <c r="Z696" s="101"/>
    </row>
    <row r="697">
      <c r="A697" s="101"/>
      <c r="B697" s="101"/>
      <c r="C697" s="101" t="str">
        <f>IFERROR(__xludf.DUMMYFUNCTION("""COMPUTED_VALUE"""),"EMANUEL FABRICIO MENEZES")</f>
        <v>EMANUEL FABRICIO MENEZES</v>
      </c>
      <c r="D697" s="101" t="str">
        <f>IFERROR(__xludf.DUMMYFUNCTION("""COMPUTED_VALUE"""),"486.***.***-48")</f>
        <v>486.***.***-48</v>
      </c>
      <c r="E697" s="101">
        <f>IFERROR(__xludf.DUMMYFUNCTION("""COMPUTED_VALUE"""),4.0)</f>
        <v>4</v>
      </c>
      <c r="F697" s="101" t="str">
        <f>IFERROR(__xludf.DUMMYFUNCTION("""COMPUTED_VALUE"""),"486.610.648-48")</f>
        <v>486.610.648-48</v>
      </c>
      <c r="G697" s="101"/>
      <c r="H697" s="101"/>
      <c r="I697" s="101"/>
      <c r="J697" s="101"/>
      <c r="K697" s="101"/>
      <c r="L697" s="101"/>
      <c r="M697" s="101"/>
      <c r="N697" s="101"/>
      <c r="O697" s="101"/>
      <c r="P697" s="101"/>
      <c r="Q697" s="101"/>
      <c r="R697" s="101"/>
      <c r="S697" s="101"/>
      <c r="T697" s="101"/>
      <c r="U697" s="101"/>
      <c r="V697" s="101"/>
      <c r="W697" s="101"/>
      <c r="X697" s="101"/>
      <c r="Y697" s="101"/>
      <c r="Z697" s="101"/>
    </row>
    <row r="698">
      <c r="A698" s="101"/>
      <c r="B698" s="101"/>
      <c r="C698" s="101" t="str">
        <f>IFERROR(__xludf.DUMMYFUNCTION("""COMPUTED_VALUE"""),"BRUNA VITORIA GONCALVES")</f>
        <v>BRUNA VITORIA GONCALVES</v>
      </c>
      <c r="D698" s="101" t="str">
        <f>IFERROR(__xludf.DUMMYFUNCTION("""COMPUTED_VALUE"""),"241.***.***-01")</f>
        <v>241.***.***-01</v>
      </c>
      <c r="E698" s="101">
        <f>IFERROR(__xludf.DUMMYFUNCTION("""COMPUTED_VALUE"""),3.0)</f>
        <v>3</v>
      </c>
      <c r="F698" s="101" t="str">
        <f>IFERROR(__xludf.DUMMYFUNCTION("""COMPUTED_VALUE"""),"241.022.668-01")</f>
        <v>241.022.668-01</v>
      </c>
      <c r="G698" s="101"/>
      <c r="H698" s="101"/>
      <c r="I698" s="101"/>
      <c r="J698" s="101"/>
      <c r="K698" s="101"/>
      <c r="L698" s="101"/>
      <c r="M698" s="101"/>
      <c r="N698" s="101"/>
      <c r="O698" s="101"/>
      <c r="P698" s="101"/>
      <c r="Q698" s="101"/>
      <c r="R698" s="101"/>
      <c r="S698" s="101"/>
      <c r="T698" s="101"/>
      <c r="U698" s="101"/>
      <c r="V698" s="101"/>
      <c r="W698" s="101"/>
      <c r="X698" s="101"/>
      <c r="Y698" s="101"/>
      <c r="Z698" s="101"/>
    </row>
    <row r="699">
      <c r="A699" s="101"/>
      <c r="B699" s="101"/>
      <c r="C699" s="101" t="str">
        <f>IFERROR(__xludf.DUMMYFUNCTION("""COMPUTED_VALUE"""),"THAYNA SANTOS GAIA ")</f>
        <v>THAYNA SANTOS GAIA </v>
      </c>
      <c r="D699" s="101" t="str">
        <f>IFERROR(__xludf.DUMMYFUNCTION("""COMPUTED_VALUE"""),"373.***.***-07")</f>
        <v>373.***.***-07</v>
      </c>
      <c r="E699" s="101">
        <f>IFERROR(__xludf.DUMMYFUNCTION("""COMPUTED_VALUE"""),17.0)</f>
        <v>17</v>
      </c>
      <c r="F699" s="101" t="str">
        <f>IFERROR(__xludf.DUMMYFUNCTION("""COMPUTED_VALUE"""),"373.879.128-07")</f>
        <v>373.879.128-07</v>
      </c>
      <c r="G699" s="101"/>
      <c r="H699" s="101"/>
      <c r="I699" s="101"/>
      <c r="J699" s="101"/>
      <c r="K699" s="101"/>
      <c r="L699" s="101"/>
      <c r="M699" s="101"/>
      <c r="N699" s="101"/>
      <c r="O699" s="101"/>
      <c r="P699" s="101"/>
      <c r="Q699" s="101"/>
      <c r="R699" s="101"/>
      <c r="S699" s="101"/>
      <c r="T699" s="101"/>
      <c r="U699" s="101"/>
      <c r="V699" s="101"/>
      <c r="W699" s="101"/>
      <c r="X699" s="101"/>
      <c r="Y699" s="101"/>
      <c r="Z699" s="101"/>
    </row>
    <row r="700">
      <c r="A700" s="101"/>
      <c r="B700" s="101"/>
      <c r="C700" s="101" t="str">
        <f>IFERROR(__xludf.DUMMYFUNCTION("""COMPUTED_VALUE"""),"DAVID GOVE GOMES")</f>
        <v>DAVID GOVE GOMES</v>
      </c>
      <c r="D700" s="101" t="str">
        <f>IFERROR(__xludf.DUMMYFUNCTION("""COMPUTED_VALUE"""),"392.***.***-78")</f>
        <v>392.***.***-78</v>
      </c>
      <c r="E700" s="101">
        <f>IFERROR(__xludf.DUMMYFUNCTION("""COMPUTED_VALUE"""),2.0)</f>
        <v>2</v>
      </c>
      <c r="F700" s="101" t="str">
        <f>IFERROR(__xludf.DUMMYFUNCTION("""COMPUTED_VALUE"""),"392.094.328-78")</f>
        <v>392.094.328-78</v>
      </c>
      <c r="G700" s="101"/>
      <c r="H700" s="101"/>
      <c r="I700" s="101"/>
      <c r="J700" s="101"/>
      <c r="K700" s="101"/>
      <c r="L700" s="101"/>
      <c r="M700" s="101"/>
      <c r="N700" s="101"/>
      <c r="O700" s="101"/>
      <c r="P700" s="101"/>
      <c r="Q700" s="101"/>
      <c r="R700" s="101"/>
      <c r="S700" s="101"/>
      <c r="T700" s="101"/>
      <c r="U700" s="101"/>
      <c r="V700" s="101"/>
      <c r="W700" s="101"/>
      <c r="X700" s="101"/>
      <c r="Y700" s="101"/>
      <c r="Z700" s="101"/>
    </row>
    <row r="701">
      <c r="A701" s="101"/>
      <c r="B701" s="101"/>
      <c r="C701" s="101" t="str">
        <f>IFERROR(__xludf.DUMMYFUNCTION("""COMPUTED_VALUE"""),"DENER AUGUSTO DOS SANTOS")</f>
        <v>DENER AUGUSTO DOS SANTOS</v>
      </c>
      <c r="D701" s="101" t="str">
        <f>IFERROR(__xludf.DUMMYFUNCTION("""COMPUTED_VALUE"""),"479.***.***-27")</f>
        <v>479.***.***-27</v>
      </c>
      <c r="E701" s="101">
        <f>IFERROR(__xludf.DUMMYFUNCTION("""COMPUTED_VALUE"""),3.0)</f>
        <v>3</v>
      </c>
      <c r="F701" s="101" t="str">
        <f>IFERROR(__xludf.DUMMYFUNCTION("""COMPUTED_VALUE"""),"479.684.568-27")</f>
        <v>479.684.568-27</v>
      </c>
      <c r="G701" s="101"/>
      <c r="H701" s="101"/>
      <c r="I701" s="101"/>
      <c r="J701" s="101"/>
      <c r="K701" s="101"/>
      <c r="L701" s="101"/>
      <c r="M701" s="101"/>
      <c r="N701" s="101"/>
      <c r="O701" s="101"/>
      <c r="P701" s="101"/>
      <c r="Q701" s="101"/>
      <c r="R701" s="101"/>
      <c r="S701" s="101"/>
      <c r="T701" s="101"/>
      <c r="U701" s="101"/>
      <c r="V701" s="101"/>
      <c r="W701" s="101"/>
      <c r="X701" s="101"/>
      <c r="Y701" s="101"/>
      <c r="Z701" s="101"/>
    </row>
    <row r="702">
      <c r="A702" s="101"/>
      <c r="B702" s="101"/>
      <c r="C702" s="101" t="str">
        <f>IFERROR(__xludf.DUMMYFUNCTION("""COMPUTED_VALUE"""),"BEATRIZ DE OLIVEIRA FREIRE")</f>
        <v>BEATRIZ DE OLIVEIRA FREIRE</v>
      </c>
      <c r="D702" s="101" t="str">
        <f>IFERROR(__xludf.DUMMYFUNCTION("""COMPUTED_VALUE"""),"483.***.***-96")</f>
        <v>483.***.***-96</v>
      </c>
      <c r="E702" s="101">
        <f>IFERROR(__xludf.DUMMYFUNCTION("""COMPUTED_VALUE"""),2.0)</f>
        <v>2</v>
      </c>
      <c r="F702" s="101" t="str">
        <f>IFERROR(__xludf.DUMMYFUNCTION("""COMPUTED_VALUE"""),"483.292.228-96")</f>
        <v>483.292.228-96</v>
      </c>
      <c r="G702" s="101"/>
      <c r="H702" s="101"/>
      <c r="I702" s="101"/>
      <c r="J702" s="101"/>
      <c r="K702" s="101"/>
      <c r="L702" s="101"/>
      <c r="M702" s="101"/>
      <c r="N702" s="101"/>
      <c r="O702" s="101"/>
      <c r="P702" s="101"/>
      <c r="Q702" s="101"/>
      <c r="R702" s="101"/>
      <c r="S702" s="101"/>
      <c r="T702" s="101"/>
      <c r="U702" s="101"/>
      <c r="V702" s="101"/>
      <c r="W702" s="101"/>
      <c r="X702" s="101"/>
      <c r="Y702" s="101"/>
      <c r="Z702" s="101"/>
    </row>
    <row r="703">
      <c r="A703" s="101"/>
      <c r="B703" s="101"/>
      <c r="C703" s="101" t="str">
        <f>IFERROR(__xludf.DUMMYFUNCTION("""COMPUTED_VALUE"""),"PALOMA JANDIRA SANTOS DE CARVALHO")</f>
        <v>PALOMA JANDIRA SANTOS DE CARVALHO</v>
      </c>
      <c r="D703" s="101" t="str">
        <f>IFERROR(__xludf.DUMMYFUNCTION("""COMPUTED_VALUE"""),"486.***.***-16")</f>
        <v>486.***.***-16</v>
      </c>
      <c r="E703" s="101">
        <f>IFERROR(__xludf.DUMMYFUNCTION("""COMPUTED_VALUE"""),14.0)</f>
        <v>14</v>
      </c>
      <c r="F703" s="101" t="str">
        <f>IFERROR(__xludf.DUMMYFUNCTION("""COMPUTED_VALUE"""),"486.685.778-16")</f>
        <v>486.685.778-16</v>
      </c>
      <c r="G703" s="101"/>
      <c r="H703" s="101"/>
      <c r="I703" s="101"/>
      <c r="J703" s="101"/>
      <c r="K703" s="101"/>
      <c r="L703" s="101"/>
      <c r="M703" s="101"/>
      <c r="N703" s="101"/>
      <c r="O703" s="101"/>
      <c r="P703" s="101"/>
      <c r="Q703" s="101"/>
      <c r="R703" s="101"/>
      <c r="S703" s="101"/>
      <c r="T703" s="101"/>
      <c r="U703" s="101"/>
      <c r="V703" s="101"/>
      <c r="W703" s="101"/>
      <c r="X703" s="101"/>
      <c r="Y703" s="101"/>
      <c r="Z703" s="101"/>
    </row>
    <row r="704">
      <c r="A704" s="101"/>
      <c r="B704" s="101"/>
      <c r="C704" s="101" t="str">
        <f>IFERROR(__xludf.DUMMYFUNCTION("""COMPUTED_VALUE"""),"KATHARINE GALINDO DA SILVA")</f>
        <v>KATHARINE GALINDO DA SILVA</v>
      </c>
      <c r="D704" s="101" t="str">
        <f>IFERROR(__xludf.DUMMYFUNCTION("""COMPUTED_VALUE"""),"543.***.***-80")</f>
        <v>543.***.***-80</v>
      </c>
      <c r="E704" s="101">
        <f>IFERROR(__xludf.DUMMYFUNCTION("""COMPUTED_VALUE"""),9.0)</f>
        <v>9</v>
      </c>
      <c r="F704" s="101" t="str">
        <f>IFERROR(__xludf.DUMMYFUNCTION("""COMPUTED_VALUE"""),"543.176.118-80")</f>
        <v>543.176.118-80</v>
      </c>
      <c r="G704" s="101"/>
      <c r="H704" s="101"/>
      <c r="I704" s="101"/>
      <c r="J704" s="101"/>
      <c r="K704" s="101"/>
      <c r="L704" s="101"/>
      <c r="M704" s="101"/>
      <c r="N704" s="101"/>
      <c r="O704" s="101"/>
      <c r="P704" s="101"/>
      <c r="Q704" s="101"/>
      <c r="R704" s="101"/>
      <c r="S704" s="101"/>
      <c r="T704" s="101"/>
      <c r="U704" s="101"/>
      <c r="V704" s="101"/>
      <c r="W704" s="101"/>
      <c r="X704" s="101"/>
      <c r="Y704" s="101"/>
      <c r="Z704" s="101"/>
    </row>
    <row r="705">
      <c r="A705" s="101"/>
      <c r="B705" s="101"/>
      <c r="C705" s="101" t="str">
        <f>IFERROR(__xludf.DUMMYFUNCTION("""COMPUTED_VALUE"""),"OTAVIO AUGUSTO MORAES BARDELI")</f>
        <v>OTAVIO AUGUSTO MORAES BARDELI</v>
      </c>
      <c r="D705" s="101" t="str">
        <f>IFERROR(__xludf.DUMMYFUNCTION("""COMPUTED_VALUE"""),"499.***.***-29")</f>
        <v>499.***.***-29</v>
      </c>
      <c r="E705" s="101">
        <f>IFERROR(__xludf.DUMMYFUNCTION("""COMPUTED_VALUE"""),9.0)</f>
        <v>9</v>
      </c>
      <c r="F705" s="101" t="str">
        <f>IFERROR(__xludf.DUMMYFUNCTION("""COMPUTED_VALUE"""),"499.129.588-29")</f>
        <v>499.129.588-29</v>
      </c>
      <c r="G705" s="101"/>
      <c r="H705" s="101"/>
      <c r="I705" s="101"/>
      <c r="J705" s="101"/>
      <c r="K705" s="101"/>
      <c r="L705" s="101"/>
      <c r="M705" s="101"/>
      <c r="N705" s="101"/>
      <c r="O705" s="101"/>
      <c r="P705" s="101"/>
      <c r="Q705" s="101"/>
      <c r="R705" s="101"/>
      <c r="S705" s="101"/>
      <c r="T705" s="101"/>
      <c r="U705" s="101"/>
      <c r="V705" s="101"/>
      <c r="W705" s="101"/>
      <c r="X705" s="101"/>
      <c r="Y705" s="101"/>
      <c r="Z705" s="101"/>
    </row>
    <row r="706">
      <c r="A706" s="101"/>
      <c r="B706" s="101"/>
      <c r="C706" s="101" t="str">
        <f>IFERROR(__xludf.DUMMYFUNCTION("""COMPUTED_VALUE"""),"ARIADNE ALFARO RIO")</f>
        <v>ARIADNE ALFARO RIO</v>
      </c>
      <c r="D706" s="101" t="str">
        <f>IFERROR(__xludf.DUMMYFUNCTION("""COMPUTED_VALUE"""),"480.***.***-03")</f>
        <v>480.***.***-03</v>
      </c>
      <c r="E706" s="101">
        <f>IFERROR(__xludf.DUMMYFUNCTION("""COMPUTED_VALUE"""),2.0)</f>
        <v>2</v>
      </c>
      <c r="F706" s="101" t="str">
        <f>IFERROR(__xludf.DUMMYFUNCTION("""COMPUTED_VALUE"""),"480.017.578-03")</f>
        <v>480.017.578-03</v>
      </c>
      <c r="G706" s="101"/>
      <c r="H706" s="101"/>
      <c r="I706" s="101"/>
      <c r="J706" s="101"/>
      <c r="K706" s="101"/>
      <c r="L706" s="101"/>
      <c r="M706" s="101"/>
      <c r="N706" s="101"/>
      <c r="O706" s="101"/>
      <c r="P706" s="101"/>
      <c r="Q706" s="101"/>
      <c r="R706" s="101"/>
      <c r="S706" s="101"/>
      <c r="T706" s="101"/>
      <c r="U706" s="101"/>
      <c r="V706" s="101"/>
      <c r="W706" s="101"/>
      <c r="X706" s="101"/>
      <c r="Y706" s="101"/>
      <c r="Z706" s="101"/>
    </row>
    <row r="707">
      <c r="A707" s="101"/>
      <c r="B707" s="101"/>
      <c r="C707" s="101" t="str">
        <f>IFERROR(__xludf.DUMMYFUNCTION("""COMPUTED_VALUE"""),"GRAZIELLY RIBEIRO DA SILVA")</f>
        <v>GRAZIELLY RIBEIRO DA SILVA</v>
      </c>
      <c r="D707" s="101" t="str">
        <f>IFERROR(__xludf.DUMMYFUNCTION("""COMPUTED_VALUE"""),"494.***.***-75")</f>
        <v>494.***.***-75</v>
      </c>
      <c r="E707" s="101">
        <f>IFERROR(__xludf.DUMMYFUNCTION("""COMPUTED_VALUE"""),4.0)</f>
        <v>4</v>
      </c>
      <c r="F707" s="101" t="str">
        <f>IFERROR(__xludf.DUMMYFUNCTION("""COMPUTED_VALUE"""),"494.818.578-75")</f>
        <v>494.818.578-75</v>
      </c>
      <c r="G707" s="101"/>
      <c r="H707" s="101"/>
      <c r="I707" s="101"/>
      <c r="J707" s="101"/>
      <c r="K707" s="101"/>
      <c r="L707" s="101"/>
      <c r="M707" s="101"/>
      <c r="N707" s="101"/>
      <c r="O707" s="101"/>
      <c r="P707" s="101"/>
      <c r="Q707" s="101"/>
      <c r="R707" s="101"/>
      <c r="S707" s="101"/>
      <c r="T707" s="101"/>
      <c r="U707" s="101"/>
      <c r="V707" s="101"/>
      <c r="W707" s="101"/>
      <c r="X707" s="101"/>
      <c r="Y707" s="101"/>
      <c r="Z707" s="101"/>
    </row>
    <row r="708">
      <c r="A708" s="101"/>
      <c r="B708" s="101"/>
      <c r="C708" s="101" t="str">
        <f>IFERROR(__xludf.DUMMYFUNCTION("""COMPUTED_VALUE"""),"GABRIELA CANUTO SILVA")</f>
        <v>GABRIELA CANUTO SILVA</v>
      </c>
      <c r="D708" s="101" t="str">
        <f>IFERROR(__xludf.DUMMYFUNCTION("""COMPUTED_VALUE"""),"423.***.***-22")</f>
        <v>423.***.***-22</v>
      </c>
      <c r="E708" s="101">
        <f>IFERROR(__xludf.DUMMYFUNCTION("""COMPUTED_VALUE"""),5.0)</f>
        <v>5</v>
      </c>
      <c r="F708" s="101" t="str">
        <f>IFERROR(__xludf.DUMMYFUNCTION("""COMPUTED_VALUE"""),"423.709.528-22")</f>
        <v>423.709.528-22</v>
      </c>
      <c r="G708" s="101"/>
      <c r="H708" s="101"/>
      <c r="I708" s="101"/>
      <c r="J708" s="101"/>
      <c r="K708" s="101"/>
      <c r="L708" s="101"/>
      <c r="M708" s="101"/>
      <c r="N708" s="101"/>
      <c r="O708" s="101"/>
      <c r="P708" s="101"/>
      <c r="Q708" s="101"/>
      <c r="R708" s="101"/>
      <c r="S708" s="101"/>
      <c r="T708" s="101"/>
      <c r="U708" s="101"/>
      <c r="V708" s="101"/>
      <c r="W708" s="101"/>
      <c r="X708" s="101"/>
      <c r="Y708" s="101"/>
      <c r="Z708" s="101"/>
    </row>
    <row r="709">
      <c r="A709" s="101"/>
      <c r="B709" s="101"/>
      <c r="C709" s="101" t="str">
        <f>IFERROR(__xludf.DUMMYFUNCTION("""COMPUTED_VALUE"""),"VITÓRIA NASCIMENTO LOPES SILVA")</f>
        <v>VITÓRIA NASCIMENTO LOPES SILVA</v>
      </c>
      <c r="D709" s="101" t="str">
        <f>IFERROR(__xludf.DUMMYFUNCTION("""COMPUTED_VALUE"""),"538.***.***-16")</f>
        <v>538.***.***-16</v>
      </c>
      <c r="E709" s="101">
        <f>IFERROR(__xludf.DUMMYFUNCTION("""COMPUTED_VALUE"""),16.0)</f>
        <v>16</v>
      </c>
      <c r="F709" s="101" t="str">
        <f>IFERROR(__xludf.DUMMYFUNCTION("""COMPUTED_VALUE"""),"538.782.078-16")</f>
        <v>538.782.078-16</v>
      </c>
      <c r="G709" s="101"/>
      <c r="H709" s="101"/>
      <c r="I709" s="101"/>
      <c r="J709" s="101"/>
      <c r="K709" s="101"/>
      <c r="L709" s="101"/>
      <c r="M709" s="101"/>
      <c r="N709" s="101"/>
      <c r="O709" s="101"/>
      <c r="P709" s="101"/>
      <c r="Q709" s="101"/>
      <c r="R709" s="101"/>
      <c r="S709" s="101"/>
      <c r="T709" s="101"/>
      <c r="U709" s="101"/>
      <c r="V709" s="101"/>
      <c r="W709" s="101"/>
      <c r="X709" s="101"/>
      <c r="Y709" s="101"/>
      <c r="Z709" s="101"/>
    </row>
    <row r="710">
      <c r="A710" s="101"/>
      <c r="B710" s="101"/>
      <c r="C710" s="101" t="str">
        <f>IFERROR(__xludf.DUMMYFUNCTION("""COMPUTED_VALUE"""),"GABRIEL SILVA LIMA ARAUJO")</f>
        <v>GABRIEL SILVA LIMA ARAUJO</v>
      </c>
      <c r="D710" s="101" t="str">
        <f>IFERROR(__xludf.DUMMYFUNCTION("""COMPUTED_VALUE"""),"494.***.***-70")</f>
        <v>494.***.***-70</v>
      </c>
      <c r="E710" s="101">
        <f>IFERROR(__xludf.DUMMYFUNCTION("""COMPUTED_VALUE"""),3.0)</f>
        <v>3</v>
      </c>
      <c r="F710" s="101" t="str">
        <f>IFERROR(__xludf.DUMMYFUNCTION("""COMPUTED_VALUE"""),"494.747.608-70")</f>
        <v>494.747.608-70</v>
      </c>
      <c r="G710" s="101"/>
      <c r="H710" s="101"/>
      <c r="I710" s="101"/>
      <c r="J710" s="101"/>
      <c r="K710" s="101"/>
      <c r="L710" s="101"/>
      <c r="M710" s="101"/>
      <c r="N710" s="101"/>
      <c r="O710" s="101"/>
      <c r="P710" s="101"/>
      <c r="Q710" s="101"/>
      <c r="R710" s="101"/>
      <c r="S710" s="101"/>
      <c r="T710" s="101"/>
      <c r="U710" s="101"/>
      <c r="V710" s="101"/>
      <c r="W710" s="101"/>
      <c r="X710" s="101"/>
      <c r="Y710" s="101"/>
      <c r="Z710" s="101"/>
    </row>
    <row r="711">
      <c r="A711" s="101"/>
      <c r="B711" s="101"/>
      <c r="C711" s="101" t="str">
        <f>IFERROR(__xludf.DUMMYFUNCTION("""COMPUTED_VALUE"""),"MATHEUS SILVA DOS SANTOS")</f>
        <v>MATHEUS SILVA DOS SANTOS</v>
      </c>
      <c r="D711" s="101" t="str">
        <f>IFERROR(__xludf.DUMMYFUNCTION("""COMPUTED_VALUE"""),"526.***.***-07")</f>
        <v>526.***.***-07</v>
      </c>
      <c r="E711" s="101">
        <f>IFERROR(__xludf.DUMMYFUNCTION("""COMPUTED_VALUE"""),12.0)</f>
        <v>12</v>
      </c>
      <c r="F711" s="101" t="str">
        <f>IFERROR(__xludf.DUMMYFUNCTION("""COMPUTED_VALUE"""),"526.705.228-07")</f>
        <v>526.705.228-07</v>
      </c>
      <c r="G711" s="101"/>
      <c r="H711" s="101"/>
      <c r="I711" s="101"/>
      <c r="J711" s="101"/>
      <c r="K711" s="101"/>
      <c r="L711" s="101"/>
      <c r="M711" s="101"/>
      <c r="N711" s="101"/>
      <c r="O711" s="101"/>
      <c r="P711" s="101"/>
      <c r="Q711" s="101"/>
      <c r="R711" s="101"/>
      <c r="S711" s="101"/>
      <c r="T711" s="101"/>
      <c r="U711" s="101"/>
      <c r="V711" s="101"/>
      <c r="W711" s="101"/>
      <c r="X711" s="101"/>
      <c r="Y711" s="101"/>
      <c r="Z711" s="101"/>
    </row>
    <row r="712">
      <c r="A712" s="101"/>
      <c r="B712" s="101"/>
      <c r="C712" s="101" t="str">
        <f>IFERROR(__xludf.DUMMYFUNCTION("""COMPUTED_VALUE"""),"GUSTAVO COELHO ROCHA")</f>
        <v>GUSTAVO COELHO ROCHA</v>
      </c>
      <c r="D712" s="101" t="str">
        <f>IFERROR(__xludf.DUMMYFUNCTION("""COMPUTED_VALUE"""),"484.***.***-30")</f>
        <v>484.***.***-30</v>
      </c>
      <c r="E712" s="101">
        <f>IFERROR(__xludf.DUMMYFUNCTION("""COMPUTED_VALUE"""),6.0)</f>
        <v>6</v>
      </c>
      <c r="F712" s="101" t="str">
        <f>IFERROR(__xludf.DUMMYFUNCTION("""COMPUTED_VALUE"""),"484.290.428-30")</f>
        <v>484.290.428-30</v>
      </c>
      <c r="G712" s="101"/>
      <c r="H712" s="101"/>
      <c r="I712" s="101"/>
      <c r="J712" s="101"/>
      <c r="K712" s="101"/>
      <c r="L712" s="101"/>
      <c r="M712" s="101"/>
      <c r="N712" s="101"/>
      <c r="O712" s="101"/>
      <c r="P712" s="101"/>
      <c r="Q712" s="101"/>
      <c r="R712" s="101"/>
      <c r="S712" s="101"/>
      <c r="T712" s="101"/>
      <c r="U712" s="101"/>
      <c r="V712" s="101"/>
      <c r="W712" s="101"/>
      <c r="X712" s="101"/>
      <c r="Y712" s="101"/>
      <c r="Z712" s="101"/>
    </row>
    <row r="713">
      <c r="A713" s="101"/>
      <c r="B713" s="101"/>
      <c r="C713" s="101" t="str">
        <f>IFERROR(__xludf.DUMMYFUNCTION("""COMPUTED_VALUE"""),"RONALDO  DOS  SANTOS  JUNIOR")</f>
        <v>RONALDO  DOS  SANTOS  JUNIOR</v>
      </c>
      <c r="D713" s="101" t="str">
        <f>IFERROR(__xludf.DUMMYFUNCTION("""COMPUTED_VALUE"""),"440.***.***-98")</f>
        <v>440.***.***-98</v>
      </c>
      <c r="E713" s="101">
        <f>IFERROR(__xludf.DUMMYFUNCTION("""COMPUTED_VALUE"""),15.0)</f>
        <v>15</v>
      </c>
      <c r="F713" s="101" t="str">
        <f>IFERROR(__xludf.DUMMYFUNCTION("""COMPUTED_VALUE"""),"440.595.778-98")</f>
        <v>440.595.778-98</v>
      </c>
      <c r="G713" s="101"/>
      <c r="H713" s="101"/>
      <c r="I713" s="101"/>
      <c r="J713" s="101"/>
      <c r="K713" s="101"/>
      <c r="L713" s="101"/>
      <c r="M713" s="101"/>
      <c r="N713" s="101"/>
      <c r="O713" s="101"/>
      <c r="P713" s="101"/>
      <c r="Q713" s="101"/>
      <c r="R713" s="101"/>
      <c r="S713" s="101"/>
      <c r="T713" s="101"/>
      <c r="U713" s="101"/>
      <c r="V713" s="101"/>
      <c r="W713" s="101"/>
      <c r="X713" s="101"/>
      <c r="Y713" s="101"/>
      <c r="Z713" s="101"/>
    </row>
    <row r="714">
      <c r="A714" s="101"/>
      <c r="B714" s="101"/>
      <c r="C714" s="101" t="str">
        <f>IFERROR(__xludf.DUMMYFUNCTION("""COMPUTED_VALUE"""),"RAPHAEL  FONSECA DA  SILVA")</f>
        <v>RAPHAEL  FONSECA DA  SILVA</v>
      </c>
      <c r="D714" s="101" t="str">
        <f>IFERROR(__xludf.DUMMYFUNCTION("""COMPUTED_VALUE"""),"414.***.***-40")</f>
        <v>414.***.***-40</v>
      </c>
      <c r="E714" s="101">
        <f>IFERROR(__xludf.DUMMYFUNCTION("""COMPUTED_VALUE"""),15.0)</f>
        <v>15</v>
      </c>
      <c r="F714" s="101" t="str">
        <f>IFERROR(__xludf.DUMMYFUNCTION("""COMPUTED_VALUE"""),"414.198.328-40")</f>
        <v>414.198.328-40</v>
      </c>
      <c r="G714" s="101"/>
      <c r="H714" s="101"/>
      <c r="I714" s="101"/>
      <c r="J714" s="101"/>
      <c r="K714" s="101"/>
      <c r="L714" s="101"/>
      <c r="M714" s="101"/>
      <c r="N714" s="101"/>
      <c r="O714" s="101"/>
      <c r="P714" s="101"/>
      <c r="Q714" s="101"/>
      <c r="R714" s="101"/>
      <c r="S714" s="101"/>
      <c r="T714" s="101"/>
      <c r="U714" s="101"/>
      <c r="V714" s="101"/>
      <c r="W714" s="101"/>
      <c r="X714" s="101"/>
      <c r="Y714" s="101"/>
      <c r="Z714" s="101"/>
    </row>
    <row r="715">
      <c r="A715" s="101"/>
      <c r="B715" s="101"/>
      <c r="C715" s="101" t="str">
        <f>IFERROR(__xludf.DUMMYFUNCTION("""COMPUTED_VALUE"""),"CINTHIA PIZOLETTO NUNES")</f>
        <v>CINTHIA PIZOLETTO NUNES</v>
      </c>
      <c r="D715" s="101" t="str">
        <f>IFERROR(__xludf.DUMMYFUNCTION("""COMPUTED_VALUE"""),"439.***.***-98")</f>
        <v>439.***.***-98</v>
      </c>
      <c r="E715" s="101">
        <f>IFERROR(__xludf.DUMMYFUNCTION("""COMPUTED_VALUE"""),1.0)</f>
        <v>1</v>
      </c>
      <c r="F715" s="101" t="str">
        <f>IFERROR(__xludf.DUMMYFUNCTION("""COMPUTED_VALUE"""),"439.701.608-98")</f>
        <v>439.701.608-98</v>
      </c>
      <c r="G715" s="101"/>
      <c r="H715" s="101"/>
      <c r="I715" s="101"/>
      <c r="J715" s="101"/>
      <c r="K715" s="101"/>
      <c r="L715" s="101"/>
      <c r="M715" s="101"/>
      <c r="N715" s="101"/>
      <c r="O715" s="101"/>
      <c r="P715" s="101"/>
      <c r="Q715" s="101"/>
      <c r="R715" s="101"/>
      <c r="S715" s="101"/>
      <c r="T715" s="101"/>
      <c r="U715" s="101"/>
      <c r="V715" s="101"/>
      <c r="W715" s="101"/>
      <c r="X715" s="101"/>
      <c r="Y715" s="101"/>
      <c r="Z715" s="101"/>
    </row>
    <row r="716">
      <c r="A716" s="101"/>
      <c r="B716" s="101"/>
      <c r="C716" s="101" t="str">
        <f>IFERROR(__xludf.DUMMYFUNCTION("""COMPUTED_VALUE"""),"EMERSON MENDES DE FREITAS")</f>
        <v>EMERSON MENDES DE FREITAS</v>
      </c>
      <c r="D716" s="101" t="str">
        <f>IFERROR(__xludf.DUMMYFUNCTION("""COMPUTED_VALUE"""),"491.***.***-08")</f>
        <v>491.***.***-08</v>
      </c>
      <c r="E716" s="101">
        <f>IFERROR(__xludf.DUMMYFUNCTION("""COMPUTED_VALUE"""),4.0)</f>
        <v>4</v>
      </c>
      <c r="F716" s="101" t="str">
        <f>IFERROR(__xludf.DUMMYFUNCTION("""COMPUTED_VALUE"""),"491.151.518-08")</f>
        <v>491.151.518-08</v>
      </c>
      <c r="G716" s="101"/>
      <c r="H716" s="101"/>
      <c r="I716" s="101"/>
      <c r="J716" s="101"/>
      <c r="K716" s="101"/>
      <c r="L716" s="101"/>
      <c r="M716" s="101"/>
      <c r="N716" s="101"/>
      <c r="O716" s="101"/>
      <c r="P716" s="101"/>
      <c r="Q716" s="101"/>
      <c r="R716" s="101"/>
      <c r="S716" s="101"/>
      <c r="T716" s="101"/>
      <c r="U716" s="101"/>
      <c r="V716" s="101"/>
      <c r="W716" s="101"/>
      <c r="X716" s="101"/>
      <c r="Y716" s="101"/>
      <c r="Z716" s="101"/>
    </row>
    <row r="717">
      <c r="A717" s="101"/>
      <c r="B717" s="101"/>
      <c r="C717" s="101" t="str">
        <f>IFERROR(__xludf.DUMMYFUNCTION("""COMPUTED_VALUE"""),"MARIA EDUARDA CORTEZE DE SOUZA PEREIRA")</f>
        <v>MARIA EDUARDA CORTEZE DE SOUZA PEREIRA</v>
      </c>
      <c r="D717" s="101" t="str">
        <f>IFERROR(__xludf.DUMMYFUNCTION("""COMPUTED_VALUE"""),"159.***.***-56")</f>
        <v>159.***.***-56</v>
      </c>
      <c r="E717" s="101">
        <f>IFERROR(__xludf.DUMMYFUNCTION("""COMPUTED_VALUE"""),7.0)</f>
        <v>7</v>
      </c>
      <c r="F717" s="101" t="str">
        <f>IFERROR(__xludf.DUMMYFUNCTION("""COMPUTED_VALUE"""),"159.227.297-56")</f>
        <v>159.227.297-56</v>
      </c>
      <c r="G717" s="101"/>
      <c r="H717" s="101"/>
      <c r="I717" s="101"/>
      <c r="J717" s="101"/>
      <c r="K717" s="101"/>
      <c r="L717" s="101"/>
      <c r="M717" s="101"/>
      <c r="N717" s="101"/>
      <c r="O717" s="101"/>
      <c r="P717" s="101"/>
      <c r="Q717" s="101"/>
      <c r="R717" s="101"/>
      <c r="S717" s="101"/>
      <c r="T717" s="101"/>
      <c r="U717" s="101"/>
      <c r="V717" s="101"/>
      <c r="W717" s="101"/>
      <c r="X717" s="101"/>
      <c r="Y717" s="101"/>
      <c r="Z717" s="101"/>
    </row>
    <row r="718">
      <c r="A718" s="101"/>
      <c r="B718" s="101"/>
      <c r="C718" s="101" t="str">
        <f>IFERROR(__xludf.DUMMYFUNCTION("""COMPUTED_VALUE"""),"JORGE LUIZ DOS SANTOS VICENTE")</f>
        <v>JORGE LUIZ DOS SANTOS VICENTE</v>
      </c>
      <c r="D718" s="101" t="str">
        <f>IFERROR(__xludf.DUMMYFUNCTION("""COMPUTED_VALUE"""),"513.***.***-13")</f>
        <v>513.***.***-13</v>
      </c>
      <c r="E718" s="101">
        <f>IFERROR(__xludf.DUMMYFUNCTION("""COMPUTED_VALUE"""),3.0)</f>
        <v>3</v>
      </c>
      <c r="F718" s="101" t="str">
        <f>IFERROR(__xludf.DUMMYFUNCTION("""COMPUTED_VALUE"""),"513.284.098-13")</f>
        <v>513.284.098-13</v>
      </c>
      <c r="G718" s="101"/>
      <c r="H718" s="101"/>
      <c r="I718" s="101"/>
      <c r="J718" s="101"/>
      <c r="K718" s="101"/>
      <c r="L718" s="101"/>
      <c r="M718" s="101"/>
      <c r="N718" s="101"/>
      <c r="O718" s="101"/>
      <c r="P718" s="101"/>
      <c r="Q718" s="101"/>
      <c r="R718" s="101"/>
      <c r="S718" s="101"/>
      <c r="T718" s="101"/>
      <c r="U718" s="101"/>
      <c r="V718" s="101"/>
      <c r="W718" s="101"/>
      <c r="X718" s="101"/>
      <c r="Y718" s="101"/>
      <c r="Z718" s="101"/>
    </row>
    <row r="719">
      <c r="A719" s="101"/>
      <c r="B719" s="101"/>
      <c r="C719" s="101" t="str">
        <f>IFERROR(__xludf.DUMMYFUNCTION("""COMPUTED_VALUE"""),"DIEGO CALVATE DE OLIVEIRA")</f>
        <v>DIEGO CALVATE DE OLIVEIRA</v>
      </c>
      <c r="D719" s="101" t="str">
        <f>IFERROR(__xludf.DUMMYFUNCTION("""COMPUTED_VALUE"""),"483.***.***-12")</f>
        <v>483.***.***-12</v>
      </c>
      <c r="E719" s="101">
        <f>IFERROR(__xludf.DUMMYFUNCTION("""COMPUTED_VALUE"""),3.0)</f>
        <v>3</v>
      </c>
      <c r="F719" s="101" t="str">
        <f>IFERROR(__xludf.DUMMYFUNCTION("""COMPUTED_VALUE"""),"483.243.908-12")</f>
        <v>483.243.908-12</v>
      </c>
      <c r="G719" s="101"/>
      <c r="H719" s="101"/>
      <c r="I719" s="101"/>
      <c r="J719" s="101"/>
      <c r="K719" s="101"/>
      <c r="L719" s="101"/>
      <c r="M719" s="101"/>
      <c r="N719" s="101"/>
      <c r="O719" s="101"/>
      <c r="P719" s="101"/>
      <c r="Q719" s="101"/>
      <c r="R719" s="101"/>
      <c r="S719" s="101"/>
      <c r="T719" s="101"/>
      <c r="U719" s="101"/>
      <c r="V719" s="101"/>
      <c r="W719" s="101"/>
      <c r="X719" s="101"/>
      <c r="Y719" s="101"/>
      <c r="Z719" s="101"/>
    </row>
    <row r="720">
      <c r="A720" s="101"/>
      <c r="B720" s="101"/>
      <c r="C720" s="101" t="str">
        <f>IFERROR(__xludf.DUMMYFUNCTION("""COMPUTED_VALUE"""),"LETICIA SILVA PEREZ")</f>
        <v>LETICIA SILVA PEREZ</v>
      </c>
      <c r="D720" s="101" t="str">
        <f>IFERROR(__xludf.DUMMYFUNCTION("""COMPUTED_VALUE"""),"439.***.***-00")</f>
        <v>439.***.***-00</v>
      </c>
      <c r="E720" s="101">
        <f>IFERROR(__xludf.DUMMYFUNCTION("""COMPUTED_VALUE"""),7.0)</f>
        <v>7</v>
      </c>
      <c r="F720" s="101" t="str">
        <f>IFERROR(__xludf.DUMMYFUNCTION("""COMPUTED_VALUE"""),"439.247.898-00")</f>
        <v>439.247.898-00</v>
      </c>
      <c r="G720" s="101"/>
      <c r="H720" s="101"/>
      <c r="I720" s="101"/>
      <c r="J720" s="101"/>
      <c r="K720" s="101"/>
      <c r="L720" s="101"/>
      <c r="M720" s="101"/>
      <c r="N720" s="101"/>
      <c r="O720" s="101"/>
      <c r="P720" s="101"/>
      <c r="Q720" s="101"/>
      <c r="R720" s="101"/>
      <c r="S720" s="101"/>
      <c r="T720" s="101"/>
      <c r="U720" s="101"/>
      <c r="V720" s="101"/>
      <c r="W720" s="101"/>
      <c r="X720" s="101"/>
      <c r="Y720" s="101"/>
      <c r="Z720" s="101"/>
    </row>
    <row r="721">
      <c r="A721" s="101"/>
      <c r="B721" s="101"/>
      <c r="C721" s="101" t="str">
        <f>IFERROR(__xludf.DUMMYFUNCTION("""COMPUTED_VALUE"""),"VINICIUS FERREIRA  SANTOS")</f>
        <v>VINICIUS FERREIRA  SANTOS</v>
      </c>
      <c r="D721" s="101" t="str">
        <f>IFERROR(__xludf.DUMMYFUNCTION("""COMPUTED_VALUE"""),"469.***.***-44")</f>
        <v>469.***.***-44</v>
      </c>
      <c r="E721" s="101">
        <f>IFERROR(__xludf.DUMMYFUNCTION("""COMPUTED_VALUE"""),17.0)</f>
        <v>17</v>
      </c>
      <c r="F721" s="101" t="str">
        <f>IFERROR(__xludf.DUMMYFUNCTION("""COMPUTED_VALUE"""),"469.305.758-44")</f>
        <v>469.305.758-44</v>
      </c>
      <c r="G721" s="101"/>
      <c r="H721" s="101"/>
      <c r="I721" s="101"/>
      <c r="J721" s="101"/>
      <c r="K721" s="101"/>
      <c r="L721" s="101"/>
      <c r="M721" s="101"/>
      <c r="N721" s="101"/>
      <c r="O721" s="101"/>
      <c r="P721" s="101"/>
      <c r="Q721" s="101"/>
      <c r="R721" s="101"/>
      <c r="S721" s="101"/>
      <c r="T721" s="101"/>
      <c r="U721" s="101"/>
      <c r="V721" s="101"/>
      <c r="W721" s="101"/>
      <c r="X721" s="101"/>
      <c r="Y721" s="101"/>
      <c r="Z721" s="101"/>
    </row>
    <row r="722">
      <c r="A722" s="101"/>
      <c r="B722" s="101"/>
      <c r="C722" s="101" t="str">
        <f>IFERROR(__xludf.DUMMYFUNCTION("""COMPUTED_VALUE"""),"YAGO ADRIANO SANTOS DE OLIVEIRA")</f>
        <v>YAGO ADRIANO SANTOS DE OLIVEIRA</v>
      </c>
      <c r="D722" s="101" t="str">
        <f>IFERROR(__xludf.DUMMYFUNCTION("""COMPUTED_VALUE"""),"505.***.***-16")</f>
        <v>505.***.***-16</v>
      </c>
      <c r="E722" s="101">
        <f>IFERROR(__xludf.DUMMYFUNCTION("""COMPUTED_VALUE"""),12.0)</f>
        <v>12</v>
      </c>
      <c r="F722" s="101" t="str">
        <f>IFERROR(__xludf.DUMMYFUNCTION("""COMPUTED_VALUE"""),"505.391.428-16")</f>
        <v>505.391.428-16</v>
      </c>
      <c r="G722" s="101"/>
      <c r="H722" s="101"/>
      <c r="I722" s="101"/>
      <c r="J722" s="101"/>
      <c r="K722" s="101"/>
      <c r="L722" s="101"/>
      <c r="M722" s="101"/>
      <c r="N722" s="101"/>
      <c r="O722" s="101"/>
      <c r="P722" s="101"/>
      <c r="Q722" s="101"/>
      <c r="R722" s="101"/>
      <c r="S722" s="101"/>
      <c r="T722" s="101"/>
      <c r="U722" s="101"/>
      <c r="V722" s="101"/>
      <c r="W722" s="101"/>
      <c r="X722" s="101"/>
      <c r="Y722" s="101"/>
      <c r="Z722" s="101"/>
    </row>
    <row r="723">
      <c r="A723" s="101"/>
      <c r="B723" s="101"/>
      <c r="C723" s="101" t="str">
        <f>IFERROR(__xludf.DUMMYFUNCTION("""COMPUTED_VALUE"""),"ENRIQUE VIEIRA DOS SANTOS")</f>
        <v>ENRIQUE VIEIRA DOS SANTOS</v>
      </c>
      <c r="D723" s="101" t="str">
        <f>IFERROR(__xludf.DUMMYFUNCTION("""COMPUTED_VALUE"""),"479.***.***-64")</f>
        <v>479.***.***-64</v>
      </c>
      <c r="E723" s="101">
        <f>IFERROR(__xludf.DUMMYFUNCTION("""COMPUTED_VALUE"""),8.0)</f>
        <v>8</v>
      </c>
      <c r="F723" s="101" t="str">
        <f>IFERROR(__xludf.DUMMYFUNCTION("""COMPUTED_VALUE"""),"479.212.108-64")</f>
        <v>479.212.108-64</v>
      </c>
      <c r="G723" s="101"/>
      <c r="H723" s="101"/>
      <c r="I723" s="101"/>
      <c r="J723" s="101"/>
      <c r="K723" s="101"/>
      <c r="L723" s="101"/>
      <c r="M723" s="101"/>
      <c r="N723" s="101"/>
      <c r="O723" s="101"/>
      <c r="P723" s="101"/>
      <c r="Q723" s="101"/>
      <c r="R723" s="101"/>
      <c r="S723" s="101"/>
      <c r="T723" s="101"/>
      <c r="U723" s="101"/>
      <c r="V723" s="101"/>
      <c r="W723" s="101"/>
      <c r="X723" s="101"/>
      <c r="Y723" s="101"/>
      <c r="Z723" s="101"/>
    </row>
    <row r="724">
      <c r="A724" s="101"/>
      <c r="B724" s="101"/>
      <c r="C724" s="101" t="str">
        <f>IFERROR(__xludf.DUMMYFUNCTION("""COMPUTED_VALUE"""),"YURI ARCANJO DE OLIVEIRA MARTINS")</f>
        <v>YURI ARCANJO DE OLIVEIRA MARTINS</v>
      </c>
      <c r="D724" s="101" t="str">
        <f>IFERROR(__xludf.DUMMYFUNCTION("""COMPUTED_VALUE"""),"481.***.***-47")</f>
        <v>481.***.***-47</v>
      </c>
      <c r="E724" s="101">
        <f>IFERROR(__xludf.DUMMYFUNCTION("""COMPUTED_VALUE"""),10.0)</f>
        <v>10</v>
      </c>
      <c r="F724" s="101" t="str">
        <f>IFERROR(__xludf.DUMMYFUNCTION("""COMPUTED_VALUE"""),"481.259.348-47")</f>
        <v>481.259.348-47</v>
      </c>
      <c r="G724" s="101"/>
      <c r="H724" s="101"/>
      <c r="I724" s="101"/>
      <c r="J724" s="101"/>
      <c r="K724" s="101"/>
      <c r="L724" s="101"/>
      <c r="M724" s="101"/>
      <c r="N724" s="101"/>
      <c r="O724" s="101"/>
      <c r="P724" s="101"/>
      <c r="Q724" s="101"/>
      <c r="R724" s="101"/>
      <c r="S724" s="101"/>
      <c r="T724" s="101"/>
      <c r="U724" s="101"/>
      <c r="V724" s="101"/>
      <c r="W724" s="101"/>
      <c r="X724" s="101"/>
      <c r="Y724" s="101"/>
      <c r="Z724" s="101"/>
    </row>
    <row r="725">
      <c r="A725" s="101"/>
      <c r="B725" s="101"/>
      <c r="C725" s="101" t="str">
        <f>IFERROR(__xludf.DUMMYFUNCTION("""COMPUTED_VALUE"""),"RAFAELLA CRISTINA ALVES BALDUINO")</f>
        <v>RAFAELLA CRISTINA ALVES BALDUINO</v>
      </c>
      <c r="D725" s="101" t="str">
        <f>IFERROR(__xludf.DUMMYFUNCTION("""COMPUTED_VALUE"""),"523.***.***-03")</f>
        <v>523.***.***-03</v>
      </c>
      <c r="E725" s="101">
        <f>IFERROR(__xludf.DUMMYFUNCTION("""COMPUTED_VALUE"""),9.0)</f>
        <v>9</v>
      </c>
      <c r="F725" s="101" t="str">
        <f>IFERROR(__xludf.DUMMYFUNCTION("""COMPUTED_VALUE"""),"523.215.048-03")</f>
        <v>523.215.048-03</v>
      </c>
      <c r="G725" s="101"/>
      <c r="H725" s="101"/>
      <c r="I725" s="101"/>
      <c r="J725" s="101"/>
      <c r="K725" s="101"/>
      <c r="L725" s="101"/>
      <c r="M725" s="101"/>
      <c r="N725" s="101"/>
      <c r="O725" s="101"/>
      <c r="P725" s="101"/>
      <c r="Q725" s="101"/>
      <c r="R725" s="101"/>
      <c r="S725" s="101"/>
      <c r="T725" s="101"/>
      <c r="U725" s="101"/>
      <c r="V725" s="101"/>
      <c r="W725" s="101"/>
      <c r="X725" s="101"/>
      <c r="Y725" s="101"/>
      <c r="Z725" s="101"/>
    </row>
    <row r="726">
      <c r="A726" s="101"/>
      <c r="B726" s="101"/>
      <c r="C726" s="101" t="str">
        <f>IFERROR(__xludf.DUMMYFUNCTION("""COMPUTED_VALUE"""),"VINICIUS DOS SANTOS CRUZ")</f>
        <v>VINICIUS DOS SANTOS CRUZ</v>
      </c>
      <c r="D726" s="101" t="str">
        <f>IFERROR(__xludf.DUMMYFUNCTION("""COMPUTED_VALUE"""),"568.***.***-07")</f>
        <v>568.***.***-07</v>
      </c>
      <c r="E726" s="101">
        <f>IFERROR(__xludf.DUMMYFUNCTION("""COMPUTED_VALUE"""),3.0)</f>
        <v>3</v>
      </c>
      <c r="F726" s="101" t="str">
        <f>IFERROR(__xludf.DUMMYFUNCTION("""COMPUTED_VALUE"""),"568.426.548-07")</f>
        <v>568.426.548-07</v>
      </c>
      <c r="G726" s="101"/>
      <c r="H726" s="101"/>
      <c r="I726" s="101"/>
      <c r="J726" s="101"/>
      <c r="K726" s="101"/>
      <c r="L726" s="101"/>
      <c r="M726" s="101"/>
      <c r="N726" s="101"/>
      <c r="O726" s="101"/>
      <c r="P726" s="101"/>
      <c r="Q726" s="101"/>
      <c r="R726" s="101"/>
      <c r="S726" s="101"/>
      <c r="T726" s="101"/>
      <c r="U726" s="101"/>
      <c r="V726" s="101"/>
      <c r="W726" s="101"/>
      <c r="X726" s="101"/>
      <c r="Y726" s="101"/>
      <c r="Z726" s="101"/>
    </row>
    <row r="727">
      <c r="A727" s="101"/>
      <c r="B727" s="101"/>
      <c r="C727" s="101" t="str">
        <f>IFERROR(__xludf.DUMMYFUNCTION("""COMPUTED_VALUE"""),"CAMILLE LUAR SOARES THOME DA CRUZ")</f>
        <v>CAMILLE LUAR SOARES THOME DA CRUZ</v>
      </c>
      <c r="D727" s="101" t="str">
        <f>IFERROR(__xludf.DUMMYFUNCTION("""COMPUTED_VALUE"""),"453.***.***-29")</f>
        <v>453.***.***-29</v>
      </c>
      <c r="E727" s="101">
        <f>IFERROR(__xludf.DUMMYFUNCTION("""COMPUTED_VALUE"""),2.0)</f>
        <v>2</v>
      </c>
      <c r="F727" s="101" t="str">
        <f>IFERROR(__xludf.DUMMYFUNCTION("""COMPUTED_VALUE"""),"453.874.418-29")</f>
        <v>453.874.418-29</v>
      </c>
      <c r="G727" s="101"/>
      <c r="H727" s="101"/>
      <c r="I727" s="101"/>
      <c r="J727" s="101"/>
      <c r="K727" s="101"/>
      <c r="L727" s="101"/>
      <c r="M727" s="101"/>
      <c r="N727" s="101"/>
      <c r="O727" s="101"/>
      <c r="P727" s="101"/>
      <c r="Q727" s="101"/>
      <c r="R727" s="101"/>
      <c r="S727" s="101"/>
      <c r="T727" s="101"/>
      <c r="U727" s="101"/>
      <c r="V727" s="101"/>
      <c r="W727" s="101"/>
      <c r="X727" s="101"/>
      <c r="Y727" s="101"/>
      <c r="Z727" s="101"/>
    </row>
    <row r="728">
      <c r="A728" s="101"/>
      <c r="B728" s="101"/>
      <c r="C728" s="101" t="str">
        <f>IFERROR(__xludf.DUMMYFUNCTION("""COMPUTED_VALUE"""),"LUCAS FRANÇA")</f>
        <v>LUCAS FRANÇA</v>
      </c>
      <c r="D728" s="101" t="str">
        <f>IFERROR(__xludf.DUMMYFUNCTION("""COMPUTED_VALUE"""),"460.***.***-21")</f>
        <v>460.***.***-21</v>
      </c>
      <c r="E728" s="101">
        <f>IFERROR(__xludf.DUMMYFUNCTION("""COMPUTED_VALUE"""),3.0)</f>
        <v>3</v>
      </c>
      <c r="F728" s="101" t="str">
        <f>IFERROR(__xludf.DUMMYFUNCTION("""COMPUTED_VALUE"""),"460.354.478-21")</f>
        <v>460.354.478-21</v>
      </c>
      <c r="G728" s="101"/>
      <c r="H728" s="101"/>
      <c r="I728" s="101"/>
      <c r="J728" s="101"/>
      <c r="K728" s="101"/>
      <c r="L728" s="101"/>
      <c r="M728" s="101"/>
      <c r="N728" s="101"/>
      <c r="O728" s="101"/>
      <c r="P728" s="101"/>
      <c r="Q728" s="101"/>
      <c r="R728" s="101"/>
      <c r="S728" s="101"/>
      <c r="T728" s="101"/>
      <c r="U728" s="101"/>
      <c r="V728" s="101"/>
      <c r="W728" s="101"/>
      <c r="X728" s="101"/>
      <c r="Y728" s="101"/>
      <c r="Z728" s="101"/>
    </row>
    <row r="729">
      <c r="A729" s="101"/>
      <c r="B729" s="101"/>
      <c r="C729" s="101" t="str">
        <f>IFERROR(__xludf.DUMMYFUNCTION("""COMPUTED_VALUE"""),"INARA LIMA DE OLIVEIRA")</f>
        <v>INARA LIMA DE OLIVEIRA</v>
      </c>
      <c r="D729" s="101" t="str">
        <f>IFERROR(__xludf.DUMMYFUNCTION("""COMPUTED_VALUE"""),"581.***.***-05")</f>
        <v>581.***.***-05</v>
      </c>
      <c r="E729" s="101">
        <f>IFERROR(__xludf.DUMMYFUNCTION("""COMPUTED_VALUE"""),7.0)</f>
        <v>7</v>
      </c>
      <c r="F729" s="101" t="str">
        <f>IFERROR(__xludf.DUMMYFUNCTION("""COMPUTED_VALUE"""),"581.333.718-05")</f>
        <v>581.333.718-05</v>
      </c>
      <c r="G729" s="101"/>
      <c r="H729" s="101"/>
      <c r="I729" s="101"/>
      <c r="J729" s="101"/>
      <c r="K729" s="101"/>
      <c r="L729" s="101"/>
      <c r="M729" s="101"/>
      <c r="N729" s="101"/>
      <c r="O729" s="101"/>
      <c r="P729" s="101"/>
      <c r="Q729" s="101"/>
      <c r="R729" s="101"/>
      <c r="S729" s="101"/>
      <c r="T729" s="101"/>
      <c r="U729" s="101"/>
      <c r="V729" s="101"/>
      <c r="W729" s="101"/>
      <c r="X729" s="101"/>
      <c r="Y729" s="101"/>
      <c r="Z729" s="101"/>
    </row>
    <row r="730">
      <c r="A730" s="101"/>
      <c r="B730" s="101"/>
      <c r="C730" s="101" t="str">
        <f>IFERROR(__xludf.DUMMYFUNCTION("""COMPUTED_VALUE"""),"PAULO CEZAR RODRIGUES DA SILVA FILHO")</f>
        <v>PAULO CEZAR RODRIGUES DA SILVA FILHO</v>
      </c>
      <c r="D730" s="101" t="str">
        <f>IFERROR(__xludf.DUMMYFUNCTION("""COMPUTED_VALUE"""),"525.***.***-07")</f>
        <v>525.***.***-07</v>
      </c>
      <c r="E730" s="101">
        <f>IFERROR(__xludf.DUMMYFUNCTION("""COMPUTED_VALUE"""),14.0)</f>
        <v>14</v>
      </c>
      <c r="F730" s="101" t="str">
        <f>IFERROR(__xludf.DUMMYFUNCTION("""COMPUTED_VALUE"""),"525.267.938-07")</f>
        <v>525.267.938-07</v>
      </c>
      <c r="G730" s="101"/>
      <c r="H730" s="101"/>
      <c r="I730" s="101"/>
      <c r="J730" s="101"/>
      <c r="K730" s="101"/>
      <c r="L730" s="101"/>
      <c r="M730" s="101"/>
      <c r="N730" s="101"/>
      <c r="O730" s="101"/>
      <c r="P730" s="101"/>
      <c r="Q730" s="101"/>
      <c r="R730" s="101"/>
      <c r="S730" s="101"/>
      <c r="T730" s="101"/>
      <c r="U730" s="101"/>
      <c r="V730" s="101"/>
      <c r="W730" s="101"/>
      <c r="X730" s="101"/>
      <c r="Y730" s="101"/>
      <c r="Z730" s="101"/>
    </row>
    <row r="731">
      <c r="A731" s="101"/>
      <c r="B731" s="101"/>
      <c r="C731" s="101" t="str">
        <f>IFERROR(__xludf.DUMMYFUNCTION("""COMPUTED_VALUE"""),"MATEUS QUEIROZ DE SOUZA")</f>
        <v>MATEUS QUEIROZ DE SOUZA</v>
      </c>
      <c r="D731" s="101" t="str">
        <f>IFERROR(__xludf.DUMMYFUNCTION("""COMPUTED_VALUE"""),"551.***.***-41")</f>
        <v>551.***.***-41</v>
      </c>
      <c r="E731" s="101">
        <f>IFERROR(__xludf.DUMMYFUNCTION("""COMPUTED_VALUE"""),8.0)</f>
        <v>8</v>
      </c>
      <c r="F731" s="101" t="str">
        <f>IFERROR(__xludf.DUMMYFUNCTION("""COMPUTED_VALUE"""),"551.276.798-41")</f>
        <v>551.276.798-41</v>
      </c>
      <c r="G731" s="101"/>
      <c r="H731" s="101"/>
      <c r="I731" s="101"/>
      <c r="J731" s="101"/>
      <c r="K731" s="101"/>
      <c r="L731" s="101"/>
      <c r="M731" s="101"/>
      <c r="N731" s="101"/>
      <c r="O731" s="101"/>
      <c r="P731" s="101"/>
      <c r="Q731" s="101"/>
      <c r="R731" s="101"/>
      <c r="S731" s="101"/>
      <c r="T731" s="101"/>
      <c r="U731" s="101"/>
      <c r="V731" s="101"/>
      <c r="W731" s="101"/>
      <c r="X731" s="101"/>
      <c r="Y731" s="101"/>
      <c r="Z731" s="101"/>
    </row>
    <row r="732">
      <c r="A732" s="101"/>
      <c r="B732" s="101"/>
      <c r="C732" s="101" t="str">
        <f>IFERROR(__xludf.DUMMYFUNCTION("""COMPUTED_VALUE"""),"AGATHA REINATO PEREIRA")</f>
        <v>AGATHA REINATO PEREIRA</v>
      </c>
      <c r="D732" s="101" t="str">
        <f>IFERROR(__xludf.DUMMYFUNCTION("""COMPUTED_VALUE"""),"518.***.***-85")</f>
        <v>518.***.***-85</v>
      </c>
      <c r="E732" s="101">
        <f>IFERROR(__xludf.DUMMYFUNCTION("""COMPUTED_VALUE"""),1.0)</f>
        <v>1</v>
      </c>
      <c r="F732" s="101" t="str">
        <f>IFERROR(__xludf.DUMMYFUNCTION("""COMPUTED_VALUE"""),"518.629.958-85")</f>
        <v>518.629.958-85</v>
      </c>
      <c r="G732" s="101"/>
      <c r="H732" s="101"/>
      <c r="I732" s="101"/>
      <c r="J732" s="101"/>
      <c r="K732" s="101"/>
      <c r="L732" s="101"/>
      <c r="M732" s="101"/>
      <c r="N732" s="101"/>
      <c r="O732" s="101"/>
      <c r="P732" s="101"/>
      <c r="Q732" s="101"/>
      <c r="R732" s="101"/>
      <c r="S732" s="101"/>
      <c r="T732" s="101"/>
      <c r="U732" s="101"/>
      <c r="V732" s="101"/>
      <c r="W732" s="101"/>
      <c r="X732" s="101"/>
      <c r="Y732" s="101"/>
      <c r="Z732" s="101"/>
    </row>
    <row r="733">
      <c r="A733" s="101"/>
      <c r="B733" s="101"/>
      <c r="C733" s="101" t="str">
        <f>IFERROR(__xludf.DUMMYFUNCTION("""COMPUTED_VALUE"""),"NICOLE ROCHA DE OLIVEIRA")</f>
        <v>NICOLE ROCHA DE OLIVEIRA</v>
      </c>
      <c r="D733" s="101" t="str">
        <f>IFERROR(__xludf.DUMMYFUNCTION("""COMPUTED_VALUE"""),"036.***.***-18")</f>
        <v>036.***.***-18</v>
      </c>
      <c r="E733" s="101">
        <f>IFERROR(__xludf.DUMMYFUNCTION("""COMPUTED_VALUE"""),9.0)</f>
        <v>9</v>
      </c>
      <c r="F733" s="101" t="str">
        <f>IFERROR(__xludf.DUMMYFUNCTION("""COMPUTED_VALUE"""),"036.206.765-18")</f>
        <v>036.206.765-18</v>
      </c>
      <c r="G733" s="101"/>
      <c r="H733" s="101"/>
      <c r="I733" s="101"/>
      <c r="J733" s="101"/>
      <c r="K733" s="101"/>
      <c r="L733" s="101"/>
      <c r="M733" s="101"/>
      <c r="N733" s="101"/>
      <c r="O733" s="101"/>
      <c r="P733" s="101"/>
      <c r="Q733" s="101"/>
      <c r="R733" s="101"/>
      <c r="S733" s="101"/>
      <c r="T733" s="101"/>
      <c r="U733" s="101"/>
      <c r="V733" s="101"/>
      <c r="W733" s="101"/>
      <c r="X733" s="101"/>
      <c r="Y733" s="101"/>
      <c r="Z733" s="101"/>
    </row>
    <row r="734">
      <c r="A734" s="101"/>
      <c r="B734" s="101"/>
      <c r="C734" s="101" t="str">
        <f>IFERROR(__xludf.DUMMYFUNCTION("""COMPUTED_VALUE"""),"GABRIEL OLIVEIRA MARTINS")</f>
        <v>GABRIEL OLIVEIRA MARTINS</v>
      </c>
      <c r="D734" s="101" t="str">
        <f>IFERROR(__xludf.DUMMYFUNCTION("""COMPUTED_VALUE"""),"445.***.***-89")</f>
        <v>445.***.***-89</v>
      </c>
      <c r="E734" s="101">
        <f>IFERROR(__xludf.DUMMYFUNCTION("""COMPUTED_VALUE"""),5.0)</f>
        <v>5</v>
      </c>
      <c r="F734" s="101" t="str">
        <f>IFERROR(__xludf.DUMMYFUNCTION("""COMPUTED_VALUE"""),"445.382.048-89")</f>
        <v>445.382.048-89</v>
      </c>
      <c r="G734" s="101"/>
      <c r="H734" s="101"/>
      <c r="I734" s="101"/>
      <c r="J734" s="101"/>
      <c r="K734" s="101"/>
      <c r="L734" s="101"/>
      <c r="M734" s="101"/>
      <c r="N734" s="101"/>
      <c r="O734" s="101"/>
      <c r="P734" s="101"/>
      <c r="Q734" s="101"/>
      <c r="R734" s="101"/>
      <c r="S734" s="101"/>
      <c r="T734" s="101"/>
      <c r="U734" s="101"/>
      <c r="V734" s="101"/>
      <c r="W734" s="101"/>
      <c r="X734" s="101"/>
      <c r="Y734" s="101"/>
      <c r="Z734" s="101"/>
    </row>
    <row r="735">
      <c r="A735" s="101"/>
      <c r="B735" s="101"/>
      <c r="C735" s="101" t="str">
        <f>IFERROR(__xludf.DUMMYFUNCTION("""COMPUTED_VALUE"""),"GUILHERME SOUZA ORTELAN")</f>
        <v>GUILHERME SOUZA ORTELAN</v>
      </c>
      <c r="D735" s="101" t="str">
        <f>IFERROR(__xludf.DUMMYFUNCTION("""COMPUTED_VALUE"""),"471.***.***-80")</f>
        <v>471.***.***-80</v>
      </c>
      <c r="E735" s="101">
        <f>IFERROR(__xludf.DUMMYFUNCTION("""COMPUTED_VALUE"""),4.0)</f>
        <v>4</v>
      </c>
      <c r="F735" s="101" t="str">
        <f>IFERROR(__xludf.DUMMYFUNCTION("""COMPUTED_VALUE"""),"471.883.548-80")</f>
        <v>471.883.548-80</v>
      </c>
      <c r="G735" s="101"/>
      <c r="H735" s="101"/>
      <c r="I735" s="101"/>
      <c r="J735" s="101"/>
      <c r="K735" s="101"/>
      <c r="L735" s="101"/>
      <c r="M735" s="101"/>
      <c r="N735" s="101"/>
      <c r="O735" s="101"/>
      <c r="P735" s="101"/>
      <c r="Q735" s="101"/>
      <c r="R735" s="101"/>
      <c r="S735" s="101"/>
      <c r="T735" s="101"/>
      <c r="U735" s="101"/>
      <c r="V735" s="101"/>
      <c r="W735" s="101"/>
      <c r="X735" s="101"/>
      <c r="Y735" s="101"/>
      <c r="Z735" s="101"/>
    </row>
    <row r="736">
      <c r="A736" s="101"/>
      <c r="B736" s="101"/>
      <c r="C736" s="101" t="str">
        <f>IFERROR(__xludf.DUMMYFUNCTION("""COMPUTED_VALUE"""),"LUCAS DELFINO DE SOUZA")</f>
        <v>LUCAS DELFINO DE SOUZA</v>
      </c>
      <c r="D736" s="101" t="str">
        <f>IFERROR(__xludf.DUMMYFUNCTION("""COMPUTED_VALUE"""),"521.***.***-09")</f>
        <v>521.***.***-09</v>
      </c>
      <c r="E736" s="101">
        <f>IFERROR(__xludf.DUMMYFUNCTION("""COMPUTED_VALUE"""),11.0)</f>
        <v>11</v>
      </c>
      <c r="F736" s="101" t="str">
        <f>IFERROR(__xludf.DUMMYFUNCTION("""COMPUTED_VALUE"""),"521.726.778-09")</f>
        <v>521.726.778-09</v>
      </c>
      <c r="G736" s="101"/>
      <c r="H736" s="101"/>
      <c r="I736" s="101"/>
      <c r="J736" s="101"/>
      <c r="K736" s="101"/>
      <c r="L736" s="101"/>
      <c r="M736" s="101"/>
      <c r="N736" s="101"/>
      <c r="O736" s="101"/>
      <c r="P736" s="101"/>
      <c r="Q736" s="101"/>
      <c r="R736" s="101"/>
      <c r="S736" s="101"/>
      <c r="T736" s="101"/>
      <c r="U736" s="101"/>
      <c r="V736" s="101"/>
      <c r="W736" s="101"/>
      <c r="X736" s="101"/>
      <c r="Y736" s="101"/>
      <c r="Z736" s="101"/>
    </row>
    <row r="737">
      <c r="A737" s="101"/>
      <c r="B737" s="101"/>
      <c r="C737" s="101" t="str">
        <f>IFERROR(__xludf.DUMMYFUNCTION("""COMPUTED_VALUE"""),"DANILO MOREIRA MARTINS DA SILVA")</f>
        <v>DANILO MOREIRA MARTINS DA SILVA</v>
      </c>
      <c r="D737" s="101" t="str">
        <f>IFERROR(__xludf.DUMMYFUNCTION("""COMPUTED_VALUE"""),"484.***.***-96")</f>
        <v>484.***.***-96</v>
      </c>
      <c r="E737" s="101">
        <f>IFERROR(__xludf.DUMMYFUNCTION("""COMPUTED_VALUE"""),1.0)</f>
        <v>1</v>
      </c>
      <c r="F737" s="101" t="str">
        <f>IFERROR(__xludf.DUMMYFUNCTION("""COMPUTED_VALUE"""),"484.609.578-96")</f>
        <v>484.609.578-96</v>
      </c>
      <c r="G737" s="101"/>
      <c r="H737" s="101"/>
      <c r="I737" s="101"/>
      <c r="J737" s="101"/>
      <c r="K737" s="101"/>
      <c r="L737" s="101"/>
      <c r="M737" s="101"/>
      <c r="N737" s="101"/>
      <c r="O737" s="101"/>
      <c r="P737" s="101"/>
      <c r="Q737" s="101"/>
      <c r="R737" s="101"/>
      <c r="S737" s="101"/>
      <c r="T737" s="101"/>
      <c r="U737" s="101"/>
      <c r="V737" s="101"/>
      <c r="W737" s="101"/>
      <c r="X737" s="101"/>
      <c r="Y737" s="101"/>
      <c r="Z737" s="101"/>
    </row>
    <row r="738">
      <c r="A738" s="101"/>
      <c r="B738" s="101"/>
      <c r="C738" s="101" t="str">
        <f>IFERROR(__xludf.DUMMYFUNCTION("""COMPUTED_VALUE"""),"GABRYELLE PEREIRA DA SILVA")</f>
        <v>GABRYELLE PEREIRA DA SILVA</v>
      </c>
      <c r="D738" s="101" t="str">
        <f>IFERROR(__xludf.DUMMYFUNCTION("""COMPUTED_VALUE"""),"374.***.***-63")</f>
        <v>374.***.***-63</v>
      </c>
      <c r="E738" s="101">
        <f>IFERROR(__xludf.DUMMYFUNCTION("""COMPUTED_VALUE"""),4.0)</f>
        <v>4</v>
      </c>
      <c r="F738" s="101" t="str">
        <f>IFERROR(__xludf.DUMMYFUNCTION("""COMPUTED_VALUE"""),"374.896.758-63")</f>
        <v>374.896.758-63</v>
      </c>
      <c r="G738" s="101"/>
      <c r="H738" s="101"/>
      <c r="I738" s="101"/>
      <c r="J738" s="101"/>
      <c r="K738" s="101"/>
      <c r="L738" s="101"/>
      <c r="M738" s="101"/>
      <c r="N738" s="101"/>
      <c r="O738" s="101"/>
      <c r="P738" s="101"/>
      <c r="Q738" s="101"/>
      <c r="R738" s="101"/>
      <c r="S738" s="101"/>
      <c r="T738" s="101"/>
      <c r="U738" s="101"/>
      <c r="V738" s="101"/>
      <c r="W738" s="101"/>
      <c r="X738" s="101"/>
      <c r="Y738" s="101"/>
      <c r="Z738" s="101"/>
    </row>
    <row r="739">
      <c r="A739" s="101"/>
      <c r="B739" s="101"/>
      <c r="C739" s="101" t="str">
        <f>IFERROR(__xludf.DUMMYFUNCTION("""COMPUTED_VALUE"""),"LEONARDO GUALBERTO DOS SANTOS JUNIOR")</f>
        <v>LEONARDO GUALBERTO DOS SANTOS JUNIOR</v>
      </c>
      <c r="D739" s="101" t="str">
        <f>IFERROR(__xludf.DUMMYFUNCTION("""COMPUTED_VALUE"""),"474.***.***-65")</f>
        <v>474.***.***-65</v>
      </c>
      <c r="E739" s="101">
        <f>IFERROR(__xludf.DUMMYFUNCTION("""COMPUTED_VALUE"""),7.0)</f>
        <v>7</v>
      </c>
      <c r="F739" s="101" t="str">
        <f>IFERROR(__xludf.DUMMYFUNCTION("""COMPUTED_VALUE"""),"474.601.778-65")</f>
        <v>474.601.778-65</v>
      </c>
      <c r="G739" s="101"/>
      <c r="H739" s="101"/>
      <c r="I739" s="101"/>
      <c r="J739" s="101"/>
      <c r="K739" s="101"/>
      <c r="L739" s="101"/>
      <c r="M739" s="101"/>
      <c r="N739" s="101"/>
      <c r="O739" s="101"/>
      <c r="P739" s="101"/>
      <c r="Q739" s="101"/>
      <c r="R739" s="101"/>
      <c r="S739" s="101"/>
      <c r="T739" s="101"/>
      <c r="U739" s="101"/>
      <c r="V739" s="101"/>
      <c r="W739" s="101"/>
      <c r="X739" s="101"/>
      <c r="Y739" s="101"/>
      <c r="Z739" s="101"/>
    </row>
    <row r="740">
      <c r="A740" s="101"/>
      <c r="B740" s="101"/>
      <c r="C740" s="101" t="str">
        <f>IFERROR(__xludf.DUMMYFUNCTION("""COMPUTED_VALUE"""),"TAYNARA SILVA SANTOS")</f>
        <v>TAYNARA SILVA SANTOS</v>
      </c>
      <c r="D740" s="101" t="str">
        <f>IFERROR(__xludf.DUMMYFUNCTION("""COMPUTED_VALUE"""),"069.***.***-17")</f>
        <v>069.***.***-17</v>
      </c>
      <c r="E740" s="101">
        <f>IFERROR(__xludf.DUMMYFUNCTION("""COMPUTED_VALUE"""),16.0)</f>
        <v>16</v>
      </c>
      <c r="F740" s="101" t="str">
        <f>IFERROR(__xludf.DUMMYFUNCTION("""COMPUTED_VALUE"""),"069.336.225-17")</f>
        <v>069.336.225-17</v>
      </c>
      <c r="G740" s="101"/>
      <c r="H740" s="101"/>
      <c r="I740" s="101"/>
      <c r="J740" s="101"/>
      <c r="K740" s="101"/>
      <c r="L740" s="101"/>
      <c r="M740" s="101"/>
      <c r="N740" s="101"/>
      <c r="O740" s="101"/>
      <c r="P740" s="101"/>
      <c r="Q740" s="101"/>
      <c r="R740" s="101"/>
      <c r="S740" s="101"/>
      <c r="T740" s="101"/>
      <c r="U740" s="101"/>
      <c r="V740" s="101"/>
      <c r="W740" s="101"/>
      <c r="X740" s="101"/>
      <c r="Y740" s="101"/>
      <c r="Z740" s="101"/>
    </row>
    <row r="741">
      <c r="A741" s="101"/>
      <c r="B741" s="101"/>
      <c r="C741" s="101" t="str">
        <f>IFERROR(__xludf.DUMMYFUNCTION("""COMPUTED_VALUE"""),"ELISABETH PEREIRA GONCALVES")</f>
        <v>ELISABETH PEREIRA GONCALVES</v>
      </c>
      <c r="D741" s="101" t="str">
        <f>IFERROR(__xludf.DUMMYFUNCTION("""COMPUTED_VALUE"""),"469.***.***-07")</f>
        <v>469.***.***-07</v>
      </c>
      <c r="E741" s="101">
        <f>IFERROR(__xludf.DUMMYFUNCTION("""COMPUTED_VALUE"""),4.0)</f>
        <v>4</v>
      </c>
      <c r="F741" s="101" t="str">
        <f>IFERROR(__xludf.DUMMYFUNCTION("""COMPUTED_VALUE"""),"469.087.798-07")</f>
        <v>469.087.798-07</v>
      </c>
      <c r="G741" s="101"/>
      <c r="H741" s="101"/>
      <c r="I741" s="101"/>
      <c r="J741" s="101"/>
      <c r="K741" s="101"/>
      <c r="L741" s="101"/>
      <c r="M741" s="101"/>
      <c r="N741" s="101"/>
      <c r="O741" s="101"/>
      <c r="P741" s="101"/>
      <c r="Q741" s="101"/>
      <c r="R741" s="101"/>
      <c r="S741" s="101"/>
      <c r="T741" s="101"/>
      <c r="U741" s="101"/>
      <c r="V741" s="101"/>
      <c r="W741" s="101"/>
      <c r="X741" s="101"/>
      <c r="Y741" s="101"/>
      <c r="Z741" s="101"/>
    </row>
    <row r="742">
      <c r="A742" s="101"/>
      <c r="B742" s="101"/>
      <c r="C742" s="101" t="str">
        <f>IFERROR(__xludf.DUMMYFUNCTION("""COMPUTED_VALUE"""),"ISABELA PEREIRA DE MORAES")</f>
        <v>ISABELA PEREIRA DE MORAES</v>
      </c>
      <c r="D742" s="101" t="str">
        <f>IFERROR(__xludf.DUMMYFUNCTION("""COMPUTED_VALUE"""),"439.***.***-48")</f>
        <v>439.***.***-48</v>
      </c>
      <c r="E742" s="101">
        <f>IFERROR(__xludf.DUMMYFUNCTION("""COMPUTED_VALUE"""),7.0)</f>
        <v>7</v>
      </c>
      <c r="F742" s="101" t="str">
        <f>IFERROR(__xludf.DUMMYFUNCTION("""COMPUTED_VALUE"""),"439.636.318-48")</f>
        <v>439.636.318-48</v>
      </c>
      <c r="G742" s="101"/>
      <c r="H742" s="101"/>
      <c r="I742" s="101"/>
      <c r="J742" s="101"/>
      <c r="K742" s="101"/>
      <c r="L742" s="101"/>
      <c r="M742" s="101"/>
      <c r="N742" s="101"/>
      <c r="O742" s="101"/>
      <c r="P742" s="101"/>
      <c r="Q742" s="101"/>
      <c r="R742" s="101"/>
      <c r="S742" s="101"/>
      <c r="T742" s="101"/>
      <c r="U742" s="101"/>
      <c r="V742" s="101"/>
      <c r="W742" s="101"/>
      <c r="X742" s="101"/>
      <c r="Y742" s="101"/>
      <c r="Z742" s="101"/>
    </row>
    <row r="743">
      <c r="A743" s="101"/>
      <c r="B743" s="101"/>
      <c r="C743" s="101" t="str">
        <f>IFERROR(__xludf.DUMMYFUNCTION("""COMPUTED_VALUE"""),"MATHEUS DE SOUZA FONSECA")</f>
        <v>MATHEUS DE SOUZA FONSECA</v>
      </c>
      <c r="D743" s="101" t="str">
        <f>IFERROR(__xludf.DUMMYFUNCTION("""COMPUTED_VALUE"""),"429.***.***-02")</f>
        <v>429.***.***-02</v>
      </c>
      <c r="E743" s="101">
        <f>IFERROR(__xludf.DUMMYFUNCTION("""COMPUTED_VALUE"""),12.0)</f>
        <v>12</v>
      </c>
      <c r="F743" s="101" t="str">
        <f>IFERROR(__xludf.DUMMYFUNCTION("""COMPUTED_VALUE"""),"429.958.998-02")</f>
        <v>429.958.998-02</v>
      </c>
      <c r="G743" s="101"/>
      <c r="H743" s="101"/>
      <c r="I743" s="101"/>
      <c r="J743" s="101"/>
      <c r="K743" s="101"/>
      <c r="L743" s="101"/>
      <c r="M743" s="101"/>
      <c r="N743" s="101"/>
      <c r="O743" s="101"/>
      <c r="P743" s="101"/>
      <c r="Q743" s="101"/>
      <c r="R743" s="101"/>
      <c r="S743" s="101"/>
      <c r="T743" s="101"/>
      <c r="U743" s="101"/>
      <c r="V743" s="101"/>
      <c r="W743" s="101"/>
      <c r="X743" s="101"/>
      <c r="Y743" s="101"/>
      <c r="Z743" s="101"/>
    </row>
    <row r="744">
      <c r="A744" s="101"/>
      <c r="B744" s="101"/>
      <c r="C744" s="101" t="str">
        <f>IFERROR(__xludf.DUMMYFUNCTION("""COMPUTED_VALUE"""),"PAULA VITORIA AQUINO DOS SANTOS")</f>
        <v>PAULA VITORIA AQUINO DOS SANTOS</v>
      </c>
      <c r="D744" s="101" t="str">
        <f>IFERROR(__xludf.DUMMYFUNCTION("""COMPUTED_VALUE"""),"502.***.***-83")</f>
        <v>502.***.***-83</v>
      </c>
      <c r="E744" s="101">
        <f>IFERROR(__xludf.DUMMYFUNCTION("""COMPUTED_VALUE"""),8.0)</f>
        <v>8</v>
      </c>
      <c r="F744" s="101" t="str">
        <f>IFERROR(__xludf.DUMMYFUNCTION("""COMPUTED_VALUE"""),"502.634.238-83")</f>
        <v>502.634.238-83</v>
      </c>
      <c r="G744" s="101"/>
      <c r="H744" s="101"/>
      <c r="I744" s="101"/>
      <c r="J744" s="101"/>
      <c r="K744" s="101"/>
      <c r="L744" s="101"/>
      <c r="M744" s="101"/>
      <c r="N744" s="101"/>
      <c r="O744" s="101"/>
      <c r="P744" s="101"/>
      <c r="Q744" s="101"/>
      <c r="R744" s="101"/>
      <c r="S744" s="101"/>
      <c r="T744" s="101"/>
      <c r="U744" s="101"/>
      <c r="V744" s="101"/>
      <c r="W744" s="101"/>
      <c r="X744" s="101"/>
      <c r="Y744" s="101"/>
      <c r="Z744" s="101"/>
    </row>
    <row r="745">
      <c r="A745" s="101"/>
      <c r="B745" s="101"/>
      <c r="C745" s="101" t="str">
        <f>IFERROR(__xludf.DUMMYFUNCTION("""COMPUTED_VALUE"""),"AMANDA DE QUEIROZ MOURA ALVES")</f>
        <v>AMANDA DE QUEIROZ MOURA ALVES</v>
      </c>
      <c r="D745" s="101" t="str">
        <f>IFERROR(__xludf.DUMMYFUNCTION("""COMPUTED_VALUE"""),"514.***.***-51")</f>
        <v>514.***.***-51</v>
      </c>
      <c r="E745" s="101">
        <f>IFERROR(__xludf.DUMMYFUNCTION("""COMPUTED_VALUE"""),1.0)</f>
        <v>1</v>
      </c>
      <c r="F745" s="101" t="str">
        <f>IFERROR(__xludf.DUMMYFUNCTION("""COMPUTED_VALUE"""),"514.976.188-51")</f>
        <v>514.976.188-51</v>
      </c>
      <c r="G745" s="101"/>
      <c r="H745" s="101"/>
      <c r="I745" s="101"/>
      <c r="J745" s="101"/>
      <c r="K745" s="101"/>
      <c r="L745" s="101"/>
      <c r="M745" s="101"/>
      <c r="N745" s="101"/>
      <c r="O745" s="101"/>
      <c r="P745" s="101"/>
      <c r="Q745" s="101"/>
      <c r="R745" s="101"/>
      <c r="S745" s="101"/>
      <c r="T745" s="101"/>
      <c r="U745" s="101"/>
      <c r="V745" s="101"/>
      <c r="W745" s="101"/>
      <c r="X745" s="101"/>
      <c r="Y745" s="101"/>
      <c r="Z745" s="101"/>
    </row>
    <row r="746">
      <c r="A746" s="101"/>
      <c r="B746" s="101"/>
      <c r="C746" s="101" t="str">
        <f>IFERROR(__xludf.DUMMYFUNCTION("""COMPUTED_VALUE"""),"DEBORAH PAULA SOUZA")</f>
        <v>DEBORAH PAULA SOUZA</v>
      </c>
      <c r="D746" s="101" t="str">
        <f>IFERROR(__xludf.DUMMYFUNCTION("""COMPUTED_VALUE"""),"490.***.***-99")</f>
        <v>490.***.***-99</v>
      </c>
      <c r="E746" s="101">
        <f>IFERROR(__xludf.DUMMYFUNCTION("""COMPUTED_VALUE"""),4.0)</f>
        <v>4</v>
      </c>
      <c r="F746" s="101" t="str">
        <f>IFERROR(__xludf.DUMMYFUNCTION("""COMPUTED_VALUE"""),"490.356.948-99")</f>
        <v>490.356.948-99</v>
      </c>
      <c r="G746" s="101"/>
      <c r="H746" s="101"/>
      <c r="I746" s="101"/>
      <c r="J746" s="101"/>
      <c r="K746" s="101"/>
      <c r="L746" s="101"/>
      <c r="M746" s="101"/>
      <c r="N746" s="101"/>
      <c r="O746" s="101"/>
      <c r="P746" s="101"/>
      <c r="Q746" s="101"/>
      <c r="R746" s="101"/>
      <c r="S746" s="101"/>
      <c r="T746" s="101"/>
      <c r="U746" s="101"/>
      <c r="V746" s="101"/>
      <c r="W746" s="101"/>
      <c r="X746" s="101"/>
      <c r="Y746" s="101"/>
      <c r="Z746" s="101"/>
    </row>
    <row r="747">
      <c r="A747" s="101"/>
      <c r="B747" s="101"/>
      <c r="C747" s="101" t="str">
        <f>IFERROR(__xludf.DUMMYFUNCTION("""COMPUTED_VALUE"""),"GABRIEL DOS ANJOS BRIXNER")</f>
        <v>GABRIEL DOS ANJOS BRIXNER</v>
      </c>
      <c r="D747" s="101" t="str">
        <f>IFERROR(__xludf.DUMMYFUNCTION("""COMPUTED_VALUE"""),"069.***.***-92")</f>
        <v>069.***.***-92</v>
      </c>
      <c r="E747" s="101">
        <f>IFERROR(__xludf.DUMMYFUNCTION("""COMPUTED_VALUE"""),5.0)</f>
        <v>5</v>
      </c>
      <c r="F747" s="101" t="str">
        <f>IFERROR(__xludf.DUMMYFUNCTION("""COMPUTED_VALUE"""),"069.793.613-92")</f>
        <v>069.793.613-92</v>
      </c>
      <c r="G747" s="101"/>
      <c r="H747" s="101"/>
      <c r="I747" s="101"/>
      <c r="J747" s="101"/>
      <c r="K747" s="101"/>
      <c r="L747" s="101"/>
      <c r="M747" s="101"/>
      <c r="N747" s="101"/>
      <c r="O747" s="101"/>
      <c r="P747" s="101"/>
      <c r="Q747" s="101"/>
      <c r="R747" s="101"/>
      <c r="S747" s="101"/>
      <c r="T747" s="101"/>
      <c r="U747" s="101"/>
      <c r="V747" s="101"/>
      <c r="W747" s="101"/>
      <c r="X747" s="101"/>
      <c r="Y747" s="101"/>
      <c r="Z747" s="101"/>
    </row>
    <row r="748">
      <c r="A748" s="101"/>
      <c r="B748" s="101"/>
      <c r="C748" s="101" t="str">
        <f>IFERROR(__xludf.DUMMYFUNCTION("""COMPUTED_VALUE"""),"DAVID SANTOS DE JESUS")</f>
        <v>DAVID SANTOS DE JESUS</v>
      </c>
      <c r="D748" s="101" t="str">
        <f>IFERROR(__xludf.DUMMYFUNCTION("""COMPUTED_VALUE"""),"513.***.***-26")</f>
        <v>513.***.***-26</v>
      </c>
      <c r="E748" s="101">
        <f>IFERROR(__xludf.DUMMYFUNCTION("""COMPUTED_VALUE"""),13.0)</f>
        <v>13</v>
      </c>
      <c r="F748" s="101" t="str">
        <f>IFERROR(__xludf.DUMMYFUNCTION("""COMPUTED_VALUE"""),"513.707.978-26")</f>
        <v>513.707.978-26</v>
      </c>
      <c r="G748" s="101"/>
      <c r="H748" s="101"/>
      <c r="I748" s="101"/>
      <c r="J748" s="101"/>
      <c r="K748" s="101"/>
      <c r="L748" s="101"/>
      <c r="M748" s="101"/>
      <c r="N748" s="101"/>
      <c r="O748" s="101"/>
      <c r="P748" s="101"/>
      <c r="Q748" s="101"/>
      <c r="R748" s="101"/>
      <c r="S748" s="101"/>
      <c r="T748" s="101"/>
      <c r="U748" s="101"/>
      <c r="V748" s="101"/>
      <c r="W748" s="101"/>
      <c r="X748" s="101"/>
      <c r="Y748" s="101"/>
      <c r="Z748" s="101"/>
    </row>
    <row r="749">
      <c r="A749" s="101"/>
      <c r="B749" s="101"/>
      <c r="C749" s="101" t="str">
        <f>IFERROR(__xludf.DUMMYFUNCTION("""COMPUTED_VALUE"""),"LEANDRO DE SÁ FERREIRA DA SILVA")</f>
        <v>LEANDRO DE SÁ FERREIRA DA SILVA</v>
      </c>
      <c r="D749" s="101" t="str">
        <f>IFERROR(__xludf.DUMMYFUNCTION("""COMPUTED_VALUE"""),"546.***.***-95")</f>
        <v>546.***.***-95</v>
      </c>
      <c r="E749" s="101">
        <f>IFERROR(__xludf.DUMMYFUNCTION("""COMPUTED_VALUE"""),10.0)</f>
        <v>10</v>
      </c>
      <c r="F749" s="101" t="str">
        <f>IFERROR(__xludf.DUMMYFUNCTION("""COMPUTED_VALUE"""),"546.704.438-95")</f>
        <v>546.704.438-95</v>
      </c>
      <c r="G749" s="101"/>
      <c r="H749" s="101"/>
      <c r="I749" s="101"/>
      <c r="J749" s="101"/>
      <c r="K749" s="101"/>
      <c r="L749" s="101"/>
      <c r="M749" s="101"/>
      <c r="N749" s="101"/>
      <c r="O749" s="101"/>
      <c r="P749" s="101"/>
      <c r="Q749" s="101"/>
      <c r="R749" s="101"/>
      <c r="S749" s="101"/>
      <c r="T749" s="101"/>
      <c r="U749" s="101"/>
      <c r="V749" s="101"/>
      <c r="W749" s="101"/>
      <c r="X749" s="101"/>
      <c r="Y749" s="101"/>
      <c r="Z749" s="101"/>
    </row>
    <row r="750">
      <c r="A750" s="101"/>
      <c r="B750" s="101"/>
      <c r="C750" s="101" t="str">
        <f>IFERROR(__xludf.DUMMYFUNCTION("""COMPUTED_VALUE"""),"FABRICIO FREITAS PACHECO")</f>
        <v>FABRICIO FREITAS PACHECO</v>
      </c>
      <c r="D750" s="101" t="str">
        <f>IFERROR(__xludf.DUMMYFUNCTION("""COMPUTED_VALUE"""),"493.***.***-80")</f>
        <v>493.***.***-80</v>
      </c>
      <c r="E750" s="101">
        <f>IFERROR(__xludf.DUMMYFUNCTION("""COMPUTED_VALUE"""),3.0)</f>
        <v>3</v>
      </c>
      <c r="F750" s="101" t="str">
        <f>IFERROR(__xludf.DUMMYFUNCTION("""COMPUTED_VALUE"""),"493.620.418-80")</f>
        <v>493.620.418-80</v>
      </c>
      <c r="G750" s="101"/>
      <c r="H750" s="101"/>
      <c r="I750" s="101"/>
      <c r="J750" s="101"/>
      <c r="K750" s="101"/>
      <c r="L750" s="101"/>
      <c r="M750" s="101"/>
      <c r="N750" s="101"/>
      <c r="O750" s="101"/>
      <c r="P750" s="101"/>
      <c r="Q750" s="101"/>
      <c r="R750" s="101"/>
      <c r="S750" s="101"/>
      <c r="T750" s="101"/>
      <c r="U750" s="101"/>
      <c r="V750" s="101"/>
      <c r="W750" s="101"/>
      <c r="X750" s="101"/>
      <c r="Y750" s="101"/>
      <c r="Z750" s="101"/>
    </row>
    <row r="751">
      <c r="A751" s="101"/>
      <c r="B751" s="101"/>
      <c r="C751" s="101" t="str">
        <f>IFERROR(__xludf.DUMMYFUNCTION("""COMPUTED_VALUE"""),"DAVI DOS SANTOS PIRES")</f>
        <v>DAVI DOS SANTOS PIRES</v>
      </c>
      <c r="D751" s="101" t="str">
        <f>IFERROR(__xludf.DUMMYFUNCTION("""COMPUTED_VALUE"""),"378.***.***-52")</f>
        <v>378.***.***-52</v>
      </c>
      <c r="E751" s="101">
        <f>IFERROR(__xludf.DUMMYFUNCTION("""COMPUTED_VALUE"""),3.0)</f>
        <v>3</v>
      </c>
      <c r="F751" s="101" t="str">
        <f>IFERROR(__xludf.DUMMYFUNCTION("""COMPUTED_VALUE"""),"378.106.408-52")</f>
        <v>378.106.408-52</v>
      </c>
      <c r="G751" s="101"/>
      <c r="H751" s="101"/>
      <c r="I751" s="101"/>
      <c r="J751" s="101"/>
      <c r="K751" s="101"/>
      <c r="L751" s="101"/>
      <c r="M751" s="101"/>
      <c r="N751" s="101"/>
      <c r="O751" s="101"/>
      <c r="P751" s="101"/>
      <c r="Q751" s="101"/>
      <c r="R751" s="101"/>
      <c r="S751" s="101"/>
      <c r="T751" s="101"/>
      <c r="U751" s="101"/>
      <c r="V751" s="101"/>
      <c r="W751" s="101"/>
      <c r="X751" s="101"/>
      <c r="Y751" s="101"/>
      <c r="Z751" s="101"/>
    </row>
    <row r="752">
      <c r="A752" s="101"/>
      <c r="B752" s="101"/>
      <c r="C752" s="101" t="str">
        <f>IFERROR(__xludf.DUMMYFUNCTION("""COMPUTED_VALUE"""),"ISABELLA OLIVEIRA ALVES BRANCO")</f>
        <v>ISABELLA OLIVEIRA ALVES BRANCO</v>
      </c>
      <c r="D752" s="101" t="str">
        <f>IFERROR(__xludf.DUMMYFUNCTION("""COMPUTED_VALUE"""),"487.***.***-73")</f>
        <v>487.***.***-73</v>
      </c>
      <c r="E752" s="101">
        <f>IFERROR(__xludf.DUMMYFUNCTION("""COMPUTED_VALUE"""),7.0)</f>
        <v>7</v>
      </c>
      <c r="F752" s="101" t="str">
        <f>IFERROR(__xludf.DUMMYFUNCTION("""COMPUTED_VALUE"""),"487.123.398-73")</f>
        <v>487.123.398-73</v>
      </c>
      <c r="G752" s="101"/>
      <c r="H752" s="101"/>
      <c r="I752" s="101"/>
      <c r="J752" s="101"/>
      <c r="K752" s="101"/>
      <c r="L752" s="101"/>
      <c r="M752" s="101"/>
      <c r="N752" s="101"/>
      <c r="O752" s="101"/>
      <c r="P752" s="101"/>
      <c r="Q752" s="101"/>
      <c r="R752" s="101"/>
      <c r="S752" s="101"/>
      <c r="T752" s="101"/>
      <c r="U752" s="101"/>
      <c r="V752" s="101"/>
      <c r="W752" s="101"/>
      <c r="X752" s="101"/>
      <c r="Y752" s="101"/>
      <c r="Z752" s="101"/>
    </row>
    <row r="753">
      <c r="A753" s="101"/>
      <c r="B753" s="101"/>
      <c r="C753" s="101" t="str">
        <f>IFERROR(__xludf.DUMMYFUNCTION("""COMPUTED_VALUE"""),"GABRIEL DOS SANTOS DA SILVA")</f>
        <v>GABRIEL DOS SANTOS DA SILVA</v>
      </c>
      <c r="D753" s="101" t="str">
        <f>IFERROR(__xludf.DUMMYFUNCTION("""COMPUTED_VALUE"""),"436.***.***-60")</f>
        <v>436.***.***-60</v>
      </c>
      <c r="E753" s="101">
        <f>IFERROR(__xludf.DUMMYFUNCTION("""COMPUTED_VALUE"""),5.0)</f>
        <v>5</v>
      </c>
      <c r="F753" s="101" t="str">
        <f>IFERROR(__xludf.DUMMYFUNCTION("""COMPUTED_VALUE"""),"436.831.058-60")</f>
        <v>436.831.058-60</v>
      </c>
      <c r="G753" s="101"/>
      <c r="H753" s="101"/>
      <c r="I753" s="101"/>
      <c r="J753" s="101"/>
      <c r="K753" s="101"/>
      <c r="L753" s="101"/>
      <c r="M753" s="101"/>
      <c r="N753" s="101"/>
      <c r="O753" s="101"/>
      <c r="P753" s="101"/>
      <c r="Q753" s="101"/>
      <c r="R753" s="101"/>
      <c r="S753" s="101"/>
      <c r="T753" s="101"/>
      <c r="U753" s="101"/>
      <c r="V753" s="101"/>
      <c r="W753" s="101"/>
      <c r="X753" s="101"/>
      <c r="Y753" s="101"/>
      <c r="Z753" s="101"/>
    </row>
    <row r="754">
      <c r="A754" s="101"/>
      <c r="B754" s="101"/>
      <c r="C754" s="101" t="str">
        <f>IFERROR(__xludf.DUMMYFUNCTION("""COMPUTED_VALUE"""),"GABRIEL SANTANA NERES")</f>
        <v>GABRIEL SANTANA NERES</v>
      </c>
      <c r="D754" s="101" t="str">
        <f>IFERROR(__xludf.DUMMYFUNCTION("""COMPUTED_VALUE"""),"517.***.***-60")</f>
        <v>517.***.***-60</v>
      </c>
      <c r="E754" s="101">
        <f>IFERROR(__xludf.DUMMYFUNCTION("""COMPUTED_VALUE"""),5.0)</f>
        <v>5</v>
      </c>
      <c r="F754" s="101" t="str">
        <f>IFERROR(__xludf.DUMMYFUNCTION("""COMPUTED_VALUE"""),"517.001.518-60")</f>
        <v>517.001.518-60</v>
      </c>
      <c r="G754" s="101"/>
      <c r="H754" s="101"/>
      <c r="I754" s="101"/>
      <c r="J754" s="101"/>
      <c r="K754" s="101"/>
      <c r="L754" s="101"/>
      <c r="M754" s="101"/>
      <c r="N754" s="101"/>
      <c r="O754" s="101"/>
      <c r="P754" s="101"/>
      <c r="Q754" s="101"/>
      <c r="R754" s="101"/>
      <c r="S754" s="101"/>
      <c r="T754" s="101"/>
      <c r="U754" s="101"/>
      <c r="V754" s="101"/>
      <c r="W754" s="101"/>
      <c r="X754" s="101"/>
      <c r="Y754" s="101"/>
      <c r="Z754" s="101"/>
    </row>
    <row r="755">
      <c r="A755" s="101"/>
      <c r="B755" s="101"/>
      <c r="C755" s="101" t="str">
        <f>IFERROR(__xludf.DUMMYFUNCTION("""COMPUTED_VALUE"""),"ARTUR MOREIRA AMARO")</f>
        <v>ARTUR MOREIRA AMARO</v>
      </c>
      <c r="D755" s="101" t="str">
        <f>IFERROR(__xludf.DUMMYFUNCTION("""COMPUTED_VALUE"""),"562.***.***-59")</f>
        <v>562.***.***-59</v>
      </c>
      <c r="E755" s="101">
        <f>IFERROR(__xludf.DUMMYFUNCTION("""COMPUTED_VALUE"""),1.0)</f>
        <v>1</v>
      </c>
      <c r="F755" s="101" t="str">
        <f>IFERROR(__xludf.DUMMYFUNCTION("""COMPUTED_VALUE"""),"562.607.348-59")</f>
        <v>562.607.348-59</v>
      </c>
      <c r="G755" s="101"/>
      <c r="H755" s="101"/>
      <c r="I755" s="101"/>
      <c r="J755" s="101"/>
      <c r="K755" s="101"/>
      <c r="L755" s="101"/>
      <c r="M755" s="101"/>
      <c r="N755" s="101"/>
      <c r="O755" s="101"/>
      <c r="P755" s="101"/>
      <c r="Q755" s="101"/>
      <c r="R755" s="101"/>
      <c r="S755" s="101"/>
      <c r="T755" s="101"/>
      <c r="U755" s="101"/>
      <c r="V755" s="101"/>
      <c r="W755" s="101"/>
      <c r="X755" s="101"/>
      <c r="Y755" s="101"/>
      <c r="Z755" s="101"/>
    </row>
    <row r="756">
      <c r="A756" s="101"/>
      <c r="B756" s="101"/>
      <c r="C756" s="101" t="str">
        <f>IFERROR(__xludf.DUMMYFUNCTION("""COMPUTED_VALUE"""),"LORRANA CEREZE GUIMARAES")</f>
        <v>LORRANA CEREZE GUIMARAES</v>
      </c>
      <c r="D756" s="101" t="str">
        <f>IFERROR(__xludf.DUMMYFUNCTION("""COMPUTED_VALUE"""),"448.***.***-16")</f>
        <v>448.***.***-16</v>
      </c>
      <c r="E756" s="101">
        <f>IFERROR(__xludf.DUMMYFUNCTION("""COMPUTED_VALUE"""),3.0)</f>
        <v>3</v>
      </c>
      <c r="F756" s="101" t="str">
        <f>IFERROR(__xludf.DUMMYFUNCTION("""COMPUTED_VALUE"""),"448.386.998-16")</f>
        <v>448.386.998-16</v>
      </c>
      <c r="G756" s="101"/>
      <c r="H756" s="101"/>
      <c r="I756" s="101"/>
      <c r="J756" s="101"/>
      <c r="K756" s="101"/>
      <c r="L756" s="101"/>
      <c r="M756" s="101"/>
      <c r="N756" s="101"/>
      <c r="O756" s="101"/>
      <c r="P756" s="101"/>
      <c r="Q756" s="101"/>
      <c r="R756" s="101"/>
      <c r="S756" s="101"/>
      <c r="T756" s="101"/>
      <c r="U756" s="101"/>
      <c r="V756" s="101"/>
      <c r="W756" s="101"/>
      <c r="X756" s="101"/>
      <c r="Y756" s="101"/>
      <c r="Z756" s="101"/>
    </row>
    <row r="757">
      <c r="A757" s="101"/>
      <c r="B757" s="101"/>
      <c r="C757" s="101" t="str">
        <f>IFERROR(__xludf.DUMMYFUNCTION("""COMPUTED_VALUE"""),"GIOVANNA SANTOS LONGOBARDI")</f>
        <v>GIOVANNA SANTOS LONGOBARDI</v>
      </c>
      <c r="D757" s="101" t="str">
        <f>IFERROR(__xludf.DUMMYFUNCTION("""COMPUTED_VALUE"""),"466.***.***-09")</f>
        <v>466.***.***-09</v>
      </c>
      <c r="E757" s="101">
        <f>IFERROR(__xludf.DUMMYFUNCTION("""COMPUTED_VALUE"""),6.0)</f>
        <v>6</v>
      </c>
      <c r="F757" s="101" t="str">
        <f>IFERROR(__xludf.DUMMYFUNCTION("""COMPUTED_VALUE"""),"466.337.548-09")</f>
        <v>466.337.548-09</v>
      </c>
      <c r="G757" s="101"/>
      <c r="H757" s="101"/>
      <c r="I757" s="101"/>
      <c r="J757" s="101"/>
      <c r="K757" s="101"/>
      <c r="L757" s="101"/>
      <c r="M757" s="101"/>
      <c r="N757" s="101"/>
      <c r="O757" s="101"/>
      <c r="P757" s="101"/>
      <c r="Q757" s="101"/>
      <c r="R757" s="101"/>
      <c r="S757" s="101"/>
      <c r="T757" s="101"/>
      <c r="U757" s="101"/>
      <c r="V757" s="101"/>
      <c r="W757" s="101"/>
      <c r="X757" s="101"/>
      <c r="Y757" s="101"/>
      <c r="Z757" s="101"/>
    </row>
    <row r="758">
      <c r="A758" s="101"/>
      <c r="B758" s="101"/>
      <c r="C758" s="101" t="str">
        <f>IFERROR(__xludf.DUMMYFUNCTION("""COMPUTED_VALUE"""),"GUSTAVO MUNIZ DOS SANTOS")</f>
        <v>GUSTAVO MUNIZ DOS SANTOS</v>
      </c>
      <c r="D758" s="101" t="str">
        <f>IFERROR(__xludf.DUMMYFUNCTION("""COMPUTED_VALUE"""),"503.***.***-90")</f>
        <v>503.***.***-90</v>
      </c>
      <c r="E758" s="101">
        <f>IFERROR(__xludf.DUMMYFUNCTION("""COMPUTED_VALUE"""),6.0)</f>
        <v>6</v>
      </c>
      <c r="F758" s="101" t="str">
        <f>IFERROR(__xludf.DUMMYFUNCTION("""COMPUTED_VALUE"""),"503.548.218-90")</f>
        <v>503.548.218-90</v>
      </c>
      <c r="G758" s="101"/>
      <c r="H758" s="101"/>
      <c r="I758" s="101"/>
      <c r="J758" s="101"/>
      <c r="K758" s="101"/>
      <c r="L758" s="101"/>
      <c r="M758" s="101"/>
      <c r="N758" s="101"/>
      <c r="O758" s="101"/>
      <c r="P758" s="101"/>
      <c r="Q758" s="101"/>
      <c r="R758" s="101"/>
      <c r="S758" s="101"/>
      <c r="T758" s="101"/>
      <c r="U758" s="101"/>
      <c r="V758" s="101"/>
      <c r="W758" s="101"/>
      <c r="X758" s="101"/>
      <c r="Y758" s="101"/>
      <c r="Z758" s="101"/>
    </row>
    <row r="759">
      <c r="A759" s="101"/>
      <c r="B759" s="101"/>
      <c r="C759" s="101" t="str">
        <f>IFERROR(__xludf.DUMMYFUNCTION("""COMPUTED_VALUE"""),"JULIA SANTOS MACHADO")</f>
        <v>JULIA SANTOS MACHADO</v>
      </c>
      <c r="D759" s="101" t="str">
        <f>IFERROR(__xludf.DUMMYFUNCTION("""COMPUTED_VALUE"""),"469.***.***-16")</f>
        <v>469.***.***-16</v>
      </c>
      <c r="E759" s="101">
        <f>IFERROR(__xludf.DUMMYFUNCTION("""COMPUTED_VALUE"""),8.0)</f>
        <v>8</v>
      </c>
      <c r="F759" s="101" t="str">
        <f>IFERROR(__xludf.DUMMYFUNCTION("""COMPUTED_VALUE"""),"469.142.958-16")</f>
        <v>469.142.958-16</v>
      </c>
      <c r="G759" s="101"/>
      <c r="H759" s="101"/>
      <c r="I759" s="101"/>
      <c r="J759" s="101"/>
      <c r="K759" s="101"/>
      <c r="L759" s="101"/>
      <c r="M759" s="101"/>
      <c r="N759" s="101"/>
      <c r="O759" s="101"/>
      <c r="P759" s="101"/>
      <c r="Q759" s="101"/>
      <c r="R759" s="101"/>
      <c r="S759" s="101"/>
      <c r="T759" s="101"/>
      <c r="U759" s="101"/>
      <c r="V759" s="101"/>
      <c r="W759" s="101"/>
      <c r="X759" s="101"/>
      <c r="Y759" s="101"/>
      <c r="Z759" s="101"/>
    </row>
    <row r="760">
      <c r="A760" s="101"/>
      <c r="B760" s="101"/>
      <c r="C760" s="101" t="str">
        <f>IFERROR(__xludf.DUMMYFUNCTION("""COMPUTED_VALUE"""),"CHARLES DA SILVA FELICIO JUNIOR")</f>
        <v>CHARLES DA SILVA FELICIO JUNIOR</v>
      </c>
      <c r="D760" s="101" t="str">
        <f>IFERROR(__xludf.DUMMYFUNCTION("""COMPUTED_VALUE"""),"581.***.***-93")</f>
        <v>581.***.***-93</v>
      </c>
      <c r="E760" s="101">
        <f>IFERROR(__xludf.DUMMYFUNCTION("""COMPUTED_VALUE"""),2.0)</f>
        <v>2</v>
      </c>
      <c r="F760" s="101" t="str">
        <f>IFERROR(__xludf.DUMMYFUNCTION("""COMPUTED_VALUE"""),"581.229.358-93")</f>
        <v>581.229.358-93</v>
      </c>
      <c r="G760" s="101"/>
      <c r="H760" s="101"/>
      <c r="I760" s="101"/>
      <c r="J760" s="101"/>
      <c r="K760" s="101"/>
      <c r="L760" s="101"/>
      <c r="M760" s="101"/>
      <c r="N760" s="101"/>
      <c r="O760" s="101"/>
      <c r="P760" s="101"/>
      <c r="Q760" s="101"/>
      <c r="R760" s="101"/>
      <c r="S760" s="101"/>
      <c r="T760" s="101"/>
      <c r="U760" s="101"/>
      <c r="V760" s="101"/>
      <c r="W760" s="101"/>
      <c r="X760" s="101"/>
      <c r="Y760" s="101"/>
      <c r="Z760" s="101"/>
    </row>
    <row r="761">
      <c r="A761" s="101"/>
      <c r="B761" s="101"/>
      <c r="C761" s="101" t="str">
        <f>IFERROR(__xludf.DUMMYFUNCTION("""COMPUTED_VALUE"""),"JENNIFER SALES  FERNANDES DE  SOUZA")</f>
        <v>JENNIFER SALES  FERNANDES DE  SOUZA</v>
      </c>
      <c r="D761" s="101" t="str">
        <f>IFERROR(__xludf.DUMMYFUNCTION("""COMPUTED_VALUE"""),"020.***.***-07")</f>
        <v>020.***.***-07</v>
      </c>
      <c r="E761" s="101">
        <f>IFERROR(__xludf.DUMMYFUNCTION("""COMPUTED_VALUE"""),8.0)</f>
        <v>8</v>
      </c>
      <c r="F761" s="101" t="str">
        <f>IFERROR(__xludf.DUMMYFUNCTION("""COMPUTED_VALUE"""),"020.506.986-07")</f>
        <v>020.506.986-07</v>
      </c>
      <c r="G761" s="101"/>
      <c r="H761" s="101"/>
      <c r="I761" s="101"/>
      <c r="J761" s="101"/>
      <c r="K761" s="101"/>
      <c r="L761" s="101"/>
      <c r="M761" s="101"/>
      <c r="N761" s="101"/>
      <c r="O761" s="101"/>
      <c r="P761" s="101"/>
      <c r="Q761" s="101"/>
      <c r="R761" s="101"/>
      <c r="S761" s="101"/>
      <c r="T761" s="101"/>
      <c r="U761" s="101"/>
      <c r="V761" s="101"/>
      <c r="W761" s="101"/>
      <c r="X761" s="101"/>
      <c r="Y761" s="101"/>
      <c r="Z761" s="101"/>
    </row>
    <row r="762">
      <c r="A762" s="101"/>
      <c r="B762" s="101"/>
      <c r="C762" s="101" t="str">
        <f>IFERROR(__xludf.DUMMYFUNCTION("""COMPUTED_VALUE"""),"FIONA S S C CAMPOS")</f>
        <v>FIONA S S C CAMPOS</v>
      </c>
      <c r="D762" s="101" t="str">
        <f>IFERROR(__xludf.DUMMYFUNCTION("""COMPUTED_VALUE"""),"474.***.***-03")</f>
        <v>474.***.***-03</v>
      </c>
      <c r="E762" s="101">
        <f>IFERROR(__xludf.DUMMYFUNCTION("""COMPUTED_VALUE"""),2.0)</f>
        <v>2</v>
      </c>
      <c r="F762" s="101" t="str">
        <f>IFERROR(__xludf.DUMMYFUNCTION("""COMPUTED_VALUE"""),"474.820.348-03")</f>
        <v>474.820.348-03</v>
      </c>
      <c r="G762" s="101"/>
      <c r="H762" s="101"/>
      <c r="I762" s="101"/>
      <c r="J762" s="101"/>
      <c r="K762" s="101"/>
      <c r="L762" s="101"/>
      <c r="M762" s="101"/>
      <c r="N762" s="101"/>
      <c r="O762" s="101"/>
      <c r="P762" s="101"/>
      <c r="Q762" s="101"/>
      <c r="R762" s="101"/>
      <c r="S762" s="101"/>
      <c r="T762" s="101"/>
      <c r="U762" s="101"/>
      <c r="V762" s="101"/>
      <c r="W762" s="101"/>
      <c r="X762" s="101"/>
      <c r="Y762" s="101"/>
      <c r="Z762" s="101"/>
    </row>
    <row r="763">
      <c r="A763" s="101"/>
      <c r="B763" s="101"/>
      <c r="C763" s="101" t="str">
        <f>IFERROR(__xludf.DUMMYFUNCTION("""COMPUTED_VALUE"""),"PAULO ROGERIO ARAUJO BRANDAO")</f>
        <v>PAULO ROGERIO ARAUJO BRANDAO</v>
      </c>
      <c r="D763" s="101" t="str">
        <f>IFERROR(__xludf.DUMMYFUNCTION("""COMPUTED_VALUE"""),"008.***.***-89")</f>
        <v>008.***.***-89</v>
      </c>
      <c r="E763" s="101">
        <f>IFERROR(__xludf.DUMMYFUNCTION("""COMPUTED_VALUE"""),10.0)</f>
        <v>10</v>
      </c>
      <c r="F763" s="101" t="str">
        <f>IFERROR(__xludf.DUMMYFUNCTION("""COMPUTED_VALUE"""),"008.280.612-89")</f>
        <v>008.280.612-89</v>
      </c>
      <c r="G763" s="101"/>
      <c r="H763" s="101"/>
      <c r="I763" s="101"/>
      <c r="J763" s="101"/>
      <c r="K763" s="101"/>
      <c r="L763" s="101"/>
      <c r="M763" s="101"/>
      <c r="N763" s="101"/>
      <c r="O763" s="101"/>
      <c r="P763" s="101"/>
      <c r="Q763" s="101"/>
      <c r="R763" s="101"/>
      <c r="S763" s="101"/>
      <c r="T763" s="101"/>
      <c r="U763" s="101"/>
      <c r="V763" s="101"/>
      <c r="W763" s="101"/>
      <c r="X763" s="101"/>
      <c r="Y763" s="101"/>
      <c r="Z763" s="101"/>
    </row>
    <row r="764">
      <c r="A764" s="101"/>
      <c r="B764" s="101"/>
      <c r="C764" s="101" t="str">
        <f>IFERROR(__xludf.DUMMYFUNCTION("""COMPUTED_VALUE"""),"GUILHERME TORQUATO PONTES")</f>
        <v>GUILHERME TORQUATO PONTES</v>
      </c>
      <c r="D764" s="101" t="str">
        <f>IFERROR(__xludf.DUMMYFUNCTION("""COMPUTED_VALUE"""),"498.***.***-83")</f>
        <v>498.***.***-83</v>
      </c>
      <c r="E764" s="101">
        <f>IFERROR(__xludf.DUMMYFUNCTION("""COMPUTED_VALUE"""),6.0)</f>
        <v>6</v>
      </c>
      <c r="F764" s="101" t="str">
        <f>IFERROR(__xludf.DUMMYFUNCTION("""COMPUTED_VALUE"""),"498.051.458-83")</f>
        <v>498.051.458-83</v>
      </c>
      <c r="G764" s="101"/>
      <c r="H764" s="101"/>
      <c r="I764" s="101"/>
      <c r="J764" s="101"/>
      <c r="K764" s="101"/>
      <c r="L764" s="101"/>
      <c r="M764" s="101"/>
      <c r="N764" s="101"/>
      <c r="O764" s="101"/>
      <c r="P764" s="101"/>
      <c r="Q764" s="101"/>
      <c r="R764" s="101"/>
      <c r="S764" s="101"/>
      <c r="T764" s="101"/>
      <c r="U764" s="101"/>
      <c r="V764" s="101"/>
      <c r="W764" s="101"/>
      <c r="X764" s="101"/>
      <c r="Y764" s="101"/>
      <c r="Z764" s="101"/>
    </row>
    <row r="765">
      <c r="A765" s="101"/>
      <c r="B765" s="101"/>
      <c r="C765" s="101" t="str">
        <f>IFERROR(__xludf.DUMMYFUNCTION("""COMPUTED_VALUE"""),"MARCOS VINICIUS DOS PASSOS BATISTA")</f>
        <v>MARCOS VINICIUS DOS PASSOS BATISTA</v>
      </c>
      <c r="D765" s="101" t="str">
        <f>IFERROR(__xludf.DUMMYFUNCTION("""COMPUTED_VALUE"""),"444.***.***-22")</f>
        <v>444.***.***-22</v>
      </c>
      <c r="E765" s="101">
        <f>IFERROR(__xludf.DUMMYFUNCTION("""COMPUTED_VALUE"""),14.0)</f>
        <v>14</v>
      </c>
      <c r="F765" s="101" t="str">
        <f>IFERROR(__xludf.DUMMYFUNCTION("""COMPUTED_VALUE"""),"444.710.398-22")</f>
        <v>444.710.398-22</v>
      </c>
      <c r="G765" s="101"/>
      <c r="H765" s="101"/>
      <c r="I765" s="101"/>
      <c r="J765" s="101"/>
      <c r="K765" s="101"/>
      <c r="L765" s="101"/>
      <c r="M765" s="101"/>
      <c r="N765" s="101"/>
      <c r="O765" s="101"/>
      <c r="P765" s="101"/>
      <c r="Q765" s="101"/>
      <c r="R765" s="101"/>
      <c r="S765" s="101"/>
      <c r="T765" s="101"/>
      <c r="U765" s="101"/>
      <c r="V765" s="101"/>
      <c r="W765" s="101"/>
      <c r="X765" s="101"/>
      <c r="Y765" s="101"/>
      <c r="Z765" s="101"/>
    </row>
    <row r="766">
      <c r="A766" s="101"/>
      <c r="B766" s="101"/>
      <c r="C766" s="101" t="str">
        <f>IFERROR(__xludf.DUMMYFUNCTION("""COMPUTED_VALUE"""),"LETICIA MOURA ELIAS")</f>
        <v>LETICIA MOURA ELIAS</v>
      </c>
      <c r="D766" s="101" t="str">
        <f>IFERROR(__xludf.DUMMYFUNCTION("""COMPUTED_VALUE"""),"489.***.***-17")</f>
        <v>489.***.***-17</v>
      </c>
      <c r="E766" s="101">
        <f>IFERROR(__xludf.DUMMYFUNCTION("""COMPUTED_VALUE"""),11.0)</f>
        <v>11</v>
      </c>
      <c r="F766" s="101" t="str">
        <f>IFERROR(__xludf.DUMMYFUNCTION("""COMPUTED_VALUE"""),"489.409.888-17")</f>
        <v>489.409.888-17</v>
      </c>
      <c r="G766" s="101"/>
      <c r="H766" s="101"/>
      <c r="I766" s="101"/>
      <c r="J766" s="101"/>
      <c r="K766" s="101"/>
      <c r="L766" s="101"/>
      <c r="M766" s="101"/>
      <c r="N766" s="101"/>
      <c r="O766" s="101"/>
      <c r="P766" s="101"/>
      <c r="Q766" s="101"/>
      <c r="R766" s="101"/>
      <c r="S766" s="101"/>
      <c r="T766" s="101"/>
      <c r="U766" s="101"/>
      <c r="V766" s="101"/>
      <c r="W766" s="101"/>
      <c r="X766" s="101"/>
      <c r="Y766" s="101"/>
      <c r="Z766" s="101"/>
    </row>
    <row r="767">
      <c r="A767" s="101"/>
      <c r="B767" s="101"/>
      <c r="C767" s="101" t="str">
        <f>IFERROR(__xludf.DUMMYFUNCTION("""COMPUTED_VALUE"""),"GABRIELLE DA SILVA")</f>
        <v>GABRIELLE DA SILVA</v>
      </c>
      <c r="D767" s="101" t="str">
        <f>IFERROR(__xludf.DUMMYFUNCTION("""COMPUTED_VALUE"""),"528.***.***-41")</f>
        <v>528.***.***-41</v>
      </c>
      <c r="E767" s="101">
        <f>IFERROR(__xludf.DUMMYFUNCTION("""COMPUTED_VALUE"""),5.0)</f>
        <v>5</v>
      </c>
      <c r="F767" s="101" t="str">
        <f>IFERROR(__xludf.DUMMYFUNCTION("""COMPUTED_VALUE"""),"528.174.968-41")</f>
        <v>528.174.968-41</v>
      </c>
      <c r="G767" s="101"/>
      <c r="H767" s="101"/>
      <c r="I767" s="101"/>
      <c r="J767" s="101"/>
      <c r="K767" s="101"/>
      <c r="L767" s="101"/>
      <c r="M767" s="101"/>
      <c r="N767" s="101"/>
      <c r="O767" s="101"/>
      <c r="P767" s="101"/>
      <c r="Q767" s="101"/>
      <c r="R767" s="101"/>
      <c r="S767" s="101"/>
      <c r="T767" s="101"/>
      <c r="U767" s="101"/>
      <c r="V767" s="101"/>
      <c r="W767" s="101"/>
      <c r="X767" s="101"/>
      <c r="Y767" s="101"/>
      <c r="Z767" s="101"/>
    </row>
    <row r="768">
      <c r="A768" s="101"/>
      <c r="B768" s="101"/>
      <c r="C768" s="101" t="str">
        <f>IFERROR(__xludf.DUMMYFUNCTION("""COMPUTED_VALUE"""),"RODRIGO SILVA COSTA")</f>
        <v>RODRIGO SILVA COSTA</v>
      </c>
      <c r="D768" s="101" t="str">
        <f>IFERROR(__xludf.DUMMYFUNCTION("""COMPUTED_VALUE"""),"474.***.***-00")</f>
        <v>474.***.***-00</v>
      </c>
      <c r="E768" s="101">
        <f>IFERROR(__xludf.DUMMYFUNCTION("""COMPUTED_VALUE"""),9.0)</f>
        <v>9</v>
      </c>
      <c r="F768" s="101" t="str">
        <f>IFERROR(__xludf.DUMMYFUNCTION("""COMPUTED_VALUE"""),"474.014.338-00")</f>
        <v>474.014.338-00</v>
      </c>
      <c r="G768" s="101"/>
      <c r="H768" s="101"/>
      <c r="I768" s="101"/>
      <c r="J768" s="101"/>
      <c r="K768" s="101"/>
      <c r="L768" s="101"/>
      <c r="M768" s="101"/>
      <c r="N768" s="101"/>
      <c r="O768" s="101"/>
      <c r="P768" s="101"/>
      <c r="Q768" s="101"/>
      <c r="R768" s="101"/>
      <c r="S768" s="101"/>
      <c r="T768" s="101"/>
      <c r="U768" s="101"/>
      <c r="V768" s="101"/>
      <c r="W768" s="101"/>
      <c r="X768" s="101"/>
      <c r="Y768" s="101"/>
      <c r="Z768" s="101"/>
    </row>
    <row r="769">
      <c r="A769" s="101"/>
      <c r="B769" s="101"/>
      <c r="C769" s="101" t="str">
        <f>IFERROR(__xludf.DUMMYFUNCTION("""COMPUTED_VALUE"""),"PEDRO HENRIQUE IGLESIAS LUCAS")</f>
        <v>PEDRO HENRIQUE IGLESIAS LUCAS</v>
      </c>
      <c r="D769" s="101" t="str">
        <f>IFERROR(__xludf.DUMMYFUNCTION("""COMPUTED_VALUE"""),"415.***.***-05")</f>
        <v>415.***.***-05</v>
      </c>
      <c r="E769" s="101">
        <f>IFERROR(__xludf.DUMMYFUNCTION("""COMPUTED_VALUE"""),4.0)</f>
        <v>4</v>
      </c>
      <c r="F769" s="101" t="str">
        <f>IFERROR(__xludf.DUMMYFUNCTION("""COMPUTED_VALUE"""),"415.029.648-05")</f>
        <v>415.029.648-05</v>
      </c>
      <c r="G769" s="101"/>
      <c r="H769" s="101"/>
      <c r="I769" s="101"/>
      <c r="J769" s="101"/>
      <c r="K769" s="101"/>
      <c r="L769" s="101"/>
      <c r="M769" s="101"/>
      <c r="N769" s="101"/>
      <c r="O769" s="101"/>
      <c r="P769" s="101"/>
      <c r="Q769" s="101"/>
      <c r="R769" s="101"/>
      <c r="S769" s="101"/>
      <c r="T769" s="101"/>
      <c r="U769" s="101"/>
      <c r="V769" s="101"/>
      <c r="W769" s="101"/>
      <c r="X769" s="101"/>
      <c r="Y769" s="101"/>
      <c r="Z769" s="101"/>
    </row>
    <row r="770">
      <c r="A770" s="101"/>
      <c r="B770" s="101"/>
      <c r="C770" s="101" t="str">
        <f>IFERROR(__xludf.DUMMYFUNCTION("""COMPUTED_VALUE"""),"SUZANNY MARIA DA SILVA")</f>
        <v>SUZANNY MARIA DA SILVA</v>
      </c>
      <c r="D770" s="101" t="str">
        <f>IFERROR(__xludf.DUMMYFUNCTION("""COMPUTED_VALUE"""),"542.***.***-38")</f>
        <v>542.***.***-38</v>
      </c>
      <c r="E770" s="101">
        <f>IFERROR(__xludf.DUMMYFUNCTION("""COMPUTED_VALUE"""),11.0)</f>
        <v>11</v>
      </c>
      <c r="F770" s="101" t="str">
        <f>IFERROR(__xludf.DUMMYFUNCTION("""COMPUTED_VALUE"""),"542.347.838-38")</f>
        <v>542.347.838-38</v>
      </c>
      <c r="G770" s="101"/>
      <c r="H770" s="101"/>
      <c r="I770" s="101"/>
      <c r="J770" s="101"/>
      <c r="K770" s="101"/>
      <c r="L770" s="101"/>
      <c r="M770" s="101"/>
      <c r="N770" s="101"/>
      <c r="O770" s="101"/>
      <c r="P770" s="101"/>
      <c r="Q770" s="101"/>
      <c r="R770" s="101"/>
      <c r="S770" s="101"/>
      <c r="T770" s="101"/>
      <c r="U770" s="101"/>
      <c r="V770" s="101"/>
      <c r="W770" s="101"/>
      <c r="X770" s="101"/>
      <c r="Y770" s="101"/>
      <c r="Z770" s="101"/>
    </row>
  </sheetData>
  <dataValidations>
    <dataValidation type="list" allowBlank="1" showErrorMessage="1" sqref="A1">
      <formula1>'bd_normalizado PJMC (769)'!$1:$1</formula1>
    </dataValidation>
  </dataValidations>
  <drawing r:id="rId1"/>
</worksheet>
</file>